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S" sheetId="1" r:id="rId4"/>
    <sheet state="visible" name="Sennheiser" sheetId="2" r:id="rId5"/>
    <sheet state="visible" name="Beyerdynamic" sheetId="3" r:id="rId6"/>
    <sheet state="visible" name="EV" sheetId="4" r:id="rId7"/>
    <sheet state="visible" name="Neumann" sheetId="5" r:id="rId8"/>
    <sheet state="visible" name="Merging Technologies" sheetId="6" r:id="rId9"/>
    <sheet state="visible" name="Xilica" sheetId="7" r:id="rId10"/>
    <sheet state="visible" name="Allen &amp; Heath" sheetId="8" r:id="rId11"/>
    <sheet state="visible" name="UA" sheetId="9" r:id="rId12"/>
    <sheet state="visible" name="BOSCH" sheetId="10" r:id="rId13"/>
    <sheet state="visible" name="K&amp;M" sheetId="11" r:id="rId14"/>
    <sheet state="visible" name="TELEXRTS" sheetId="12" r:id="rId15"/>
    <sheet state="visible" name="JBL-Harman" sheetId="13" r:id="rId16"/>
    <sheet state="visible" name="EPOS" sheetId="14" r:id="rId17"/>
    <sheet state="visible" name="Neutrik-Rean" sheetId="15" r:id="rId18"/>
    <sheet state="visible" name="ART" sheetId="16" r:id="rId19"/>
    <sheet state="visible" name="Rapco-Horizon" sheetId="17" r:id="rId20"/>
    <sheet state="visible" name="Rode" sheetId="18" r:id="rId21"/>
    <sheet state="visible" name="Dynaudio" sheetId="19" r:id="rId22"/>
    <sheet state="visible" name="K-array" sheetId="20" r:id="rId23"/>
    <sheet state="visible" name="K-gear" sheetId="21" r:id="rId24"/>
    <sheet state="hidden" name="OFERTAS" sheetId="22" r:id="rId25"/>
    <sheet state="visible" name="STOCK" sheetId="23" r:id="rId26"/>
  </sheets>
  <definedNames/>
  <calcPr/>
  <extLst>
    <ext uri="GoogleSheetsCustomDataVersion2">
      <go:sheetsCustomData xmlns:go="http://customooxmlschemas.google.com/" r:id="rId27" roundtripDataChecksum="4Gz6CCBfLw/a/dY8ABKoVYoK28a9QLp4uQaYzYH/7o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39">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0">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1">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2">
      <text>
        <t xml:space="preserve">**Mac**
Puerto Thunderbolt 1, 2 o 3 disponible
macOS Catalina 10.15, Big Sur 11, Monterey 12, Ventura 13 o Sonoma 14
Las conexiones Thunderbolt 3 requieren un adaptador Apple de Thunderbolt 3 a Thunderbolt 2 (no incluido).
**Windows**
Puerto Thunderbolt 3 disponible
Windows 10 u 11 (ediciones de 64 bits)
Adaptador Thunderbolt 3 a Thunderbolt cualificado (no incluido)
======</t>
      </text>
    </comment>
    <comment authorId="0" ref="C43">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4">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5">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6">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7">
      <text>
        <t xml:space="preserve">**Mac**
Puerto Thunderbolt 1, 2 o 3 disponible
macOS Catalina 10.15, Big Sur 11, Monterey 12, Ventura 13 o Sonoma 14
Las conexiones Thunderbolt 3 requieren un adaptador Apple de Thunderbolt 3 a Thunderbolt 2 (no incluido).
**Windows**
Puerto Thunderbolt 3 disponible
Windows 10 u 11 (ediciones de 64 bits)
Adaptador Thunderbolt 3 a Thunderbolt cualificado (no incluido)
======</t>
      </text>
    </comment>
    <comment authorId="0" ref="C48">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9">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0">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1">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2">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3">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4">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5">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6">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7">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8">
      <text>
        <t xml:space="preserve">PC con USB 3 o 4 SuperSpeed integrado disponible (puerto Tipo-A o Tipo-C).
Procesador Intel Core i-Series, Xeon o AMD.
Windows 10 u 11 (ediciones de 64 bits).
Cable USB 3 SuperSpeed Tipo-C (no incluido).
======</t>
      </text>
    </comment>
    <comment authorId="0" ref="C61">
      <text>
        <t xml:space="preserve">PC con USB 3 SuperSpeed o USB 4 integrado* (puerto Tipo-A o Tipo-C).
Procesador Intel Core i-Series, Xeon o AMD.
Windows 10 u 11 (ediciones de 64 bits).
Cable USB 3 SuperSpeed o USB 4 Type-C (no incluido).
======</t>
      </text>
    </comment>
    <comment authorId="0" ref="C62">
      <text>
        <t xml:space="preserve">PC con USB 3 o 4 SuperSpeed* integrado disponible (puerto Tipo-A o Tipo-C).
Procesador Intel Core i-Series, Xeon o AMD.
Windows 10 u 11 (ediciones de 64 bits).
Cable USB 3 SuperSpeed Tipo-C (incluido).
======</t>
      </text>
    </comment>
    <comment authorId="0" ref="C63">
      <text>
        <t xml:space="preserve">PC con USB 3 o 4 SuperSpeed integrado disponible (puerto Tipo-A o Tipo-C).
Procesador Intel Core i-Series, Xeon o AMD.
Windows 10 u 11 (ediciones de 64 bits).
Cable USB 3 SuperSpeed Tipo-C (no incluido).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42">
      <text>
        <t xml:space="preserve">**Mac**
Puerto Thunderbolt 1, 2 o 3 disponible
macOS Catalina 10.15, Big Sur 11, Monterey 12, Ventura 13 o Sonoma 14
Las conexiones Thunderbolt 3 requieren un adaptador Apple de Thunderbolt 3 a Thunderbolt 2 (no incluido).
**Windows**
Puerto Thunderbolt 3 disponible
Windows 10 u 11 (ediciones de 64 bits)
Adaptador Thunderbolt 3 a Thunderbolt cualificado (no incluido)
======</t>
      </text>
    </comment>
    <comment authorId="0" ref="C43">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4">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5">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6">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7">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8">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9">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0">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1">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2">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6">
      <text>
        <t xml:space="preserve">PC con USB 3 SuperSpeed o USB 4 integrado* (puerto Tipo-A o Tipo-C).
Procesador Intel Core i-Series, Xeon o AMD.
Windows 10 u 11 (ediciones de 64 bits).
Cable USB 3 SuperSpeed o USB 4 Type-C (no incluido).
======</t>
      </text>
    </comment>
    <comment authorId="0" ref="C57">
      <text>
        <t xml:space="preserve">PC con USB 3 o 4 SuperSpeed* integrado disponible (puerto Tipo-A o Tipo-C).
Procesador Intel Core i-Series, Xeon o AMD.
Windows 10 u 11 (ediciones de 64 bits).
Cable USB 3 SuperSpeed Tipo-C (incluido).
======</t>
      </text>
    </comment>
    <comment authorId="0" ref="C58">
      <text>
        <t xml:space="preserve">PC con USB 3 o 4 SuperSpeed integrado disponible (puerto Tipo-A o Tipo-C).
Procesador Intel Core i-Series, Xeon o AMD.
Windows 10 u 11 (ediciones de 64 bits).
Cable USB 3 SuperSpeed Tipo-C (no incluido).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42">
      <text>
        <t xml:space="preserve">**Mac**
Puerto Thunderbolt 1, 2 o 3 disponible
macOS Catalina 10.15, Big Sur 11, Monterey 12, Ventura 13 o Sonoma 14
Las conexiones Thunderbolt 3 requieren un adaptador Apple de Thunderbolt 3 a Thunderbolt 2 (no incluido).
**Windows**
Puerto Thunderbolt 3 disponible
Windows 10 u 11 (ediciones de 64 bits)
Adaptador Thunderbolt 3 a Thunderbolt cualificado (no incluido)
======</t>
      </text>
    </comment>
    <comment authorId="0" ref="C43">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C42">
      <text>
        <t xml:space="preserve">**Mac**
Puerto Thunderbolt 1, 2 o 3 disponible
macOS Catalina 10.15, Big Sur 11, Monterey 12, Ventura 13 o Sonoma 14
Las conexiones Thunderbolt 3 requieren un adaptador Apple de Thunderbolt 3 a Thunderbolt 2 (no incluido).
**Windows**
Puerto Thunderbolt 3 disponible
Windows 10 u 11 (ediciones de 64 bits)
Adaptador Thunderbolt 3 a Thunderbolt cualificado (no incluido)
======</t>
      </text>
    </comment>
    <comment authorId="0" ref="C43">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4">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5">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6">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7">
      <text>
        <t xml:space="preserve">**Mac**
Puerto Thunderbolt 1, 2 o 3 disponible
macOS Catalina 10.15, Big Sur 11, Monterey 12, Ventura 13 o Sonoma 14
Las conexiones Thunderbolt 3 requieren un adaptador Apple de Thunderbolt 3 a Thunderbolt 2 (no incluido).
**Windows**
Puerto Thunderbolt 3 disponible
Windows 10 u 11 (ediciones de 64 bits)
Adaptador Thunderbolt 3 a Thunderbolt cualificado (no incluido)
======</t>
      </text>
    </comment>
    <comment authorId="0" ref="C48">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9">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0">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1">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2">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3">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4">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5">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6">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7">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8">
      <text>
        <t xml:space="preserve">PC con USB 3 o 4 SuperSpeed integrado disponible (puerto Tipo-A o Tipo-C).
Procesador Intel Core i-Series, Xeon o AMD.
Windows 10 u 11 (ediciones de 64 bits).
Cable USB 3 SuperSpeed Tipo-C (no incluido).
======</t>
      </text>
    </comment>
    <comment authorId="0" ref="C61">
      <text>
        <t xml:space="preserve">PC con USB 3 SuperSpeed o USB 4 integrado* (puerto Tipo-A o Tipo-C).
Procesador Intel Core i-Series, Xeon o AMD.
Windows 10 u 11 (ediciones de 64 bits).
Cable USB 3 SuperSpeed o USB 4 Type-C (no incluido).
======</t>
      </text>
    </comment>
    <comment authorId="0" ref="C62">
      <text>
        <t xml:space="preserve">PC con USB 3 o 4 SuperSpeed* integrado disponible (puerto Tipo-A o Tipo-C).
Procesador Intel Core i-Series, Xeon o AMD.
Windows 10 u 11 (ediciones de 64 bits).
Cable USB 3 SuperSpeed Tipo-C (incluido).
======</t>
      </text>
    </comment>
    <comment authorId="0" ref="C63">
      <text>
        <t xml:space="preserve">PC con USB 3 o 4 SuperSpeed integrado disponible (puerto Tipo-A o Tipo-C).
Procesador Intel Core i-Series, Xeon o AMD.
Windows 10 u 11 (ediciones de 64 bits).
Cable USB 3 SuperSpeed Tipo-C (no incluido).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C42">
      <text>
        <t xml:space="preserve">**Mac**
Puerto Thunderbolt 1, 2 o 3 disponible
macOS Catalina 10.15, Big Sur 11, Monterey 12, Ventura 13 o Sonoma 14
Las conexiones Thunderbolt 3 requieren un adaptador Apple de Thunderbolt 3 a Thunderbolt 2 (no incluido).
**Windows**
Puerto Thunderbolt 3 disponible
Windows 10 u 11 (ediciones de 64 bits)
Adaptador Thunderbolt 3 a Thunderbolt cualificado (no incluido)
======</t>
      </text>
    </comment>
    <comment authorId="0" ref="C43">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4">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5">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6">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7">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8">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9">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0">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1">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2">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6">
      <text>
        <t xml:space="preserve">PC con USB 3 SuperSpeed o USB 4 integrado* (puerto Tipo-A o Tipo-C).
Procesador Intel Core i-Series, Xeon o AMD.
Windows 10 u 11 (ediciones de 64 bits).
Cable USB 3 SuperSpeed o USB 4 Type-C (no incluido).
======</t>
      </text>
    </comment>
    <comment authorId="0" ref="C57">
      <text>
        <t xml:space="preserve">PC con USB 3 o 4 SuperSpeed* integrado disponible (puerto Tipo-A o Tipo-C).
Procesador Intel Core i-Series, Xeon o AMD.
Windows 10 u 11 (ediciones de 64 bits).
Cable USB 3 SuperSpeed Tipo-C (incluido).
======</t>
      </text>
    </comment>
    <comment authorId="0" ref="C58">
      <text>
        <t xml:space="preserve">PC con USB 3 o 4 SuperSpeed integrado disponible (puerto Tipo-A o Tipo-C).
Procesador Intel Core i-Series, Xeon o AMD.
Windows 10 u 11 (ediciones de 64 bits).
Cable USB 3 SuperSpeed Tipo-C (no incluido).
======</t>
      </text>
    </comment>
  </commentList>
</comments>
</file>

<file path=xl/sharedStrings.xml><?xml version="1.0" encoding="utf-8"?>
<sst xmlns="http://schemas.openxmlformats.org/spreadsheetml/2006/main" count="20425" uniqueCount="9803">
  <si>
    <t>DATOS IMPOSITIVOS</t>
  </si>
  <si>
    <t>UBICACIÓN, HORARIOS, TELÉFONO</t>
  </si>
  <si>
    <t>Razón social: ARS TECHNOLOGIES SRL</t>
  </si>
  <si>
    <t xml:space="preserve">Dirección: </t>
  </si>
  <si>
    <t>Pasaje Tripoli 4029, Villa Pueyrredon, CABA.</t>
  </si>
  <si>
    <t>IVA: Responsable Inscripto</t>
  </si>
  <si>
    <t xml:space="preserve">Horarios: </t>
  </si>
  <si>
    <t>9-13hs / 14-18hs, de Lunes a Viernes</t>
  </si>
  <si>
    <t>CUIT: 33-70714904-9</t>
  </si>
  <si>
    <t>TEL:</t>
  </si>
  <si>
    <t>4574-3666</t>
  </si>
  <si>
    <t>Ventas:</t>
  </si>
  <si>
    <t>https://wa.me/5491124091399</t>
  </si>
  <si>
    <t>DATOS BANCARIOS</t>
  </si>
  <si>
    <t>WEB:</t>
  </si>
  <si>
    <t>www.arstech.com.ar</t>
  </si>
  <si>
    <t>Banco: Galicia</t>
  </si>
  <si>
    <t>Beneficiario: ARS TECHNOLOGIES SRL</t>
  </si>
  <si>
    <t xml:space="preserve">STOCK ACTUALIZADO: </t>
  </si>
  <si>
    <t>Cuenta corriente en pesos N: 2661-1 030-7</t>
  </si>
  <si>
    <t>CBU: 0070030620000002661171</t>
  </si>
  <si>
    <t>01-10-2025 AUMENTO EN LA LISTA DE 3,7%</t>
  </si>
  <si>
    <t>Sucursal: 30</t>
  </si>
  <si>
    <t>Marca</t>
  </si>
  <si>
    <t>Modelo</t>
  </si>
  <si>
    <t>Descripción</t>
  </si>
  <si>
    <t>Público PESOS IVA incluido</t>
  </si>
  <si>
    <t>Público PESOS s/ IVA</t>
  </si>
  <si>
    <t>% IVA</t>
  </si>
  <si>
    <t>Stock</t>
  </si>
  <si>
    <t>Auriculares</t>
  </si>
  <si>
    <t>Sennheiser</t>
  </si>
  <si>
    <t>HD 206</t>
  </si>
  <si>
    <t>Dynamic Stereo Headphone, 32 Ω, Closed, Over-ear, Coiled Cable 3 m, Minijack 3,5 mm, 6,3 mm adapter included</t>
  </si>
  <si>
    <t>$ 123.410,00</t>
  </si>
  <si>
    <t>$ 102.004,00</t>
  </si>
  <si>
    <t>HD 200 PRO</t>
  </si>
  <si>
    <t>$ 224.042,00</t>
  </si>
  <si>
    <t>$ 185.150,00</t>
  </si>
  <si>
    <t>HD 25</t>
  </si>
  <si>
    <t>Closed-back, on-ear professional monitoring headphones with split headband, rotatable ear cup for one-ear listening, and straight cable (1.5m).</t>
  </si>
  <si>
    <t>$ 525.308,00</t>
  </si>
  <si>
    <t>$ 434.140,00</t>
  </si>
  <si>
    <t>HD 25 LIGHT</t>
  </si>
  <si>
    <t>On-ear closed back headphones for studio and live sound, delivering the classic sound of the HD25 but with an elegant, simplified headband and a straight cable (1.5m)</t>
  </si>
  <si>
    <t>$ 350.154,00</t>
  </si>
  <si>
    <t>$ 289.380,00</t>
  </si>
  <si>
    <t>HD 25 PLUS</t>
  </si>
  <si>
    <t>Closed-back, on-ear professional monitoring headphones with split headband, rotatable ear cup, and coiled cable (1.5m), delivered with an additional straight cable, extra pair of ear cushions, and a protective pouch.</t>
  </si>
  <si>
    <t>$ 700.462,00</t>
  </si>
  <si>
    <t>$ 578.886,00</t>
  </si>
  <si>
    <t>HD 280 PRO</t>
  </si>
  <si>
    <t>Closed, around-the-ear collapsible professional monitoring headphones, black</t>
  </si>
  <si>
    <t>HD 300 PRO</t>
  </si>
  <si>
    <t>Monitoring headphone with ultra-linear response (64 ohm) and 1.5m cable with 3.5mm jack. Includes (1) HD 300 PRO headphone, (1) 1.5m cable with 3.5mm jack and (1) 1/4" adapter jack</t>
  </si>
  <si>
    <t>HD 400 PRO</t>
  </si>
  <si>
    <t>Around-the-ear collapsible professional studio reference headphones for project and professional mixing sessions. Includes (1) Coiled Cable (3m) and (1) straight Cable (1.8m), black</t>
  </si>
  <si>
    <t>$ 872.270,00</t>
  </si>
  <si>
    <t>$ 720.888,00</t>
  </si>
  <si>
    <t>IE 100 PRO BLACK</t>
  </si>
  <si>
    <t>In-ear monitoring headphones featuring 10mm dynamic transducer and black detachable 1.3m cable with 3.5mm jack. Includes (1) IE 100 PRO Black, (1) 1.3m straight black cable with 3.5mm jack, (1) soft pouch, (1) set of silicone ear adapters (S, M, L), (1) set of foam ear adapters (M), (1) 6.3mm (1/4") jack adapter and (1) cleaning tool, black</t>
  </si>
  <si>
    <t>IE 100 PRO CLEAR</t>
  </si>
  <si>
    <t>In-ear monitoring headphones featuring 10mm dynamic transducer and black detachable 1.3m cable with 3.5mm jack. Includes (1) IE 100 PRO Clear, (1) 1.3m straight black cable with 3.5mm jack, (1) soft pouch, (1) set of silicone ear adapters (S, M, L), (1) set of foam ear adapters (M), (1) 6.3mm (1/4") jack adapter and (1) cleaning tool, clear</t>
  </si>
  <si>
    <t>IE 100 PRO RED</t>
  </si>
  <si>
    <t>In-ear monitoring headphones featuring 10mm dynamic transducer and black detachable 1.3m cable with 3.5mm jack. Includes (1) IE 100 PRO Red, (1) 1.3m straight black cable with 3.5mm jack, (1) soft pouch, (1) set of silicone ear adapters (S, M, L), (1) set of foam ear adapters (M), (1) 6.3mm (1/4") jack adapter and (1) cleaning tool, red</t>
  </si>
  <si>
    <t>IE 100 PRO WIRELESS BLACK</t>
  </si>
  <si>
    <t>Wireless in-ear monitoring headphone set featuring 10mm dynamic transducer and black detachable 1.3m cable with 3.5mm jack and bluetooth® connector. Includes (1) IE 100 PRO Black, (1) 1.3m straight black cable with 3.5mm jack, (1) IE PRO BT bluetooth® connector, (1) USB-A to USB-C charging cable, (1) soft pouch, (1) set of silicone ear adapters (S, M, L), (1) set of foam ear adapters (M), (1) 6.3mm (1/4") jack adapter and (1) cleaning tool, black</t>
  </si>
  <si>
    <t>IE 100 PRO WIRELESS CLEAR</t>
  </si>
  <si>
    <t>Wireless in-ear monitoring headphone set featuring 10mm dynamic transducer and black detachable 1.3m cable with 3.5mm jack and bluetooth® connector. Includes (1) IE 100 PRO Clear, (1) 1.3m straight black cable with 3.5mm jack, (1) IE PRO BT bluetooth® connector, (1) USB-A to USB-C charging cable, (1) soft pouch, (1) set of silicone ear adapters (S, M, L), (1) set of foam ear adapters (M), (1) 6.3mm (1/4") jack adapter and (1) cleaning tool, clear</t>
  </si>
  <si>
    <t>IE 100 PRO WIRELESS RED</t>
  </si>
  <si>
    <t>Wireless in-ear monitoring headphone set featuring 10mm dynamic transducer and black detachable 1.3m cable with 3.5mm jack and bluetooth® connector. Includes (1) IE 100 PRO Red, (1) 1.3m straight black cable with 3.5mm jack, (1) IE PRO BT bluetooth® connector, (1) USB-A to USB-C charging cable, (1) soft pouch, (1) set of silicone ear adapters (S, M, L), (1) set of foam ear adapters (M), (1) 6.3mm (1/4") jack adapter and (1) cleaning tool, red</t>
  </si>
  <si>
    <t>IE 4</t>
  </si>
  <si>
    <t>In-ear headphones, stereo, 16 Ω, cable length 1.4m, 3.5mm jack plug</t>
  </si>
  <si>
    <t>$ 280.084,00</t>
  </si>
  <si>
    <t>$ 231.476,00</t>
  </si>
  <si>
    <t>IE 400 PRO CLEAR</t>
  </si>
  <si>
    <t>In-ear monitoring headphones featuring SYS 7 dynamic transducer and detachable 1.3m black cable. Includes (1) IE 400 PRO Clear earphones with detachable black cable and 3.5mm jack, (1) hard case, (1) set of silicone ear adapters (S, M, L), (1) set of foam ear adapters (S, M, L), (1) 6.3mm (1/4") jack adapter and (1) cleaning tool, clear</t>
  </si>
  <si>
    <t>$ 1.397.732,00</t>
  </si>
  <si>
    <t>$ 1.155.154,00</t>
  </si>
  <si>
    <t>IE 400 PRO SMOKY BLACK</t>
  </si>
  <si>
    <t>In-ear monitoring headphones featuring SYS 7 dynamic transducer and detachable 1.3m black cable. Includes (1) IE 400 PRO Smoky Black earphones with detachable black cable and 3.5mm jack, (1) hard case, (1) set of silicone ear adapters (S, M, L), (1) set of foam ear adapters (S, M, L), (1) 6.3mm (1/4") jack adapter and (1) cleaning tool, black</t>
  </si>
  <si>
    <t>IE 500 PRO CLEAR</t>
  </si>
  <si>
    <t xml:space="preserve">In-ear monitoring headphones featuring SYS 7 dynamic transducer and detachable 1.3m twisted clear cable. Includes (1) IE 500 PRO Clear earphones with detachable clear twisted cable and 3.5mm jack, (1) hard case, (1) set of silicone ear adapters (S, M, L), (1) set of foam ear adapters (S, M, L), (1) 6.3mm (1/4") jack adapter and (1) cleaning tool, clear
</t>
  </si>
  <si>
    <t>$ 2.101.050,00</t>
  </si>
  <si>
    <t>$ 1.736.406,00</t>
  </si>
  <si>
    <t>Micrófonos de cable</t>
  </si>
  <si>
    <t>XS 1</t>
  </si>
  <si>
    <t>Vocal microphone, dynamic, cardioid, XLR-3, black, includes clip and bag</t>
  </si>
  <si>
    <t>$ 175.000,00</t>
  </si>
  <si>
    <t>$ 144.620,00</t>
  </si>
  <si>
    <t>E 600 SERIES DRUM PACK III</t>
  </si>
  <si>
    <t>Includes 1x e602-II, 4x e604, 2x e614 in a plastic case with die-cut foam to protect your investment</t>
  </si>
  <si>
    <t>$ 3.674.748,00</t>
  </si>
  <si>
    <t>$ 3.036.992,00</t>
  </si>
  <si>
    <t>E 602 II</t>
  </si>
  <si>
    <t>Instrument microphone (cardioid, dynamic) for bass drums with and 3-pin XLR-M and 3/8" tripod thread. Includes (1) MZQ 800 clip and (1) carrying pouch (11.6 oz)</t>
  </si>
  <si>
    <t>E 604</t>
  </si>
  <si>
    <t>Instrument microphone (cardioid, dynamic) for drum rims and suspension mounts with 3-pin XLR-M and 3/8" tripod thread. Includes (1) MZH 604 clip and (1) carrying pouch (2.1 oz)</t>
  </si>
  <si>
    <t>E 608</t>
  </si>
  <si>
    <t>Instrument microphone (supercardioid, dynamic) for brass instruments, wind instruments and drums with flexible gooseneck and 3-pin XLR-M. Includes (1) MZQ 608 clip, (1) XLR connecting cable and (1) carrying pouch (0.71 oz)</t>
  </si>
  <si>
    <t>$ 697.116,00</t>
  </si>
  <si>
    <t>$ 576.128,00</t>
  </si>
  <si>
    <t>E 609 SILVER</t>
  </si>
  <si>
    <t>Instrument microphone (supercardioid, dynamic) for guitar amplifiers with 3-pin XLR-M. Includes (1) MZQ 100 clip and (1) carrying pouch (6.4 oz)</t>
  </si>
  <si>
    <t>E 614</t>
  </si>
  <si>
    <t>Instrument microphone (supercardioid, condenser) for drum overheads with 3-pin XLR-M. Includes (1) MZQ 100 clip and (1) carrying pouch (6.5 oz)</t>
  </si>
  <si>
    <t>E 825-S</t>
  </si>
  <si>
    <t>E 835</t>
  </si>
  <si>
    <t>Handheld microphone (cardioid, dynamic) with 3-pin XLR-M. Includes (1) MZQ 800 clip and (1) carrying pouch (11.6 oz)</t>
  </si>
  <si>
    <t>E 835-S</t>
  </si>
  <si>
    <t>Handheld microphone (cardioid, dynamic) with 3-pin XLR-M and on/off switch. Includes (1) MZQ 800 clip and (1) carrying pouch (11.6 oz)</t>
  </si>
  <si>
    <t>E 845</t>
  </si>
  <si>
    <t>Handheld microphone (supercardioid, dynamic) with and 3-pin XLR-M. Includes (1) MZQ 800 clip and (1) carrying pouch (11.6 oz)</t>
  </si>
  <si>
    <t>E 845-S</t>
  </si>
  <si>
    <t>Handheld microphone (supercardioid, dynamic) with and 3-pin XLR-M and on/off switch. Includes (1) MZQ 800 clip and (1) carrying pouch (11.6 oz)</t>
  </si>
  <si>
    <t>E 865</t>
  </si>
  <si>
    <t>Handheld microphone (supercardioid, condenser) with and 3-pin XLR-M. Includes (1) MZQ 800 clip and (1) carrying pouch (11.6 oz)</t>
  </si>
  <si>
    <t>$ 875.616,00</t>
  </si>
  <si>
    <t>$ 723.646,00</t>
  </si>
  <si>
    <t>E 865-S</t>
  </si>
  <si>
    <t>Handheld super-cardioid condenser microphone with on/off switch. Includes MZQ800 clip. 11.6 oz.</t>
  </si>
  <si>
    <t>E 901</t>
  </si>
  <si>
    <t>Instrument microphone (half-cardioid, condenser, boundary layer) for bass drums, piano and low-frequency instruments with 3-pin XLR-M. Includes (1) carrying pouch (2.4 oz)</t>
  </si>
  <si>
    <t>E 902</t>
  </si>
  <si>
    <t>Instrument microphone (cardioid, dynamic) for bass drums with 3-pin XLR-M and 3/8" tripod thread. Includes (1) carrying pouch (15.9 oz)</t>
  </si>
  <si>
    <t>E 904</t>
  </si>
  <si>
    <t>Instrument microphone (cardioid dynamic) with 3-pin XLR-M and 3/8" tripod thread. Includes (1) MZH 604 clip for drum rims and suspension mounts and (1) carrying pouch (4.4 oz)</t>
  </si>
  <si>
    <t>E 906</t>
  </si>
  <si>
    <t>Instrument microphone (supercardioid, dynamic) with 3-pin XLR-M and 3-position presence filter. Includes (1) MZQ 100 clip for guitar cabinet and (1) carrying pouch (4.8 oz)</t>
  </si>
  <si>
    <t>E 908 B</t>
  </si>
  <si>
    <t>Instrument microphone (cardioid, condenser) with flexible gooseneck for wind instruments and ew stereo jack. Includes (1) MZH 908 B-II quick-release clip, (1) MZA 900 P phantom power adapter and (1) carrying pouch (4 oz)</t>
  </si>
  <si>
    <t>$ 1.047.424,00</t>
  </si>
  <si>
    <t>$ 865.648,00</t>
  </si>
  <si>
    <t>E 908 B-EW</t>
  </si>
  <si>
    <t>Instrument microphone (cardioid, condenser) for wind instruments with evolution wireless stereo jack. Includes (1) MZH 908 B-II quick-release clip and (1) carrying pouch (2.9 oz)</t>
  </si>
  <si>
    <t>E 914</t>
  </si>
  <si>
    <t>Instrument microphone (cardioid, condenser) with pre-attenuation and bass roll-off switches for acoustic guitar, overheads, orchestras and grand pianos. P48 power and 3-pin XLR-M. Includes (1) MZQ 800 clip, (1) MZW 64 windscreen and (1) carrying pouch (6.8 oz.)</t>
  </si>
  <si>
    <t>E 935</t>
  </si>
  <si>
    <t>E 945</t>
  </si>
  <si>
    <t>Handheld microphone (supercardioid, dynamic) with 3-pin XLR-M. Includes (1) MZQ 800 clip and (1) carrying pouch (11.6 oz)</t>
  </si>
  <si>
    <t>E 965</t>
  </si>
  <si>
    <t>Handheld microphone (cardioid/supercardioid true condenser) with switchable pre-attenuation (-10 dB), low cut switch, 3-pin XLR-M and 48 V phantom power. Includes (1) MZQ 800 clip and (1) carrying pouch.</t>
  </si>
  <si>
    <t>$ 1.748.040,00</t>
  </si>
  <si>
    <t>$ 1.444.660,00</t>
  </si>
  <si>
    <t>MD 21 U</t>
  </si>
  <si>
    <t>ENG microphone, dynamic, omnidirectional, 3 pin XLR-M, 3/8” tripod thread, black</t>
  </si>
  <si>
    <t>$ 1.888.166,00</t>
  </si>
  <si>
    <t>$ 1.560.468,00</t>
  </si>
  <si>
    <t>MD 421-II</t>
  </si>
  <si>
    <t>Cardioid dynamic with five position bass rolloff switch. Includes MZA421 lock-on stand adapter. (30 oz.)</t>
  </si>
  <si>
    <t>$ 1.502.830,00</t>
  </si>
  <si>
    <t>$ 1.242.010,00</t>
  </si>
  <si>
    <t>MD 431-II</t>
  </si>
  <si>
    <t>Handheld super-cardioid dynamic with on/off switch. Includes MZA4031 clip. (26 oz.)</t>
  </si>
  <si>
    <t>$ 1.853.138,00</t>
  </si>
  <si>
    <t>$ 1.531.516,00</t>
  </si>
  <si>
    <t>MD 441 U</t>
  </si>
  <si>
    <t>Super-cardioid dynamic with low and high equalization switches. Includes MZQ441 clip.</t>
  </si>
  <si>
    <t>Accesorios micrófonos de cable</t>
  </si>
  <si>
    <t>MK 4</t>
  </si>
  <si>
    <t>Large diaphragm microphone (cardioid, true condenser) with 24-carat-gold-plated capsule, metal housing, internal capsule shockmount and 3-pin XLR-M. Includes (1) MZQ 4 clip, and (1) carrying pouch</t>
  </si>
  <si>
    <t>$ 1.222.578,00</t>
  </si>
  <si>
    <t>$ 1.010.394,00</t>
  </si>
  <si>
    <t>MK 8</t>
  </si>
  <si>
    <t>Large-diaphragm micophone (five selectable polar patterns, true condenser) with 3-position switchable low cut/rolloff filter and 3-position pad switch. Features 24-carat-gold-plated capsule, metal housing, internal capsule shockmount and 3-pin XLR-M. Includes (1) MZQ 4 clip and (1) carrying pouch</t>
  </si>
  <si>
    <t>$ 2.623.824,00</t>
  </si>
  <si>
    <t>$ 2.168.446,00</t>
  </si>
  <si>
    <t>MK4 SET</t>
  </si>
  <si>
    <t>Large-diaphragm, side-address microphone with 24-carat-gold-plated diaphragm, metal housing and internal capsule shock-mount; includes MKS 4 Shockmount</t>
  </si>
  <si>
    <t>$ 1.401.078,00</t>
  </si>
  <si>
    <t>$ 1.157.912,00</t>
  </si>
  <si>
    <t>MKS 4</t>
  </si>
  <si>
    <t>Elastic suspension for MK 4 and MK 8</t>
  </si>
  <si>
    <t>MKW 4</t>
  </si>
  <si>
    <t>Windscreen for MK 4 and MK 8</t>
  </si>
  <si>
    <t>$ 139.958,00</t>
  </si>
  <si>
    <t>$ 115.668,00</t>
  </si>
  <si>
    <t>MZA 900 P</t>
  </si>
  <si>
    <t>P48 phantom power adapter for pre-polarized condensers terminated for evolution wireless (3.5mm mini plug). Dual color smart LEDs, pre-attenuation switch (0/-12 dB) and switchable roll-off filter (1.8 oz)</t>
  </si>
  <si>
    <t>$ 630.392,00</t>
  </si>
  <si>
    <t>$ 520.982,00</t>
  </si>
  <si>
    <t>MZA 900 P-4</t>
  </si>
  <si>
    <t>P48 phantom power adapter for pre-polarized condensers terminated for 2000 / 3000 / 5000 Series(with locking 3-pin special connector). Dual color smart LEDs, pre-attenuation switch (0/-12 dB) and switchable roll-off filter (1.8 oz)</t>
  </si>
  <si>
    <t>MZH 604</t>
  </si>
  <si>
    <t>L-shaped drum clamp, fits e604 and e904 (2.0 oz)</t>
  </si>
  <si>
    <t>MZH 908 B</t>
  </si>
  <si>
    <t>Instrument clip for e 908, black</t>
  </si>
  <si>
    <t>MZH 908 D</t>
  </si>
  <si>
    <t>Quick release dual mic drum clamp for e908D and e608 (1.28 oz)</t>
  </si>
  <si>
    <t>MZQ 441</t>
  </si>
  <si>
    <t>Flexible stand adapter for MD441-U (4.0 oz)</t>
  </si>
  <si>
    <t>MZQ 800</t>
  </si>
  <si>
    <t>Universal evolution handheld microphone clip</t>
  </si>
  <si>
    <t>$ 48.888,00</t>
  </si>
  <si>
    <t>$ 40.404,00</t>
  </si>
  <si>
    <t>MZS421</t>
  </si>
  <si>
    <t>Shock mount for MD421 II</t>
  </si>
  <si>
    <t>$ 210.028,00</t>
  </si>
  <si>
    <t>$ 173.572,00</t>
  </si>
  <si>
    <t>MZW 4032 A</t>
  </si>
  <si>
    <t>Foam windscreen, fits all evolution wired and wireless handhelds, MD431-II and SKM 3072</t>
  </si>
  <si>
    <t>MZW 421 A</t>
  </si>
  <si>
    <t>Foam windscreen, fits MD421 II</t>
  </si>
  <si>
    <t>MZW 441 A</t>
  </si>
  <si>
    <t>Foam windscreen, fits MD441-U (2.0 oz)</t>
  </si>
  <si>
    <t>Micrófonos inalámbricos EW-D SET</t>
  </si>
  <si>
    <t>EW-D 835-S SET (Q1-6)</t>
  </si>
  <si>
    <t>Digital wireless handheld set. Includes (1 ) EW-D EM digital 19 1/2" single channel receiver , (1) EW-D SKM​ digital handheld transmitter with mute switch, (1) MMD 835​ microphone module, (1) MZQ1​ microphone clip, (1) NT 12-5 CW+ power supply with country adapters​, (1) rack mount kit and AA batteries, frequency range: (470 - 526 MHz)</t>
  </si>
  <si>
    <t>$ 2.448.670,00</t>
  </si>
  <si>
    <t>$ 2.023.686,00</t>
  </si>
  <si>
    <t>EW-D ME2 SET (Q1-6)</t>
  </si>
  <si>
    <t>Digital wireless lavalier set. Includes (1) EW-D EM Digital 19 1/2" single channel receiver, (1) EW-D SK digital bodypack transmitter, (1) new ME2 lavalier (omnidirectional, condenser), (1) NT 12-5 CW+ power supply with country adapters, (1) rack mount kit and AA batteries, frequency range: (470 - 526 MHz)</t>
  </si>
  <si>
    <t>EW-D ME3 SET (Q1-6)</t>
  </si>
  <si>
    <t>Digital wireless headmic set. Includes (1) EW-D EM digital 19 1/2" single channel receiver, (1) EW-D SK Digital bodypack transmitter, (1) new ME 3 headmic (cardioid, condenser), (1) NT 12-5 CW+ power supply with country adapters, (1) rack mount kit and AA batteries, frequency range: (470 - 526 MHz)</t>
  </si>
  <si>
    <t>EW-D ME4 SET (Q1-6)</t>
  </si>
  <si>
    <t>Digital wireless lavalier set. Includes (1) EW-D EM digital 19 1/2" single channel receiver, (1) EW-D SK digital bodypack transmitter, (1) new ME4 lavalier (cardioid, condenser), (1) NT 12-5 CW+ power supply with country adapters, (1) rack mount kit and AA batteries, frequency range: (470 - 526 MHz)</t>
  </si>
  <si>
    <t>EW-D CI1 SET (Q1-6)</t>
  </si>
  <si>
    <t>Digital wireless instrument set. Includes (1) EW-D EM digital 19 1/2" single channel receiver, (1) EW-D SK digital bodypack transmitter, (1) CI1 instrument cable, (1) NT 12-5 CW+ power supply with country adapters, (1) rack mount kit and AA batteries, frequency range: (470 - 526 MHz)</t>
  </si>
  <si>
    <t>$ 2.203.446,00</t>
  </si>
  <si>
    <t>$ 1.821.036,00</t>
  </si>
  <si>
    <t>EW-D ME2/835-S SET (Q1-6)</t>
  </si>
  <si>
    <t>Digital wireless lavalier/vocal combo set. Includes (1) EW-D EM digital 19 1/2" single channel receiver​, (1) EW-D SK digital bodypack transmitter, (1) new ME2 lavalier (omnidirectional, condenser), (1) EW-D SKM digital handheld transmitter with mute switch ​, (1) MMD 835 microphone module ​, (1) MZQ1 microphone clip ​, (1) NT 12-5 CW+ power supply with country adapters​, (1) rack mount kit and AA batteries, frequency range: (470 - 526 MHz)</t>
  </si>
  <si>
    <t>$ 3.499.594,00</t>
  </si>
  <si>
    <t>$ 2.892.232,00</t>
  </si>
  <si>
    <t>EW-D SKM-S BASE SET (Q1-6)</t>
  </si>
  <si>
    <t>Digital wireless handheld base set. Includes (1) EW-D EM digital 19 1/2" single channel receiver​, (1) EW-D SKM digital handheld transmitter with mute switch ​ (microphone module sold separately), (1) MZQ1 microphone clip ​, (1) NT 12-5 CW+ power supply with country adapters​, (1) rack mount kit and AA batteries, frequency range: (470 - 526 MHz)</t>
  </si>
  <si>
    <t>$ 2.098.362,00</t>
  </si>
  <si>
    <t>$ 1.734.180,00</t>
  </si>
  <si>
    <t>EW-D SK BASE SET (Q1-6)</t>
  </si>
  <si>
    <t>Digital wireless bodypack base set. Includes (1) EW-D EM digital 19 1/2" single channel receiver, (1) EW-D SK digital bodypack transmitter (lavalier, headmic or input cable sold separately), (1) NT 12-5 CW+ power supply with country adapters, (1) rack mount kit and AA batteries, frequency range: (470 - 526 MHz)</t>
  </si>
  <si>
    <t>TX/RX sueltos EW-D</t>
  </si>
  <si>
    <t>EW-D SK (Q1-6)</t>
  </si>
  <si>
    <t>Digital bodypack transmitter with 1/8" audio input socket (EW connector), frequency range: (470 - 526 MHz)</t>
  </si>
  <si>
    <t>$ 1.050.770,00</t>
  </si>
  <si>
    <t>$ 868.406,00</t>
  </si>
  <si>
    <t>EW-D SKM-S (Q1-6)</t>
  </si>
  <si>
    <t>Digital handheld transmitter. Includes (1) set AA batteries, microphone module not included, frequency range: (470 - 526 MHz)</t>
  </si>
  <si>
    <t>EW-D EM (Q1-6)</t>
  </si>
  <si>
    <t>Digital 19 ½” single channel receiver. Includes (1) GA4 rackmount, frequency range: (470 - 526 MHz)</t>
  </si>
  <si>
    <t>Micrófonos inalámbricos EW-DX SET</t>
  </si>
  <si>
    <t>EW-DX 835-S SET (Q1-9)</t>
  </si>
  <si>
    <t>Digital wireless handheld set. Includes (1) EW-DX EM 2 receiver, (2) EW-DX SKM-S handheld transmitter, (2) MMD 835 capsules and (2) BA 70 batteries, frequency range: Q1-9 (470.2 - 550 MHz)</t>
  </si>
  <si>
    <t>$ 8.053.626,00</t>
  </si>
  <si>
    <t>$ 6.655.894,00</t>
  </si>
  <si>
    <t>EW-DX MKE 2 SET (Q1-9)</t>
  </si>
  <si>
    <t>Digital wireless lavalier set. Includes (1) EW-DX EM 2 receiver, (2) EW-DX SK bodypack transmitter, (2) MKE 2 lavaliers and (2) BA 70 batteries, frequency range: Q1-9 (470.2 - 550 MHz)</t>
  </si>
  <si>
    <t>$ 9.805.180,00</t>
  </si>
  <si>
    <t>$ 8.103.452,00</t>
  </si>
  <si>
    <t>EW-DX MKE 2-835-S SET (Q1-9)</t>
  </si>
  <si>
    <t>Digital wireless lavalier/handheld set. Includes (1) EW-DX EM 2 receiver, (1) SKM-S handheld transmitter, (1) EW-DK SK bodypack transmitter, (1) MKE 2 lavalier, (1) MMD 835 capsule and (2) BA 70 batteries, frequency range: Q1-9 (470.2 - 550 MHz)</t>
  </si>
  <si>
    <t>$ 8.929.396,00</t>
  </si>
  <si>
    <t>$ 7.379.666,00</t>
  </si>
  <si>
    <t>EW-DX MKE 2 / 835-S SET (Q1-9)</t>
  </si>
  <si>
    <t>EW-DX SK-SKM-S BASE SET (Q1-9)</t>
  </si>
  <si>
    <t>Digital wireless base set. Includes (1) EW-DX EM 2 receiver, (1) EW-DK SKM-S transmitter, (1) EW-DX bodypack transmitter and (2) BA 70 batteries, frequency range: Q1-9 (470.2 - 550 MHz)</t>
  </si>
  <si>
    <t>$ 7.002.702,00</t>
  </si>
  <si>
    <t>$ 5.787.348,00</t>
  </si>
  <si>
    <t>TX/RX sueltos EW-DX</t>
  </si>
  <si>
    <t>EW-DX TS  3-PIN (Q1-9)</t>
  </si>
  <si>
    <t>Wireless table stand transmitter with 3-pin XLR connector. Compatible with any gooseneck microphone without LED ring for a 3-pin variant. Includes EW-DX table stand transmitter, (1) BA 40 rechargeable battery, quick guide and safety instructions.</t>
  </si>
  <si>
    <t>EW-DX SK (Q1-9)</t>
  </si>
  <si>
    <t>Bodypack transmitter with 3,5 mm jack. Includes (1) EW-DX SK and (2) AA batteries, frequency range: Q1-9 (470.2 - 550 MHz)</t>
  </si>
  <si>
    <t>$ 1.642.956,00</t>
  </si>
  <si>
    <t>$ 1.357.818,00</t>
  </si>
  <si>
    <t>EW-DX SK 3-PIN (Q1-9)</t>
  </si>
  <si>
    <t>Bodypack transmitter with 3-pin connector. Includes (1) EW-DX SK 3-PIN and (2) AA batteries, frequency range: Q1-9 (470.2 - 550 MHz)</t>
  </si>
  <si>
    <t>EW-DX SKM (Q1-9)</t>
  </si>
  <si>
    <t>Handheld transmitter without switch. Includes (1) EW-DX SKM, (1) MZQ1 microphone clip, and (2) AA batteries, frequency range: Q1-9 (470.2 - 550 MHz)</t>
  </si>
  <si>
    <t>EW-DX SKM-S (Q1-9)</t>
  </si>
  <si>
    <t>Handheld transmitter with switch. Includes (1) EW-DX SKM-S, (1) MZQ1 microphone clip, and (2) AA batteries, frequency range: Q1-9 (470.2 - 550 MHz)</t>
  </si>
  <si>
    <t>EW-DX EM 2 (Q1-9)</t>
  </si>
  <si>
    <t>2 channel half-rack (9,5“) non-Dante® receiver. Includes (1) EW-DX EM 2, (2) 1/4 wave antenna, (1) rack mount kit, and (1) EW-D power supply, frequency range: Q1-9 (470.2 - 550 MHz)</t>
  </si>
  <si>
    <t>$ 3.849.902,00</t>
  </si>
  <si>
    <t>$ 3.181.738,00</t>
  </si>
  <si>
    <t>EW-DX EM 2 DANTE (Q1-9)</t>
  </si>
  <si>
    <t>2 channel half-rack (9,5“) Dante® receiver. Includes (1) EW-DX EM 2 DANTE, (2) 1/4 wave antenna, (1) rack mount kit, and (1) EW-D power supply, frequency range: Q1-9 (470.2 - 550 MHz)</t>
  </si>
  <si>
    <t>$ 4.900.840,00</t>
  </si>
  <si>
    <t>$ 4.050.284,00</t>
  </si>
  <si>
    <t>EW-DX EM 4 DANTE (Q1-9)</t>
  </si>
  <si>
    <t>4 channel digital full-rack (19“) receiver with Dante® Includes (1) EW-DX EM 4 DANTE, (2) 1/4 wave antennas, (2) BNC antenna cables (50 Ω for daisy-chaining) and (1) mains cable, frequency range: Q1-9 (470.2 - 550 MHz)</t>
  </si>
  <si>
    <t>$ 11.560.234,00</t>
  </si>
  <si>
    <t>$ 9.553.908,00</t>
  </si>
  <si>
    <t>Cargadores, fuentes y baterías EW-D/EW-DX</t>
  </si>
  <si>
    <t>CHG 70N</t>
  </si>
  <si>
    <t>Network enabled charger featuring two individual charging bays</t>
  </si>
  <si>
    <t>CHG 70N-C + PSU KIT</t>
  </si>
  <si>
    <t>EW-D CHARGING SET</t>
  </si>
  <si>
    <t>EW-D Charging set. Includes (1) L 70 USB chargers and (2) BA 70 rechargeable batteries and (1) NT 5-20 UCW power supply</t>
  </si>
  <si>
    <t>L 70 USB</t>
  </si>
  <si>
    <t>Charger for BA 70, 2 charging slots, cascadable. Includes (1) NT 5-20 UCW power supply</t>
  </si>
  <si>
    <t>BA 70</t>
  </si>
  <si>
    <t>Rechargeable battery pack for EW-D SK and EW-D SKM-S, lithium ion</t>
  </si>
  <si>
    <t>NT 5-20 UCW</t>
  </si>
  <si>
    <t>Power supply for L 70 Charger</t>
  </si>
  <si>
    <t>$ 69.902,00</t>
  </si>
  <si>
    <t>$ 57.764,00</t>
  </si>
  <si>
    <t>NT 12-35 CS</t>
  </si>
  <si>
    <t>Power supply for EW-D ASA active anntena splitter</t>
  </si>
  <si>
    <t>EW-D POWER SUPPLY</t>
  </si>
  <si>
    <t>Power supply for EW-D with country adapters</t>
  </si>
  <si>
    <t>EW-D POWER DISTRIBUTION CABLE</t>
  </si>
  <si>
    <t>Distribution cable to charge up to 4 x EM2/EM2 Dante® simultaneously</t>
  </si>
  <si>
    <t xml:space="preserve">Micrófonos inalámbricos para Cámara EW-DP </t>
  </si>
  <si>
    <t>EW-DP 835 SET (Q1-6)</t>
  </si>
  <si>
    <t>Portable digital wireless set. Includes (1) EW-DP EK digital portable single channel receiver, (1) EW-D SKM digital handheld transmitter, (1) MMD 835 cardioid dynamic microphone module, (1) Mounting kit (cheeseplate, cold shoe, belt clip &amp; screws), (1) BA 70 li-ion battery &amp; (2) AA battery, (1) Locking 3.5 mm TRS plug to 3.5 mm TRS plug cable, (1) Locking 3.5 mm TRS plug to XLR plug cable and (1) USB-C charging cable, frequency range: Q1-6 (470 - 526 MHz)</t>
  </si>
  <si>
    <t>EW-DP ME2 SET (Q1-6)</t>
  </si>
  <si>
    <t>Portable digital wireless set. Includes (1) EW-DP EK digital portable single channel receiver, (1) EW-D SK digital bodypack transmitter, (1) ME 2 omnidirectional lavalier microphone, (1) Mounting kit (cheeseplate, cold shoe, belt clip &amp; screws), (1) BA 70 liion battery &amp; (2) AA battery, (1) Locking 3.5 mm TRS plug to 3.5 mm TRS plug cable, (1) Locking 3.5 mm TRS plug to XLR plug cable and (1) USB-C charging cable, frequency range: Q1-6 (470 - 526 MHz)</t>
  </si>
  <si>
    <t>EW-DP ME4 SET (Q1-6)</t>
  </si>
  <si>
    <t>Portable digital wireless set. Includes (1) EW-DP EK digital portable single channel receiver, (1) EW-D SK digital bodypack transmitter, (1) ME 4 cardioid lavalier microphone, (1) Mounting kit (cheeseplate, cold shoe, belt clip &amp; screws), (1) BA 70 liion battery &amp; (2) AA battery, (1) Locking 3.5 mm TRS plug to 3.5 mm TRS plug cable, (1) Locking 3.5 mm TRS plug to XLR plug cable and (1) USB-C charging cable, frequency range: Q1-6 (470 - 526 MHz)</t>
  </si>
  <si>
    <t>EW-DP ENG SET (Q1-6)</t>
  </si>
  <si>
    <t>Portable digital wireless set. Includes (1) EW-DP EK digital portable single channel receiver, (1) EW-D SK digital bodypack transmitter, (1) ME 2 omnidirectional lavalier microphone, (1) EW-D SKP digital plug-on transmitter (1) Mounting kit (cheeseplate, cold shoe, belt clip &amp; screws), (1) BA 70 liion battery &amp; (2) AA battery, (1) Locking 3.5 mm TRS plug to 3.5 mm TRS plug cable, (1) Locking 3.5 mm TRS plug to XLR plug cable and (1) USB-C charging cable, frequency range: Q1-6 (470 - 526 MHz)</t>
  </si>
  <si>
    <t>$ 3.149.286,00</t>
  </si>
  <si>
    <t>$ 2.602.712,00</t>
  </si>
  <si>
    <t>EW-DP MOUNTING PLATE</t>
  </si>
  <si>
    <t>Cheese plate with built-in magnets for versatile mounting of EW-D EK portable receiver. Includes mounting screws, cold shoe mount, allen key, and belt clip.</t>
  </si>
  <si>
    <t>$ 69.846,00</t>
  </si>
  <si>
    <t>$ 57.722,00</t>
  </si>
  <si>
    <t>EW-DP SKP (Q1-6)</t>
  </si>
  <si>
    <t>Digital plug-on transmitter with +48V phantom power, 3.5 mm input and internal recording via microSD (not included). Includes (2) AA batteries, frequency range: Q1-6 (470 - 526 MHz)</t>
  </si>
  <si>
    <t>EW-DP EK (Q1-6)</t>
  </si>
  <si>
    <t>Digital portable single channel receiver. Includes (1) Mounting kit (cheeseplate, cold shoe, belt clip &amp; screws), (1) BA 70 li-ion battery &amp; (2) AA battery, (1) Locking 3.5 mm TRS plug to 3.5 mm TRS plug cable, (1) Locking 3.5 mm TRS plug to XLR plug cable and (1) USB-C charging cable, frequency range: Q1-6 (470 - 526 MHz)</t>
  </si>
  <si>
    <t>CL35-Y</t>
  </si>
  <si>
    <t>2CH Split cable for using (2) EK receivers. Includes (1) Locking 3.5 mm TRS plug to dual 3.5 mm TRS plug</t>
  </si>
  <si>
    <t>Micrófonos inalámbricos EW 100 G4 SET</t>
  </si>
  <si>
    <t>EW 100 G4-835-S-A1</t>
  </si>
  <si>
    <t>Wireless vocal set. Includes (1) SKM 100 G4-S handheld microphone with mute switch, (1) e 835 mic capsule (cardioid, dynamic), (1) EM 100 G4 rackmount receiver, (1) GA3 rack kit, (1) RJ10 linking cable and (1) mic clip, frequency range: A1 (470 - 516 MHz)</t>
  </si>
  <si>
    <t>EW 100 G4-835-S-B</t>
  </si>
  <si>
    <t>No Hay Descripción</t>
  </si>
  <si>
    <t>EW 100 G4-835-S-G</t>
  </si>
  <si>
    <t>Wireless vocal set. Includes (1) SKM 100 G4-S handheld microphone with mute switch, (1) e 835 mic capsule (cardioid, dynamic), (1) EM 100 G4 rackmount receiver, (1) GA3 rack kit, (1) RJ10 linking cable and (1) mic clip, frequency range: G (566 - 608 MHz)</t>
  </si>
  <si>
    <t>EW 100 G4-845-S-A1</t>
  </si>
  <si>
    <t>Wireless vocal set. Includes (1) SKM 100 G4-S handheld microphone with mute switch, (1) e 845 mic capsule (supercardioid dynamic), (1) EM 100 G4 rackmount receiver, (1) GA3 rack kit, (1) RJ10 linking cable and (1) mic clip, frequency range:A1 (470 - 516 MHz)</t>
  </si>
  <si>
    <t>EW 100 G4-845-S-B</t>
  </si>
  <si>
    <t>EW 100 G4-865-S-A1</t>
  </si>
  <si>
    <t>Wireless vocal set. Includes (1) SKM 100 G4-S handheld microphone with mute switch, (1) e 865 mic capsule (supercardioid, condenser), (1) EM 100 G4 rackmount receiver, (1) GA3 rack kit, (1) RJ10 linking cable and (1) mic clip, frequency range:A1 (470 - 516 MHz)</t>
  </si>
  <si>
    <t>EW 100 G4-865-S-B</t>
  </si>
  <si>
    <t>EW 100 G4-935-S-A1</t>
  </si>
  <si>
    <t>Wireless vocal set. Includes (1) SKM 100 G4-S handheld microphone with mute switch, (1) e 935 mic capsule (cardioid, dynamic), (1) EM 100 G4 rackmount receiver, (1) GA3 rack kit, (1) RJ10 linking cable and (1) mic clip, frequency range:A1 (470 - 516 MHz)</t>
  </si>
  <si>
    <t>$ 2.974.132,00</t>
  </si>
  <si>
    <t>$ 2.457.966,00</t>
  </si>
  <si>
    <t>EW 100 G4-935-S-B</t>
  </si>
  <si>
    <t>EW 100 G4-945-S-A1</t>
  </si>
  <si>
    <t>Wireless vocal set. Includes (1) SKM 100 G4-S handheld microphone with mute switch, (1) e 945 mic capsule (supercardioid, dynamic), (1) EM 100 G4 rackmount receiver, (1) GA3 rack kit, (1) RJ10 linking cable and (1) mic clip, frequency range:A1 (470 - 516 MHz)</t>
  </si>
  <si>
    <t>EW 100 G4-945-S-B</t>
  </si>
  <si>
    <t>EW 100 G4-CI1-A1</t>
  </si>
  <si>
    <t>Wireless instrument set. Includes (1) SK 100 G4 bodypack, (1) CI1 instrument cable, (1) EM 100 G4 rackmount receiver, (1) GA3 rack kit and (1) RJ10 linking cable, frequency range:A1 (470 - 516 MHz)</t>
  </si>
  <si>
    <t>$ 2.378.600,00</t>
  </si>
  <si>
    <t>$ 1.965.796,00</t>
  </si>
  <si>
    <t>EW 100 G4-CI1-B</t>
  </si>
  <si>
    <t>EW 100 G4-ME2/835-S-A1</t>
  </si>
  <si>
    <t>Wireless Lavalier/vocal combo set. Includes (1) SKM 100 G4-S handheld with mute switch, (1) e 835 mic capsule (cardioid, dynamic), (1) SK 100 G4 bodypack, (1) ME 2-II lavalier microphone (omnidirectional, condenser), (1) EM 100 G4 rackmount receiver, (1) GA3 rack kit, (1) RJ10 linking cable and (1) mic clip, frequency range: A1 (470 - 516 MHz)</t>
  </si>
  <si>
    <t>EW 100 G4-ME2/835-S-B</t>
  </si>
  <si>
    <t>EW 100 G4-ME2-A1</t>
  </si>
  <si>
    <t>Wireless lavalier set. Includes (1) SK 100 G4 bodypack, (1) ME 2-II lavalier microphone (omnidirectional, condenser), (1) EM 100 G4 rackmount receiver, (1) GA3 rack kit and (1) RJ10 linking cable, frequency range:A1 (470 - 516 MHz)</t>
  </si>
  <si>
    <t>EW 100 G4-ME2-B</t>
  </si>
  <si>
    <t>EW 100 G4-ME3-A1</t>
  </si>
  <si>
    <t>Wireless headmic set. Includes (1) SK 100 G4 bodypack, (1) ME 3-II headmic (cardioid, condenser), (1) EM 100 G4 rackmount receiver, (1) GA3 rack kit and (1) RJ10 linking cable, frequency range:A1 (470 - 516 MHz)</t>
  </si>
  <si>
    <t>$ 2.798.978,00</t>
  </si>
  <si>
    <t>$ 2.313.206,00</t>
  </si>
  <si>
    <t>EW 100 G4-ME3-B</t>
  </si>
  <si>
    <t>EW 100 G4-ME4-A1</t>
  </si>
  <si>
    <t>Wireless lavalier set. Includes (1) SK 100 G4 bodypack, (1) ME 4 lavalier (cardioid, condenser), (1) EM 100 G4 rackmount receiver, (1) GA3 rack kit and (1) RJ10 linking cable, frequency range:A1 (470 - 516 MHz)</t>
  </si>
  <si>
    <t>EW 100 G4-ME4-B</t>
  </si>
  <si>
    <t>Micrófonos inalámbricos EW 500 G4 SET</t>
  </si>
  <si>
    <t>EW 500 G4-935-AW+</t>
  </si>
  <si>
    <t>Wireless vocal set. Includes (1) SKM 500 G4 handheld microphone, (1) e 935 capsule (cardioid, dynamic), (1) EM 300-500 G4 rackmount receiver, (1) GA3 rack kit and (1) mic clip, frequency range: AW+ (470 - 558 MHz)</t>
  </si>
  <si>
    <t>EW 500 G4-935-BW</t>
  </si>
  <si>
    <t>EW 500 G4-945-AW+</t>
  </si>
  <si>
    <t>Wireless vocal set. Includes (1) SKM 500 G4 handheld microphone, (1) e 945 capsule (supercardioid, dynamic), (1) EM 300-500 G4 rackmount receiver, (1) GA3 rack kit and (1) mic clip, frequency range: AW+ (470 - 558 MHz)</t>
  </si>
  <si>
    <t>EW 500 G4-945-BW</t>
  </si>
  <si>
    <t>EW 500 G4-965-AW+</t>
  </si>
  <si>
    <t>Wireless vocal set. Includes (1) SKM 500 G4 handheld, (1) e 965 capsule (selectable cardioid/supercardioid, condenser), (1) EM 300-500 G4 rackmount receiver, (1) GA3 rack kit and (1) mic clip, frequency range:AW+ (470 - 558 MHz)</t>
  </si>
  <si>
    <t>EW 500 G4-CI1-AW+</t>
  </si>
  <si>
    <t>Wireless instrument set. Includes (1) SK 500 G4 bodypack, (1) CI1 1/4" input cable, (1) EM 300-500 G4 rackmount receiver and (1) GA3 rack kit, frequency range:AW+ (470 - 558 MHz)</t>
  </si>
  <si>
    <t>EW 500 G4-CI1-BW</t>
  </si>
  <si>
    <t>EW 500 G4-KK205-AW+</t>
  </si>
  <si>
    <t>Wireless vocal set. Includes (1) SKM 500 G4 handheld transmitter, (1) Neumann KK 205 capsule (supercardioid, condenser), (1) EM 300-500 G4 rackmount receiver, (1) NT 2-3 power supply, (1) GA3 rack kit and (1) mic clip, frequency range: AW+ (470-558 MHz)</t>
  </si>
  <si>
    <t>$ 5.951.764,00</t>
  </si>
  <si>
    <t>$ 4.918.816,00</t>
  </si>
  <si>
    <t>EW 500 G4-MKE2-BW</t>
  </si>
  <si>
    <t>ew 500 G4-MKE2-CW</t>
  </si>
  <si>
    <t>Micrófonos inalámbricos para Cámara EW G4</t>
  </si>
  <si>
    <t>EW 100 ENG G4-A1</t>
  </si>
  <si>
    <t>Portable wireless combo set. Includes (1) SK 100 G4 bodypack, (1) ME 2-II lavalier microphone (omnidirectional, condenser), (1) SKP 100 G4 plug-on for dynamic microphones, (1) EK 100 G4 portable receiver, (1) 1/8" output cable, (1) XLR unbalanced output cable and (1) camera mount, frequency range: A1 (470 - 516 MHz)</t>
  </si>
  <si>
    <t>EW 100 ENG G4-B</t>
  </si>
  <si>
    <t>EW 112P G4-A1</t>
  </si>
  <si>
    <t>Portable lavalier set. Includes (1) SK 100 G4 bodypack, (1) ME 2-II lavalier microphone (omnidirectional, condenser), (1) EK 100 G4 portable receiver, (1) 1/8" output cable, (1) XLR unbalanced output cable and (1) camera mount, frequency range: A1 (470 - 516 MHz)</t>
  </si>
  <si>
    <t>$ 1.836.506,00</t>
  </si>
  <si>
    <t>$ 1.517.768,00</t>
  </si>
  <si>
    <t>EW 112P G4-B</t>
  </si>
  <si>
    <t>EW 122P G4-A1</t>
  </si>
  <si>
    <t>Portable lavalier set. Includes (1) SK 100 G4 bodypack, (1) ME 4 lavalier microphone (cardioid, condenser), (1) EK 100 G4 portable receiver, (1) 1/8" output cable, (1) XLR unbalanced output cable and (1) camera mount, frequency range: A1 (470 - 516 MHz)</t>
  </si>
  <si>
    <t>EW 122P G4-B</t>
  </si>
  <si>
    <t>EW 135P G4-A1</t>
  </si>
  <si>
    <t>Portable vocal set. Includes (1) SKM 100 G4 handheld microphone, (1) e 835 capsule (cardioid, dynamic), (1) EK 100 G4 portable receiver, (1) 1/8" output cable, (1) XLR unbalanced output cable and (1) camera mount, frequency range: A1 (470 - 516 MHz)</t>
  </si>
  <si>
    <t>EW 135P G4-B</t>
  </si>
  <si>
    <t>EW 500 FILM G4-AW+</t>
  </si>
  <si>
    <t>Portable wireless combo set. Includes (1) SK 500 G4 bodypack, (1) MKE 2 Gold lavalier microphone (omnidirectional, condenser), (1) SKP 500 G4 plug-on transmitter with phantom power, (1) EK 500 G4 portable camera receiver, (1) 1/8" output cable, (1) XLR balanced output cable and (1) camera mount, frequency range:AW+ (470 - 558 MHz)</t>
  </si>
  <si>
    <t>$ 5.075.994,00</t>
  </si>
  <si>
    <t>$ 4.195.030,00</t>
  </si>
  <si>
    <t>EW 500 FILM G4-BW</t>
  </si>
  <si>
    <t>EW 512P G4-AW+</t>
  </si>
  <si>
    <t>Portable lavalier wireless set. Includes (1) SK 500 G4 bodypack, (1) MKE 2 Gold lavalier microphone (omnidirectional, condenser), (1) EK 500 G4 portable camera receiver, (1) 1/8" output cable, (1) XLR unbalanced output cable and (1) camera mount, frequency range: AW+ (470 - 558 MHz)</t>
  </si>
  <si>
    <t>EW 512P G4-BW</t>
  </si>
  <si>
    <t>TX/RX sueltos EW 100-500 G4</t>
  </si>
  <si>
    <t>SK 100 G4-A1</t>
  </si>
  <si>
    <t>Bodypack transmitter with 1/8" audio input socket (EW connector), frequency range: A1 (470 - 516 MHz)</t>
  </si>
  <si>
    <t>SK 100 G4-B</t>
  </si>
  <si>
    <t>SK 500 G4-AW+</t>
  </si>
  <si>
    <t>Bodypack transmitter with 1/8" audio input socket (EW connector), frequency range: AW+ (470 - 558 MHz)</t>
  </si>
  <si>
    <t>$ 1.572.886,00</t>
  </si>
  <si>
    <t>$ 1.299.914,00</t>
  </si>
  <si>
    <t>SK 500 G4-BW</t>
  </si>
  <si>
    <t>SKM 100 G4-A1</t>
  </si>
  <si>
    <t>Handheld transmitter. Microphone capsule not included, frequency range: A1 (470 - 516 MHz)</t>
  </si>
  <si>
    <t>SKM 100 G4-B</t>
  </si>
  <si>
    <t>SKM 100 G4-S-A1</t>
  </si>
  <si>
    <t>Handheld transmitter with mute switch. Microphone capsule not included, frequency range: A1 (470 - 516 MHz)</t>
  </si>
  <si>
    <t>SKM 100 G4-S-B</t>
  </si>
  <si>
    <t>SKM 500 G4-AW+</t>
  </si>
  <si>
    <t>Handheld Transmitter. Microphone capsule not included, frequency range: AW+ (470 - 558 MHz)</t>
  </si>
  <si>
    <t>SKM 500 G4-BW</t>
  </si>
  <si>
    <t>SKM 500 G4-GW</t>
  </si>
  <si>
    <t>SKP 100 G4-A1</t>
  </si>
  <si>
    <t>Plug on transmitter for dynamic microphones (no phantom power), frequency range: A1 (470 - 516 MHz)</t>
  </si>
  <si>
    <t>SKP 100 G4-B</t>
  </si>
  <si>
    <t>SKP 500 G4-AW+</t>
  </si>
  <si>
    <t>Plug on transmitter with phantom power, frequency range:AW+ (470 - 558 MHz)</t>
  </si>
  <si>
    <t>$ 1.751.386,00</t>
  </si>
  <si>
    <t>$ 1.447.432,00</t>
  </si>
  <si>
    <t>SKP 500 G4-BW</t>
  </si>
  <si>
    <t>EK 100 G4-A1</t>
  </si>
  <si>
    <t>Portable camera receiver. Includes (1) 1/8" output cable, (1) XLR unbalanced output cable and (1) camera mount, frequency range: A1 (470 - 516 MHz)</t>
  </si>
  <si>
    <t>$ 1.225.924,00</t>
  </si>
  <si>
    <t>$ 1.013.166,00</t>
  </si>
  <si>
    <t>EK 100 G4-B</t>
  </si>
  <si>
    <t>EK 500 G4-AW+</t>
  </si>
  <si>
    <t>Portable camera receiver. Includes (1) 1/8" output cable, (1) XLR balanced output cable and (1) camera mount, frequency range:AW+ (470 - 558 MHz)</t>
  </si>
  <si>
    <t>$ 1.576.232,00</t>
  </si>
  <si>
    <t>$ 1.302.672,00</t>
  </si>
  <si>
    <t>EK 500 G4-BW</t>
  </si>
  <si>
    <t>EM 100 G4-A1</t>
  </si>
  <si>
    <t>Rackmount true diversity receiver. Includes (1) GA3 rack kit, frequency range: A1 (470 - 516 MHz)</t>
  </si>
  <si>
    <t>EM 100 G4-B</t>
  </si>
  <si>
    <t>EM 300-500 G4-AW+</t>
  </si>
  <si>
    <t>Rackmount true diversity receiver. GA3 rackmount included, frequency range: AW+ (470 - 558 MHz)</t>
  </si>
  <si>
    <t>EM 300-500 G4-BW</t>
  </si>
  <si>
    <t>$ 1.923.208,00</t>
  </si>
  <si>
    <t>$ 1.589.420,00</t>
  </si>
  <si>
    <t>Inear EW G4</t>
  </si>
  <si>
    <t>EW IEM G4-A1</t>
  </si>
  <si>
    <t>Wireless stereo monitoring set. Includes (1) SR IEM G4 stereo transmitter, (1) EK IEM G4 stereo bodypack receiver, (1) pair of IE4 earbuds and (1) GA3 rackmount kit, frequency range:A1 (470 - 516 MHz)</t>
  </si>
  <si>
    <t>EW IEM G4-B</t>
  </si>
  <si>
    <t>EW IEM G4-TWIN-A1</t>
  </si>
  <si>
    <t>Wireless stereo monitoring twin set. Includes (1) SR IEM G4 stereo transmitter, (2) EK IEM G4 stereo bodypack receivers, (2) pairs of IE4 earbuds and (1) GA3 rackmount kit, frequency range:A1 (470 - 516 MHz)</t>
  </si>
  <si>
    <t>$ 5.251.148,00</t>
  </si>
  <si>
    <t>$ 4.339.790,00</t>
  </si>
  <si>
    <t>EW IEM G4-TWIN-B</t>
  </si>
  <si>
    <t>TX/RX sueltos Inear EW G4</t>
  </si>
  <si>
    <t>EK IEM G4-A1</t>
  </si>
  <si>
    <t>Stereo bodypack receiver. Includes (1) pair of IE4 earbuds, frequency range:A1 (470 - 516 MHz)</t>
  </si>
  <si>
    <t>EK IEM G4-B</t>
  </si>
  <si>
    <t>SR IEM G4-A1</t>
  </si>
  <si>
    <t>Stereo monitoring transmitter. Includes (1) GA3 rackmount kit, frequency range:A1 (470 - 516 MHz)</t>
  </si>
  <si>
    <t>SR IEM G4-B</t>
  </si>
  <si>
    <t>Accesorios RF EW-D/DX/G4</t>
  </si>
  <si>
    <t>A 1031-U</t>
  </si>
  <si>
    <t>Receiving/transmitting antenna, passive, omnidirectional, BNC connector, 3/8” mounting thread</t>
  </si>
  <si>
    <t>$ 627.060,00</t>
  </si>
  <si>
    <t>$ 518.224,00</t>
  </si>
  <si>
    <t>ADP UHF (470 - 1075 MHZ)</t>
  </si>
  <si>
    <t>Passive, directional external paddle antenna, UHF range (470 - 1075 MHz)</t>
  </si>
  <si>
    <t>A 3700</t>
  </si>
  <si>
    <t>Receiver antenna, active, omnidirectional, BNC, 3/8"-assembly screw, 470 - 866 MHz, adjustable amplification 5/10/15 dB. For EM2000/2050/3731/3732/6000 receivers.</t>
  </si>
  <si>
    <t>$ 3.324.440,00</t>
  </si>
  <si>
    <t>$ 2.747.472,00</t>
  </si>
  <si>
    <t>AD 3700</t>
  </si>
  <si>
    <t>Receiver antenna, active, directional, BNC, 3/8"-assembly screw, 470 - 866 MHz, adjustable amplification 5/10/15 dB. For EM2000/2050/3731/3732/6000 receivers.</t>
  </si>
  <si>
    <t>A 5000 CP</t>
  </si>
  <si>
    <t>Receiver/transmitter antenna, passive, directional, circularly polarized</t>
  </si>
  <si>
    <t>EW-D AB (Q)</t>
  </si>
  <si>
    <t>Inline antenna booster, +10 dB gain, BNC connectors, frequency range (470-550 MHz)</t>
  </si>
  <si>
    <t>$ 802.214,00</t>
  </si>
  <si>
    <t>$ 662.984,00</t>
  </si>
  <si>
    <t>AB 4-AW+</t>
  </si>
  <si>
    <t>Inline antenna booster, +10 dB gain, BNC connectors, frequency range: AW+ (470 - 558 MHz)</t>
  </si>
  <si>
    <t>AB 4-BW</t>
  </si>
  <si>
    <t>AB 3700</t>
  </si>
  <si>
    <t>Antenna booster, range: 470-866 MHz, active, 15 dB gain, BNC, 3/8" thread. For EM2000/2050/3731/3732/6000 receivers.</t>
  </si>
  <si>
    <t>AC 3200-II</t>
  </si>
  <si>
    <t>Active, high-power 8:1 antenna combiner. Max 250 mW input power, 1 RU, with inline power supply. BNC interconnect cables not included.</t>
  </si>
  <si>
    <t>$ 13.994.890,00</t>
  </si>
  <si>
    <t>$ 11.566.016,00</t>
  </si>
  <si>
    <t>ACA 3</t>
  </si>
  <si>
    <t>2 x 4:1 antenna combiner compatible with all analog and digital Sennheiser wireless stationary receivers. Includes (1) ACA 3 Active Antenna Combiner and (3) mains cables (EU, UK, US)</t>
  </si>
  <si>
    <t>ASP 113</t>
  </si>
  <si>
    <t>Single three-way antenna splitter, two (2) needed to join three (3) recievers (priced individually). Two (2) required.</t>
  </si>
  <si>
    <t>ASP 114</t>
  </si>
  <si>
    <t>Single four-way antenna splitter, two (2) needed to join four (4) receivers (priced individually). Two (2) required.</t>
  </si>
  <si>
    <t>ASP 212</t>
  </si>
  <si>
    <t>One dual two-way BNC passive splitter box with DC pass through, used for sharing two antennas with up to 16 receivers (requires using two 8-channel splitter kits)</t>
  </si>
  <si>
    <t>AC 41-US</t>
  </si>
  <si>
    <t>Active wideband antenna splitter for up to 16 channels (8 dual receivers), may be made narrowband with optional IM3000 selective RF input modules - cables not included</t>
  </si>
  <si>
    <t>ASA 3000-US</t>
  </si>
  <si>
    <t>$ 7.531.664,00</t>
  </si>
  <si>
    <t>$ 6.224.512,00</t>
  </si>
  <si>
    <t>EW-D ASA (Q-R-S)</t>
  </si>
  <si>
    <t>Active antenna splitter (dual 1;4) with DC power distribution for EW-D receivers. Includes (1) NT 12-35 CS power supply and (8) BNC cables (470-706 MHz MHz)</t>
  </si>
  <si>
    <t>$ 2.273.516,00</t>
  </si>
  <si>
    <t>$ 1.878.940,00</t>
  </si>
  <si>
    <t>AM 2</t>
  </si>
  <si>
    <t>BNC connecting cables for front-mounting two antennas on GA2 or GA3</t>
  </si>
  <si>
    <t>HALF WAVE DIPOLE (Q)</t>
  </si>
  <si>
    <t>Halfwave antenna rod for EW-D EM rackmount receivers, frequency range: (470-550 MHz)</t>
  </si>
  <si>
    <t>$ 104.930,00</t>
  </si>
  <si>
    <t>$ 86.716,00</t>
  </si>
  <si>
    <t>Consultar</t>
  </si>
  <si>
    <t>BB1</t>
  </si>
  <si>
    <t>1 ft. coaxial cable (RG58) with BNC connectors</t>
  </si>
  <si>
    <t>$ 24.360,00</t>
  </si>
  <si>
    <t>$ 20.132,00</t>
  </si>
  <si>
    <t>BB100</t>
  </si>
  <si>
    <t>100 ft coaxial cable (RG58) with BNC connectors</t>
  </si>
  <si>
    <t>$ 262.570,00</t>
  </si>
  <si>
    <t>$ 217.000,00</t>
  </si>
  <si>
    <t>BB25</t>
  </si>
  <si>
    <t>25 ft. coaxial cable (RG58) with BNC connectors</t>
  </si>
  <si>
    <t>$ 80.416,00</t>
  </si>
  <si>
    <t>$ 66.458,00</t>
  </si>
  <si>
    <t>BB25KIT</t>
  </si>
  <si>
    <t>(8) 3 ft. coaxial cables and (1) 25 ft. coaxial cable, RG58 with BNC connectors. Ideal for use with AC3000 and AC3200</t>
  </si>
  <si>
    <t>$ 455.238,00</t>
  </si>
  <si>
    <t>$ 376.236,00</t>
  </si>
  <si>
    <t>BB3</t>
  </si>
  <si>
    <t>3 ft. coaxial cable (RG58) with BNC connectors</t>
  </si>
  <si>
    <t>$ 45.374,00</t>
  </si>
  <si>
    <t>$ 37.506,00</t>
  </si>
  <si>
    <t>BB3 KIT</t>
  </si>
  <si>
    <t>(8) BB3 - 3 ft. coaxial cables (RG58) with BNC connectors, ideal for use with AC3000 and AC3200</t>
  </si>
  <si>
    <t>$ 385.182,00</t>
  </si>
  <si>
    <t>$ 318.332,00</t>
  </si>
  <si>
    <t>BB6</t>
  </si>
  <si>
    <t>6 ft. coaxial cable (RG58) with BNC connectors</t>
  </si>
  <si>
    <t>$ 59.388,00</t>
  </si>
  <si>
    <t>$ 49.084,00</t>
  </si>
  <si>
    <t>BFBF</t>
  </si>
  <si>
    <t>BNC to BNC barrel-style coupler, joins two (2) BNC coax cables together</t>
  </si>
  <si>
    <t>$ 17.360,00</t>
  </si>
  <si>
    <t>$ 14.336,00</t>
  </si>
  <si>
    <t>GZL RG 58 - 0.25M</t>
  </si>
  <si>
    <t>Coaxial cable with BNC connector, 50 Ohm, 0.25m</t>
  </si>
  <si>
    <t>GZL RG 58 - 0.5M</t>
  </si>
  <si>
    <t>Coaxial cable with BNC connector, 50 Ohm, 0.5m</t>
  </si>
  <si>
    <t>$ 87.416,00</t>
  </si>
  <si>
    <t>$ 72.240,00</t>
  </si>
  <si>
    <t>GZL RG 58 - 10M</t>
  </si>
  <si>
    <t>Coaxial cable with BNC connector, 50 Ohm, 10m</t>
  </si>
  <si>
    <t>GZL RG 58 - 1M</t>
  </si>
  <si>
    <t>Coaxial cable with BNC connector, 50 Ohm, 1m</t>
  </si>
  <si>
    <t>GZL RG 58 - 5M</t>
  </si>
  <si>
    <t>Coaxial cable with BNC connector, 50 Ohm, 5m</t>
  </si>
  <si>
    <t>GZL RG 8X - 10M</t>
  </si>
  <si>
    <t>Low damping coaxial cable with BNC connector, 50 Ohm, 10m</t>
  </si>
  <si>
    <t>$ 245.056,00</t>
  </si>
  <si>
    <t>$ 202.524,00</t>
  </si>
  <si>
    <t>GZL RG 8X - 20M</t>
  </si>
  <si>
    <t>Low damping coaxial cable with BNC connector, 50 Ohm, 20m</t>
  </si>
  <si>
    <t>GZL RG 8X - 5M</t>
  </si>
  <si>
    <t>Low damping coaxial cable with BNC connector, 50 Ohm, 5m</t>
  </si>
  <si>
    <t>RG213100</t>
  </si>
  <si>
    <t>Low-loss RF antenna cable, 100 ft. with BNC connectors, MIL-Spec</t>
  </si>
  <si>
    <t>RG21325</t>
  </si>
  <si>
    <t>Low-loss RF antenna cable, 25 ft. with BNC connectors, MIL-Spec</t>
  </si>
  <si>
    <t>RG21350</t>
  </si>
  <si>
    <t>Low-loss RF antenna cable, 50 ft. with BNC connectors, MIL-Spec</t>
  </si>
  <si>
    <t>RG9913F100</t>
  </si>
  <si>
    <t>Low-loss RF antenna cable, 100 ft. with BNC connectors</t>
  </si>
  <si>
    <t>$ 1.085.798,00</t>
  </si>
  <si>
    <t>$ 897.358,00</t>
  </si>
  <si>
    <t>RG9913F25</t>
  </si>
  <si>
    <t>Low-loss flexible RF antenna cable, 25 ft. with BNC connectors</t>
  </si>
  <si>
    <t>$ 332.626,00</t>
  </si>
  <si>
    <t>$ 274.904,00</t>
  </si>
  <si>
    <t>RG9913F50</t>
  </si>
  <si>
    <t>Low-loss flexible RF antenna cable, 50 ft. with BNC connectors</t>
  </si>
  <si>
    <t>$ 595.364,00</t>
  </si>
  <si>
    <t>$ 492.044,00</t>
  </si>
  <si>
    <t>CI 1-N</t>
  </si>
  <si>
    <t>$ 242.522,00</t>
  </si>
  <si>
    <t>$ 200.438,00</t>
  </si>
  <si>
    <t>Micrófonos inalámbricos XSW 1 Series</t>
  </si>
  <si>
    <t>XSW 1-825 DUAL-A</t>
  </si>
  <si>
    <t>Wireless dual vocal set. Includes (2) SKM 825-XSW handheld transmitters with mute switch and e 825 capsules (cardioid, dynamic), (1) EM-XSW 1 DUAL stationary receiver with internal antennas, (2) MZQ 1 microphone clips, (1) NT 12-5 CW power supply and (2) pairs AA batteries, frequency range: A (548-572 MHz)</t>
  </si>
  <si>
    <t>XSW 1-825 DUAL-B</t>
  </si>
  <si>
    <t>XSW 1-825-A</t>
  </si>
  <si>
    <t>Wireless vocal set. Includes (1) EM XSW 1, (1) SKM 825 XSW (cardioid, dynamic) (1) NT 12-5 CW and (1) MZQ 1 clip, frequency range: A (548 - 572 MHz)</t>
  </si>
  <si>
    <t>XSW 1-825-B</t>
  </si>
  <si>
    <t>XSW 1-835 DUAL-A</t>
  </si>
  <si>
    <t>Wireless dual vocal set. Includes (2) SKM 835-XSW handheld transmitters with mute switch and e 835 capsules (cardioid, dynamic), (1) EM-XSW 1 DUAL stationary receiver with internal antennas, (2) MZQ 1 microphone clips, (1) NT 12-5 CW power supply and (2) pairs AA batteries, frequency range: A (548-572 MHz)</t>
  </si>
  <si>
    <t>XSW 1-835 DUAL-B</t>
  </si>
  <si>
    <t>XSW 1-835-A</t>
  </si>
  <si>
    <t>Wireless vocal set. Includes (1) EM XSW 1, (1) SKM 835 XSW (cardioid, dynamic) (1) NT 12-5 CW and (1) MZQ 1 clip, frequency range: A (548 - 572 MHz)</t>
  </si>
  <si>
    <t>XSW 1-835-B</t>
  </si>
  <si>
    <t>XSW 1-908-A</t>
  </si>
  <si>
    <t>$ 1.327.676,00</t>
  </si>
  <si>
    <t>$ 1.097.250,00</t>
  </si>
  <si>
    <t>XSW 1-908-B</t>
  </si>
  <si>
    <t>XSW 1-ME2-A</t>
  </si>
  <si>
    <t>Wireless lavalier set. Includes (1) EM XSW 1, (1) SK XSW, (1) ME 2-II lavalier microphone (omnidirectional, condenser) and (1) NT 12-5 CW, frequency range: A (548 - 572 MHz)</t>
  </si>
  <si>
    <t>XSW 1-ME2-B</t>
  </si>
  <si>
    <t>XSW 1-ME3-A</t>
  </si>
  <si>
    <t>Wireless headmic set. Includes (1) EM XSW 1, (1) SK XSW, (1) ME 3-II lavalier headmic (cardioid, condenser) and (1) NT 12-5 CW, frequency range: A (548 - 572 MHz)</t>
  </si>
  <si>
    <t>XSW 1-ME3-B</t>
  </si>
  <si>
    <t>Micrófonos inalámbricos XSW 2 Series</t>
  </si>
  <si>
    <t>XSW 2-835-A</t>
  </si>
  <si>
    <t>Wireless vocal set. Includes (1) EM XSW 2, (1) SKM 835 XSW (cardioid, dynamic), (1) NT 12-5 CW, (1) MZQ 1 and (1) GA 1 XSW 2, frequency range: A (548 - 572 MHz)</t>
  </si>
  <si>
    <t>XSW 2-835-B</t>
  </si>
  <si>
    <t>XSW 2-CI1-A</t>
  </si>
  <si>
    <t>Wireless instrument set. Includes (1) EM XSW 2, (1) SK XSW, (1) NT 12-5 CW, (1) CI 1 instrument cable and (1) GA 1 XSW 2, frequency range: A (548 - 572 MHz)</t>
  </si>
  <si>
    <t>XSW 2-CI1-B</t>
  </si>
  <si>
    <t>XSW 2-ME2-A</t>
  </si>
  <si>
    <t>Wireless lavalier set. Includes (1) EM XSW 2, (1) SK XSW, (1) ME 2-II lavalier microphone (omnidirectional, condenser) and (1) NT 12-5 CW, frequency range: A (548 - 572 MHz)</t>
  </si>
  <si>
    <t>$ 1.677.984,00</t>
  </si>
  <si>
    <t>$ 1.386.770,00</t>
  </si>
  <si>
    <t>XSW 2-ME2-B</t>
  </si>
  <si>
    <t>XSW 2-ME3-A</t>
  </si>
  <si>
    <t>Wireless headmic set. Includes (1) EM XSW 2, (1) SK XSW, (1) ME 3-II lavalier headmic (cardioid, condenser) and (1) NT 12-5 CW, frequency range: A (548 - 572 MHz)</t>
  </si>
  <si>
    <t>XSW 2-ME3-B</t>
  </si>
  <si>
    <t>Accesorios XSW 2</t>
  </si>
  <si>
    <t>XSW FRONT ANTENNA CABLES</t>
  </si>
  <si>
    <t>Antenna mounting kit with two antenna front mount cables including two BNC coupler bulkheads.</t>
  </si>
  <si>
    <t>XSW RACK MOUNT KIT</t>
  </si>
  <si>
    <t>Rack mount kit for installation of up to two XSW stationary devices in 19‘‘ racks. Includes (2) rackmount ears, (1) Connecting plate, (1) rack mount front, (1) set screws and (1) set cover caps</t>
  </si>
  <si>
    <t>TX/RX sueltos XSW 1 / XSW 2</t>
  </si>
  <si>
    <t>EM-XSW 1 DUAL-A</t>
  </si>
  <si>
    <t>Wireless receiver set. Includes (1) EM-XSW 1 DUAL stationary receiver with internal antennas and (1) NT 12-5 CW power supply, frequency range: A (548-572 MHz)</t>
  </si>
  <si>
    <t>EM-XSW 1 DUAL-B</t>
  </si>
  <si>
    <t>EM-XSW 1-A</t>
  </si>
  <si>
    <t>Table top receiver with internal, integrated antennas. 8 banks of 10 coordinated frequency presets, frequency range: A (548-572 MHz)</t>
  </si>
  <si>
    <t>EM-XSW 1-B</t>
  </si>
  <si>
    <t>EM-XSW 2-A</t>
  </si>
  <si>
    <t>XSW 2 Series</t>
  </si>
  <si>
    <t>EM-XSW 2-B</t>
  </si>
  <si>
    <t>SKM 825-XSW-A</t>
  </si>
  <si>
    <t>Handheld transmitter equipped with e825 cardioid dynamic capsule &amp; mute switch, frequency range: A (548-572 MHz)</t>
  </si>
  <si>
    <t>SKM 825-XSW-B</t>
  </si>
  <si>
    <t>SKM 835-XSW-A</t>
  </si>
  <si>
    <t>Handheld transmitter equipped with e835 cardioid dynamic capsule &amp; mute switch, frequency range: A (548-572 MHz)</t>
  </si>
  <si>
    <t>SKM 835-XSW-B</t>
  </si>
  <si>
    <t>Micrófonos inalámbricos XSW-D</t>
  </si>
  <si>
    <t>XSW-D INSTRUMENT BASE SET</t>
  </si>
  <si>
    <t>Instrument base set with (1) XSW-D INSTRUMENT TX (6.3mm, 1/4"), (1) XSW-D INSTRUMENT RX (6.3mm, 1/4"), (1) beltpack clip, (1) extension cable (6.3mm, 1/4") and (1) USB charging cable</t>
  </si>
  <si>
    <t>$ 1.117.494,00</t>
  </si>
  <si>
    <t>$ 923.538,00</t>
  </si>
  <si>
    <t>XSW-D LAVALIER SET</t>
  </si>
  <si>
    <t>Lavalier set with (1) ME2-II clip-on lapel mic, (1) XSW-D MINI JACK TX (3.5mm), (1) XSW-D XLR MALE RX, (1) beltpack clip and (1) USB charging cable</t>
  </si>
  <si>
    <t>XSW-D PORTABLE BASE SET</t>
  </si>
  <si>
    <t>Portable base set with (1) XSW-D MINI JACK TX (3.5mm), (1) XSW-D MINI JACK RX (3.5mm), (1) beltpack clip, (1) hotshoe mount, (1) 3.5mm curled cable and (1) USB charging cable</t>
  </si>
  <si>
    <t>$ 942.340,00</t>
  </si>
  <si>
    <t>$ 778.792,00</t>
  </si>
  <si>
    <t>XSW-D PORTABLE ENG SET</t>
  </si>
  <si>
    <t>Portable ENG set with (1) ME2-II clip on mic, (1) XSW-D MINI JACK TX (3.5mm), (1) XSW-D XLR FEMALE TX, (1) XSW-D MINI JACK RX (3.5mm), (1) beltpack clip, (1) hotshoe mount, (1) 3.5mm curled cable and (1) USB charging cable</t>
  </si>
  <si>
    <t>XSW-D PORTABLE INTERVIEW SET</t>
  </si>
  <si>
    <t>Portable interview set with (1) XSW-D XLR FEMALE TX, (1) XSW-D MINI JACK RX (3.5mm), (1) hotshoe mount, (1) 3.5mm curled cable and (1) USB charging cable</t>
  </si>
  <si>
    <t>XSW-D PORTABLE LAV MOBILE KIT</t>
  </si>
  <si>
    <t>Digital wireless lavalier set. Includes (1) XSW-D 3.5 mm (1/8”) transmitter, (1) XSW-D 3.5 mm (1/8”) receiver, (1) ME2-II clip-on lavalier mic, (1) Lavalier clip, (1) Locking 3.5 mm TRS - TRS coiled cable, (1) Locking 3.5 mm TRS - TRRS coiled cable (with damping) optimized for XSW-D receiver RX 35, (1) Cold shoe adapter for XSW-D receiver RX 35, (1) Belt clip, (1) USB-A to USB-C charging cable, (1) Manfrotto PIXI Mini Tripod and (1) Smartphone clamp with cold-shoe mount</t>
  </si>
  <si>
    <t>XSW-D PORTABLE LAVALIER SET</t>
  </si>
  <si>
    <t>Portable lavalier set with (1) ME2-II clip-on lapel mic, (1) XSW-D MINI JACK TX (3.5mm), (1) XSW-D MINI JACK RX (3.5mm), (1) beltpack clip, (1) hotshoe mount, (1) 3.5mm curled cable and (1) USB charging cable</t>
  </si>
  <si>
    <t>XSW-D PRESENTATION BASE SET</t>
  </si>
  <si>
    <t>Presentation base set with (1) XSW-D MINI JACK TX (3.5mm), (1) XSW-D XLR MALE RX, (1) beltpack clip and (1) USB charging cable</t>
  </si>
  <si>
    <t>XSW-D VOCAL SET</t>
  </si>
  <si>
    <t>Vocal set with (1) XS1 cardioid dynamic mic, (1) XSW-D XLR FEMALE TX, (1) XSW-D XLR MALE RX, (1) mic clamp and (1) USB charging cable</t>
  </si>
  <si>
    <t>XSW-D XLR BASE SET</t>
  </si>
  <si>
    <t>XLR base set with (1) XSW-D XLR FEMALE TX, (1) XSW-D XLR MALE RX and (1) USB charging cable</t>
  </si>
  <si>
    <t>XSW-D PEDALBOARD SET</t>
  </si>
  <si>
    <t>Pedalboard set with (1) XSW-D INSTRUMENT TX (6.3mm, 1/4"), (1) XSW-D Pedalboard RX, (1) beltpack clip, (1) extension cable (6.3mm, 1/4"), (1) USB charging cable and (1) RX power supply</t>
  </si>
  <si>
    <t>TX/RX sueltos XSW-D</t>
  </si>
  <si>
    <t>XSW-D MINI JACK RX</t>
  </si>
  <si>
    <t>XS Wireless Digital receiver with mini jack (3.5mm, 1/8") output and (1) USB charging cable</t>
  </si>
  <si>
    <t>XSW-D MINI JACK TX</t>
  </si>
  <si>
    <t>XS Wireless Digital transmitter with mini jack (3.5mm, 1/8") input and (1) USB charging cable</t>
  </si>
  <si>
    <t>XSW-D INSTRUMENT RX</t>
  </si>
  <si>
    <t>XS Wireless Digital receiver with jack (6.3mm, 1/4") output and (1) USB charging cable</t>
  </si>
  <si>
    <t>XSW-D INSTRUMENT TX</t>
  </si>
  <si>
    <t>XS Wireless Digital transmitter with jack (6.3mm, 1/4") input and (1) USB charging cable</t>
  </si>
  <si>
    <t>XSW-D XLR FEMALE</t>
  </si>
  <si>
    <t>XS Wireless Digital transmitter with XLR female input and (1) USB charging cable</t>
  </si>
  <si>
    <t>XSW-D XLR MALE</t>
  </si>
  <si>
    <t>XS Wireless Digital receiver with XLR male output and (1) USB charging cable</t>
  </si>
  <si>
    <t>XSW-D PEDALBOARD RECEIVER</t>
  </si>
  <si>
    <t>XS Wireless Digital pedalboard receiver with jack (6.3mm, 1/4") and XLR male outputs and (1) RX power supply</t>
  </si>
  <si>
    <t>$ 980.700,00</t>
  </si>
  <si>
    <t>$ 810.502,00</t>
  </si>
  <si>
    <t>Accesorios XSW-D</t>
  </si>
  <si>
    <t>XSWD BELTPACK CLIP</t>
  </si>
  <si>
    <t>$ 34.874,00</t>
  </si>
  <si>
    <t>$ 28.812,00</t>
  </si>
  <si>
    <t>XSWD HOTSHOE MOUNT</t>
  </si>
  <si>
    <t>XSW-D MOBILE CABLE</t>
  </si>
  <si>
    <t>Locking 3.5 mm TRS to TRRS coiled cable (with damping) optimized for XS Wireless Digital Portable receiver (RX 35)</t>
  </si>
  <si>
    <t>CI 63</t>
  </si>
  <si>
    <t>XSW-D 6.3mm (1/4") Extension Cable</t>
  </si>
  <si>
    <t>Inear XSW-IEM</t>
  </si>
  <si>
    <t>XSW IEM SET (A)</t>
  </si>
  <si>
    <t>Complete starter set for in-ear monitoring. Includes (1) XSW IEM SR transmitter, (1) XSW IEM EK Receiver, (1) IE 4 In-Ear Headphones, (1) XSW Rack Mount Kit, (1) NT 12-5 CW power supply with power adapters, (2) AA batteries, frequency range: A (476 - 500 MHz).</t>
  </si>
  <si>
    <t>XSW IEM SET (C)</t>
  </si>
  <si>
    <t>Complete starter set for in-ear monitoring. Includes (1) XSW IEM SR transmitter, (1) XSW IEM EK Receiver, (1) IE 4 In-Ear Headphones, (1) XSW Rack Mount Kit, (1) NT 12-5 CW power supply with power adapters, (2) AA batteries, frequency range: C (662 - 686 MHz).</t>
  </si>
  <si>
    <t>TX/RX Sueltos XSW-IEM</t>
  </si>
  <si>
    <t>XSW IEM EK (A)</t>
  </si>
  <si>
    <t>Lightweight in-ear monitoring bodypack to expand existing XS Wireless IEM setups. Includes (1) XSW IEM EK Receiver, (1) IE 4 In-Ear Headphones and (2) AA Batteries, frequency range: A (476 - 500 MHz).</t>
  </si>
  <si>
    <t>XSW IEM SR (A)</t>
  </si>
  <si>
    <t>Single half-rack stereo UHF transmitter, rugged metal housing – part of the XS Wireless IEM series. Includes (1) XSW IEM SR Transmitter, (1) Antenna and (1) NT 12-5 CW power supply with power adapters, frequency range: A (476 - 500 MHz).</t>
  </si>
  <si>
    <t>Accesorios XSW-IEM</t>
  </si>
  <si>
    <t>XSW IEM EK BATTERY COVER</t>
  </si>
  <si>
    <t>Battery Cover for XSW IEM EK Receiver</t>
  </si>
  <si>
    <t>XSW IEM EK BELT CLIP</t>
  </si>
  <si>
    <t>Belt Clip for XSW IEM EK Receiver</t>
  </si>
  <si>
    <t>Profile</t>
  </si>
  <si>
    <t>PROFILE</t>
  </si>
  <si>
    <t>Profile USB Microphone with table stand. Includes (1) Profile USB Microphone, (1) Profile Table Stand, and (1) 1.2 m USB-C Cable</t>
  </si>
  <si>
    <t>$ 451.906,00</t>
  </si>
  <si>
    <t>$ 373.478,00</t>
  </si>
  <si>
    <t>PROFILE STREAMING SET</t>
  </si>
  <si>
    <t>Profile USB Microphone with table stand. Includes (1) Profile USB Microphone, (1) Boom Arm, and (1) 3 m USB-C Cable and (1) Pouch</t>
  </si>
  <si>
    <t>PROFILE WIRELESS 2-CHANNEL SET</t>
  </si>
  <si>
    <t>2-channel all-in-one wireless system. Includes (2) PROFILE WIRELESS TRANSMITTER, (1) PROFILE WIRELESS RECEIVER, (1) PROFILE WIRELESS CHARGING BAR , (2) PROFILE WIRELESS TX WINDSCREEN, (2) PROFILE WIRELESS CLIP MAGNET, (1) PROFILE WIRELESS CB WINDSCREEN, (1) USB-C to USB-C cable, (1) 3.5mm TRS Coiled Cable, (1) USB-C Adapter, (1) Lightning Adapter, (1) Coldshoe Adapter and (1) Carrying Pouch</t>
  </si>
  <si>
    <t>$ 1.045.534,00</t>
  </si>
  <si>
    <t>$ 864.080,00</t>
  </si>
  <si>
    <t>Accesorios Profile</t>
  </si>
  <si>
    <t>BOOM ARM</t>
  </si>
  <si>
    <t xml:space="preserve">No Hay Descripción
</t>
  </si>
  <si>
    <t>$ 346.808,00</t>
  </si>
  <si>
    <t>$ 286.622,00</t>
  </si>
  <si>
    <t>PROFILE TABLE STAND</t>
  </si>
  <si>
    <t>Durable table stand with 3/8” and 5/8” mounting options</t>
  </si>
  <si>
    <t>$ 101.584,00</t>
  </si>
  <si>
    <t>$ 83.958,00</t>
  </si>
  <si>
    <t>USB-C CABLE (3M)</t>
  </si>
  <si>
    <t>$ 66.556,00</t>
  </si>
  <si>
    <t>$ 55.006,00</t>
  </si>
  <si>
    <t>Sennheiser Tourguide SET</t>
  </si>
  <si>
    <t>TG2020-20 BODYPACK SYS</t>
  </si>
  <si>
    <t>Complete system package. Includes the SK2020-D-US bodypack transmitter, HS2-ew headset microphone, EZL2020-20L charger/carry case, and (20) HDE2020-D-II US receivers</t>
  </si>
  <si>
    <t>$ 37.062.802,00</t>
  </si>
  <si>
    <t>$ 30.630.418,00</t>
  </si>
  <si>
    <t>TG2020-20HANDHELDSYS</t>
  </si>
  <si>
    <t>Complete system package. Includes SKM2020-D-US handheld transmitter, EZL2020-20L charger/carry case, and (20) HDE2020-D-II US receivers.</t>
  </si>
  <si>
    <t>$ 37.132.858,00</t>
  </si>
  <si>
    <t>$ 30.688.308,00</t>
  </si>
  <si>
    <t>TX/RX Sueltos Sennheiser Tourguide</t>
  </si>
  <si>
    <t>SR 2020-D-US</t>
  </si>
  <si>
    <t>Single channel rack-mountable transmitter (926-928 MHz), up to 8 selectable channels. Includes NT92-120 power supply and GA2 rack adapter.</t>
  </si>
  <si>
    <t>$ 3.604.692,00</t>
  </si>
  <si>
    <t>$ 2.979.088,00</t>
  </si>
  <si>
    <t>SR2020-D-US DUAL</t>
  </si>
  <si>
    <t>RF system package for two channel applications. Includes (2) SR2020-D-US rack-mountable transmitter, (1) AM2 front-mount antenna mounting kit, (5) HDE2020-D-II US receivers, (1) EZL2020L charger case and (1) ADA signage kit</t>
  </si>
  <si>
    <t>$ 18.741.590,00</t>
  </si>
  <si>
    <t>$ 15.488.914,00</t>
  </si>
  <si>
    <t>SR2020-D-USSINGLE</t>
  </si>
  <si>
    <t>RF system package for single channel applications. Includes (1) SR2020-D-US rack-mountable transmitter, (1) AM2 front-mount antenna mounting kit, (5) HDE2020-D-II US receivers, (1) EZL 2020L charger case and (1) ADA signage kit</t>
  </si>
  <si>
    <t>$ 15.413.636,00</t>
  </si>
  <si>
    <t>$ 12.738.544,00</t>
  </si>
  <si>
    <t>HDE 2020-D-II US</t>
  </si>
  <si>
    <t>Tourguide 2020 stethophone receiver, ISM band (926-928 MHz). Includes internal rechargeable battery.</t>
  </si>
  <si>
    <t>$ 1.467.802,00</t>
  </si>
  <si>
    <t>$ 1.213.058,00</t>
  </si>
  <si>
    <t>SK 2020-D-US</t>
  </si>
  <si>
    <t>Six channel bodypack transmitter with audio and microphone input and BA2015 rechargeable battery (926-928 MHz). Please note: order mic separately.</t>
  </si>
  <si>
    <t>$ 2.939.104,00</t>
  </si>
  <si>
    <t>$ 2.429.014,00</t>
  </si>
  <si>
    <t>SKM 2020-D-US</t>
  </si>
  <si>
    <t>Six-channel handheld transmitter with BA2015 rechargeable battery (926-928 MHz)</t>
  </si>
  <si>
    <t>EK 2020-D II US</t>
  </si>
  <si>
    <t>Tourguide 2020 digital bodypack receiver (926-928 MHz). Includes internal rechargeable battery and integrated clip. Requires headphone or induction neckloop (order separately).</t>
  </si>
  <si>
    <t>Accesorios Sennheiser Tourguide</t>
  </si>
  <si>
    <t>GZR 2020</t>
  </si>
  <si>
    <t>Trolley with telescopic handle, fit to EZL 2020-20 L / EZL 1038-2, black</t>
  </si>
  <si>
    <t>$ 416.864,00</t>
  </si>
  <si>
    <t>$ 344.526,00</t>
  </si>
  <si>
    <t>L 2021-40</t>
  </si>
  <si>
    <t>Rack-mountable charger for (40) HDE2020-D-II or EK2020-D-II receivers. Includes CC2021 software for receiver configuration (including channel settings).</t>
  </si>
  <si>
    <t>$ 10.824.576,00</t>
  </si>
  <si>
    <t>$ 8.945.930,00</t>
  </si>
  <si>
    <t>EZL 2020-20L</t>
  </si>
  <si>
    <t>Carrying case with charger for (20) HDE2020-D-II-US or EK2020-D-II-US receivers. Offers auto "set all" to same frequency feature.</t>
  </si>
  <si>
    <t>$ 5.601.456,00</t>
  </si>
  <si>
    <t>$ 4.629.310,00</t>
  </si>
  <si>
    <t>Team Connect Ceiling</t>
  </si>
  <si>
    <t>Team Connect Ceiling 2 W/Extension Brackets</t>
  </si>
  <si>
    <t>TeamConnect Ceiling 2 Microphone kit. Includes (1) TeamConnect Ceiling 2 microphone, (1)Set of SL CM EB mounting brackets, and (1) TCC2 box kit.</t>
  </si>
  <si>
    <t>$ 16.079.224,00</t>
  </si>
  <si>
    <t>$ 13.288.618,00</t>
  </si>
  <si>
    <t>TeamConnect Ceiling 2</t>
  </si>
  <si>
    <t>TeamConnect Ceiling 2, a beamforming ceiling array mic with two Dante and one analog audio output, PoE powered, white</t>
  </si>
  <si>
    <t>TeamConnect Ceiling 2 Black</t>
  </si>
  <si>
    <t>TeamConnect Ceiling 2, a beamforming ceiling array mic with two Dante and one analog audio output, PoE powered, black</t>
  </si>
  <si>
    <t>Team Connect Ceiling M</t>
  </si>
  <si>
    <t>TCC M H-B</t>
  </si>
  <si>
    <t>The TCC M H is the design housing for the TeamConnect Ceiling Medium in black color</t>
  </si>
  <si>
    <t>TCC M H-W</t>
  </si>
  <si>
    <t>The TCC M H is the design housing for the TeamConnect Ceiling Medium in white color</t>
  </si>
  <si>
    <t>TCC M SFP-B</t>
  </si>
  <si>
    <t>The TCC M SFP is a spare front plate for the TeamConnect Ceiling Medium in black color</t>
  </si>
  <si>
    <t>TCC M SFP-W</t>
  </si>
  <si>
    <t>The TCC M SFP is a spare front plate for the TeamConnect Ceiling Medium in white color</t>
  </si>
  <si>
    <t>TCC M SK</t>
  </si>
  <si>
    <t>The TCC M SK ceiling mic suspension kit is made to be used for an installation of the TeamConnect Ceiling Medium from higher ceilings. It consists of 3 steel cables with 16.4ft (5m) length that can be adjusted to an individual installation height.</t>
  </si>
  <si>
    <t>$ 623.266,00</t>
  </si>
  <si>
    <t>$ 199.766,00</t>
  </si>
  <si>
    <t>TCC M-F-B</t>
  </si>
  <si>
    <t>The TCC M-F Kit for flush-mounting of ceiling microphone in the ceiling consists of 1x Ceiling Microphone TeamConnect Ceiling Medium, 1x front plate (white or black), 1x Flush-mount kit, 1x Chicago plenum connection box cover plate, Drilling templates, 1x Phoenix connector, 1x Safety rope, 1x Suspension kit.</t>
  </si>
  <si>
    <t>$ 12.225.822,00</t>
  </si>
  <si>
    <t>$ 10.103.982,00</t>
  </si>
  <si>
    <t>TCC M-F-W</t>
  </si>
  <si>
    <t>TCC M-S-B</t>
  </si>
  <si>
    <t>TCC M-S Kit for surface-mounted of ceiling microphone or suspended mounting contains 1x Ceiling Microphone TeamConnect Ceiling Medium, 1 white or black front plate, 1x black or white housing, 1x Chicago plenum connection box cover plate, Drilling templates, 1x Phoenix connector, 1x Safety rope, 1x Suspension kit.</t>
  </si>
  <si>
    <t>TCC M-S-W</t>
  </si>
  <si>
    <t>TC Bar M US</t>
  </si>
  <si>
    <t>TeamConnect Bar M all-in-one audio and video conferencing device for mid-sized meeting rooms and collaboration spaces. Includes (1) TeamConnect Bar S, (1) Mounting Bracket, (1) PSU or POE Power Supply, (1) IR Remote Control with batteries, mounting bracket &amp; storage, (1) Magnetic Lens Cap, (1) HDMI Cable, (1) USB-C to USB-A cable, Dante audio input and output</t>
  </si>
  <si>
    <t>TC Bar S US</t>
  </si>
  <si>
    <t>TeamConnect Bar S all-in-one audio and video conferencing device for small meeting rooms and collaboration spaces. Includes (1) TeamConnect Bar S, (1) Mounting Bracket, (1) PSU or POE+ Power Supply, (1) IR Remote Control with batteries, mounting bracket &amp; storage, (1) Magnetic Lens Cap, (1) HDMI Cable, (1) USB-C to USB-A cable, Dante audio input and output</t>
  </si>
  <si>
    <t>$ 4.550.532,00</t>
  </si>
  <si>
    <t>$ 3.760.764,00</t>
  </si>
  <si>
    <t>Accesorios Team Connect Ceiling</t>
  </si>
  <si>
    <t>SL CM EB 625</t>
  </si>
  <si>
    <t>Ceiling Mic Extension brackets 625</t>
  </si>
  <si>
    <t>$ 311.780,00</t>
  </si>
  <si>
    <t>$ 257.670,00</t>
  </si>
  <si>
    <t>SL CM EB US</t>
  </si>
  <si>
    <t>Ceiling Mic Extension brackets US</t>
  </si>
  <si>
    <t>SL CM FB</t>
  </si>
  <si>
    <t>Ceiling fixing bracket for SL ceiling mic, for installing the microphone directly under the ceiling</t>
  </si>
  <si>
    <t>$ 686.448,00</t>
  </si>
  <si>
    <t>$ 567.308,00</t>
  </si>
  <si>
    <t>SL CM SK</t>
  </si>
  <si>
    <t>Ceiling Mic Suspension Kit</t>
  </si>
  <si>
    <t>SL CM VB</t>
  </si>
  <si>
    <t>Ceiling Mic VESA Bracket</t>
  </si>
  <si>
    <t>Team Connect</t>
  </si>
  <si>
    <t>TC ISP</t>
  </si>
  <si>
    <t>TeamConnect Intelligent Speaker. Includes (1) Power &amp; Data Box, (1) Power Supply Unit, (1) set of EU/UK/US/AUZH/KO Country Adapters, (1) USB Micro-B to USB-A Cable, (1) Screw for table installation, and (1) Adhesive pad</t>
  </si>
  <si>
    <t>REPLACEMENT SET TABLE MOUNT</t>
  </si>
  <si>
    <t>Table Mount Set for TeamConnect Intelligent Speaker. Includes (1) Knurled nut, (1) Collar washer and (1) stud</t>
  </si>
  <si>
    <t>SENNHEISER SECURITY CABLE LOCK</t>
  </si>
  <si>
    <t>Cable Lock for table mount for TeamConnect Intelligent Speaker</t>
  </si>
  <si>
    <t>$ 87.584,00</t>
  </si>
  <si>
    <t>$ 72.380,00</t>
  </si>
  <si>
    <t>Sistemas SpeechLine Completos</t>
  </si>
  <si>
    <t>SL HANDHELD SET DW-4-US R</t>
  </si>
  <si>
    <t>Wireless vocal set. Includes (1) SL Handheld DW transmitter with MME 865-1 capsule (supercardioid, condenser), (1) BA 10 rechargeable battery, (1) SL Rack Receiver DW, (1) power supply, (1) pouch and (1) GA 4 rackmount kit</t>
  </si>
  <si>
    <t>SL LAVALIER SET DW-4-US R</t>
  </si>
  <si>
    <t>Wireless lavalier set. Includes (1) MKE 1 lavalier microphone (omnidirectional, condenser), (1) SL Bodypack DW, (1) SL Rack Receiver DW, (1) BA 30 rechargeable battery, (1) power supply, (1) pouch and (1) GA 4 rackmount kit</t>
  </si>
  <si>
    <t>$ 4.480.462,00</t>
  </si>
  <si>
    <t>$ 3.702.860,00</t>
  </si>
  <si>
    <t>SL HEADMIC SET DW-4-US R</t>
  </si>
  <si>
    <t>Wireless headmic set. Includes (1) SL Headmic 1 (omnidirectional, condenser), (1) SL Bodypack DW, (1) SL Rack Receiver DW, (1) BA 30 rechargeable battery, (1) power supply, (1) pouch and (1) GA 4 rackmount kit</t>
  </si>
  <si>
    <t>$ 4.830.770,00</t>
  </si>
  <si>
    <t>$ 3.992.380,00</t>
  </si>
  <si>
    <t>SL TS 133 GN SET DW-4 US</t>
  </si>
  <si>
    <t>Wireless table mic set. Includes (1) SL Tablestand 133-S DW, (1) MEG 14-40 B gooseneck microphone (cardioid, condenser), (1) BA 40 rechargeable battery, (1) SL Rack Receiver DW, (1) power supply and (1) and GA 4 rackmount kit</t>
  </si>
  <si>
    <t>$ 5.426.302,00</t>
  </si>
  <si>
    <t>$ 4.484.550,00</t>
  </si>
  <si>
    <t>SL TS 153 GN-L SET DW-4 US</t>
  </si>
  <si>
    <t>Wireless table mic set. Includes (1) SL Tablestand 153-S DW, (1) MEG 14-40-L-II B gooseneck microphone (cardioid, condenser) with LED light ring, (1) BA 40 rechargeable battery, (1) SL Rack Receiver DW, (1) power supply and (1) and GA 4 rackmount kit</t>
  </si>
  <si>
    <t>$ 5.776.610,00</t>
  </si>
  <si>
    <t>$ 4.774.056,00</t>
  </si>
  <si>
    <t>SL BOUNDARY SET DW-4 US</t>
  </si>
  <si>
    <t>SpeechLine Digital Wireless microphone set. Includes (1) SL Boundary 114-S DW, (1) SL Rack Receiver DW with power supply, (1) USB cable, (1) BA 40 rechargeable battery and (1) GA 4 rackmounting kit</t>
  </si>
  <si>
    <t>$ 4.725.686,00</t>
  </si>
  <si>
    <t>$ 3.905.524,00</t>
  </si>
  <si>
    <t>TX/RX sueltos SpeechLine</t>
  </si>
  <si>
    <t>SL BODYPACK - HM 1 KIT DW-4</t>
  </si>
  <si>
    <t>SpeechLine Digital Wireless Bodypack kit. Includes (1) SL Bodypack DW and (1) SL Headmic 1 (omnidirectional, condenser)</t>
  </si>
  <si>
    <t>$ 2.869.034,00</t>
  </si>
  <si>
    <t>$ 2.371.110,00</t>
  </si>
  <si>
    <t>SL BODYPACK - ME 2 KIT DW-4</t>
  </si>
  <si>
    <t>SpeechLine Digital Wireless Bodypack kit. Includes (1) SL Bodypack DW and (1) ME 2 lavalier microphone (omnidirectional, condenser)</t>
  </si>
  <si>
    <t>$ 1.607.928,00</t>
  </si>
  <si>
    <t>$ 1.328.866,00</t>
  </si>
  <si>
    <t>SL BODYPACK - MKE 2 KIT DW-4</t>
  </si>
  <si>
    <t>SpeechLine Digital Wireless Bodypack kit. Includes (1) SL Bodypack DW and (1) MKE 2 lavalier microphone (omnidirectional, condenser)</t>
  </si>
  <si>
    <t>$ 2.168.418,00</t>
  </si>
  <si>
    <t>$ 1.792.084,00</t>
  </si>
  <si>
    <t>SL BODYPACK - MKE 40 KIT DW-4</t>
  </si>
  <si>
    <t>SpeechLine Digital Wireless Bodypack kit. Includes (1) SL Bodypack DW and (1) MKE 40 (cardioid, condenser)</t>
  </si>
  <si>
    <t>$ 2.343.572,00</t>
  </si>
  <si>
    <t>$ 1.936.844,00</t>
  </si>
  <si>
    <t>SL BODYPACK DW-4-US</t>
  </si>
  <si>
    <t>Digital bodypack transmitter, 1.9 GHz, with ew jack plug. Includes (1) BA 30 rechargeable battery and (1) pouch</t>
  </si>
  <si>
    <t>SL BODYPACK -HS 2 KIT DW-4</t>
  </si>
  <si>
    <t>SL BOUNDARY 114-S DW-4 B</t>
  </si>
  <si>
    <t>SpeechLine Digital Wireless conferencing microphone. Includes (1) SL Boundary 114-S DW and (1) BA 40 rechargeable battery</t>
  </si>
  <si>
    <t>$ 3.044.188,00</t>
  </si>
  <si>
    <t>$ 2.515.856,00</t>
  </si>
  <si>
    <t>SL HANDHELD 865 DW-4-US</t>
  </si>
  <si>
    <t>Digital handheld transmitter, 1.9 GHz, with MME 865-1 capsule (supercardioid, condenser). Includes (1) BA 10 rechargeable battery and (1) pouch</t>
  </si>
  <si>
    <t>$ 2.413.642,00</t>
  </si>
  <si>
    <t>$ 1.994.734,00</t>
  </si>
  <si>
    <t>SL HANDHELD DW-4-US</t>
  </si>
  <si>
    <t>Digital handheld transmitter, 1.9 GHz. Capsule not included. Includes (1) BA 10 rechargeable battery and (1) pouch</t>
  </si>
  <si>
    <t>SL TABLESTAND 133-S DW-4 B</t>
  </si>
  <si>
    <t>Wireless table stand. Compatible with all Sennheiser XLR-3 gooseneck microphones. Includes (1) BA 40 rechargeable battery.</t>
  </si>
  <si>
    <t>SL TABLESTAND 153-S DW-4 B</t>
  </si>
  <si>
    <t>Wireless table stand. Compatible with the MEG 14-40-L-II B gooseneck microphone. Includes (1) BA 40 rechargeable battery.</t>
  </si>
  <si>
    <t>SL MCR 2 DW-4</t>
  </si>
  <si>
    <t>SpeechLine Multi-Channel Receiver with 2 SL DW RF Links. Features Analog output with (2) Dante Interfaces and PoE power supply.</t>
  </si>
  <si>
    <t>SL MCR 4 DW-4</t>
  </si>
  <si>
    <t>SpeechLine Multi-Channel Receiver with 4 SL DW RF Links. Features Analog output with (2) Dante Interfaces and PoE power supply.</t>
  </si>
  <si>
    <t>$ 10.926.174,00</t>
  </si>
  <si>
    <t>$ 9.029.888,00</t>
  </si>
  <si>
    <t>SL MCR WALLMOUNT ADAPTER</t>
  </si>
  <si>
    <t>Wall Mounting Bracket for SpeechLine Multi-Channel Receiver</t>
  </si>
  <si>
    <t>SL RACK RECEIVER DW-4-US</t>
  </si>
  <si>
    <t>SL rack receiver for rack installation, including power pack, digital, 1.9 GHz</t>
  </si>
  <si>
    <t>Accesorios RF SpeechLine</t>
  </si>
  <si>
    <t>SL PASC 2</t>
  </si>
  <si>
    <t>Passive 2-way True Diversity antenna splitter/combiner for the SpeechLine Digital Wireless microphone series with 2 RF inputs and 4 RF outputs, DECT Range (1880 - 1930 MHz)</t>
  </si>
  <si>
    <t>$ 1.783.082,00</t>
  </si>
  <si>
    <t>$ 1.473.612,00</t>
  </si>
  <si>
    <t>SL PASC 4</t>
  </si>
  <si>
    <t>Passive 4-way True Diversity antenna splitter/combiner for the SpeechLine Digital Wireless microphone series with 2 RF inputs and 8 RF outputs, DECT Range (1880 - 1930 MHz)</t>
  </si>
  <si>
    <t>$ 2.588.796,00</t>
  </si>
  <si>
    <t>$ 2.139.494,00</t>
  </si>
  <si>
    <t>AWM 2 MK II</t>
  </si>
  <si>
    <t>Antenna wall mount, metal housing, white, including 2 1G9 antennas</t>
  </si>
  <si>
    <t>AWM 4</t>
  </si>
  <si>
    <t>Antenna wall mount, metal housing, white, including 4 rod antennas</t>
  </si>
  <si>
    <t>ANTENNA 1G9 WHITE (2 PCS.)</t>
  </si>
  <si>
    <t>CL 1 PP</t>
  </si>
  <si>
    <t>Antenna cable 1 m, RSMAm-RSMAm, 1 ea., black</t>
  </si>
  <si>
    <t>$ 171.654,00</t>
  </si>
  <si>
    <t>$ 141.862,00</t>
  </si>
  <si>
    <t>CL 10 PP</t>
  </si>
  <si>
    <t>Antenna cable 10 m, RSMAm-RSMAm, 1 ea., black</t>
  </si>
  <si>
    <t>CL 20 PP</t>
  </si>
  <si>
    <t>Antenna cable 20 m, RSMAm-RSMAm, 1 ea., black</t>
  </si>
  <si>
    <t>$ 556.990,00</t>
  </si>
  <si>
    <t>$ 460.320,00</t>
  </si>
  <si>
    <t>CL 5 PP</t>
  </si>
  <si>
    <t>Antenna cable 5 m, RSMAm-RSMAm, 1 ea., black</t>
  </si>
  <si>
    <t>$ 206.682,00</t>
  </si>
  <si>
    <t>$ 170.814,00</t>
  </si>
  <si>
    <t>Cargadores/Baterías SpeechLine</t>
  </si>
  <si>
    <t>BA 40</t>
  </si>
  <si>
    <t>Rechargeable battery for the SL Tablestand 133-S DW and the SL Tablestand 153-S DW.</t>
  </si>
  <si>
    <t>CHG 2 US</t>
  </si>
  <si>
    <t>Charger with 2 charger cores, for SK/SKM D1, SK/SKM AVX, SL DW, BA 10, BA 30, including power supply NT 12-4C</t>
  </si>
  <si>
    <t>CHG 2N US</t>
  </si>
  <si>
    <t>2-compartment charger for SL HANDHELD and SL BODYPACK, network-compatible IPv4/6, including power supply</t>
  </si>
  <si>
    <t>CHG 2W</t>
  </si>
  <si>
    <t>2-compartment charger for SL TABLESTAND and interfaces, inductive, Qi standard, including power supply</t>
  </si>
  <si>
    <t>CHG 4N US</t>
  </si>
  <si>
    <t>Network Charger. Features universal charging bays for SL Bodypack DW or SL Handheld DW.</t>
  </si>
  <si>
    <t>$ 2.238.474,00</t>
  </si>
  <si>
    <t>$ 1.849.988,00</t>
  </si>
  <si>
    <t>GA 4</t>
  </si>
  <si>
    <t>Rack mounting kit for EM D1 and SL DW rack receiver, includes antenna front mounting</t>
  </si>
  <si>
    <t>MKH Series</t>
  </si>
  <si>
    <t>MKH 30 P 48</t>
  </si>
  <si>
    <t>RF microphone (bi-directional (figure 8), condenser) with switchable -10 dB pad, switchable bass attenuation (-4 dB @ 50 Hz), 48 V phantom power and 3-pin XLR-M. Includes (1) MZQ 31 quick-release clip, (1) MZS 80 shockmount and (1) MZW 41 windscreen (24.0 oz)</t>
  </si>
  <si>
    <t>$ 4.378.878,00</t>
  </si>
  <si>
    <t>$ 3.618.902,00</t>
  </si>
  <si>
    <t>MKH 416 P48U3</t>
  </si>
  <si>
    <t>RF microphone (supercardioid/directional, condenser) with 48 V phantom power and 3-pin XLR-M. Includes (1) MZW 415 windscreen, (1) MZQ 100 quick-release clip and (1) case (18.0 oz)</t>
  </si>
  <si>
    <t>MKH 418-S</t>
  </si>
  <si>
    <t>RF microphone (directional/bidirectional (M/S arrangement), condenser) with 48 V phantom power and 5-pin XLR-M. AC 418-Y cable (required) available separately (7.8 oz)</t>
  </si>
  <si>
    <t>$ 5.780.110,00</t>
  </si>
  <si>
    <t>$ 4.776.954,00</t>
  </si>
  <si>
    <t>MKH 50-P48</t>
  </si>
  <si>
    <t>RF microphone (supercardioid condenser) with -10 dB pad and switchable bass attenuation (-4 dB @ 50 Hz), 48 V phantom power and 3-pin XLR-M. Includes (1) MZQ 40 quick-release clip, (1) MZS 40 shockmount, (1) MZW 41 windscreen, (1) Rycote super-softie windscreen for shotgun mics and (1) Rycote inVision INV-HG mkIII suspension (23.0 oz)</t>
  </si>
  <si>
    <t>$ 4.203.724,00</t>
  </si>
  <si>
    <t>$ 3.474.142,00</t>
  </si>
  <si>
    <t>MKH 800 TWIN NI</t>
  </si>
  <si>
    <t>RF microphone (2x cardioid, condenser) with dual outputs available from capsule for adjustment of pick-up pattern and 5-pin XLR. Includes (1) MZQ 80 quick-release clip, (1) MZS 80 shockmount, (1) AC 20 adapter cable (1 x XLR-5 socket to 2 x XLR-3 connector) and (1) aluminum case</t>
  </si>
  <si>
    <t>$ 11.209.926,00</t>
  </si>
  <si>
    <t>$ 9.264.402,00</t>
  </si>
  <si>
    <t>MKH 800 TWIN NX</t>
  </si>
  <si>
    <t>MKH 8020</t>
  </si>
  <si>
    <t>HF microphone set. Includes (1) MKHC 8020 (spherical) microphone head (omnidirectional, condenser), (1) MZX 8000 XLR module, (1) MZW 8000 windscreen, (1) MZQ 8000 microphone clip and (1) aluminum case</t>
  </si>
  <si>
    <t>MKH 8020 Stereo Set</t>
  </si>
  <si>
    <t>HF microphone set. Includes (2) MKHC 8020 (spherical) microphone head (omidirectional, condenser), (2) MZX 8000 XLR module, (2) MZW 8000 windscreen, (2) MZQ 8000 microphone clip and (1) aluminum case</t>
  </si>
  <si>
    <t>MKH 8040</t>
  </si>
  <si>
    <t>HF microphone set. Includes (1) MKHC 8040 microphone head (cardioid, condenser), (1) MZX 8000 XLR module, (1) MZW 8000 windscreen, (1) MZQ 8000 microphone clip and (1) aluminum case</t>
  </si>
  <si>
    <t>MKH 8040 Stereo Set</t>
  </si>
  <si>
    <t>HF microphone set. Includes (2) MKHC 8040 microphone head (cardioid, condenser), (2) MZX 8000 XLR module, (2) MZW 8000 windscreen, (2) MZQ 8000 microphone clip and (1) aluminum case</t>
  </si>
  <si>
    <t>MKH 8050</t>
  </si>
  <si>
    <t>HF microphone set. Includes (1) MKHC 8050 microphone head (supercardioid, condenser),(1) MZX 8000 XLR module, (1) MZW 8000 windscreen, (1) MZQ 8000 microphone clip and (1) aluminum case</t>
  </si>
  <si>
    <t>MKH 8060</t>
  </si>
  <si>
    <t>HF microphone set. Includes (1) MKH 8060 microphone body (supercardioid/lobe, condenser), (1) MZX 8000 XLR module, (1) MZW 8060 windscreen, (1) MZQ 8060 microphone clip, and (1) threaded transport tube</t>
  </si>
  <si>
    <t>MKH 8070</t>
  </si>
  <si>
    <t>HF microphone set with 48 V phantom power. Includes (1) MKH 8070 microphone body (lobe condenser), (1) MZX 8000 XLR module, (1) MZW 8070 windscreen (1) MZQ 8070 microphone clip, and (1) threaded transport tube</t>
  </si>
  <si>
    <t>MKH 8090</t>
  </si>
  <si>
    <t>HF microphone set. Includes (1) MKH 8090 microphone head (wide cardioid,condenser), (1) MZX 8000 XLR module, (1) MZW 8000 windscreen, (1) MZQ 8000 microphone clip and (1) carrying case</t>
  </si>
  <si>
    <t>ESFERA</t>
  </si>
  <si>
    <t>ESFERA 5.1 surround microphone system, complete system including (1) SPM 8000 X/Y microphone package, and (1) SPB 8000 processor.</t>
  </si>
  <si>
    <t>$ 35.030.996,00</t>
  </si>
  <si>
    <t>$ 28.951.244,00</t>
  </si>
  <si>
    <t>Accesorios MKH Series</t>
  </si>
  <si>
    <t>MZC1</t>
  </si>
  <si>
    <t>Shotgun ceiling mount accessory for MKH20, MKH30, MKH40, MKH50 and K6 shotguns</t>
  </si>
  <si>
    <t>MZE 8015</t>
  </si>
  <si>
    <t>Extension tube that carries audio signal from capsule, to XLR module. (15cm) (6 inches)</t>
  </si>
  <si>
    <t>$ 910.644,00</t>
  </si>
  <si>
    <t>$ 752.598,00</t>
  </si>
  <si>
    <t>MZE 8030</t>
  </si>
  <si>
    <t>Extension tube that carries audio signal from capsule, to XLR module. (30cm) (12 inches)</t>
  </si>
  <si>
    <t>MZE 8060</t>
  </si>
  <si>
    <t>Extension tube that carries audio signal from capsule, to XLR module. (60cm) (24 inches)</t>
  </si>
  <si>
    <t>$ 1.015.742,00</t>
  </si>
  <si>
    <t>$ 839.454,00</t>
  </si>
  <si>
    <t>MZE 8120</t>
  </si>
  <si>
    <t>Extension tube that carries audio signal from capsule, to XLR module. (120cm) (47 inches)</t>
  </si>
  <si>
    <t>$ 1.120.826,00</t>
  </si>
  <si>
    <t>$ 926.310,00</t>
  </si>
  <si>
    <t>MZEF 8030</t>
  </si>
  <si>
    <t>Vertical bar for floorstand (30cm) (12 inches)</t>
  </si>
  <si>
    <t>$ 315.112,00</t>
  </si>
  <si>
    <t>$ 260.428,00</t>
  </si>
  <si>
    <t>MZEF 8060</t>
  </si>
  <si>
    <t>Vertical bar for floorstand (60cm) (24 inches)</t>
  </si>
  <si>
    <t>MZEF 8120</t>
  </si>
  <si>
    <t>Vertical bar for floorstand (120cm) (47 inches)</t>
  </si>
  <si>
    <t>MZF 8000</t>
  </si>
  <si>
    <t>In-line filter</t>
  </si>
  <si>
    <t>$ 1.681.330,00</t>
  </si>
  <si>
    <t>$ 1.389.528,00</t>
  </si>
  <si>
    <t>MZFS 8000</t>
  </si>
  <si>
    <t>Heavy design floor stand, insensitive to structure born noise.</t>
  </si>
  <si>
    <t>MZG 8000</t>
  </si>
  <si>
    <t>Swivel Joint, to be used in conjunction with MZS31, carries audio signal from capsule to XLR module</t>
  </si>
  <si>
    <t>$ 805.546,00</t>
  </si>
  <si>
    <t>$ 665.742,00</t>
  </si>
  <si>
    <t>MZGE 8000</t>
  </si>
  <si>
    <t>Bar connector. Joins Vertical bar with extension tube</t>
  </si>
  <si>
    <t>MZGE 8002</t>
  </si>
  <si>
    <t>Bar connector that joins vertical bar with two extension tubes</t>
  </si>
  <si>
    <t>MZH 60-1</t>
  </si>
  <si>
    <t>Long hair wind muff for use with MZW60-1 blimp windscreen (14 oz)</t>
  </si>
  <si>
    <t>MZH 70-1</t>
  </si>
  <si>
    <t>Long hair wind muff for use with MZW70-1 (16 oz)</t>
  </si>
  <si>
    <t>$ 840.588,00</t>
  </si>
  <si>
    <t>$ 694.694,00</t>
  </si>
  <si>
    <t>MZH 8000</t>
  </si>
  <si>
    <t>Ceiling mount with cable guide and adjustable alignment</t>
  </si>
  <si>
    <t>MZH 80-1</t>
  </si>
  <si>
    <t>Long hair wind muff for use with MZW80-1 blimp windscreen</t>
  </si>
  <si>
    <t>MZL 8003</t>
  </si>
  <si>
    <t>Remote cable carries audio signal from capsule to XLR module (3m) (9'10")</t>
  </si>
  <si>
    <t>$ 420.210,00</t>
  </si>
  <si>
    <t>$ 347.284,00</t>
  </si>
  <si>
    <t>MZL 8010</t>
  </si>
  <si>
    <t>Remote cable carries audio signal from capsule to XLR module (10m) (32'9")</t>
  </si>
  <si>
    <t>MZQ 100</t>
  </si>
  <si>
    <t>Flexible quick release stand adapter for 19-23 mm (approx. 3/4"-7/8") diameter microphones such as MKH416 (3.0 oz.)</t>
  </si>
  <si>
    <t>MZQ 8000</t>
  </si>
  <si>
    <t>Standard mic clip for MKH 8000 (19mm)</t>
  </si>
  <si>
    <t>MZQ 8001</t>
  </si>
  <si>
    <t>Mini clip for use with remote cable. 3/8" standard threading</t>
  </si>
  <si>
    <t>MZS 40</t>
  </si>
  <si>
    <t>Elastic suspension shock mount for MKH20, MKH40 and MKH50 (20.0 oz)</t>
  </si>
  <si>
    <t>MZS 80</t>
  </si>
  <si>
    <t>Shock mount for MKH80 and MKH30 (26.0 oz)</t>
  </si>
  <si>
    <t>MZS 8000</t>
  </si>
  <si>
    <t>Shockmount for MKH 8000 series</t>
  </si>
  <si>
    <t>MZS20-1/216</t>
  </si>
  <si>
    <t>MZS20-1 kit with MZA216 thread adapter, 3/8 - 5/8 in (18.5 oz)</t>
  </si>
  <si>
    <t>$ 1.281.966,00</t>
  </si>
  <si>
    <t>$ 1.059.478,00</t>
  </si>
  <si>
    <t>MZSCAM</t>
  </si>
  <si>
    <t>Elastic suspension shockmount with shoe mount for camera use (4.0 oz)</t>
  </si>
  <si>
    <t>$ 129.458,00</t>
  </si>
  <si>
    <t>$ 106.988,00</t>
  </si>
  <si>
    <t>MZT 8000</t>
  </si>
  <si>
    <t>Classic metal tablestand, sturdy and robust</t>
  </si>
  <si>
    <t>MZT 8001</t>
  </si>
  <si>
    <t>Elegant table stand with arylic base</t>
  </si>
  <si>
    <t>MZW 20-1</t>
  </si>
  <si>
    <t>Blimp windscreen (12.5 oz.) for use with MKH20, MKH40, MKH50, ME62/K6 and ME64/K6. Requires MZS20-1 pistol grip.</t>
  </si>
  <si>
    <t>MZW 415-ANT</t>
  </si>
  <si>
    <t>Gray foam windscreen for MKH416, MKH418S (2.0 oz)</t>
  </si>
  <si>
    <t>MZW 60-1</t>
  </si>
  <si>
    <t>Blimp windscreen (14.5 oz) for MKH416, MKH8060, MKH418S, ME66/K6. Requires MZS20-1 pistol grip.</t>
  </si>
  <si>
    <t>$ 1.155.868,00</t>
  </si>
  <si>
    <t>$ 955.262,00</t>
  </si>
  <si>
    <t>MZW 61</t>
  </si>
  <si>
    <t>Black foam windscreen for MKH60 (2.0 oz)</t>
  </si>
  <si>
    <t>MZW 70-1</t>
  </si>
  <si>
    <t>Blimp windscreen (16.5 oz) for MKH70, ME67/K6. Requires MZS20-1 pistol grip.</t>
  </si>
  <si>
    <t>$ 1.295.980,00</t>
  </si>
  <si>
    <t>$ 1.071.056,00</t>
  </si>
  <si>
    <t>MZW 71</t>
  </si>
  <si>
    <t>Black foam windscreen for MKH70 (3.5 oz)</t>
  </si>
  <si>
    <t>MZW 8000</t>
  </si>
  <si>
    <t>Windshield, dual layer design for efficent reduction of wind and pop noise</t>
  </si>
  <si>
    <t>MZW 80-1</t>
  </si>
  <si>
    <t>Blimp windscreen for MKH8070 or MKH816. Requires MZS20-1 pistol grip.</t>
  </si>
  <si>
    <t>MZW 80-ANT</t>
  </si>
  <si>
    <t>Black foam windscreen for MKH800 (2.0 oz)</t>
  </si>
  <si>
    <t>MZX 8000</t>
  </si>
  <si>
    <t>XLR module for MKH 8000 Series capsules</t>
  </si>
  <si>
    <t>ACS5</t>
  </si>
  <si>
    <t>5 pin XLR to dual 3 pin XLR adapter, 6 in. length for MKH418S and MKE44-P</t>
  </si>
  <si>
    <t>INV-3</t>
  </si>
  <si>
    <t>Rycote shockmount for MKH8020, 8040, 8050 microphones</t>
  </si>
  <si>
    <t>INV-5</t>
  </si>
  <si>
    <t>Rycote shockmount for boompole mounting for MKH8020, 8040, 8050 microphones</t>
  </si>
  <si>
    <t>KC6</t>
  </si>
  <si>
    <t>Case for all K6 Series components</t>
  </si>
  <si>
    <t>$ 297.598,00</t>
  </si>
  <si>
    <t>$ 245.952,00</t>
  </si>
  <si>
    <t>Audio 4 Video</t>
  </si>
  <si>
    <t>MKE 200</t>
  </si>
  <si>
    <t>Compact, super-cardioid on-camera microphone with built-in wind protection and shock absorption for enhanced in-camera audio. Includes carrying pouch, fur windshield, and 3.5mm TRS and TRRS coiled cables for compatibility with DSLR and mirrorless cameras or mobile devices.</t>
  </si>
  <si>
    <t>MKE 200 MOBILE KIT</t>
  </si>
  <si>
    <t>Compact on-camera shotgun microphone kit (supercardioid, condenser). Includes (1) MKE 200 on-camera microphone, (1) Manfrotto PIXI Mini Tripod, (1) Smartphone clamp with cold-shoe mount, (1) Locking 3.5 mm TRS - TRS coiled cable, (1) Locking 3.5 mm TRS - TRRS coiled cable, (1) Furry windshield for MKE 200 and (1) Pouch</t>
  </si>
  <si>
    <t>MKE 400</t>
  </si>
  <si>
    <t>Highly directional on-camera shotgun microphone (supercardioid, condenser) with built-in wind protection and shock absorption for enhanced in-camera audio. Includes (1) (1) MKE 400 on-camera microphone, (1) Locking 3.5 mm TRS - TRS coiled cable, (1) Locking 3.5 mm TRS - TRRS coiled cable, (1) Furry windshield for MKE 400, (1) Pouch and (2) AAA batteries</t>
  </si>
  <si>
    <t>MKE 400 MOBILE KIT</t>
  </si>
  <si>
    <t>Highly directional on-camera shotgun microphone kit (supercardioid, condenser). Includes (1) MKE 400 on-camera microphone, (1) Manfrotto PIXI Mini Tripod, (1) Smartphone clamp with cold-shoe mount, (1) Locking 3.5 mm TRS - TRS coiled cable, (1) Locking 3.5 mm TRS - TRRS coiled cable, (1) Furry windshield for MKE 400, (1) Pouch and (2) AAA batteries</t>
  </si>
  <si>
    <t>MKE 440</t>
  </si>
  <si>
    <t>Stereo shotgun microphone (supercardioid, condenser) for cameras with hot shoe mount, built-in elastic suspension, 3-level sensitivity adjustment and low-cut filter. Includes (2) AAA Alkaline battery and (1) cable with 1/8" (3.5 mm) jack</t>
  </si>
  <si>
    <t>MKE 600</t>
  </si>
  <si>
    <t>Shotgun microphone for on-camera use (AA battery or phantom power) with switchable low-cut filter and on/off switch. Includes (1) MZS 600 camera shockmount, (1) MZW 600 windscreen and (1) KA 600 XLR female to 3.5 mm TRS male cable</t>
  </si>
  <si>
    <t>MOBILE KIT</t>
  </si>
  <si>
    <t>Mobile kit for mobile recording. Includes (1) Manfrotto PIXI Mini Tripod and (1) Smartphone clamp with cold-shoe mount</t>
  </si>
  <si>
    <t>AMBEO VR-MIC</t>
  </si>
  <si>
    <t>Ambeo® 3D audio microphone (4 x cardioid, ambisonic condenser) for virtual reality video production with 48 V phantom power and multi-pin output jack. Includes (1) Rycote INV 7 Suspension mount, (1) balanced split cable (4x XLRs 3-pins), (1) windscreen, (1) extension cable (1.5m, DIN12F to DIN12M) and AMBEO A-B format converter (VST, AU, and AAX Mac/PC plug-in (free download))</t>
  </si>
  <si>
    <t>MD 42</t>
  </si>
  <si>
    <t>Handheld microphone (omnidirectional, dynamic) for field ENG with 3-pin XLR-M. MZQ 800 clip available separately (15 oz)</t>
  </si>
  <si>
    <t>MD 46</t>
  </si>
  <si>
    <t>Vocal microphone (cardioid, dynamic) for field ENG/EFP with elastic capsule mount and 3-pin XLR-M. MZQ 800 clip available separately (15 oz)</t>
  </si>
  <si>
    <t>Accesorios Audio 4 Video</t>
  </si>
  <si>
    <t>MZH 200</t>
  </si>
  <si>
    <t>Furry windshield designed for MKE 200 to protect against wind noise for outdoor applications.</t>
  </si>
  <si>
    <t>MZH 400</t>
  </si>
  <si>
    <t>Furry windshield designed for MKE 400 to protect against wind noise for outdoor applications.</t>
  </si>
  <si>
    <t>MZH 440</t>
  </si>
  <si>
    <t>Foam windshield for MKE 440 (velourised)</t>
  </si>
  <si>
    <t>MZH 600</t>
  </si>
  <si>
    <t>Hairy windscreen for MKE600</t>
  </si>
  <si>
    <t>MZQ 600</t>
  </si>
  <si>
    <t>Microphone Clamp for MKE 600</t>
  </si>
  <si>
    <t>MZS 600</t>
  </si>
  <si>
    <t>Camera shockmount for MKE 600</t>
  </si>
  <si>
    <t>MZW 400</t>
  </si>
  <si>
    <t>MZW 600</t>
  </si>
  <si>
    <t>Foam windscreen for MKE600</t>
  </si>
  <si>
    <t>XS LAV - FOAM WINDSHIELD</t>
  </si>
  <si>
    <t>Foam windshield for XS Lav USB-C and XS Lav Mobile</t>
  </si>
  <si>
    <t>CL 35 USB-C</t>
  </si>
  <si>
    <t>Locking 3.5mm TRS to USB-C coiled cable. Designed for MKE 200, MKE 400 and XS Wireless Digital Portable receiver (RX 35) for use with mobile devices</t>
  </si>
  <si>
    <t>KA 600</t>
  </si>
  <si>
    <t>XLR-3 to a 3.5 mm connector cable for shotgun microphones</t>
  </si>
  <si>
    <t>KA 600 I</t>
  </si>
  <si>
    <t>XLR-3 to a 3.5 mm smartphone connector cable for shotgun microphones</t>
  </si>
  <si>
    <t>MMD 42-1</t>
  </si>
  <si>
    <t>Omnidirectional dynamic microphone capsule compatible with AVX, D1, SpeechLine DW, evolution wireless and 2000, 6000 and 9000 Series microphones</t>
  </si>
  <si>
    <t>Lavalier - Clip Mic</t>
  </si>
  <si>
    <t>XS LAV MOBILE</t>
  </si>
  <si>
    <t>Omnidirectional lavalier microphone with 2 m (6.6') cable and 3.5 mm TRRS connector designed for use with mobile devices and computers for recording purposes. Note: TRRS connection will disable audio output on jack connector; for two-way communication needs, use XS Lav USB-C. Includes (1) (1) Foam windshield for XS Lav, (1) Lavalier clip and (1) Pouch</t>
  </si>
  <si>
    <t>XS LAV USB-C</t>
  </si>
  <si>
    <t>Omnidirectional lavalier microphone with 2 m (6.6') cable and USB-C connector designed for use with mobile devices and computers with USB-C inputs. Note: Third party USB-C to USB-A adapters may be used for connectivity to USB-A devices. Includes (1) Foam windshield for XS Lav, (1) Lavalier clip and (1) Pouch</t>
  </si>
  <si>
    <t>XS LAV USB-C MOBILE KIT</t>
  </si>
  <si>
    <t>USB-C lavalier kit. Includes (1) XS Lav USB-C lavalier microphone, (1) Manfrotto PIXI Mini Tripod, (1) Smartphone clamp with cold-shoe mount, (1) Foam windshield for XS Lav, (1) Lavalier clip and (1) Pouch</t>
  </si>
  <si>
    <t>MKE MINI</t>
  </si>
  <si>
    <t>MKE with 3,5 mm jack and 9 cm length. Includes (1) lanyard, (2) clips and (1) MZW2 windscreen, black</t>
  </si>
  <si>
    <t>ME 2</t>
  </si>
  <si>
    <t>Omnidirectional electret condenser lavalier with clip and grille. Compatible with AVX, SpeechLine DW, XSW 1 &amp; 2, and evolution wireless D1.</t>
  </si>
  <si>
    <t>ME 4</t>
  </si>
  <si>
    <t>Cardioid electret condenser lavalier with clip and windscreen</t>
  </si>
  <si>
    <t>MKE 1-4</t>
  </si>
  <si>
    <t>Miniature clip-on microphone, omnidirectional, for SK 50/250/2000/5212/6000/9000, 3-pin SE connector, anthracite, accessories not included</t>
  </si>
  <si>
    <t>MKE 1-4-1</t>
  </si>
  <si>
    <t>Miniature clip-on microphone, omnidirectional, for SK 50/250/2000/5212/6000/9000, 3-pin SE connector, white, accessories not included</t>
  </si>
  <si>
    <t>MKE 1-4-2</t>
  </si>
  <si>
    <t>Miniature clip-on microphone, omnidirectional, for SK 50/250/2000/5212/6000/9000, 3-pin SE connector, brown, accessories not included</t>
  </si>
  <si>
    <t>MKE 1-4-3</t>
  </si>
  <si>
    <t>Miniature clip-on microphone, omnidirectional, for SK 50/250/2000/5212/6000/9000, 3-pin SE connector, beige, accessories not included</t>
  </si>
  <si>
    <t>MKE 1-4-M</t>
  </si>
  <si>
    <t>Miniature clip-on microphone, omnidirectional, for SK 50/250/2000/5212/6000/9000, 3-pin SE connector, light beige, musical version, can be colored</t>
  </si>
  <si>
    <t>MKE 1-5</t>
  </si>
  <si>
    <t>Ultra-miniature omni-directional lavalier with 3.3 mm capsule, reduced sensitivity 5 mV/Pa, ultra-thin cable (1.1 mm), pigtails. No accessories (black)</t>
  </si>
  <si>
    <t>MKE 1-5-3</t>
  </si>
  <si>
    <t>Ultra-miniature omni-directional lavalier, 3.3 mm capsule, reduced sensitivity 5 mV/Pa, ultra-thin cable (1.1 mm), pigtails, does not include accessories (beige)</t>
  </si>
  <si>
    <t>MKE 1-EW</t>
  </si>
  <si>
    <t>Ultra-miniature omni lavalier with 3.3 mm capsule, reduced sensitivity (5 mV/Pa), ultra-thin cable (1.1 mm) and 3.5mm locking connector and 3.5mm locking connector for evolution wireless . No accessories. (black)</t>
  </si>
  <si>
    <t>MKE 1-EW-3</t>
  </si>
  <si>
    <t>Ultra-miniature omni lavalier with 3.3 mm capsule, reduced sensitivity 5 mV/Pa, ultra-thin cable (1.1 mm) and 3.5mm locaking connector for evolution wireless. No accessories (beige)</t>
  </si>
  <si>
    <t>MKE 2 (BEIGE 3-PIN)</t>
  </si>
  <si>
    <t>Clip-on microphone, omnidirectional, 3-pin SE connector for SK 50/250/2000/5212/6000/9000, beige, accessories not included</t>
  </si>
  <si>
    <t>MKE 2 (BEIGE EW)</t>
  </si>
  <si>
    <t>Omni lavalier, reduced sensitivity, with 3.5mm evolution wireless connector. Includes MZQ222 clip and MZW2 windscreen. Beige.</t>
  </si>
  <si>
    <t>MKE 2 (BEIGE OPEN END)</t>
  </si>
  <si>
    <t>Omni-directional lavalier, reduced sensitivity, pigtails, no accessories. Beige.</t>
  </si>
  <si>
    <t>MKE 2 (BLACK 3-PIN)</t>
  </si>
  <si>
    <t>Clip-on microphone, omnidirectional, 3-pin SE connector for SK 50/250/2000/5212/6000/9000, anthracite, accessories not included</t>
  </si>
  <si>
    <t>MKE 2 (BLACK EW)</t>
  </si>
  <si>
    <t>Omni lavalier, reduced sensitivity, with evolution wireless connector. Includes MZQ222 clip and MZW2 windscreen. Black.</t>
  </si>
  <si>
    <t>MKE 2 (BLACK OPEN END)</t>
  </si>
  <si>
    <t>Omni-directional lavalier, reduced sensitivity, pigtails, no accessories. Black.</t>
  </si>
  <si>
    <t>MKE 2 (BLACK XLR)</t>
  </si>
  <si>
    <t>MKE2 Gold omni lavalier with integrated phantom-power adapter (XLR) for hard-wired applications. (does not include accessories)</t>
  </si>
  <si>
    <t>MKE 40-EW</t>
  </si>
  <si>
    <t>Clip-on microphone with cardioid pattern, with TRS connector. (EW)</t>
  </si>
  <si>
    <t>$ 1.152.522,00</t>
  </si>
  <si>
    <t>$ 952.490,00</t>
  </si>
  <si>
    <t>MKE ESSENTIAL OMNI-BEIGE</t>
  </si>
  <si>
    <t>Lavalier microphone (omnidirectional, pre-polarized condenser) with 1.6m cable for XS Wireless and evolution wireless, beige. Includes (1) MKE Essential omni-beige with 3.5mm jack, (1) MZQ 02 microphone clamp and (1) SL MZW 1 foam windscreen</t>
  </si>
  <si>
    <t>MKE ESSENTIAL OMNI-BEIGE-3-PIN</t>
  </si>
  <si>
    <t>Lavalier microphone (omnidirectional, pre-polarized condenser) with 1.6m cable for 2000, 5000, 6000 and 9000 Series, beige. Includes (1) MKE Essential omni-beige with 3-Pin connector, (1) MZQ 02 microphone clamp and (1) SL MZW 1 foam windscreen</t>
  </si>
  <si>
    <t>MKE ESSENTIAL OMNI-BLACK</t>
  </si>
  <si>
    <t>Lavalier microphone (omnidirectional, pre-polarized condenser) with 1.6m cable for XS Wireless and evolution wireless, black. Includes (1) MKE Essential omni-black with 3.5mm jack, (1) MZQ 02 microphone clamp and (1) SL MZW 1 foam windscreen</t>
  </si>
  <si>
    <t>MKE ESSENTIAL OMNI-BLACK-3-PIN</t>
  </si>
  <si>
    <t>Lavalier microphone (omnidirectional, pre-polarized condenser) with 1.6m cable for 2000, 5000, 6000 and 9000 Series, black. Includes (1) MKE Essential omni-black with 3-Pin connector, (1) MZQ 02 microphone clamp and (1) SL MZW 1 foam windscreen</t>
  </si>
  <si>
    <t>MKE102-4</t>
  </si>
  <si>
    <t>Complete MKE102 omni lavalier kit. Includes ME102 capsule, KA100-4 right angle cable with 3-pin connector, MZW102 windscreen and MZQ100-ANT clip. Black</t>
  </si>
  <si>
    <t>$ 1.190.896,00</t>
  </si>
  <si>
    <t>$ 984.214,00</t>
  </si>
  <si>
    <t>MKE102-ew</t>
  </si>
  <si>
    <t>Complete MKE102 omni lavalier kit for evolution wireless. Includes ME102 omni capsule, KA100-ew right-angle cable, MZW102 windscreen and MZQ100-ANT clip. Black</t>
  </si>
  <si>
    <t>MKE102S-4</t>
  </si>
  <si>
    <t>Complete MKE102 omni lavalier kit for 2000 / 3000 / 5000 Series. Includes ME102 omni capsule, KA100S-4 straight cable with 3-pin connector, MZW102 windscreen and MZQ222 clip. Black</t>
  </si>
  <si>
    <t>MKE102S-5</t>
  </si>
  <si>
    <t>MKE102 omni lavalier kit with pigtails. Includes ME102 omni capsule, KA100S-5 straight cable (stripped and tinned leads), MZW 102 windscreen and MZQ222 clip. Black</t>
  </si>
  <si>
    <t>MKE102S-60</t>
  </si>
  <si>
    <t>MKE102 omni lavalier kit for K6. Includes ME102 omni capsule, KA100S-60 straight cable with K6 collar, MZW102 windscreen, MZQ222 clip. Black</t>
  </si>
  <si>
    <t>MKE102S-ew</t>
  </si>
  <si>
    <t>MKE102 omni lavalier kit for evolution wireless. Includes ME102 omni capsule, KA100S-ew straight cable with EW connector, MZW102 windscreen and MZQ222 clip. Black</t>
  </si>
  <si>
    <t>MKE102S-ewBEI</t>
  </si>
  <si>
    <t>MKE102 omni lavalier kit for evolution wireless. Includes ME102 omni capsule (nickel), KA100S-ew straight cable (beige) with EW connector, MZW102 windscreen and MZQ222 clip.Beige.</t>
  </si>
  <si>
    <t>MKE104-4</t>
  </si>
  <si>
    <t>MKE104 cardioid lavalier kit for 2000 / 3000 / 5000 Series. Includes ME104 cardioid capsule, KA100-4 right angle cable with 3-pin connector, MZW104 windscreen and MZQ100-ANT clip. Black</t>
  </si>
  <si>
    <t>MKE104-5</t>
  </si>
  <si>
    <t>MKE104 cardioid lavalier kit with pigtails. Includes ME104 cardioid capsule, KA100-5 right angle cable with stripped and tinned leads, MZW104 windscreen and MZQ100-ANT clip. Black</t>
  </si>
  <si>
    <t>MKE104-ew</t>
  </si>
  <si>
    <t>MKE104 cardioid lavalier kit for evolution wireless. Includes ME104 cardioid capsule, KA100-ew right angle cable with EW connector, MZW104 windscreen and MZQ100-ANT clip. Black</t>
  </si>
  <si>
    <t>MKE104S-4</t>
  </si>
  <si>
    <t>MKE104 cardioid lavalier kit for 2000 / 3000 / 5000 Series. Includes ME104 cardioid capsule, KA100S-4 straight cable with 3-pin connector, MZW104 windscreen and MZQ222 clip. Black</t>
  </si>
  <si>
    <t>MKE104S-4BEI</t>
  </si>
  <si>
    <t>MKE104 cardioid lavalier kit for 2000 / 3000 / 5000 Series. Includes ME104 cardioid capsule (nickel), KA100S-4 straight cable (beige) with 3-pin connector, MZW104 windscreen and MZQ222 clip.</t>
  </si>
  <si>
    <t>MKE104S-5</t>
  </si>
  <si>
    <t>MKE104 cardioid lavalier kit with pigtails. Includes ME104 cardioid capsule, KA100-5 right-angle cable with stripped and tinned leads, MZW104 windscreen and MZQ100-ANT clip. Black</t>
  </si>
  <si>
    <t>MKE104S-5BEI</t>
  </si>
  <si>
    <t>MKE104 cardioid lavalier kit with pigtails. Includes ME104 cardioid capsule (nickel), KA100-5 right-angle cable (beige) with stripped and tinned leads, MZW104 windscreen and beige MZQ100 clip.</t>
  </si>
  <si>
    <t>MKE104S-60</t>
  </si>
  <si>
    <t>MKE104 cardioid lavalier kit for K6. Includes ME104 cardioid capsule, KA100S-60 straight cable with K6 collar, MZW104 windscreen and MZQ222 clip. Black</t>
  </si>
  <si>
    <t>MKE104S-60BEI</t>
  </si>
  <si>
    <t>MKE104 cardioid lavalier system for K6. Includes ME104 cardioid capsule (nickel), KA100S-60 (beige) straight cable with K6 collar, MZW104 windscreen and MZQ222 clip.</t>
  </si>
  <si>
    <t>MKE104S-ew</t>
  </si>
  <si>
    <t>MKE104 cardioid lavalier kit for evolution wireless. Includes ME104 cardioid capsule, KA100S-ew straight cable with EW connector, MZW104 windscreen and MZQ222 clip. Black</t>
  </si>
  <si>
    <t>MKE104S-ewBEI</t>
  </si>
  <si>
    <t>MKE104 cardioid lavalier kit for evolution wireless. Includes ME104 cardioid capsule (nickel), KA100S-ew straight cable (beige) with EW connector, MZW104 windscreen and MZQ222 clip.</t>
  </si>
  <si>
    <t>MKE105-4</t>
  </si>
  <si>
    <t>MKE105 supercardioid lavalier kit for 2000 / 3000 / 5000 Series. Includes ME105 supercardioid capsule, KA100S-4 straight cable with 3-pin connector, MZW104 windscreen and MZQ222 clip. Black</t>
  </si>
  <si>
    <t>MKE105-5</t>
  </si>
  <si>
    <t>MKE105 lavalier kit with pigtails (stripped and tinned leads, no connector). Includes ME105 supercardioid capsule, KA100-5 cable, windscreen (MZW104) and clip (MZQ100).</t>
  </si>
  <si>
    <t>MKE105S-4</t>
  </si>
  <si>
    <t>MKE105 supercardioid lavalier kit. Includes ME105 supercardioid capsule, KA100S-4 straight cable with 3-pin connector, MZW104 windscreen and MZQ222 clip. Black</t>
  </si>
  <si>
    <t>MKE105S-4BEI</t>
  </si>
  <si>
    <t>MKE105 supercardioid lavalier kit for 2000, 3000 &amp; 5000 Series. Includes ME105 supercardioid capsule (nickel), KA100-4 straight cable (beige) with 3-pin connector, MZW104 windscreen and MZQ222 clip. Beige.</t>
  </si>
  <si>
    <t>MKE105S-5</t>
  </si>
  <si>
    <t>MKE105 supercardioid lavalier kit with pigtails. Includes ME105 supercardioid capsule, KA100S-5 straight cable with stripped and tinned leads, MZW104 windscreen and MZQ100-ANT clip. Black</t>
  </si>
  <si>
    <t>MKE1-5-3-K</t>
  </si>
  <si>
    <t>Complete MKE 1 lavalier kit featuring (beige) MKE1 with 3.3 mm capsule, reduced sensitivity 5 mV/Pa, ultra-thin cable (1.1 mm) with pigtails. Includes windscreen, MZQ222 clip and pouch.</t>
  </si>
  <si>
    <t>$ 1.611.260,00</t>
  </si>
  <si>
    <t>$ 1.331.624,00</t>
  </si>
  <si>
    <t>MKE1-5-K</t>
  </si>
  <si>
    <t>Complete MKE 1 lavalier kit featuring (black) MKE1 with 3.3 mm capsule, reduced sensitivity 5 mV/Pa, ultra-thin cable (1.1 mm), pigtails, includes clip MZQ222 and pouch, black</t>
  </si>
  <si>
    <t>MKE2-4-3K GOLD</t>
  </si>
  <si>
    <t>Complete omni lavalier kit featuring (beige) MKE 2 Gold (reduced sensitivity, 6.3 mV/Pa) with 3-pin connector for 2000 /3000 / 5000 Series. Kit includes MZQ222 clip and MZW2 windscreen, beige</t>
  </si>
  <si>
    <t>$ 1.471.134,00</t>
  </si>
  <si>
    <t>$ 1.215.816,00</t>
  </si>
  <si>
    <t>MKE2-4-K GOLD</t>
  </si>
  <si>
    <t>Complete MKE 2 lavalier kit featuring (black) MKE 2 Gold (reduced sensitivity, 6.3 mV/Pa) with 3-pin connector for 2000 /3000 / 5000 Series. Kit includes MZQ222 clip and MZW2 windscreen, black</t>
  </si>
  <si>
    <t>MKE2-5-3GOLDKIT</t>
  </si>
  <si>
    <t>Complete MKE 2 lavalier kit featuring (beige) MKE2 Gold with pigtails. Kit includes MZQ222 clip and MZW2 windscreen.</t>
  </si>
  <si>
    <t>$ 1.331.022,00</t>
  </si>
  <si>
    <t>$ 1.100.008,00</t>
  </si>
  <si>
    <t>MKE2-5-K GOLD</t>
  </si>
  <si>
    <t>Complete MKE 2 lavalier kit featuring (black) MKE2 Gold with pigtails. Kit includes MZQ222 clip and MZW2 windscreen.</t>
  </si>
  <si>
    <t>MKE2-P-K</t>
  </si>
  <si>
    <t>Complete MKE2 omni lavalier kit featuring MKE2 Gold with integrated phantom-power adapter (XLR) for hard-wired applications. Kit includes accessories.</t>
  </si>
  <si>
    <t>MZ 1</t>
  </si>
  <si>
    <t>MKE 1 Accessory Kit, consisting of (2) each MZQ1 mini clips, MZQ10 mini-clamps, ZH1 pin mounts, MZM1 magnetic mounts with lanyard and MZW01 windshield baskets (black and beige for each), (4) MZW02 foam windshields (black, white, brown, beige), and plastic case</t>
  </si>
  <si>
    <t>MZ 100</t>
  </si>
  <si>
    <t>MKE102/104 Accessory Kit, consisting of MZQ222, MZQ222-NI, MZQ100-ANT, MZQ100-GR, ZH100-ANT, ZH100-GR and case</t>
  </si>
  <si>
    <t>MZ 2</t>
  </si>
  <si>
    <t>MKE 2 Accessory Kit, consisting of MZQ222-NI, MZQ222, MZW2-A, MZW2-G, ZH100-ANT, ZH100-BEI and case</t>
  </si>
  <si>
    <t>MZM10/2</t>
  </si>
  <si>
    <t>Magnetic microphone holder system for MKE2, MKE102, MKE104. Consists of MZM2 and MZM10.</t>
  </si>
  <si>
    <t>MZQ 200</t>
  </si>
  <si>
    <t>Lavalier cable clip for Dual lavalier MZQ02</t>
  </si>
  <si>
    <t>MZW2-F</t>
  </si>
  <si>
    <t>Foam windscreen for MKE2 and MKE platinum</t>
  </si>
  <si>
    <t>Accesorios Lavalier - Clip Mic</t>
  </si>
  <si>
    <t>KA100-ew ANT</t>
  </si>
  <si>
    <t>Right angle, copper core cable (black) for ME Modular capsules. 3.5mm screw-on plug for evolution wireless</t>
  </si>
  <si>
    <t>KA100-P ANT</t>
  </si>
  <si>
    <t>Right angle, copper core cable (black) for ME Modular capsules. XLR connector with integrated (P48 to P12) power adapter</t>
  </si>
  <si>
    <t>KA100S-ew ANT</t>
  </si>
  <si>
    <t>Straight, steel reinforced cable (black) for ME Modular capsules. 3.5mm screw-on plug for evolution wireless</t>
  </si>
  <si>
    <t>KA100S-ewBEI</t>
  </si>
  <si>
    <t>Straight, steel reinforced cable (beige) for ME Modular capsules. 3.5mm screw-on plug for evolution wireless</t>
  </si>
  <si>
    <t>KA100S-PBEI</t>
  </si>
  <si>
    <t>Straight, steel reinforced cable (beige) for ME Modular capsules. XLR connector with integrated (P48 to P12) power adapter.</t>
  </si>
  <si>
    <t>IEM 2000 Series</t>
  </si>
  <si>
    <t>EK 2000 IEM-AW+</t>
  </si>
  <si>
    <t>Bodypack receiver, HDX, adaptive diversity, stereo, charging contacts, 2x Mignon, includes earpiece IE 4, frequency range: AW+ (470-558 MHz)</t>
  </si>
  <si>
    <t>EK 2000 IEM-BW</t>
  </si>
  <si>
    <t>EK 2000 IEM-GBW</t>
  </si>
  <si>
    <t>EK 2000 IEM-GW</t>
  </si>
  <si>
    <t>EK 2000 IEM-GW1</t>
  </si>
  <si>
    <t>Bodypack receiver, HDX, adaptive diversity, stereo, charging contacts, 2x Mignon, includes earpiece IE 4, 516-558 MHz, frequency range: GW1 (558-608 MHz)</t>
  </si>
  <si>
    <t>SR 2050 IEM BW</t>
  </si>
  <si>
    <t>$ 6.302.072,00</t>
  </si>
  <si>
    <t>$ 5.208.322,00</t>
  </si>
  <si>
    <t>SR 2050 IEM GW</t>
  </si>
  <si>
    <t>SR 2050 IEM-AW+</t>
  </si>
  <si>
    <t>2-channel stereo transmitter, HDX, Ethernet (WSM), 19"/1HE, 100-240 VAC, includes rod antenna, frequency range: AW+ (470-558 MHz)</t>
  </si>
  <si>
    <t>SR 2050 IEM-GBW</t>
  </si>
  <si>
    <t>SR 2050XP IEM-AW+</t>
  </si>
  <si>
    <t>2-channel stereo transmitter, HDX, Ethernet (WSM), 19"/1HE, 100-240 VAC, includes rod antenna, frequency range: AW+ (470-558 MHz) - EXTRA POWER</t>
  </si>
  <si>
    <t>SR 2050XP IEM-GW1</t>
  </si>
  <si>
    <t>2-channel stereo transmitter, HDX, Ethernet (WSM), 19"/1HE, 100-240 VAC, includes rod antenna, frequency range: GW1 (558-608 MHz)</t>
  </si>
  <si>
    <t>BA 2015</t>
  </si>
  <si>
    <t>Battery pack, NiMh, for components of the SK G3/G4 series and 2000 series</t>
  </si>
  <si>
    <t>$ 294.098,00</t>
  </si>
  <si>
    <t>$ 243.054,00</t>
  </si>
  <si>
    <t>L 1039-10</t>
  </si>
  <si>
    <t>Rack-mountable charging solution for bodypack transmitters and receivers</t>
  </si>
  <si>
    <t>Headsets</t>
  </si>
  <si>
    <t>BOOM HEADMIC 1-4 NC BE</t>
  </si>
  <si>
    <t>BOOM HEADMIC 1-4 NC BK</t>
  </si>
  <si>
    <t>BOOM HEADMIC 1-4 NC SB</t>
  </si>
  <si>
    <t>BOOM MIC HSP ESSENTIAL-BE</t>
  </si>
  <si>
    <t>Replacement boom mic and cable for HSP Essential Omni, 3.5mm connector, beige. Neckband sold separately</t>
  </si>
  <si>
    <t>BOOM MIC HSP ESSENTIAL-BE-3PIN</t>
  </si>
  <si>
    <t>Replacement boom mic and cable for HSP Essential Omni, 3-pin connector, beige. Neckband sold separately</t>
  </si>
  <si>
    <t>BOOM MIC HSP ESSENTIAL-BK</t>
  </si>
  <si>
    <t>Replacement boom mic and cable for HSP Essential Omni, 3.5mm connector, black. Neckband sold separately</t>
  </si>
  <si>
    <t>BOOM MIC HSP ESSENTIAL-BK-3PIN</t>
  </si>
  <si>
    <t>Replacement boom mic and cable for HSP Essential Omni, 3-pin connector, black. Neckband sold separately</t>
  </si>
  <si>
    <t>FRAME HEADMIC 1-4 NC BE</t>
  </si>
  <si>
    <t>FRAME HEADMIC 1-4 NC BK</t>
  </si>
  <si>
    <t>FRAME HEADMIC 1-4 NC SB</t>
  </si>
  <si>
    <t>HM 200</t>
  </si>
  <si>
    <t>Neckband microphone with MKE 1 microphone capsule (omnidirectional, condenser) with 3-pin connector. Includes (1) foam windshield (beige), (1) protection cap (beige), (1) small protection cap (beige), (6) attachment clips, and (1) transport case</t>
  </si>
  <si>
    <t>HS 2 BE 3-PIN</t>
  </si>
  <si>
    <t>Neckworn microphone, omnidirectional, MKE 2 capsule, black, 1.6m cable with 3-pin SE connector for SK 6000/9000</t>
  </si>
  <si>
    <t>HS 2 BK 3-PIN</t>
  </si>
  <si>
    <t>HS 2 BK</t>
  </si>
  <si>
    <t>Neckworn microphone, omnidirectional, MKE 2 capsule, black, 1.6m cable with 3.5mm jack, for EW-D SK, SL Bodypack DW, SK 100/300/500 G4</t>
  </si>
  <si>
    <t>$ 1.292.648,00</t>
  </si>
  <si>
    <t>$ 1.068.298,00</t>
  </si>
  <si>
    <t>HSP 2</t>
  </si>
  <si>
    <t>Neckband microphone, omnidirectional, platinum capsule, for SK 50/250/2000/5212/6000/9000, 3-pin SE connector, cable 1.6m, anthracite</t>
  </si>
  <si>
    <t>HSP 2-3</t>
  </si>
  <si>
    <t>Neckband microphone, omnidirectional, platinum capsule, for SK 50/250/2000/5212/6000/9000, 3-pin SE connector, cable 1.6m, beige</t>
  </si>
  <si>
    <t>HSP 2-EW</t>
  </si>
  <si>
    <t>Lightweight neckband mic assembly with omni-directional MKE platinum capsule (black), ew connector (3 oz.). Also available in a medium size variant (add -M).</t>
  </si>
  <si>
    <t>HSP 2-EW-3</t>
  </si>
  <si>
    <t>Lightweight neckband mic assembly with omni-directional MKE platinum capsule (beige), ew connector (3 oz.). Also available in a medium size variant (add -M).</t>
  </si>
  <si>
    <t>HSP 4</t>
  </si>
  <si>
    <t>Neckband microphone, cardioid, for SK 50/250/2000/5212/6000/9000, 3-pin SE connector, cable 1.6m, anthracite</t>
  </si>
  <si>
    <t>HSP 4-3</t>
  </si>
  <si>
    <t>Neckband microphone, cardioid, for SK 50/250/2000/5212/6000/9000, 3-pin SE connector, cable 1.6m, beige</t>
  </si>
  <si>
    <t>HSP 4-EW</t>
  </si>
  <si>
    <t>Lightweight neckband mic assembly with cardioid MKE platinum variant (black). ew connector. 3 oz. Also available in medium-sized variant (add -M).</t>
  </si>
  <si>
    <t>HSP 4-EW-3</t>
  </si>
  <si>
    <t>Lightweight neckband mic assembly with cardioid MKE platinum variant (beige). ew connector. 3 oz.</t>
  </si>
  <si>
    <t>HSP ESSENTIAL OMNI-BEIGE</t>
  </si>
  <si>
    <t>Headset microphone (omnidirectional, pre-polarized condenser) with 1.6m cable for XS Wireless and evolution wireless, beige. Includes (1) HSP Essential omni-beige with 3.5mm jack, (1) SL MZW 1 foam windscreen and (1) soft pouch</t>
  </si>
  <si>
    <t>HSP ESSENTIAL OMNI-BEIGE-3-PIN</t>
  </si>
  <si>
    <t>Headset microphone (omnidirectional, pre-polarized condenser) with 1.3m fixed cable beige, for 2000, 5000, 6000 and 9000 Series. Includes (1) HSP Essential omni-beige with 3-Pin connector, (1) SL MZW 1 foam windscreen and (1) soft pouch</t>
  </si>
  <si>
    <t>HSP ESSENTIAL OMNI-BLACK</t>
  </si>
  <si>
    <t>Headset microphone (omnidirectional, pre-polarized condenser) with 1.6m cable for XS Wireless and evolution wireless, black. Includes (1) HSP Essential omni-black with 3.5mm jack, (1) SL MZW 1 foam windscreen and (1) soft pouch</t>
  </si>
  <si>
    <t>HSP ESSENTIAL OMNI-BLACK-3-PIN</t>
  </si>
  <si>
    <t>Headset microphone (omnidirectional, pre-polarized condenser) with 1.3m fixed cable for 2000, 5000, 6000 and 9000 Series, black. Includes (1) HSP Essential omni-black with 3-Pin connector, (1) SL MZW 1 foam windscreen and (1) soft pouch</t>
  </si>
  <si>
    <t>HSP TRANSPORT CASE</t>
  </si>
  <si>
    <t>Storage and transport case for HSP 2, HSP 4 and HSP Essential Omni</t>
  </si>
  <si>
    <t>ME 3</t>
  </si>
  <si>
    <t>Wireless headmic (cardioid, condenser), for SK 100/300/500/D1/AVX/SL with ew stereo jack, anthracite</t>
  </si>
  <si>
    <t>NECKBAND FOR HSP ESSENTIAL</t>
  </si>
  <si>
    <t>Replacement Neckband for HSP Essential OmniBoom mic</t>
  </si>
  <si>
    <t>SL HEADMIC 1 -4 BE</t>
  </si>
  <si>
    <t>Neckband microphone (omnidirectional, condenser) . Includes (1) connection cable, (1) MZC 2 frequency response cap, (1) SL MZW 1 windscreen, and (1) soft carrying case, beige</t>
  </si>
  <si>
    <t>SL HEADMIC 1 -4 BE -NC</t>
  </si>
  <si>
    <t>Omnidirectional neckband microphone, beige, fixed connection cable 1.6 m, 3-pin, SE plug</t>
  </si>
  <si>
    <t>SL HEADMIC 1 -4 BK</t>
  </si>
  <si>
    <t>Neckband microphone (omnidirectional, condenser) . Includes (1) connection cable, (1) MZC 2 frequency response cap, (1) SL MZW 1 windscreen, and (1) soft carrying case, black</t>
  </si>
  <si>
    <t>SL HEADMIC 1 -4 BK -NC</t>
  </si>
  <si>
    <t>Omnidirectional neckband microphone, black, fixed connection cable 1.6 m, 3-pin, SE plug</t>
  </si>
  <si>
    <t>SL HEADMIC 1 -4 SB</t>
  </si>
  <si>
    <t>Neckband microphone (omnidirectional, condenser) . Includes (1) connection cable, (1) MZC 2 frequency response cap, (1) SL MZW 1 windscreen, and (1) soft carrying case, silver</t>
  </si>
  <si>
    <t>SL HEADMIC 1 -4 SB -NC</t>
  </si>
  <si>
    <t>Omnidirectional neckband microphone, silver/black, fixed connection cable 1.6 m, 3-pin, SE plug</t>
  </si>
  <si>
    <t>SL HEADMIC 1 BE</t>
  </si>
  <si>
    <t>Neckband microphone with MKE 1 microphone capsule (omnidirectional, condenser) with EW jack. Includes (1) 3.5mm connection cable, (1) MZC 2 frequency response cap, (1) SL MZW 1 windscreen, and (1) soft carrying case, beige</t>
  </si>
  <si>
    <t>SL HEADMIC 1 BK</t>
  </si>
  <si>
    <t>Neckband microphone with MKE 1 microphone capsule (omnidirectional, condenser) with EW jack. Includes (1) 3.5mm connection cable, (1) MZC 2 frequency response cap, (1) SL MZW 1 windscreen, and (1) soft carrying case, black</t>
  </si>
  <si>
    <t>SL HEADMIC 1 SB</t>
  </si>
  <si>
    <t>Neckband microphone with MKE 1 microphone capsule (omnidirectional, condenser) with EW jack. Includes (1) 3.5mm connection cable, (1) MZC 2 frequency response cap, (1) SL MZW 1 windscreen, and (1) soft carrying case, silver</t>
  </si>
  <si>
    <t>Cápsulas SKM</t>
  </si>
  <si>
    <t>Neumann</t>
  </si>
  <si>
    <t>KK 204</t>
  </si>
  <si>
    <t>Neumann microphone module for SKM 500 G4/2000/6000/9000, condenser, cardioid, nickel</t>
  </si>
  <si>
    <t>KK 204 blk</t>
  </si>
  <si>
    <t>Neumann microphone module for SKM 500 G4/2000/6000/9000, condenser, cardioid, black</t>
  </si>
  <si>
    <t>KK 205</t>
  </si>
  <si>
    <t>Neumann microphone module for SKM 500 G4/2000/6000/9000, condenser, supercardioid, nickel</t>
  </si>
  <si>
    <t>KK 205 BK</t>
  </si>
  <si>
    <t>Neumann microphone module for SKM 500 G4/2000/6000/9000, condenser, supercardioid, black</t>
  </si>
  <si>
    <t>MD 435</t>
  </si>
  <si>
    <t>Handheld microphone (cardioid, dynamic) with 3-pin XLR-M. Includes (1) MZQ 800 clip and (1) carrying pouch</t>
  </si>
  <si>
    <t>MD 435 BASKET BLACK</t>
  </si>
  <si>
    <t>MD 435 POP PROTECTION</t>
  </si>
  <si>
    <t>$ 52.388,00</t>
  </si>
  <si>
    <t>$ 43.288,00</t>
  </si>
  <si>
    <t>MD 445</t>
  </si>
  <si>
    <t>Handheld microphone (high-rejection super cardioid, dynamic) with 3-pin XLR-M. Includes (1) MZQ 800 clip and (1) carrying pouch</t>
  </si>
  <si>
    <t>MD 445 BASKET BLACK</t>
  </si>
  <si>
    <t>MD 445 POP PROTECTION</t>
  </si>
  <si>
    <t>MM 435</t>
  </si>
  <si>
    <t>Microphone module for MD 435 (cardioid, dynamic)</t>
  </si>
  <si>
    <t>MM 435 POP PROTECTION</t>
  </si>
  <si>
    <t>MM 435 TOP BASKET</t>
  </si>
  <si>
    <t>MM 445</t>
  </si>
  <si>
    <t>Microphone module for MD 445 (super cardioid, dynamic)</t>
  </si>
  <si>
    <t>MM 445 POP PROTECTION</t>
  </si>
  <si>
    <t>MM 445 TOP BASKET</t>
  </si>
  <si>
    <t>MMD 835-1 BK</t>
  </si>
  <si>
    <t>Microphone module, dynamic, cardioid, for SKM 100/300/500 G3 and G4, SKM 2000/6000/9000, SKM D1/AVX, SL Handheld DW, black</t>
  </si>
  <si>
    <t>MMD 845-1 BK</t>
  </si>
  <si>
    <t>Microphone module, dynamic, supercardioid, for SKM 100/300/500 G3 and G4, SKM 2000/6000/9000, SKM D1/AVX, SL Handheld DW, black</t>
  </si>
  <si>
    <t>MMD 935-1 BK</t>
  </si>
  <si>
    <t>MMD 945-1 BK</t>
  </si>
  <si>
    <t>MME 865-1 BK</t>
  </si>
  <si>
    <t>Microphone module, condenser, supercardioid, for SKM 100/300/500 G3 and G4, SKM 2000/6000/9000, SKM D1/AVX, SL Handheld DW, black</t>
  </si>
  <si>
    <t>MMK 965-1 BK</t>
  </si>
  <si>
    <t>Microphone module, condenser, cardioid/supercardioid, for SKM 100/300/500 G3 and G4, SKM 2000/6000/9000, SKM D1/AVX, SL Handheld DW, black</t>
  </si>
  <si>
    <t>MMK 965-1 NI</t>
  </si>
  <si>
    <t>Microphone module, condenser, cardioid/supercardioid, for SKM 100/300/500 G3 and G4, SKM 2000/6000/9000, SKM D1/AVX, SL Handheld DW, nickel</t>
  </si>
  <si>
    <t>Sistemas AVX Series</t>
  </si>
  <si>
    <t>AVX ME2/835 SET-4</t>
  </si>
  <si>
    <t>Wireless vocal set. Includes (1) EKP AVX receiver, (1) SK AVX bodypack transmitter, (1) ME 2 clip-on microphone (omnidirectional, condenser), (1) SKM AVX handheld transmitter with MMD 835 capsule (cardioid, dynamic), (1) BA 10 rechargeable battery, (1) BA 20 rechargeable battery, (1) BA 30 rechargeable battery, (1) EKP AVX adapter, (1) NT 5-10U power supply, (1) CI 400 adapter cable, (1) microphone stand clamp for handheld transmitter and (1) bag</t>
  </si>
  <si>
    <t>AVX-835 SET-4</t>
  </si>
  <si>
    <t>Wireless vocal set. Includes (1) EKP AVX receiver, (1) SKM AVX-S with mute switch and MMD 835-1 capsule (cardioid, dynamic), (1) BA 10 rechargeable battery, (1) BA 20 rechargeable battery, (1) EKP AVX adapter, (1) NT 5-10U power supply, (1)CI 400 adapter cable, (1) microphone stand clamp for handheld transmitter and (1) bag</t>
  </si>
  <si>
    <t>AVX-ME2 SET-4</t>
  </si>
  <si>
    <t>Wireless vocal set. Includes (1) EKP AVX receiver, (1) SK AVX bodypack transmitter, (1) ME 2 clip-on microphone (omnidirectional, condenser), (1) BA 20 rechargeable battery, (1) BA 30 rechargeable battery, (1) EKP AVX adapter, (1) NT 5-10U power supply, (1) CI 400 adapter cable and (1) bag</t>
  </si>
  <si>
    <t>AVX-COMBO</t>
  </si>
  <si>
    <t>Bizcom</t>
  </si>
  <si>
    <t>MEB 102 B</t>
  </si>
  <si>
    <t>Installed boundary layer microphone (omnidirectional, pre-polarized condenser) with 24-48 V phantom power and 3-pin XLR-M. Includes (2) rubber rings for mounting and (1) hex nut for mounting, black</t>
  </si>
  <si>
    <t>MEB 102 W</t>
  </si>
  <si>
    <t>Installed boundary layer microphone (omnidirectional, pre-polarized condenser) with 24-48 V phantom power and 3-pin XLR-M. Includes (2) rubber rings for mounting and (1) hex nut for mounting, white</t>
  </si>
  <si>
    <t>MEB 102-L B OMNI BLACK LED</t>
  </si>
  <si>
    <t>Installed boundary layer microphone (omnidirectional, pre-polarized condenser) with 24-48 V phantom power, 3-pin XLR-M and bi-color LED ring for status indication. Includes (2) rubber rings for mounting and (1) hex nut for mounting, black</t>
  </si>
  <si>
    <t>MEB 102-L W</t>
  </si>
  <si>
    <t>Installed boundary layer microphone (omnidirectional, pre-polarized condenser) with 24-48 V phantom power, 3-pin XLR-M and bi-color LED ring for status indication. Includes (2) rubber rings for mounting and (1) hex nut for mounting, white</t>
  </si>
  <si>
    <t>$ 767.172,00</t>
  </si>
  <si>
    <t>$ 634.032,00</t>
  </si>
  <si>
    <t>MEB 104 B CARDIOID BLACK</t>
  </si>
  <si>
    <t>Installed boundary layer microphone (cardioid, pre-polarized condenser) with 24-48 V phantom power, 3-pin XLR-M and programmable on, off, PTT and PTM modes. Includes (2) rubber rings for mounting and (1) hex nut for mounting, black</t>
  </si>
  <si>
    <t>MEB 104 W CARDIOID WHITE</t>
  </si>
  <si>
    <t>Installed boundary layer microphone (cardioid, pre-polarized condenser) with 24-48 V phantom power, 3-pin XLR-M and programmable on, off, PTT and PTM modes. Includes (2) rubber rings for mounting and (1) hex nut for mounting, white</t>
  </si>
  <si>
    <t>MEB 104-L B CARDIOID BLACK LED</t>
  </si>
  <si>
    <t>Installed boundary layer microphone (cardioid, pre-polarized condenser) with 24-48 V phantom power, 3-pin XLR-M, programmable on, off, PTT and PTM modes and bi-color LED ring for status indication. Includes (2) rubber rings for mounting and (1) hex nut for mounting, black</t>
  </si>
  <si>
    <t>MEB 104-L W CARDIOID WHITE LED</t>
  </si>
  <si>
    <t>Installed boundary layer microphone (cardioid, pre-polarized condenser) with 24-48 V phantom power, 3-pin XLR-M, programmable on, off, PTT and PTM modes and bi-color LED ring for status indication. Includes (2) rubber rings for mounting and (1) hex nut for mounting, white</t>
  </si>
  <si>
    <t>MEB 114 B CARDIOID BLACK</t>
  </si>
  <si>
    <t>Installed on-table boundary layer microphone (cardioid pre-polarized condenser) with 24-48 V phantom power and 3-pin mini XLR-M. Includes (1) 9.8' mini XLR to 3-pin XLR cable, black</t>
  </si>
  <si>
    <t>$ 907.298,00</t>
  </si>
  <si>
    <t>$ 749.840,00</t>
  </si>
  <si>
    <t>MEB 114 W CARDIOID WHITE</t>
  </si>
  <si>
    <t>SpeechLine installed on-table boundary layer microphone (cardioid pre-polarized condenser) with 24-48 V phantom power and 3-pin mini XLR-M. Includes (1) 9.8' mini XLR to 3-pin XLR cable, white</t>
  </si>
  <si>
    <t>MEB 114-S B CARDIOID BLACK PTT</t>
  </si>
  <si>
    <t>Installed on-table boundary layer microphone (cardioid pre-polarized condenser) with 24-48 V phantom power, 3-pin mini XLR-M, programmable on, off, PTT and PTM modes and bi-color LED ring for status indication. Includes (1) 9.8' mini XLR to 3-pin XLR cable, black</t>
  </si>
  <si>
    <t>$ 1.082.452,00</t>
  </si>
  <si>
    <t>$ 894.600,00</t>
  </si>
  <si>
    <t>MEB 114-S W CARDIOID WHITE PTT</t>
  </si>
  <si>
    <t>Installed on-table boundary layer microphone (cardioid pre-polarized condenser) with 24-48 V phantom power, 3-pin mini XLR-M, programmable on, off, PTT and PTM modes and bi-color LED ring for status indication. Includes (1) 9.8' mini XLR to 3-pin XLR cable, white</t>
  </si>
  <si>
    <t>Gooseneck sin cápsula MZH</t>
  </si>
  <si>
    <t>MZH 3015</t>
  </si>
  <si>
    <t>IS Series 6 in (15 cm) single flex gooseneck with 3 pin XLR connector (3.0 oz)</t>
  </si>
  <si>
    <t>$ 592.018,00</t>
  </si>
  <si>
    <t>$ 489.272,00</t>
  </si>
  <si>
    <t>MZH 3015 W</t>
  </si>
  <si>
    <t>IS Series 6 in. (15 cm.) single-flex gooseneck in white with 3-pin XLR connector for use with ME 34, ME 35 and ME 36 microphone heads</t>
  </si>
  <si>
    <t>MZH 3040</t>
  </si>
  <si>
    <t>IS Series 16 in (40 cm) single flex gooseneck with 3 pin XLR connector (5.0 oz)</t>
  </si>
  <si>
    <t>$ 662.088,00</t>
  </si>
  <si>
    <t>$ 547.176,00</t>
  </si>
  <si>
    <t>MZH 3042</t>
  </si>
  <si>
    <t>IS Series 16 in (40 cm) dual flex gooseneck with 3 pin XLR connector (5.0 oz)</t>
  </si>
  <si>
    <t>MZH 3062</t>
  </si>
  <si>
    <t>IS Series 23 in (60 cm) dual flex gooseneck with 3 pin XLR connector (5.0 oz)</t>
  </si>
  <si>
    <t>MZH 3072</t>
  </si>
  <si>
    <t>IS Series 27 in (70 cm) dual flex gooseneck with 3 pin XLR connector (5.0 oz)</t>
  </si>
  <si>
    <t>$ 1.257.606,00</t>
  </si>
  <si>
    <t>$ 1.039.346,00</t>
  </si>
  <si>
    <t>Cápsulas para MZH</t>
  </si>
  <si>
    <t>ME 34</t>
  </si>
  <si>
    <t>Capsule head for MZH series gooseneck microphones (cardioid, pre-polarized condenser). Includes (1) MZW 34 windscreen (1.0 oz), black</t>
  </si>
  <si>
    <t>ME 34 W</t>
  </si>
  <si>
    <t>Capsule head for MZH series gooseneck microphones (cardioid, pre-polarized condenser). Includes (1) MZW 34 windscreen (1.0 oz), white</t>
  </si>
  <si>
    <t>ME 35</t>
  </si>
  <si>
    <t>Capsule head for MZH series gooseneck microphones (supercardioid pre-polarized condenser). Includes (1) MZW 34 windscreen (1.0 oz), black</t>
  </si>
  <si>
    <t>ME 35 W</t>
  </si>
  <si>
    <t>Capsule head for MZH series gooseneck microphones (supercardioid pre-polarized condenser). Includes (1) MZW 34 windscreen (1.0 oz), white</t>
  </si>
  <si>
    <t>ME 36</t>
  </si>
  <si>
    <t>Condenser capsule head for MZH series gooseneck microphones (supercardioid/lobe pre-polarized). Includes (1) MZW 36 windscreen (2.0 oz), black</t>
  </si>
  <si>
    <t>ME 36 W</t>
  </si>
  <si>
    <t>Condenser capsule head for MZH series gooseneck microphones (supercardioid/lobe pre-polarized). Includes (1) MZW 36 windscreen (2.0 oz), white</t>
  </si>
  <si>
    <t>Gooseneck</t>
  </si>
  <si>
    <t>MEG 14-40 B</t>
  </si>
  <si>
    <t>Gooseneck microphone (cardioid, condenser) with 3-pin XLR-M and 12-48 V phantom power. MAT 133 table stand available separately</t>
  </si>
  <si>
    <t>$ 837.242,00</t>
  </si>
  <si>
    <t>$ 691.936,00</t>
  </si>
  <si>
    <t>MEG 14-40-L B</t>
  </si>
  <si>
    <t>Gooseneck microphone (cardioid, condenser) with 5-pin XLR-M, 12-48 V phantom power and illuminated light ring. MAT 153-S table stand available separately</t>
  </si>
  <si>
    <t>MEG 14-40-L-II B</t>
  </si>
  <si>
    <t>GP 3000-L WITH 50 PCS.</t>
  </si>
  <si>
    <t>Breakaway lanyard, 50 pieces, black</t>
  </si>
  <si>
    <t>HNP 02-EP</t>
  </si>
  <si>
    <t>HP 02-100</t>
  </si>
  <si>
    <t>HP 02-140</t>
  </si>
  <si>
    <t>MAT 153 + MEG14-40-L-II SET</t>
  </si>
  <si>
    <t>Microphone set with (1) MEG 14-40-L-II gooseneck microphone (cardioid, condenser) and (1) MAT 153-S table stand</t>
  </si>
  <si>
    <t>Gooseneck para empotrar</t>
  </si>
  <si>
    <t>I15-C</t>
  </si>
  <si>
    <t>ME34 cardioid capsule, MZH3015 gooseneck, MZT30 flange mount and MZS31 shock mount</t>
  </si>
  <si>
    <t>I15-L</t>
  </si>
  <si>
    <t>ME36 lobar mini shotgun capsule, MZH3015 gooseneck, MZT30 flange mount and MZS31 shock mount</t>
  </si>
  <si>
    <t>$ 1.541.204,00</t>
  </si>
  <si>
    <t>$ 1.273.720,00</t>
  </si>
  <si>
    <t>I15-S</t>
  </si>
  <si>
    <t>ME35 supercardioid capsule, MZH3015 gooseneck, MZT30 flange mount and MZS31 shock mount</t>
  </si>
  <si>
    <t>I40-C</t>
  </si>
  <si>
    <t>ME34 cardioid capsule, MZH3040 gooseneck, MZT30 flange mount and MZS31 shock mount</t>
  </si>
  <si>
    <t>I40-L</t>
  </si>
  <si>
    <t>ME36 lobar mini shotgun capsule, MZH3040 gooseneck, MZT30 flange mount and MZS31 shock mount</t>
  </si>
  <si>
    <t>I40-S</t>
  </si>
  <si>
    <t>ME35 supercardioid capsule, MZH3040 gooseneck, MZT30 flange mount and MZS31 shock mount</t>
  </si>
  <si>
    <t>I42-C</t>
  </si>
  <si>
    <t>ME34 cardioid capsule, MZH3042 gooseneck, MZT30 flange mount and MZS31 shock mount</t>
  </si>
  <si>
    <t>I42-L</t>
  </si>
  <si>
    <t>ME36 lobar mini shotgun capsule, MZH3042 gooseneck, MZT30 flange mount and MZS31 shock mount</t>
  </si>
  <si>
    <t>$ 1.646.302,00</t>
  </si>
  <si>
    <t>$ 1.360.576,00</t>
  </si>
  <si>
    <t>I42-S</t>
  </si>
  <si>
    <t>ME35 supercardioid capsule, MZH3042 gooseneck, MZT30 flange mount and MZS31 shock mount</t>
  </si>
  <si>
    <t>Gooseneck para techo</t>
  </si>
  <si>
    <t>I30H-C</t>
  </si>
  <si>
    <t>ME34 cardioid capsule, MZC30 cable and MZH30 ceiling hanger</t>
  </si>
  <si>
    <t>I30H-L</t>
  </si>
  <si>
    <t>ME36 lobar mini shotgun capsule, MZC30 cable and MZH30 ceiling hanger</t>
  </si>
  <si>
    <t>I30H-S</t>
  </si>
  <si>
    <t>ME35 supercardioid capsule, MZC30 cable and MZH30 ceiling hanger</t>
  </si>
  <si>
    <t>MAS 1 B BLACK</t>
  </si>
  <si>
    <t>Microphone activation button (when paired with MAS 133 inline switchbox) for any XLR-attached microphone with 5-pin XLR-M. Features programmable on, off, PTT and PTM modes and bi-color LED ring for status indication. Includes (2) rubber rings for mounting and (1) hex nut for mounting</t>
  </si>
  <si>
    <t>$ 381.836,00</t>
  </si>
  <si>
    <t>$ 315.574,00</t>
  </si>
  <si>
    <t>MAS 1 W WHITE</t>
  </si>
  <si>
    <t>MAS 133 BLACK</t>
  </si>
  <si>
    <t>Microphone control box, mic IN: XLR3-F, mic OUT: XLR3-M, switch: XLR5-F, logic out, installation material</t>
  </si>
  <si>
    <t>Base Goosneck</t>
  </si>
  <si>
    <t>MAT 133 B BLACK XLR 3</t>
  </si>
  <si>
    <t>Table stand for gooseneck microphones with 3-pin XLR-F (mic in), 3-pin XLR-M (mic out) and 24-48 V phantom power. Compatible with MZH 3000 Series and MEG 14-40 B gooseneck microphones</t>
  </si>
  <si>
    <t>MAT 133-S B BLACK XLR3 PTT</t>
  </si>
  <si>
    <t>Table stand for MEG 14-40-L II gooseneck microphone with 3-pin XLR-F (mic in), 3-pin XLR-M (mic out), 24-48 V phantom power and bi-color LED ring for status indication</t>
  </si>
  <si>
    <t>MAT 153-S B</t>
  </si>
  <si>
    <t>Table stand for MEG 14-40-L II, sensor with LED ring, TTL logic, IN 5-pole XLR-F OUT 3-pole XLR- M, 24-48 V phantom, black</t>
  </si>
  <si>
    <t>$ 977.368,00</t>
  </si>
  <si>
    <t>$ 807.744,00</t>
  </si>
  <si>
    <t>Accesorios Gooseneck</t>
  </si>
  <si>
    <t>MZC 30</t>
  </si>
  <si>
    <t>IS Series 1.1 mm cable spool (9m/29.5 ft) with integrated pre-amp for hanging applications (3.0 oz)</t>
  </si>
  <si>
    <t>MZC 30 W</t>
  </si>
  <si>
    <t>IS Series 1.1 mm cable spool (9 m/29.5 ft.) in white, includes integrated preamp for hanging applications</t>
  </si>
  <si>
    <t>MZFS 60</t>
  </si>
  <si>
    <t>IS Series pass through wired floor stand, female XLR top, male XLR bottom, require gooseneck, 23.6 in (60cm)</t>
  </si>
  <si>
    <t>MZFS 80</t>
  </si>
  <si>
    <t>IS Series pass through wired floor stand, female XLR top, male XLR bottom, require gooseneck, 31.5 in (80cm)</t>
  </si>
  <si>
    <t>MZH 30 B</t>
  </si>
  <si>
    <t>IS Series ceiling mount for attaching and aligning ME 34, ME 35 and ME 36 microphone capsules. Black. (0.5 oz.)</t>
  </si>
  <si>
    <t>$ 55.888,00</t>
  </si>
  <si>
    <t>$ 46.186,00</t>
  </si>
  <si>
    <t>MZH 30 W</t>
  </si>
  <si>
    <t>IS Series ceiling mount for attaching and aligning ME 34, ME 35 and ME 36 microphone capsules. White. (0.5 oz.)</t>
  </si>
  <si>
    <t>MZP 40</t>
  </si>
  <si>
    <t>Close-talking protection with gooseneck stand, Ø 13cm, black</t>
  </si>
  <si>
    <t>MZS 31</t>
  </si>
  <si>
    <t>IS Series suspension shock mount, for use with MZT30, requires 50mm diameter hole (4.0 oz)</t>
  </si>
  <si>
    <t>MZT 100</t>
  </si>
  <si>
    <t>Heavy duty round table stand with skid-resistant rubber base, fits any 3/8 in threaded microphone clamp (3.15 lbs)</t>
  </si>
  <si>
    <t>MZT 30</t>
  </si>
  <si>
    <t>IS Series XLR female flange mount for fixed installation, requires 24.21 mm diameter hole (1.5 oz)</t>
  </si>
  <si>
    <t>MZT 30 L</t>
  </si>
  <si>
    <t>IS Series 5-pin XLR female flange mount for fixed installation, requires 24.21 mm diameter hole (1.5 oz)</t>
  </si>
  <si>
    <t>MZW 34 PRO</t>
  </si>
  <si>
    <t>IS Series upgrade velour windscreen for ME34 and ME35</t>
  </si>
  <si>
    <t>MZW 36 PRO</t>
  </si>
  <si>
    <t>IS Series upgrade velour windscreen for ME36</t>
  </si>
  <si>
    <t>MOBILECONNECT STATION</t>
  </si>
  <si>
    <t>MobileConnect Connect Station with (2) Dante Interfaces and PoE power supply</t>
  </si>
  <si>
    <t>$ 15.728.916,00</t>
  </si>
  <si>
    <t>$ 12.999.112,00</t>
  </si>
  <si>
    <t>Digital 6000</t>
  </si>
  <si>
    <t>EM 6000</t>
  </si>
  <si>
    <t>2-channel digital receiver, True-Bit-Diversity, LR mode, AES-3, active antenna splitter, AES 256, frequency: 470-714 MHz</t>
  </si>
  <si>
    <t>$ 12.607.658,00</t>
  </si>
  <si>
    <t>$ 10.419.556,00</t>
  </si>
  <si>
    <t>EM 6000 DANTE</t>
  </si>
  <si>
    <t>2-channel digital receiver, True-Bit-Diversity, LR mode, Dante, AES-3, active antenna splitter, AES 256, frequency: 470-714 MHz</t>
  </si>
  <si>
    <t>$ 14.008.904,00</t>
  </si>
  <si>
    <t>$ 11.577.608,00</t>
  </si>
  <si>
    <t>SKM 6000 BK A1-A4</t>
  </si>
  <si>
    <t>Hand-held transmitter, digital, LR mode, AES 256, black, including microphone bracket. Capsule and battery sold separately, frequency range: (470-558 MHz)</t>
  </si>
  <si>
    <t>$ 7.703.318,00</t>
  </si>
  <si>
    <t>$ 6.366.374,00</t>
  </si>
  <si>
    <t>SK 6000 BK A1-A4</t>
  </si>
  <si>
    <t>Bodypack transmitter, digital, LR mode, 3-pole SE plug, AES 256, black, frequency (470-558 MHz)</t>
  </si>
  <si>
    <t>SK 6212 A1-A4</t>
  </si>
  <si>
    <t>Mini bodypack transmitter, digital, LR mode, 3-pin SE plug, AES 256 encryption, black, frequency range: (470-558 MHz)</t>
  </si>
  <si>
    <t>$ 10.505.796,00</t>
  </si>
  <si>
    <t>$ 8.682.478,00</t>
  </si>
  <si>
    <t>EK 6042 A</t>
  </si>
  <si>
    <t>2-channel true diversity receiver camera, 470-654 MHz, digital and analog, HDX, HiDyn+ and LR mode</t>
  </si>
  <si>
    <t>$ 12.260.850,00</t>
  </si>
  <si>
    <t>$ 10.132.934,00</t>
  </si>
  <si>
    <t>GA 6042 BA</t>
  </si>
  <si>
    <t>Battery adapter for holster GA 6042-BP</t>
  </si>
  <si>
    <t>GA 6042 BP</t>
  </si>
  <si>
    <t>Holster with 2 x XLR out (5-pin mini) and Hirose</t>
  </si>
  <si>
    <t>GA 6042 R</t>
  </si>
  <si>
    <t>$ 11.840.472,00</t>
  </si>
  <si>
    <t>$ 9.785.524,00</t>
  </si>
  <si>
    <t>GA 6042-15</t>
  </si>
  <si>
    <t>15-pin adapter for Sony cameras</t>
  </si>
  <si>
    <t>GA 6042-25</t>
  </si>
  <si>
    <t>25-pin adapter for UniSlot and SuperSlot cameras</t>
  </si>
  <si>
    <t>Cargadores y Baterías Digital 6000</t>
  </si>
  <si>
    <t>L 60</t>
  </si>
  <si>
    <t>f</t>
  </si>
  <si>
    <t>L 70 ADAPTER - BA 62</t>
  </si>
  <si>
    <t>L 6000</t>
  </si>
  <si>
    <t>Charger 19 ", for up to 4x charger cores LM 6060 / LM 6061, charger cores not included</t>
  </si>
  <si>
    <t>LM 6060</t>
  </si>
  <si>
    <t>Charger core for charger L6000, can be used for 2x BA 60</t>
  </si>
  <si>
    <t>LM 6061</t>
  </si>
  <si>
    <t>Charger core for charger L6000, can be used for 2x BA 61</t>
  </si>
  <si>
    <t>LM 6062</t>
  </si>
  <si>
    <t>Charging module for charger L6000, can be used for 2x BA 62</t>
  </si>
  <si>
    <t>B 60</t>
  </si>
  <si>
    <t>Battery compartment for SKM 6000, SKM 9000, 2 x Mignon AA</t>
  </si>
  <si>
    <t>B 61</t>
  </si>
  <si>
    <t>Battery compartment for SK 6000, SK 9000, 3 x AA Battery</t>
  </si>
  <si>
    <t>BA 60</t>
  </si>
  <si>
    <t>Battery pack for SKM 6000, SKM 9000, lithium ion, 1600 mAh</t>
  </si>
  <si>
    <t>BA 61</t>
  </si>
  <si>
    <t>Battery pack for SK 6000, SK 9000, lithium ion, 2030 mAh</t>
  </si>
  <si>
    <t>BA 62</t>
  </si>
  <si>
    <t>Battery pack for SK 6212, lithium ion</t>
  </si>
  <si>
    <t>Accesorios Digital 6000</t>
  </si>
  <si>
    <t>ANTENNA A1-A4 FOR SK6212</t>
  </si>
  <si>
    <t>Detachable flexible antenna with threaded connector for use with SK 6212, frequency range: (470-558 MHz)</t>
  </si>
  <si>
    <t>SK 6000/9000 ANTENNA A1 - A4</t>
  </si>
  <si>
    <t>Detachable antenna with threaded connector for use with SK 6000 and SK 9000, frequency range: (470-558 MHz)</t>
  </si>
  <si>
    <t>SK 6212 STIFF ANTENNA A1 - A4</t>
  </si>
  <si>
    <t>Detachable stiff antenna with threaded connector for use with SK 6212, frequency range: (470-558 MHz)</t>
  </si>
  <si>
    <t>CA 6042 DC</t>
  </si>
  <si>
    <t>Hirose cable for external power supply</t>
  </si>
  <si>
    <t>$ 269.584,00</t>
  </si>
  <si>
    <t>$ 222.796,00</t>
  </si>
  <si>
    <t>CA 6042 XLR</t>
  </si>
  <si>
    <t>Y cable 5-pin mini XLR to 2x 3 pin XLR</t>
  </si>
  <si>
    <t>CLIP, HORIZONTAL TO 6212</t>
  </si>
  <si>
    <t>Horizonal belt pack clip for SK 6212</t>
  </si>
  <si>
    <t>CLIP, VERTICAL TO SK 6212</t>
  </si>
  <si>
    <t>Vertical belt pack clip for SK 6212</t>
  </si>
  <si>
    <t>KA 9000 COM</t>
  </si>
  <si>
    <t>Command button for SK 6000, SK 9000 for use with EM 9046, wired, with belt clip</t>
  </si>
  <si>
    <t>ME 9002</t>
  </si>
  <si>
    <t>Microphone module for SKM 6000, SKM 9000, condenser, omnidirectional, black</t>
  </si>
  <si>
    <t>ME 9004</t>
  </si>
  <si>
    <t>Microphone module for SKM 6000, SKM 9000, condenser, cardioid, black</t>
  </si>
  <si>
    <t>ME 9005</t>
  </si>
  <si>
    <t>Microphone module for SKM 6000, SKM 9000, condenser, supercardioid, black</t>
  </si>
  <si>
    <t>P48 Adapter for SK 6000/9000</t>
  </si>
  <si>
    <t>Phantom Power Adapter for SK 6000/9000 Black</t>
  </si>
  <si>
    <t>Digital 9000</t>
  </si>
  <si>
    <t>SK 9000 A1-A4</t>
  </si>
  <si>
    <t>Bodypack transmitter, digital, HD and LR mode, 3-pin SE socket, 470-558 MHz</t>
  </si>
  <si>
    <t>$ 9.630.026,00</t>
  </si>
  <si>
    <t>$ 7.958.692,00</t>
  </si>
  <si>
    <t>SKM 9000 BK A1-A4</t>
  </si>
  <si>
    <t>Handheld transmitter, digital, HD and LR mode, includes microphone clip, black, 470-558 MHz</t>
  </si>
  <si>
    <t>SKM 9000 BK COM A1-A4</t>
  </si>
  <si>
    <t>Handheld transmitter, digital, HD and LR mode, command function, includes microphone clip, black, 470-558 MHz</t>
  </si>
  <si>
    <t>SKM 9000 NI A1-A4</t>
  </si>
  <si>
    <t>Handheld transmitter, digital, HD and LR mode, includes microphone clip, nickel, 470-558 MHz</t>
  </si>
  <si>
    <t>SKM 9000 NI COM A1-A4</t>
  </si>
  <si>
    <t>Handheld transmitter, digital, HD and LR mode, command function, includes microphone clip, nickel, 470-558 MHz</t>
  </si>
  <si>
    <t>$ 173.208,00</t>
  </si>
  <si>
    <t>$ 143.150,00</t>
  </si>
  <si>
    <t>Beyerdynamic</t>
  </si>
  <si>
    <t>DT 770 PRO 32 OHM</t>
  </si>
  <si>
    <t>Studio-headphones, closed systems, straight single sided cable (1.6 m / 5.2 ft.)
with stereo mini-jack / 1/4" adapter, ideal for portable devices and soundcards</t>
  </si>
  <si>
    <t>$ 492.412,50</t>
  </si>
  <si>
    <t>$ 406.944,00</t>
  </si>
  <si>
    <t>DT 770 PRO 80 OHM</t>
  </si>
  <si>
    <t>Studio headphones, closed systems, straight single sided cable 3 m (9.8 ft.)
with stereo mini-jack / 1/4" adapter</t>
  </si>
  <si>
    <t>DT 770 PRO 250 OHM</t>
  </si>
  <si>
    <t>Studio headphones, closed systems, single sided coiled cable
with stereo mini-jack / 1/4" adapter</t>
  </si>
  <si>
    <t>DT 990 PRO 80 OHM</t>
  </si>
  <si>
    <t>Studio headphones, open systems
straight single sided cable 3 m (9.8 ft.)</t>
  </si>
  <si>
    <t>DT 990 PRO 250 OHM</t>
  </si>
  <si>
    <t>Studio headphones, open systems, single sided coiled cable
with stereo mini-jack / 1/4" adapter</t>
  </si>
  <si>
    <t>$ 521.721,00</t>
  </si>
  <si>
    <t>$ 431.176,50</t>
  </si>
  <si>
    <t>Micrófonos</t>
  </si>
  <si>
    <t>TG V35 s</t>
  </si>
  <si>
    <t>Dynamic vocal microphone (supercardioid), with switch</t>
  </si>
  <si>
    <t>$ 171.504,00</t>
  </si>
  <si>
    <t>$ 141.736,50</t>
  </si>
  <si>
    <t>TG V50</t>
  </si>
  <si>
    <t>Dynamic vocal microphone (cardioid) incl. bag and clamp</t>
  </si>
  <si>
    <t>$ 288.684,00</t>
  </si>
  <si>
    <t>$ 238.585,50</t>
  </si>
  <si>
    <t>TG V70</t>
  </si>
  <si>
    <t>Dynamic vocal microphone (hypercardioid) incl. bag and clamp</t>
  </si>
  <si>
    <t>$ 638.590,50</t>
  </si>
  <si>
    <t>$ 527.769,00</t>
  </si>
  <si>
    <t>MM 1</t>
  </si>
  <si>
    <t>Back electret condenser
For acoustic measurements in (home) studios and live productions</t>
  </si>
  <si>
    <t>$ 726.057,00</t>
  </si>
  <si>
    <t>$ 600.048,00</t>
  </si>
  <si>
    <t>Drumset</t>
  </si>
  <si>
    <t>TG DRUM SET- PRO - M</t>
  </si>
  <si>
    <t>Drum microphone set consisting of:
1x TG D71, 4x TG D35, 2x TG I53 incl. microphone clamps and rugged softbag</t>
  </si>
  <si>
    <t>$ 2.329.249,50</t>
  </si>
  <si>
    <t>$ 1.925.005,50</t>
  </si>
  <si>
    <t>TG DRUM SET PRO - L</t>
  </si>
  <si>
    <t>Drum microphone set consisting of:
1x D71, 2x D57, 2x D58, 2x I53, incl. microphone clamps and rugged softbag with free space for
additional microphones and accessories</t>
  </si>
  <si>
    <t>$ 3.786.885,00</t>
  </si>
  <si>
    <t>$ 3.129.651,00</t>
  </si>
  <si>
    <t>Cajas. Monitores y Portables</t>
  </si>
  <si>
    <t>ZLX Activos - G2</t>
  </si>
  <si>
    <t>ElectroVoice</t>
  </si>
  <si>
    <t>ZLX-8P-G2</t>
  </si>
  <si>
    <t>8" 2-way powered speaker, US cord</t>
  </si>
  <si>
    <t>$ 1.741.600,00</t>
  </si>
  <si>
    <t>$ 1.439.200,00</t>
  </si>
  <si>
    <t>ZLX-12P-G2</t>
  </si>
  <si>
    <t>12" 2-way powered speaker, US cord</t>
  </si>
  <si>
    <t>$ 1.916.600,00</t>
  </si>
  <si>
    <t>$ 1.583.400,00</t>
  </si>
  <si>
    <t>ZLX-15P-G2</t>
  </si>
  <si>
    <t>15" 2-way powered speaker, US cord</t>
  </si>
  <si>
    <t>$ 2.265.200,00</t>
  </si>
  <si>
    <t>$ 1.871.800,00</t>
  </si>
  <si>
    <t>ELX-200 Activos</t>
  </si>
  <si>
    <t>ELX200-10P</t>
  </si>
  <si>
    <t xml:space="preserve">10" 2-way powered speaker, </t>
  </si>
  <si>
    <t>$ 2.373.000,00</t>
  </si>
  <si>
    <t>$ 1.961.400,00</t>
  </si>
  <si>
    <t>ELX200-12P</t>
  </si>
  <si>
    <t xml:space="preserve">12" 2-way powered speaker, </t>
  </si>
  <si>
    <t>$ 2.541.000,00</t>
  </si>
  <si>
    <t>$ 2.100.000,00</t>
  </si>
  <si>
    <t>ELX200-15P</t>
  </si>
  <si>
    <t xml:space="preserve">15" 2-way powered speaker, </t>
  </si>
  <si>
    <t>$ 2.879.800,00</t>
  </si>
  <si>
    <t>$ 2.380.000,00</t>
  </si>
  <si>
    <t>ELX200-12SP</t>
  </si>
  <si>
    <t xml:space="preserve">12" powered subwoofer, </t>
  </si>
  <si>
    <t>$ 2.695.000,00</t>
  </si>
  <si>
    <t>$ 2.227.400,00</t>
  </si>
  <si>
    <t>ELX200-18SP</t>
  </si>
  <si>
    <t xml:space="preserve">18" powered subwoofer, </t>
  </si>
  <si>
    <t>$ 3.372.600,00</t>
  </si>
  <si>
    <t>$ 2.787.400,00</t>
  </si>
  <si>
    <t>ELX-200 Pasivos</t>
  </si>
  <si>
    <t>ELX200-10</t>
  </si>
  <si>
    <t>10" 2-way passive speaker</t>
  </si>
  <si>
    <t>$ 1.681.400,00</t>
  </si>
  <si>
    <t>$ 1.390.200,00</t>
  </si>
  <si>
    <t>ELX200-12</t>
  </si>
  <si>
    <t>12" 2-way passive speaker</t>
  </si>
  <si>
    <t>$ 1.852.200,00</t>
  </si>
  <si>
    <t>$ 1.530.200,00</t>
  </si>
  <si>
    <t>ELX200-15</t>
  </si>
  <si>
    <t>15" 2-way passive speaker</t>
  </si>
  <si>
    <t>$ 2.191.000,00</t>
  </si>
  <si>
    <t>$ 1.811.600,00</t>
  </si>
  <si>
    <t>ELX200-12S</t>
  </si>
  <si>
    <t>12" passive subwoofer</t>
  </si>
  <si>
    <t>$ 2.023.000,00</t>
  </si>
  <si>
    <t>$ 1.671.600,00</t>
  </si>
  <si>
    <t>EKX Activos</t>
  </si>
  <si>
    <t>EKX-12P</t>
  </si>
  <si>
    <t>$ 3.140.200,00</t>
  </si>
  <si>
    <t>$ 2.594.200,00</t>
  </si>
  <si>
    <t>EKX-15P</t>
  </si>
  <si>
    <t>$ 3.488.800,00</t>
  </si>
  <si>
    <t>$ 2.882.600,00</t>
  </si>
  <si>
    <t>EKX-15SP</t>
  </si>
  <si>
    <t xml:space="preserve">15" powered subwoofer, </t>
  </si>
  <si>
    <t>$ 4.187.400,00</t>
  </si>
  <si>
    <t>$ 3.460.800,00</t>
  </si>
  <si>
    <t>EKX-18SP</t>
  </si>
  <si>
    <t>$ 4.884.600,00</t>
  </si>
  <si>
    <t>$ 4.037.600,00</t>
  </si>
  <si>
    <t>ETX Activos</t>
  </si>
  <si>
    <t>ETX-10P_HE</t>
  </si>
  <si>
    <t>$ 5.178.600,00</t>
  </si>
  <si>
    <t>$ 4.279.800,00</t>
  </si>
  <si>
    <t>ETX-12P_HE</t>
  </si>
  <si>
    <t>$ 5.528.600,00</t>
  </si>
  <si>
    <t>$ 4.569.600,00</t>
  </si>
  <si>
    <t>ETX-15P_HE</t>
  </si>
  <si>
    <t>$ 5.878.600,00</t>
  </si>
  <si>
    <t>$ 4.858.000,00</t>
  </si>
  <si>
    <t>ETX-35P_HE</t>
  </si>
  <si>
    <t xml:space="preserve">15" 3-way powered speaker, </t>
  </si>
  <si>
    <t>$ 6.578.600,00</t>
  </si>
  <si>
    <t>$ 5.436.200,00</t>
  </si>
  <si>
    <t>ETX-18SP_HE</t>
  </si>
  <si>
    <t>$ 10.276.000,00</t>
  </si>
  <si>
    <t>$ 8.492.400,00</t>
  </si>
  <si>
    <t>EVOLVE</t>
  </si>
  <si>
    <t>EVOLVE50-TB</t>
  </si>
  <si>
    <t>Column speaker array, pole, black</t>
  </si>
  <si>
    <t>$ 2.476.600,00</t>
  </si>
  <si>
    <t>$ 2.046.800,00</t>
  </si>
  <si>
    <t>EVOLVE50M-SB</t>
  </si>
  <si>
    <t>Column speaker sub US, black</t>
  </si>
  <si>
    <t>$ 4.985.400,00</t>
  </si>
  <si>
    <t>$ 4.120.200,00</t>
  </si>
  <si>
    <t>EVOLVE50-SB</t>
  </si>
  <si>
    <t>$ 3.630.200,00</t>
  </si>
  <si>
    <t>$ 3.000.200,00</t>
  </si>
  <si>
    <t>EVOLVE50-PL-SB</t>
  </si>
  <si>
    <t>Column speaker pole, short, black</t>
  </si>
  <si>
    <t>$ 341.600,00</t>
  </si>
  <si>
    <t>$ 281.400,00</t>
  </si>
  <si>
    <t>EVOLVE50-CASE</t>
  </si>
  <si>
    <t>Column speaker carrying case, wheels</t>
  </si>
  <si>
    <t>$ 758.800,00</t>
  </si>
  <si>
    <t>$ 627.200,00</t>
  </si>
  <si>
    <t>EVOLVE30M</t>
  </si>
  <si>
    <t>Portable column system, US, black</t>
  </si>
  <si>
    <t>$ 4.747.400,00</t>
  </si>
  <si>
    <t>$ 3.922.800,00</t>
  </si>
  <si>
    <t>EVOLVE30M-SUBCVR</t>
  </si>
  <si>
    <t>Soft cover for EVOLVE 30M sub</t>
  </si>
  <si>
    <t>$ 273.000,00</t>
  </si>
  <si>
    <t>$ 225.400,00</t>
  </si>
  <si>
    <t>EVOLVE-CASE</t>
  </si>
  <si>
    <t>Carrying case for EVOLVE 30M</t>
  </si>
  <si>
    <t>EVERSE</t>
  </si>
  <si>
    <t>EVERSE8</t>
  </si>
  <si>
    <t>8" 2-way speaker battery black US</t>
  </si>
  <si>
    <t>$ 2.703.400,00</t>
  </si>
  <si>
    <t>$ 2.234.400,00</t>
  </si>
  <si>
    <t>EVERSE12</t>
  </si>
  <si>
    <t>12" 2-way speaker battery black US</t>
  </si>
  <si>
    <t>$ 3.605.000,00</t>
  </si>
  <si>
    <t>$ 2.979.200,00</t>
  </si>
  <si>
    <t>PXM Monitors</t>
  </si>
  <si>
    <t>PXM-12MP</t>
  </si>
  <si>
    <t>12" powered coaxial monitor, US, black</t>
  </si>
  <si>
    <t>$ 3.050.600,00</t>
  </si>
  <si>
    <t>$ 2.521.400,00</t>
  </si>
  <si>
    <t>ZLX / SX / ZX Accesories</t>
  </si>
  <si>
    <t>ASP-58</t>
  </si>
  <si>
    <t>Adjustable subwoofer stand</t>
  </si>
  <si>
    <t>$ 235.200,00</t>
  </si>
  <si>
    <t>$ 194.600,00</t>
  </si>
  <si>
    <t>ZLX-BRKT</t>
  </si>
  <si>
    <t>Wall mount bracket for ZLX, black</t>
  </si>
  <si>
    <t>$ 490.000,00</t>
  </si>
  <si>
    <t>$ 406.000,00</t>
  </si>
  <si>
    <t>ELX200-BRKT</t>
  </si>
  <si>
    <t>Wall mount bracket, ELX200 2-way, black</t>
  </si>
  <si>
    <t>$ 446.600,00</t>
  </si>
  <si>
    <t>$ 368.200,00</t>
  </si>
  <si>
    <t>EKX-BRKT12</t>
  </si>
  <si>
    <t>Wall mount bracket for EKX-12/12P, black</t>
  </si>
  <si>
    <t>$ 1.293.600,00</t>
  </si>
  <si>
    <t>$ 1.069.600,00</t>
  </si>
  <si>
    <t>EKX-BRKT15</t>
  </si>
  <si>
    <t>Wall mount bracket for EKX-15/15P, black</t>
  </si>
  <si>
    <t>$ 1.345.400,00</t>
  </si>
  <si>
    <t>$ 1.111.600,00</t>
  </si>
  <si>
    <t>EKX-TCA</t>
  </si>
  <si>
    <t>Truss adaptor for EKX12/15 F/R</t>
  </si>
  <si>
    <t>$ 1.058.400,00</t>
  </si>
  <si>
    <t>$ 875.000,00</t>
  </si>
  <si>
    <t>ETX-BRKT10</t>
  </si>
  <si>
    <t>Wall mount bracket for ETX-10P, black</t>
  </si>
  <si>
    <t>$ 1.257.200,00</t>
  </si>
  <si>
    <t>$ 1.038.800,00</t>
  </si>
  <si>
    <t>ETX-BRKT12</t>
  </si>
  <si>
    <t>Wall mount bracket for ETX-12P, black</t>
  </si>
  <si>
    <t>$ 1.324.400,00</t>
  </si>
  <si>
    <t>$ 1.094.800,00</t>
  </si>
  <si>
    <t>ETX-BRKT15</t>
  </si>
  <si>
    <t>Wall mount bracket for ETX-15P, black</t>
  </si>
  <si>
    <t>$ 1.379.000,00</t>
  </si>
  <si>
    <t>$ 1.139.600,00</t>
  </si>
  <si>
    <t>ETX-BRKT35</t>
  </si>
  <si>
    <t>Array bracket for ETX-35P, black</t>
  </si>
  <si>
    <t>ETX-TCA-S</t>
  </si>
  <si>
    <t>Truss adaptor for ETX-10P, black</t>
  </si>
  <si>
    <t>$ 946.400,00</t>
  </si>
  <si>
    <t>$ 782.600,00</t>
  </si>
  <si>
    <t>ETX-TCA-L</t>
  </si>
  <si>
    <t>Truss adaptor for ETX-12P/15P/35P, black</t>
  </si>
  <si>
    <t>$ 1.134.000,00</t>
  </si>
  <si>
    <t>$ 938.000,00</t>
  </si>
  <si>
    <t>PARLANTES INSTALACION</t>
  </si>
  <si>
    <t xml:space="preserve">EVID-S </t>
  </si>
  <si>
    <t>EVID-S4.2B (PAR)</t>
  </si>
  <si>
    <t>Surface mount speaker 4" 8 Ohm bk pair</t>
  </si>
  <si>
    <t>$ 998.200,00</t>
  </si>
  <si>
    <t>$ 824.600,00</t>
  </si>
  <si>
    <t>EVID-S4.2W (PAR)</t>
  </si>
  <si>
    <t>Surface mount speaker 4" 8 Ohm wh pair</t>
  </si>
  <si>
    <t>EVID-S4.2TB (PAR)</t>
  </si>
  <si>
    <t>Surface mount speaker 4" 70/100V bk pair</t>
  </si>
  <si>
    <t>$ 1.076.600,00</t>
  </si>
  <si>
    <t>$ 889.000,00</t>
  </si>
  <si>
    <t>EVID-S4.2TW (PAR)</t>
  </si>
  <si>
    <t>Surface mount speaker 4" 70/100V wh pair</t>
  </si>
  <si>
    <t>EVID-S5.2B (PAR)</t>
  </si>
  <si>
    <t>Surface mount speaker 5" 8 Ohm bk pair</t>
  </si>
  <si>
    <t>$ 1.297.800,00</t>
  </si>
  <si>
    <t>$ 1.072.400,00</t>
  </si>
  <si>
    <t>EVID-S5.2W (PAR)</t>
  </si>
  <si>
    <t>Surface mount speaker 5" 8 Ohm wh pair</t>
  </si>
  <si>
    <t>EVID-S5.2TB (PAR)</t>
  </si>
  <si>
    <t>Surface mount speaker 5" 70/100V bk pair</t>
  </si>
  <si>
    <t>$ 1.449.000,00</t>
  </si>
  <si>
    <t>$ 1.197.000,00</t>
  </si>
  <si>
    <t>EVID-S5.2TW (PAR)</t>
  </si>
  <si>
    <t>Surface mount speaker 5" 70/100V wh pair</t>
  </si>
  <si>
    <t>EVID-S5.2XB (PAR)</t>
  </si>
  <si>
    <t xml:space="preserve">Surface speaker 5" 70/100V IP65 bk pair </t>
  </si>
  <si>
    <t>$ 1.670.200,00</t>
  </si>
  <si>
    <t>$ 1.380.400,00</t>
  </si>
  <si>
    <t>EVID-S5.2XW (PAR)</t>
  </si>
  <si>
    <t>Surface speaker 5" 70/100V IP65 wh pair</t>
  </si>
  <si>
    <t>EVID-S8.2B (PAR)</t>
  </si>
  <si>
    <t>Surface mount speaker 8" 8 Ohm bk pair</t>
  </si>
  <si>
    <t>$ 2.263.800,00</t>
  </si>
  <si>
    <t>$ 1.870.400,00</t>
  </si>
  <si>
    <t>EVID-S8.2W (PAR)</t>
  </si>
  <si>
    <t>Surface mount speaker 8" 8 Ohm wh pair</t>
  </si>
  <si>
    <t>EVID-S8.2TB (PAR)</t>
  </si>
  <si>
    <t>Surface mount speaker 8" 70/100V bk pair</t>
  </si>
  <si>
    <t>$ 2.335.200,00</t>
  </si>
  <si>
    <t>$ 1.930.600,00</t>
  </si>
  <si>
    <t>EVID-S8.2TW (PAR)</t>
  </si>
  <si>
    <t>Surface mount speaker 8" 70/100V wh pair</t>
  </si>
  <si>
    <t>EVID-S10.1DB (u)</t>
  </si>
  <si>
    <t>Surface mount subwoofer 2x10" black</t>
  </si>
  <si>
    <t>$ 2.833.600,00</t>
  </si>
  <si>
    <t>$ 2.342.200,00</t>
  </si>
  <si>
    <t>EVID-S12.1B (u)</t>
  </si>
  <si>
    <t>Surface mount subwoofer 12" black</t>
  </si>
  <si>
    <t>$ 2.091.600,00</t>
  </si>
  <si>
    <t>$ 1.729.000,00</t>
  </si>
  <si>
    <t>EVID</t>
  </si>
  <si>
    <t>EVID 2.1 (PAR)</t>
  </si>
  <si>
    <t>Surface mount speaker 2" 16 Ohm bk pair</t>
  </si>
  <si>
    <t>$ 718.200,00</t>
  </si>
  <si>
    <t>$ 593.600,00</t>
  </si>
  <si>
    <t>EVID 3.2 (PAR)</t>
  </si>
  <si>
    <t>Surface mount speaker 3" 8 Ohm bk pair</t>
  </si>
  <si>
    <t>$ 1.395.800,00</t>
  </si>
  <si>
    <t>$ 1.153.600,00</t>
  </si>
  <si>
    <t>EVID 3.2W (PAR)</t>
  </si>
  <si>
    <t>Surface mount speaker 3" 8 Ohm wh pair</t>
  </si>
  <si>
    <t>EVID 3.2T (PAR)</t>
  </si>
  <si>
    <t>Surface mount speaker 3" 70/100V bk pair</t>
  </si>
  <si>
    <t>$ 1.481.200,00</t>
  </si>
  <si>
    <t>$ 1.223.600,00</t>
  </si>
  <si>
    <t>EVID 3.2TW (PAR)</t>
  </si>
  <si>
    <t>Surface mount speaker 3" 70/100V wh pair</t>
  </si>
  <si>
    <t>EVID 4.2 (PAR)</t>
  </si>
  <si>
    <t>$ 1.355.200,00</t>
  </si>
  <si>
    <t>$ 1.120.000,00</t>
  </si>
  <si>
    <t>EVID 4.2W (PAR)</t>
  </si>
  <si>
    <t>EVID 4.2T (PAR)</t>
  </si>
  <si>
    <t>$ 1.436.400,00</t>
  </si>
  <si>
    <t>$ 1.187.200,00</t>
  </si>
  <si>
    <t>EVID 4.2TW (PAR)</t>
  </si>
  <si>
    <t>EVID 6.2 (PAR)</t>
  </si>
  <si>
    <t>Surface mount speaker 6" 8 Ohm bk pair</t>
  </si>
  <si>
    <t>$ 2.135.000,00</t>
  </si>
  <si>
    <t>$ 1.764.000,00</t>
  </si>
  <si>
    <t>EVID 6.2W (PAR)</t>
  </si>
  <si>
    <t>Surface mount speaker 6" 8 Ohm wh pair</t>
  </si>
  <si>
    <t>EVID 6.2T (PAR)</t>
  </si>
  <si>
    <t>Surface mount speaker 6" 70/100V bk pair</t>
  </si>
  <si>
    <t>$ 2.210.600,00</t>
  </si>
  <si>
    <t>$ 1.827.000,00</t>
  </si>
  <si>
    <t>EVID 6.2TW (PAR)</t>
  </si>
  <si>
    <t>Surface mount speaker 6" 70/100V wh pair</t>
  </si>
  <si>
    <t>EVID Techo o embutir</t>
  </si>
  <si>
    <t>EVID-P6.2B (u)</t>
  </si>
  <si>
    <t>Pendant speaker 6.5" 70/100V black</t>
  </si>
  <si>
    <t>$ 981.400,00</t>
  </si>
  <si>
    <t>EVID-P6.2W (u)</t>
  </si>
  <si>
    <t>Pendant speaker 6.5" 70/100V white</t>
  </si>
  <si>
    <t>EVID-40C (u)</t>
  </si>
  <si>
    <t>Ceiling subwoofer 70/100V white</t>
  </si>
  <si>
    <t>$ 2.396.800,00</t>
  </si>
  <si>
    <t>$ 1.981.000,00</t>
  </si>
  <si>
    <t>EVID-C2.1 (PAR)</t>
  </si>
  <si>
    <t>Ceiling speaker 2" 16 Ohm white pair</t>
  </si>
  <si>
    <t>$ 866.600,00</t>
  </si>
  <si>
    <t>$ 716.800,00</t>
  </si>
  <si>
    <t>EVID-C4.2 (PAR)</t>
  </si>
  <si>
    <t>EVID C4.2 CEILING SPEAKER SYS - 4IN, PR</t>
  </si>
  <si>
    <t>$ 1.082.200,00</t>
  </si>
  <si>
    <t>EVID-C6.2 (PAR)</t>
  </si>
  <si>
    <t>Ceiling speaker 6.5" 70/100V white pair</t>
  </si>
  <si>
    <t>$ 1.411.200,00</t>
  </si>
  <si>
    <t>$ 1.166.200,00</t>
  </si>
  <si>
    <t>EVID-C8.2 (PAR)</t>
  </si>
  <si>
    <t>EVID C8.2 CEILING SPEAKER SYS - 8IN, PR</t>
  </si>
  <si>
    <t>$ 1.498.000,00</t>
  </si>
  <si>
    <t>$ 1.237.600,00</t>
  </si>
  <si>
    <t>FM4.2 (PAR)</t>
  </si>
  <si>
    <t>Flush mount speaker 4" 70/100V wh pair</t>
  </si>
  <si>
    <t>FM6.2 (PAR)</t>
  </si>
  <si>
    <t>Flush mount speaker 6" 70/100V wh pair</t>
  </si>
  <si>
    <t>$ 2.024.400,00</t>
  </si>
  <si>
    <t>$ 1.673.000,00</t>
  </si>
  <si>
    <t>Bosch</t>
  </si>
  <si>
    <t>LHM0606/10 (u)</t>
  </si>
  <si>
    <t>Parlante de Embutir de Techo , 6 W, 6" con Transformador.</t>
  </si>
  <si>
    <t>$ 107.800,00</t>
  </si>
  <si>
    <t>$ 89.600,00</t>
  </si>
  <si>
    <t>POTENCIAS</t>
  </si>
  <si>
    <t>Amplificadores Dynacord</t>
  </si>
  <si>
    <t>Dynacord</t>
  </si>
  <si>
    <t>C1300FDi-EU</t>
  </si>
  <si>
    <t>DSP power amplifier 2x650W, install EU</t>
  </si>
  <si>
    <t>$ 3.528.000,00</t>
  </si>
  <si>
    <t>$ 2.916.200,00</t>
  </si>
  <si>
    <t>C1800FDi-EU</t>
  </si>
  <si>
    <t>DSP power amplifier 2x950W, install EU</t>
  </si>
  <si>
    <t>$ 4.485.600,00</t>
  </si>
  <si>
    <t>$ 3.707.200,00</t>
  </si>
  <si>
    <t>C2800FDi-EU</t>
  </si>
  <si>
    <t>DSP power amplifier 2x1400W, install EU</t>
  </si>
  <si>
    <t>$ 5.649.000,00</t>
  </si>
  <si>
    <t>$ 4.669.000,00</t>
  </si>
  <si>
    <t>C3600FDi-EU</t>
  </si>
  <si>
    <t>DSP power amplifier 2x1800W, install EU</t>
  </si>
  <si>
    <t>$ 6.792.800,00</t>
  </si>
  <si>
    <t>$ 5.614.000,00</t>
  </si>
  <si>
    <t>LINEA Q</t>
  </si>
  <si>
    <t>Q1212</t>
  </si>
  <si>
    <t>2 canales, 750W/8Ω - 1200W/4Ω - 1800W/2Ω.</t>
  </si>
  <si>
    <t>$ 0,00</t>
  </si>
  <si>
    <t>M</t>
  </si>
  <si>
    <t>MXE5</t>
  </si>
  <si>
    <t>DSP matrix mix engine 36x32 channels</t>
  </si>
  <si>
    <t>$ 11.208.400,00</t>
  </si>
  <si>
    <t>$ 9.262.400,00</t>
  </si>
  <si>
    <t>MICRÓFONOS</t>
  </si>
  <si>
    <t xml:space="preserve">Serie ND </t>
  </si>
  <si>
    <t>ND76</t>
  </si>
  <si>
    <t>Dynamic cardioid vocal microphone</t>
  </si>
  <si>
    <t>$ 424.200,00</t>
  </si>
  <si>
    <t>$ 351.400,00</t>
  </si>
  <si>
    <t>ND76S</t>
  </si>
  <si>
    <t>Dynamic cardioid vocal microphone on/off</t>
  </si>
  <si>
    <t>$ 456.400,00</t>
  </si>
  <si>
    <t>$ 378.000,00</t>
  </si>
  <si>
    <t>ND86</t>
  </si>
  <si>
    <t>Dynamic supercardioid vocal microphone</t>
  </si>
  <si>
    <t>$ 520.800,00</t>
  </si>
  <si>
    <t>$ 429.800,00</t>
  </si>
  <si>
    <t>ND96</t>
  </si>
  <si>
    <t>Dynamic supercardioid vocal mic, hi-gain</t>
  </si>
  <si>
    <t>$ 655.200,00</t>
  </si>
  <si>
    <t>$ 540.400,00</t>
  </si>
  <si>
    <t>ND44</t>
  </si>
  <si>
    <t>Dynamic cardioid instrument microphone</t>
  </si>
  <si>
    <t>ND46</t>
  </si>
  <si>
    <t>Dynamic supercardioid instrument mic</t>
  </si>
  <si>
    <t>ND66</t>
  </si>
  <si>
    <t>Condenser cardioid instrument microphone</t>
  </si>
  <si>
    <t>ND68</t>
  </si>
  <si>
    <t>Dynamic supercardioid bass drum mic</t>
  </si>
  <si>
    <t xml:space="preserve">Serie PL </t>
  </si>
  <si>
    <t>PL80A</t>
  </si>
  <si>
    <t>Dynamic supercardioid microphone, black</t>
  </si>
  <si>
    <t>$ 413.000,00</t>
  </si>
  <si>
    <t>PL80C</t>
  </si>
  <si>
    <t>Dynamic supercardioid microphone, cream</t>
  </si>
  <si>
    <t>PL33</t>
  </si>
  <si>
    <t>Dynamic bass drum microphone</t>
  </si>
  <si>
    <t>PL35</t>
  </si>
  <si>
    <t>Dynamic instrument microphone</t>
  </si>
  <si>
    <t>$ 340.200,00</t>
  </si>
  <si>
    <t>PL37</t>
  </si>
  <si>
    <t>Serie RE</t>
  </si>
  <si>
    <t>RE20</t>
  </si>
  <si>
    <t>Variable-D announcers microphone</t>
  </si>
  <si>
    <t>$ 1.771.000,00</t>
  </si>
  <si>
    <t>$ 1.464.400,00</t>
  </si>
  <si>
    <t>RE320</t>
  </si>
  <si>
    <t>Variable-D dynamic microphone</t>
  </si>
  <si>
    <t>$ 980.000,00</t>
  </si>
  <si>
    <t>$ 810.600,00</t>
  </si>
  <si>
    <t>309A</t>
  </si>
  <si>
    <t>309A SUSPENSION SHOCK MOUNT</t>
  </si>
  <si>
    <t>$ 477.400,00</t>
  </si>
  <si>
    <t>$ 394.800,00</t>
  </si>
  <si>
    <t>Cuello de ganso</t>
  </si>
  <si>
    <t>RE90B</t>
  </si>
  <si>
    <t>Condenser boundary microphone, black</t>
  </si>
  <si>
    <t>$ 1.068.200,00</t>
  </si>
  <si>
    <t>$ 882.000,00</t>
  </si>
  <si>
    <t>RE90H</t>
  </si>
  <si>
    <t>Condenser RE90 Hanging Microphone, Black</t>
  </si>
  <si>
    <t>RE90P-12</t>
  </si>
  <si>
    <t>Condenser Gooseneck Microphone (12")</t>
  </si>
  <si>
    <t>RE90P-18</t>
  </si>
  <si>
    <t>Condenser Gooseneck Microphone (18")</t>
  </si>
  <si>
    <t>Monitores de estudio</t>
  </si>
  <si>
    <t>KH 80 DSP A G US</t>
  </si>
  <si>
    <t>Active Near-field DSP Monitor 2-way, 4"" + 1"" drivers, analog in -XLR / Jack, 6.7 liters, 120 + 70 W, 108.8 dB SPL, 57 - 21kHz, 100-240 VAC, anthracite metallic</t>
  </si>
  <si>
    <t>Mayor a 5</t>
  </si>
  <si>
    <t>KH 80 DSP A W US</t>
  </si>
  <si>
    <t>Active Near-field DSP Monitor 2-way, 4"" + 1"" drivers, analog in -XLR / Jack, 6.7 liters, 120 + 70 W, 108.8 dB SPL, 57 - 21kHz, 100-240 VAC, white</t>
  </si>
  <si>
    <t>KH 120 US</t>
  </si>
  <si>
    <t>Two Way, PoweredNearfield Monitor</t>
  </si>
  <si>
    <t>KH 120 W US</t>
  </si>
  <si>
    <t>Two Way, PoweredNearfield Monitor White</t>
  </si>
  <si>
    <t>KH 120 II US</t>
  </si>
  <si>
    <t>Two Way, DSP-poweredNearfield Monitor</t>
  </si>
  <si>
    <t>KH 120 II W US</t>
  </si>
  <si>
    <t>Two Way, DSP-poweredNearfield Monitor White</t>
  </si>
  <si>
    <t>KH 120 II AES 67</t>
  </si>
  <si>
    <t>Two Way, DSP-poweredNearfield Monitor With AES 67</t>
  </si>
  <si>
    <t>KH 120 II W AES 67</t>
  </si>
  <si>
    <t>Two Way, DSP-poweredNearfield Monitor White With AES 67</t>
  </si>
  <si>
    <t>KH 150 US</t>
  </si>
  <si>
    <t>Two Way, DSP-powered Nearfield Monitor, anthracite</t>
  </si>
  <si>
    <t>$ 6.130.432,00</t>
  </si>
  <si>
    <t>$ 5.066.474,00</t>
  </si>
  <si>
    <t>KH 150 AES67</t>
  </si>
  <si>
    <t>Two Way, DSP-powered Nearfield Monitor, AES67, anthracite</t>
  </si>
  <si>
    <t>KH 150 W</t>
  </si>
  <si>
    <t>Two Way, DSP-powered Nearfield Monitor, white</t>
  </si>
  <si>
    <t>KH 150 W AES67</t>
  </si>
  <si>
    <t>Two Way, DSP-powered Nearfield Monitor, AES67, white</t>
  </si>
  <si>
    <t>KH 310 A L G</t>
  </si>
  <si>
    <t>Active Near-field Monitor 3-way, left version, 8" + 3" + 1" drivers, magnetically shielded, 27.2 liters, 210 + 90 + 90 W, 116.3 dB SPL, 34 - 21k Hz, 100-240 VAC, anthracite metallic</t>
  </si>
  <si>
    <t>$ 8.740.228,00</t>
  </si>
  <si>
    <t>$ 7.223.328,00</t>
  </si>
  <si>
    <t>SIN STOCK</t>
  </si>
  <si>
    <t>KH 310 A R G</t>
  </si>
  <si>
    <t>Active Near-field Monitor 3-way, right version, 8" + 3" + 1" drivers, magnetically shielded, 27.2 liters, 210 + 90 + 90 W, 116.3 dB SPL, 34 - 21k Hz, 100-240 VAC, anthracite metallic</t>
  </si>
  <si>
    <t>KH 420 G</t>
  </si>
  <si>
    <t>Active Mid-field Monitor, 10" + 3" + 1" drivers, magnetically shielded, analog and optional digital inputs, 41,2 liters, 330 + 140 + 140 W, 122.4 dB SPL, 26 - 22k Hz, metallic anthracite</t>
  </si>
  <si>
    <t>$ 18.391.282,00</t>
  </si>
  <si>
    <t>$ 15.199.408,00</t>
  </si>
  <si>
    <t>KH 750 AES 67</t>
  </si>
  <si>
    <t>Active DSP Subwoofer with AES 67 Input, 10" driver, 48.4 liters, 256 W, 105 dB SPL, 18 - 750 Hz, anthracite metallic, 100-240 VAC, 4 Mains cables (EU, UK, US, CCC)</t>
  </si>
  <si>
    <t>$ 6.988.688,00</t>
  </si>
  <si>
    <t>$ 5.775.770,00</t>
  </si>
  <si>
    <t>KH 750 DSP D G</t>
  </si>
  <si>
    <t>Active DSP Subwoofer, 10" driver, 48.4 liters, 256 W, 105 dB SPL, 18 - 750 Hz, anthracite metallic, 100-240 VAC, 3 Mains cables (EU, UK, US)</t>
  </si>
  <si>
    <t>$ 5.937.750,00</t>
  </si>
  <si>
    <t>$ 4.907.238,00</t>
  </si>
  <si>
    <t>KH 810 G</t>
  </si>
  <si>
    <t>Active Subwoofer with 7.1 High Definition Bass Management™, 10" driver, magnetically shielded, 76.6 liters, 160 (200) W, 110.7 dB SPL, 18 - 300 Hz, 100-240 VAC, anthracite metallic</t>
  </si>
  <si>
    <t>$ 10.141.474,00</t>
  </si>
  <si>
    <t>$ 8.381.380,00</t>
  </si>
  <si>
    <t>KH 870 G</t>
  </si>
  <si>
    <t>Active Subwoofer with 7.1 High Definition Bass Management™, 2 x 10" driver, magnetically shielded, 156 liters, 320 (400) W, 116.7 dB SPL, 18 -300 Hz, anthracite metallic</t>
  </si>
  <si>
    <t>$ 16.447.060,00</t>
  </si>
  <si>
    <t>$ 13.592.614,00</t>
  </si>
  <si>
    <t>Monitores de estudio KITS</t>
  </si>
  <si>
    <t>MONITOR ALIGNMENT KIT1</t>
  </si>
  <si>
    <t>Monitor Alignment kit. Includes (1) MA 1 and (1) KH 750 DSP</t>
  </si>
  <si>
    <t>$ 6.638.380,00</t>
  </si>
  <si>
    <t>$ 5.486.264,00</t>
  </si>
  <si>
    <t>MONITOR ALIGNMENT KIT2 US</t>
  </si>
  <si>
    <t>Monitor Alignment kit. Includes (1) MA 1 and (2) KH 80 DSP</t>
  </si>
  <si>
    <t>MONITOR ALIGNMENT KIT3 US</t>
  </si>
  <si>
    <t>Monitor Alignment kit. Includes (1) MA 1, (2) KH 80 DSP and (1) KH 750 DSP</t>
  </si>
  <si>
    <t>$ 10.491.782,00</t>
  </si>
  <si>
    <t>$ 8.670.900,00</t>
  </si>
  <si>
    <t>Accesorios monitores de estudio</t>
  </si>
  <si>
    <t>MA 1</t>
  </si>
  <si>
    <t>Monitor Alignment Microphone (omnidirectional, electret , 48 V phantom power, with calibration code). Incl. SG 105 microphone clip, software free downloadable</t>
  </si>
  <si>
    <t>Menor a 5</t>
  </si>
  <si>
    <t>DIM 1</t>
  </si>
  <si>
    <t>For the KH 420, adds 192 kHz 24-bit XLR and BNC digital inputs and a BNC digital output for digital signal interconnectivity. 409.5 ms of delay allows for lipsync and time-of-flight adjustment</t>
  </si>
  <si>
    <t>$ 2.553.754,00</t>
  </si>
  <si>
    <t>$ 2.110.542,00</t>
  </si>
  <si>
    <t>GKH 310 B</t>
  </si>
  <si>
    <t>Robust metal grille to protect the KH 310 drivers, black (RAL 9005)</t>
  </si>
  <si>
    <t>GKH 420 B</t>
  </si>
  <si>
    <t>Robust metal grille to protect the KH 420 drivers. Black (RAL 9005)</t>
  </si>
  <si>
    <t>$ 1.362.704,00</t>
  </si>
  <si>
    <t>$ 1.126.202,00</t>
  </si>
  <si>
    <t>Interfaces</t>
  </si>
  <si>
    <t>MT 48 US</t>
  </si>
  <si>
    <t>USB / AES67 Audio Interface</t>
  </si>
  <si>
    <t>$ 6.480.740,00</t>
  </si>
  <si>
    <t>$ 5.355.980,00</t>
  </si>
  <si>
    <t>NDH 20</t>
  </si>
  <si>
    <t>Closed-back studio headphone, silver with black and orange trim. Includes (1) NDH 20, (1) straight cable, (1) coiled cable, (1) 6.3mm (1/4") adapter, and (1) cloth pouch</t>
  </si>
  <si>
    <t>NDH 20 Black Edition</t>
  </si>
  <si>
    <t>Closed-back studio headphone, black, with silver and orange trim. Includes (1) NDH 20 Black Edition, (1) Straight cable, (1) Coiled cable, (1) 6.3 mm (1/4”) adapter and (1) Cloth pouch</t>
  </si>
  <si>
    <t>NDH 30</t>
  </si>
  <si>
    <t>Open back studio headphone, silver with black and orange trim. Includes (1) NDH 30, (1) straight symmetrical cable, (1) 6,3 mm (1/4”) adapter and (1) cloth pouch</t>
  </si>
  <si>
    <t>NDH 30 Black Edition</t>
  </si>
  <si>
    <t>Open back studio headphone, black, with silver and orange trim. Includes (1) NDH 30 Black Edition, (1) straight symmetrical cable, (1) 6,3 mm (1/4”) adapter and (1)cloth pouch</t>
  </si>
  <si>
    <t>USD 2.273.516,00</t>
  </si>
  <si>
    <t>Soportes monitores de estudio</t>
  </si>
  <si>
    <t>LH 25</t>
  </si>
  <si>
    <t>Mounting bracket for the KH 310 for wall or ceiling fastening, or for fixing onto loudspeaker stands, black (RAL 7021)</t>
  </si>
  <si>
    <t>LH 28</t>
  </si>
  <si>
    <t>Adapter for mounting on standard tripods with 35 mm (1 3/8”) diameter, black (RAL 9005)</t>
  </si>
  <si>
    <t>LH 29</t>
  </si>
  <si>
    <t>TV-spigot for mounting onto lighting stands or G-clamps and truss bars, color: metal</t>
  </si>
  <si>
    <t>LH 32</t>
  </si>
  <si>
    <t>Wall bracket, can be tilted horizontally and vertically, black (RAL 9005)</t>
  </si>
  <si>
    <t>LH 36</t>
  </si>
  <si>
    <t>Tilting adapter to tilt monitor in center of gravity up to max. 18° (13° for O 500 C). Has M20 thread for ceiling mount and 2 x M8 thread for LH 28, LH 29, LH 37, LH 41, LH 42 or LH 48, black (RAL 9005)</t>
  </si>
  <si>
    <t>LH 37</t>
  </si>
  <si>
    <t>Adapter for mounting on a subwoofer with top panel flange in conjunction with LH 25, LH 31, LH 35, LH 36, LH 41, LH 61, black (RAL 9005)</t>
  </si>
  <si>
    <t>LH 41</t>
  </si>
  <si>
    <t>Adapter to fit the loudspeaker onto a tripod stand. Can be used with the LH 28, LH 29, or LH 37. Adding an LH 36 gives a tilting function, black (RAL 9005)</t>
  </si>
  <si>
    <t>LH 42</t>
  </si>
  <si>
    <t>Adapter to suspend a KH 420 from a ceiling. Can be used with the LH 28, LH 29, LH 37, LH 43, LH 45 or LH 46, black (RAL 9005)</t>
  </si>
  <si>
    <t>LH 43</t>
  </si>
  <si>
    <t>Adapter to mount an LH 42, or LH 47 + other LH hardware onto a surface such as a ceiling, black (RAL 9005)</t>
  </si>
  <si>
    <t>LH 45</t>
  </si>
  <si>
    <t>L' shaped adapter to mount a loudspeaker onto a wall, black (RAL 9005)</t>
  </si>
  <si>
    <t>LH 46</t>
  </si>
  <si>
    <t>Mounting hardware to vertically position a loudspeaker suspended off a ceiling, black (RAL 9005)</t>
  </si>
  <si>
    <t>LH 47</t>
  </si>
  <si>
    <t>Mounting adapter plate to fit the LH 43, LH 45 or LH 46 with LH 25, LH 28, LH 29, LH 45, LH 61, black (RAL 9005)</t>
  </si>
  <si>
    <t>$ 241.710,00</t>
  </si>
  <si>
    <t>LH 48</t>
  </si>
  <si>
    <t>Tripod adapter plate (115 mm) to mount on König &amp; Meyer tripods No. 26790 and No. 26795, black (RAL 9005)</t>
  </si>
  <si>
    <t>LH 61</t>
  </si>
  <si>
    <t>A mounting adapter with a hole spacing of 70 mm to fit onto the loudspeaker and hole spacing of 115 mm for LH 28, LH 29, LH 37, LH 47, LH 48 or K&amp;M Design Stand, and a 3/8” thread for a microphone stand. Vertical adjustment is also possible over the range ±20°, black (RAL 9005)</t>
  </si>
  <si>
    <t>LH 64</t>
  </si>
  <si>
    <t>An adapter to convert a pair of 70 mm spaced M8 mounting points to the standard Omnimount 75, VESA 75, and VESA 100 mounting points, black (RAL 9005)</t>
  </si>
  <si>
    <t>LH 65</t>
  </si>
  <si>
    <t>Table stand with horizontal and vertical angling, and height adjustment, black (RAL 9005)</t>
  </si>
  <si>
    <t>LH 66</t>
  </si>
  <si>
    <t>NRC 1</t>
  </si>
  <si>
    <t>A simple hardware remote used to control the system volume, LFE gain, and bass management bypass. A standard CAT-5 (or better) network cable, available from third parties, is required, black</t>
  </si>
  <si>
    <t>REK 3</t>
  </si>
  <si>
    <t>A kit to locate the KH 805/810/870 electronics panel up to 30 m (90’) away from the loudspeaker cabinet. A standard 4-pole Speakon terminated loudspeaker cable, available from third parties, is required</t>
  </si>
  <si>
    <t>REK 4</t>
  </si>
  <si>
    <t>A kit to locate the KH 410 electronics panel up to 30 m (90’) away from the loudspeaker cabinet. A standard 4-pole Speakon terminated loudspeaker cable, available from third parties, is required</t>
  </si>
  <si>
    <t>SEA 1</t>
  </si>
  <si>
    <t>Enables the connection of multiple subwoofers to a single remote controller: NRC 1 or any other source of RS-232 data. Up to 3 subwoofers can be driven off one SEA 1. Additional SEA 1s are required for larger systems. Standard CAT-5 (or better) network cables, available from third parties, can be used, black</t>
  </si>
  <si>
    <t>BCM 104 (condenser mic.)</t>
  </si>
  <si>
    <t>Large diaphragm cardioid condenser, built-in popscreen, removable basket, internal shockmount</t>
  </si>
  <si>
    <t>$ 4.186.210,00</t>
  </si>
  <si>
    <t>$ 3.459.680,00</t>
  </si>
  <si>
    <t>BCM 705 (dynamic mic.)</t>
  </si>
  <si>
    <t>Small diaphragm hypercardioid dynamic, built-in popscreen, removable basket, internal shockmount</t>
  </si>
  <si>
    <t>Cápsulas</t>
  </si>
  <si>
    <t>KK 120</t>
  </si>
  <si>
    <t>Figure-8 capsule head in woodbox. Compatible with KM A (analog) or KM D (digital) output stages.</t>
  </si>
  <si>
    <t>$ 4.729.186,00</t>
  </si>
  <si>
    <t>$ 3.908.422,00</t>
  </si>
  <si>
    <t>KK 120 nx</t>
  </si>
  <si>
    <t>Figure-8 capsule head in woodbox. Compatible with KM A (analog) and KM D (digital) output stages.</t>
  </si>
  <si>
    <t>KK 131</t>
  </si>
  <si>
    <t>Omnidirectional capsule head, free field equalized, nickel, capsule woodbox. Compatible with KM A (analog) or KM D (digital) output stages.</t>
  </si>
  <si>
    <t>KK 131 nx</t>
  </si>
  <si>
    <t>Omnidirectional capsule head, free field equalized, nextel, capsule woodbox. Compatible with KM A (analog) or KM D (digital) output stages.</t>
  </si>
  <si>
    <t>KK 133</t>
  </si>
  <si>
    <t>Omnidirectional diffuse-field capsule head in woodbox, nickel. Compatible with KM A (analog) or KM D (digital) output stages.</t>
  </si>
  <si>
    <t>$ 8.932.910,00</t>
  </si>
  <si>
    <t>$ 7.382.564,00</t>
  </si>
  <si>
    <t>KK 133 nx</t>
  </si>
  <si>
    <t>Omnidirectional diffuse-field capsule head in woodbox, nextel. Compatible with KM A (analog) or KM D (digital) output stages.</t>
  </si>
  <si>
    <t>KK 14</t>
  </si>
  <si>
    <t>Capsule head for the Neumann MCM System, cardioid, titanium housing, max. SPL 153 dB, diameter 12 mm. Includes (1) K 14.</t>
  </si>
  <si>
    <t>KK 143</t>
  </si>
  <si>
    <t>Wide cardioid capsule head, capsule woodbox, nickel. Compatible with KM A (analog) or KM D (digital) output stages.</t>
  </si>
  <si>
    <t>KK 143 nx</t>
  </si>
  <si>
    <t>Wide cardioid capsule head, capsule woodbox, nextel. Compatible with KM A (analog) or KM D (digital) output stages.</t>
  </si>
  <si>
    <t>KK 145</t>
  </si>
  <si>
    <t>Cardioid capsule head with low frequency rolloff, capsule woodbox, nickel. Compatible with KM A (analog) or KM D (digital) output stages.</t>
  </si>
  <si>
    <t>KK 145 nx</t>
  </si>
  <si>
    <t>Cardioid capsule head with low frequency rolloff, capsule woodbox, nextel. Compatible with KM A (analog) or KM D (digital) output stages.</t>
  </si>
  <si>
    <t>KK 183</t>
  </si>
  <si>
    <t>Omnidirectional capsule head, diffuse field equalized, capsule woodbox, nickel. Compatible with KM A (analog) or KM D (digital) output stages.</t>
  </si>
  <si>
    <t>KK 183 nx</t>
  </si>
  <si>
    <t>Omnidirectional capsule head, diffuse field equalized, capsule woodbox, nextel. Compatible with KM A (analog) or KM D (digital) output stages.</t>
  </si>
  <si>
    <t>KK 184</t>
  </si>
  <si>
    <t>Cardioid capsule head, nickel, capsule woodbox. Compatible with KM A (analog) or KM D (digital) output stages.</t>
  </si>
  <si>
    <t>KK 184 nx</t>
  </si>
  <si>
    <t>Cardioid capsule head, capsule woodbox, nextel. Compatible with KM A (analog) or KM D (digital) output stages.</t>
  </si>
  <si>
    <t>KK 185</t>
  </si>
  <si>
    <t>Hypercardioid capsule head, capsule woodbox, nickel. Compatible with KM A (analog) or KM D (digital) output stages.</t>
  </si>
  <si>
    <t>KK 185 nx</t>
  </si>
  <si>
    <t>Hypercardioid capsule head, capsule woodbox, nextel. Compatible with KM A (analog) or KM D (digital) output stages.</t>
  </si>
  <si>
    <t>KM 183</t>
  </si>
  <si>
    <t>Omnidirectional mic with K 30 capsule, SG 21 BK, WNS 100</t>
  </si>
  <si>
    <t>KM 183 A nx</t>
  </si>
  <si>
    <t>Omni microphone, diffuse-field equalised, Nextel</t>
  </si>
  <si>
    <t>KM 183 MT</t>
  </si>
  <si>
    <t>KM 183 MT STEREO SET</t>
  </si>
  <si>
    <t>Stereo set includes two each: KM 183, SG 21 BK, WNS 100 in one woodbox</t>
  </si>
  <si>
    <t>KM 183 STEREO SET</t>
  </si>
  <si>
    <t>KM 184</t>
  </si>
  <si>
    <t>Cardioid mic with K 40 capsule, SG 21 BK, WNS 100</t>
  </si>
  <si>
    <t>KM 184 A nx</t>
  </si>
  <si>
    <t>Small-diaphragm microphone, condenser, cardioid, XLR-3F, 48V phantom, NEXTEL black, including WNS120 and SG21</t>
  </si>
  <si>
    <t>$ 4.536.518,00</t>
  </si>
  <si>
    <t>$ 3.749.186,00</t>
  </si>
  <si>
    <t>KM 184 mt</t>
  </si>
  <si>
    <t>KM 184 MT OCTO SET</t>
  </si>
  <si>
    <t>KM 184 Octo Set. Includes (8) KM 184 mt Microphones, (8) WNS 100 Windscreens, (8) SG 21 bk Stand Mount Swivels and (8) Microphone Pouch, black</t>
  </si>
  <si>
    <t>$ 19.249.538,00</t>
  </si>
  <si>
    <t>$ 15.908.704,00</t>
  </si>
  <si>
    <t>KM 184 MT STEREO SET</t>
  </si>
  <si>
    <t>Stereo set includes two each: KM 184, SG 21 BK, WNS 100 in one woodbox</t>
  </si>
  <si>
    <t>$ 5.587.442,00</t>
  </si>
  <si>
    <t>$ 4.617.718,00</t>
  </si>
  <si>
    <t>KM 184 STEREO SET</t>
  </si>
  <si>
    <t>KM 185</t>
  </si>
  <si>
    <t>Hypercardioid mic with K 50 capsule, SG 21 BK, WNS 100</t>
  </si>
  <si>
    <t>KM 185 MT</t>
  </si>
  <si>
    <t>KM 185 MT STEREO SET</t>
  </si>
  <si>
    <t>Stereo set includes two each: KM 185, SG 21 BK, WNS 100 in one woodbox</t>
  </si>
  <si>
    <t>KM 185 STEREO SET</t>
  </si>
  <si>
    <t>KM A</t>
  </si>
  <si>
    <t>Analog output stage for use with KK capsules</t>
  </si>
  <si>
    <t>KM A nx</t>
  </si>
  <si>
    <t>KMR 81 I</t>
  </si>
  <si>
    <t>Short shotgun (9 in) with twist pack case and WS 81</t>
  </si>
  <si>
    <t>$ 6.288.058,00</t>
  </si>
  <si>
    <t>$ 5.196.744,00</t>
  </si>
  <si>
    <t>KMR 81 I MT</t>
  </si>
  <si>
    <t>KMR 82 I</t>
  </si>
  <si>
    <t>Long shotgun (16 in) with case and MZW 67</t>
  </si>
  <si>
    <t>KMR 82 I MT</t>
  </si>
  <si>
    <t>KMS 104</t>
  </si>
  <si>
    <t>Cardioid handheld with K 104 capsule, KMS Pouch and SG 105</t>
  </si>
  <si>
    <t>KMS 104 bk</t>
  </si>
  <si>
    <t>KMS 104 plus</t>
  </si>
  <si>
    <t>Cardioid handheld with extended bass frequency response, KMS Pouch and SG 105</t>
  </si>
  <si>
    <t>KMS 104 plus bk</t>
  </si>
  <si>
    <t>KMS 105</t>
  </si>
  <si>
    <t>Supercardioid handheld with K 105 capsule, KMS Pouch and SG 105</t>
  </si>
  <si>
    <t>KMS 105 bk</t>
  </si>
  <si>
    <t>KU 100 (230 V)</t>
  </si>
  <si>
    <t>Dummy head microphone, stereo, 48V phantom / 6x AA battery, XLR-5M / 2x BNC, including IC 5, AC 20 and power supply 230VAC</t>
  </si>
  <si>
    <t>$ 33.275.942,00</t>
  </si>
  <si>
    <t>$ 27.500.788,00</t>
  </si>
  <si>
    <t>M 49V</t>
  </si>
  <si>
    <t>Remote Switchable Studio Tube Microphone</t>
  </si>
  <si>
    <t>$ 31.160.080,00</t>
  </si>
  <si>
    <t>$ 25.752.132,00</t>
  </si>
  <si>
    <t>M 147 TUBE SET (230 V, EU)</t>
  </si>
  <si>
    <t>$ 11.385.080,00</t>
  </si>
  <si>
    <t>$ 9.409.148,00</t>
  </si>
  <si>
    <t>M 149 TUBE SET (230 V, EU)</t>
  </si>
  <si>
    <t>$ 20.300.462,00</t>
  </si>
  <si>
    <t>$ 16.777.250,00</t>
  </si>
  <si>
    <t>M 150 TUBE SET (230 V, EU)</t>
  </si>
  <si>
    <t>$ 27.306.664,00</t>
  </si>
  <si>
    <t>$ 22.567.496,00</t>
  </si>
  <si>
    <t>MCM 100</t>
  </si>
  <si>
    <t>Output stage for the Neumann MCM System, input: 3.5 mm jack, output: XLR-3M, requires 48 V phantom power. Includes (1) MCM 100.</t>
  </si>
  <si>
    <t>MCM 114 SET BRASS/SAX/UNI</t>
  </si>
  <si>
    <t>Complete set for trumpet, trombone, saxophone, french horn, percussion instruments. Includes (1) KK 14, (1) SH 150, (1) KC 1, (1) AC 31, (1) WS 110, (1) MCM 100, (1) MC 6, (1) Soft case.</t>
  </si>
  <si>
    <t>MCM 114 SET DRUMS</t>
  </si>
  <si>
    <t>Complete set for snare, tom, stand tom, timpani, percussion instruments. Includes (1) KK 14, (1) SH 150, (1) KC 1, (1) AC 31, (1) WS 110, (1) MCM 100, (1) MC 7, (1) Soft case.</t>
  </si>
  <si>
    <t>MCM 114 SET GUITAR</t>
  </si>
  <si>
    <t>Complete set for guitar, ukulele, dobro, acoustic bass, cello. Includes (1) KK 14, (1) SH 150, (1) KC 1, (1) AC 31, (1) WS 110, (1) MCM 100, (1) MC 9, (1) Soft case.</t>
  </si>
  <si>
    <t>MCM 114 SET HIGH STRINGS</t>
  </si>
  <si>
    <t>Complete set for violin, viola, mandolin and similar instruments. Includes (1) KK 14, (1) SH 150, (1) KC 1, (1) AC 31, (1) WS 110, (1) MCM 100, (1) MC 1, (1) Soft case.</t>
  </si>
  <si>
    <t>MCM 114 STEREO SET PIANO</t>
  </si>
  <si>
    <t>Complete stereo set for piano or grand piano. Includes (2) KK 14, (2) SH 150, (2) KC 1, (2) AC 31, (2) WS 110, (2) MCM 100, (2) MC 8, (2) Soft case.</t>
  </si>
  <si>
    <t>$ 4.886.826,00</t>
  </si>
  <si>
    <t>$ 4.038.692,00</t>
  </si>
  <si>
    <t>N 149 VINTAGE</t>
  </si>
  <si>
    <t>Power supply with vintage style casing for M 147, 149 and 150 Tube</t>
  </si>
  <si>
    <t>TLM 102</t>
  </si>
  <si>
    <t>Cardioid mic with K 102 capsule, includes SG 2 and carton box</t>
  </si>
  <si>
    <t>TLM 102 bk</t>
  </si>
  <si>
    <t>Cardioid mic with K 102 capsule, include SG 2 and carton box</t>
  </si>
  <si>
    <t>TLM 102 bk Studio Set</t>
  </si>
  <si>
    <t>TLM 102 bk, EA 4 shockmount and carton box</t>
  </si>
  <si>
    <t>TLM 102 STUDIO SET</t>
  </si>
  <si>
    <t>TLM 102, EA 4 shockmount and carton box</t>
  </si>
  <si>
    <t>TLM 102 WHITE EDITION</t>
  </si>
  <si>
    <t>TLM 103</t>
  </si>
  <si>
    <t>Cardioid mic with K 103 capsule, includes SG 1 and woodbox</t>
  </si>
  <si>
    <t>TLM 103 MT</t>
  </si>
  <si>
    <t>TLM 103 mt STEREOSET</t>
  </si>
  <si>
    <t>Stereo pair of TLM 103 mt and EA 1 mt with aluminum case</t>
  </si>
  <si>
    <t>$ 9.791.166,00</t>
  </si>
  <si>
    <t>$ 8.091.874,00</t>
  </si>
  <si>
    <t>TLM 103 MT STUDIO SET</t>
  </si>
  <si>
    <t>TLM 103 ni MONOSET</t>
  </si>
  <si>
    <t>TLM 103, EA 1 and aluminum case</t>
  </si>
  <si>
    <t>$ 5.237.134,00</t>
  </si>
  <si>
    <t>$ 4.328.212,00</t>
  </si>
  <si>
    <t>TLM 103 STUDIO SET</t>
  </si>
  <si>
    <t>TLM 103-MT-SET</t>
  </si>
  <si>
    <t>TLM 103 mt, EA 1 mt and aluminum case</t>
  </si>
  <si>
    <t>TLM 107 bk</t>
  </si>
  <si>
    <t>Multi-pattern mic delivering balanced sound for all five directional characteristics: omnidirectional, cardioid and figure-8, with the intermediate patterns wide-angle cardioid and hypercardioid</t>
  </si>
  <si>
    <t>$ 5.079.494,00</t>
  </si>
  <si>
    <t>$ 4.197.928,00</t>
  </si>
  <si>
    <t>TLM 107 NICKEL</t>
  </si>
  <si>
    <t>TLM 107 STUDIO SET</t>
  </si>
  <si>
    <t>Set each with 1 x TLM 107 and EA 4, nickel</t>
  </si>
  <si>
    <t>$ 5.429.802,00</t>
  </si>
  <si>
    <t>$ 4.487.448,00</t>
  </si>
  <si>
    <t>TLM 107 STUDIO SET BK</t>
  </si>
  <si>
    <t>Set each with 1 x TLM 107 and EA 4, black</t>
  </si>
  <si>
    <t>TLM 170 R</t>
  </si>
  <si>
    <t>Multi-pattern mic with K 89 capsule, five remote-controllable patterns, with tilting side bracket</t>
  </si>
  <si>
    <t>$ 11.542.720,00</t>
  </si>
  <si>
    <t>$ 9.539.432,00</t>
  </si>
  <si>
    <t>TLM 170 R MT</t>
  </si>
  <si>
    <t>TLM 170 R MT STEREO SET</t>
  </si>
  <si>
    <t>Factory-matched stereo set of two TLM 170 R mt with EA 170 mt in Mic Briefcase</t>
  </si>
  <si>
    <t>$ 24.854.494,00</t>
  </si>
  <si>
    <t>$ 20.540.912,00</t>
  </si>
  <si>
    <t>TLM 170 R STEREO SET</t>
  </si>
  <si>
    <t>Factory-matched stereo set of two TLM 170 R with EA 170 in Mic Briefcase</t>
  </si>
  <si>
    <t>TLM 193</t>
  </si>
  <si>
    <t>Cardioid mic with K 89 capsule, includes SG 1 and woodbox</t>
  </si>
  <si>
    <t>TLM 49 - Set</t>
  </si>
  <si>
    <t>Cardioid mic with K 49 capsule and vintage tube charater, includes EA 3 in carton box</t>
  </si>
  <si>
    <t>TLM 67</t>
  </si>
  <si>
    <t>Multi-pattern mic with K 67 capsule; omni, cardioid and figure 8 patterns; pad and filter. Ships in wood box.</t>
  </si>
  <si>
    <t>$ 7.689.304,00</t>
  </si>
  <si>
    <t>$ 6.354.796,00</t>
  </si>
  <si>
    <t>TLM 67 SET Z</t>
  </si>
  <si>
    <t>Multi-pattern mic with K 67 capsule, omni, cardioid and figure 8 patterns, pad and filter. Ships in woodbox. Includes EA 87, WS 87 and IC 3/25 cable.</t>
  </si>
  <si>
    <t>TLM103 STEREO SET</t>
  </si>
  <si>
    <t>Stereo pair of TLM 103 and EA 1 with aluminum case</t>
  </si>
  <si>
    <t>U 47 FET</t>
  </si>
  <si>
    <t>U 47 fet Collector's Edition, wooden box, Collector's Edition carton box, Collector's Edition Certificate of Authenticity</t>
  </si>
  <si>
    <t>U 67 SET</t>
  </si>
  <si>
    <t>U 67 Tube Microphone set. Includes (1) U 67 Microphone with K 67 capsule (omnidirectional/cardioid/figure 8), (1) Z 48 elastic suspension, (1) NU 67 V power supply, (1) UC 5 connection cable and (1) vintange Neumann aluminum case</t>
  </si>
  <si>
    <t>$ 27.656.972,00</t>
  </si>
  <si>
    <t>$ 22.857.002,00</t>
  </si>
  <si>
    <t>U 87 AI</t>
  </si>
  <si>
    <t>Multi-pattern mic with K 67 capsule, omni, cardioid and figure 8 patterns, pad and filter in woodbox</t>
  </si>
  <si>
    <t>U 87 AI MT</t>
  </si>
  <si>
    <t>U 87 Ai mt Set Z</t>
  </si>
  <si>
    <t>Set includes U 87 Ai mt, EA 87 mt, WS 87, IC 3/25</t>
  </si>
  <si>
    <t>$ 12.943.952,00</t>
  </si>
  <si>
    <t>$ 10.697.484,00</t>
  </si>
  <si>
    <t>U 87 AI MT STEREO SET</t>
  </si>
  <si>
    <t>Factory-matched stereo set includes two U 87 Ai mt with EA 87 mt in Mic Briefcase</t>
  </si>
  <si>
    <t>$ 26.255.740,00</t>
  </si>
  <si>
    <t>$ 21.698.950,00</t>
  </si>
  <si>
    <t>U 87 AI MT STUDIO SET</t>
  </si>
  <si>
    <t>$ 13.294.260,00</t>
  </si>
  <si>
    <t>$ 10.986.990,00</t>
  </si>
  <si>
    <t>U 87 Ai Set Z</t>
  </si>
  <si>
    <t>Set includes U 87 Ai, EA 87, WS 87, IC 3/25</t>
  </si>
  <si>
    <t>U 87 AI STEREO SET</t>
  </si>
  <si>
    <t>Factory-matched stereo set includes two U 87 Ai with EA 87 in Mic Briefcase</t>
  </si>
  <si>
    <t>U 87 AI STUDIO SET</t>
  </si>
  <si>
    <t>U 89 i</t>
  </si>
  <si>
    <t>Multi-pattern mic with K 89 capsule, five patterns, pad, filter, in woodbox</t>
  </si>
  <si>
    <t>U 89 i mt</t>
  </si>
  <si>
    <t>USM 69 I</t>
  </si>
  <si>
    <t>Stereo microphone with two multi-pattern K 67 capsules</t>
  </si>
  <si>
    <t>$ 23.803.570,00</t>
  </si>
  <si>
    <t>$ 19.672.366,00</t>
  </si>
  <si>
    <t>USM 69 I MT</t>
  </si>
  <si>
    <t>USM 69 i mt Set</t>
  </si>
  <si>
    <t>Stereo microphone set includes USM 69 i mt, AC 20, IC 6/25</t>
  </si>
  <si>
    <t>$ 24.153.878,00</t>
  </si>
  <si>
    <t>$ 19.961.886,00</t>
  </si>
  <si>
    <t>USM 69 i Set</t>
  </si>
  <si>
    <t>Stereo microphone set includes USM 69 i, AC 20, IC 6/25</t>
  </si>
  <si>
    <t>EA 87</t>
  </si>
  <si>
    <t>Shockmount for U 87 or U 87 Ai</t>
  </si>
  <si>
    <t>$ 1.506.330,00</t>
  </si>
  <si>
    <t>$ 1.244.908,00</t>
  </si>
  <si>
    <t>Merging Technologies</t>
  </si>
  <si>
    <t xml:space="preserve">ANUBIS PRO SPS
</t>
  </si>
  <si>
    <t xml:space="preserve">Anubis Pro network converter, up to 192 kHz, 2 MIC/LINE + 2 INST/LINE inputs, 4 LINE Outputs, 2 Stereo Headphones, Ravenna/AES67 with 2022-7 Seamless Protection Switching 
(Merging Product Code: IOC-ANU-PRO-SP)
</t>
  </si>
  <si>
    <t>$ 7.341.964,00</t>
  </si>
  <si>
    <t>$ 6.644.316,00</t>
  </si>
  <si>
    <t>10,50%</t>
  </si>
  <si>
    <t>ANUBIS PREMIUM SPS</t>
  </si>
  <si>
    <t>Anubis Premium network converter, DSD/DXD, 2 MIC/LINE + 2 INST/LINE inputs, 4 LINE Outputs, 2 Stereo Headphones, Ravenna/AES67 with 2022-7 Seamless Protection Switching
 (Merging Product Code: IOC-ANU-PRE-SP)</t>
  </si>
  <si>
    <t>$ 9.434.180,00</t>
  </si>
  <si>
    <t>$ 8.537.718,00</t>
  </si>
  <si>
    <t>Tarjetas I/O</t>
  </si>
  <si>
    <t>ADA8P</t>
  </si>
  <si>
    <t>Horus/Hapi 8 channel Mic/Line A/D &amp; DA module, DSD/DXD Premium
 8 x exceptionally transparent, Swiss designed pre-amplifiers; Remote control for all parameters
 Phantom Power/Polarity Invert/Low Cut/Impedance switchable per channel
 139 dB Dynamic range on the Line inputs; Digitally controlled output trims for line up procedures
 (Merging Product Code: IOM-H-ADA8P)</t>
  </si>
  <si>
    <t>$ 10.221.162,00</t>
  </si>
  <si>
    <t>$ 9.249.926,00</t>
  </si>
  <si>
    <t>ADA8S</t>
  </si>
  <si>
    <t>Horus/Hapi 8 channel Mic/Line A/D &amp; DA module, up to 192 kHz
 8 x exceptionally transparent, Swiss designed pre-amplifiers; Remote control for all parameters
 Phantom Power/Polarity Invert/Low Cut/Impedance switchable per channel
 139 dB Dynamic range on the Line inputs; Digitally controlled output trims for line up procedures
 (Merging Product Code: IOM-H-ADA8S)</t>
  </si>
  <si>
    <t>$ 7.981.778,00</t>
  </si>
  <si>
    <t>AKDG8DP</t>
  </si>
  <si>
    <t>Horus/Hapi 8 channel Mic/Line Dual Gain A/D card with Direct Out, DSD/DXD Premium 
 8 x exceptionally transparent, Swiss designed pre-amplifiers; Remote/Local switch; Remote control for all parameters; Phantom Power/Polarity/Low Cut/Impedance switchable per channel; Allows Mic splitting variants; 136dB dynamic range
 (Merging Product Code: IOM-H-AKDG8DP)</t>
  </si>
  <si>
    <t>$ 9.117.472,00</t>
  </si>
  <si>
    <t>$ 8.251.110,00</t>
  </si>
  <si>
    <t>AKDG8DS</t>
  </si>
  <si>
    <t>Horus/Hapi 8 channel Mic/Line Dual Gain A/D card with Direct Out, up to 192 kHz 
 8 x exceptionally transparent, Swiss designed pre-amplifiers; Remote/Local switch; Remote control for all parameters; Phantom Power/Polarity/Low Cut/Impedance switchable per channel; Allows Mic splitting variants; 136dB dynamic range
 (Merging Product Code: IOM-H-AKDG8DS)</t>
  </si>
  <si>
    <t>$ 6.702.136,00</t>
  </si>
  <si>
    <t>$ 6.065.290,00</t>
  </si>
  <si>
    <t>DA8</t>
  </si>
  <si>
    <t>Horus/Hapi 8 ch. Line Output D/A module, up to 192 kHz
 Digitally controlled trims; 127 dB dynamic range; Low Phase Noise Oscillator circuitry
 (Merging Product Code: IOM-H-DA8)</t>
  </si>
  <si>
    <t>$ 4.462.766,00</t>
  </si>
  <si>
    <t>DA8P</t>
  </si>
  <si>
    <t>Horus/Hapi 8 ch. Line Output D/A module, DSD/DXD Premium
 Digitally controlled trims; 127 dB dynamic range; Low Phase Noise Oscillator circuitry
 (Merging Product Code: IOM-H-DA8P)</t>
  </si>
  <si>
    <t>$ 6.382.222,00</t>
  </si>
  <si>
    <t>MADM</t>
  </si>
  <si>
    <t>Hapi MADI Multimode Option
 Adds a MADI connection to a Hapi with up to 64 IO supported at 44.1/48kHz
 (Merging Product Code: IOM-HAPI-MADM)</t>
  </si>
  <si>
    <t>$ 3.035.956,00</t>
  </si>
  <si>
    <t>MADS</t>
  </si>
  <si>
    <t>Hapi MADI Single mode Option
 Adsd a MADI connection to a Hapi with up to 64 IO supported at 44.1/48kHz
 (Merging Product Code: IOM-HAPI-MADS)</t>
  </si>
  <si>
    <t>PT64</t>
  </si>
  <si>
    <t>Horus/Hapi Digilink module for connection to Pro Tools HD™ or HDX™
 64 Channels in each card (Main + Expansion connections); Up to 2 PT64 cards in Hapi or Horus for 128 channels to and from Pro Tools HD™; Mimic signal delays for all AVID™ branded interfaces (HD I/O, MADI I/O, 192 I/O); Works from 44.1 -&gt; 192 kHz sample rates (up to 64 channels @48kHz per card, 32 channels @ 96kHz per card, 16 channels @192kHz per card); Automatic Delay Compensation; Two Digilink mini connectors; Connect your Pro Tools HD™ to the power of RAVENNA Networking
 (Merging Product Code: IOM-H-PT64)</t>
  </si>
  <si>
    <t>$ 2.012.248,00</t>
  </si>
  <si>
    <t>Modulo I/O</t>
  </si>
  <si>
    <t>HAPI MKII</t>
  </si>
  <si>
    <t>Hapi MKII network converter, 8 channel AES I/O, 8/2 channel ADAT/SPDIF Optical I/O, Ravenna
 (Merging Product Code: IOC-HAPI-MKII)</t>
  </si>
  <si>
    <t>$ 8.941.520,00</t>
  </si>
  <si>
    <t>Cables</t>
  </si>
  <si>
    <t>CABLE ANALOG IN DB25 8-XLR F</t>
  </si>
  <si>
    <t>Cable, Analog In DB-25 - Octal XLR Female, 1.5 meter
 (Merging Product Code: CON-D25-XLRF)</t>
  </si>
  <si>
    <t>$ 412.692,00</t>
  </si>
  <si>
    <t>CABLE ANALOG OUT DB25 8-XLR M</t>
  </si>
  <si>
    <t>Cable, Analog Out DB-25 - Octal XLR Male, 1.5 meter
 (Merging Product Code: CON-D25-XLRM)</t>
  </si>
  <si>
    <t>CABLE DIGITAL DB25 QUAD-XLR FM</t>
  </si>
  <si>
    <t>Cable, Digital AES-EBU DB-25 - Quad XLR Female, Quad XLR Male, Break-out, 1.5 meter
 (Merging Product Code: CON-D25-XLRD)</t>
  </si>
  <si>
    <t>$ 476.672,00</t>
  </si>
  <si>
    <t>$ 431.368,00</t>
  </si>
  <si>
    <t>HAPI HORUS SYNC CABLE</t>
  </si>
  <si>
    <t>Horus / HAPI Sync Cable (LTC/MTC/MIDI/Vid Ref IO)
 (Merging Product Code: CON-D15-VTC)</t>
  </si>
  <si>
    <t>Servidores</t>
  </si>
  <si>
    <t>MassCore MultiCore Extension</t>
  </si>
  <si>
    <t>MassCore MultiCore; most powerful audio engine for Pyramix and Ovation. Process up to 384 discreet Inputs and Outputs (768 simultaneous); sample rates up to 384 kHz and even DSD256, Masscore has got completely unique abilities in the DAW world; low latency realtime engine;
 Add MERGING+MASSCORE engine to any Pyramix or Ovation pack for our most powerful performance; Supports 12th and 13th generation CPUs, compatible with Windows 11.
 MassCore provides ultra-low, fixed latencies for most critical performance environments and enables the 3D panning engine to create extended speaker output configurations. 
 Available Bus Types: 384
 Latency: Fixed with ultra low latency engine
 Hardware I/O @ 48kHz/96kHz/192kHz/DXD &amp; DSD 64/128/256 (2.8 MHz / 5.6MHz / 11.2 MHz): 384/192/96/64
 (Merging Product Code: PSO-MSC-BUD)</t>
  </si>
  <si>
    <t>MassCore Network Card</t>
  </si>
  <si>
    <t>MassCore RAVENNA Network Interface Card (REQUIRES MASSCORE MULTI-CORE EXTENSION)
 Intel-powered DSP based system; MassCore is capable of:
 384 Inputs and 384 Outputs @1FS (44.1 / 48 kHz)
 96 @ 4FS (176.4 / 192 kHz)
 48 @ 8FS DXD (352.8 / 384 kHz)
 48 @DSD256 (11.2 MHz 1bit)
 with extremely low latency roundtrip
 (Merging Product Code: NET-MSC-GBEX1)</t>
  </si>
  <si>
    <t>$ 1.340.430,00</t>
  </si>
  <si>
    <t>Software</t>
  </si>
  <si>
    <t>Ovation Element ASM</t>
  </si>
  <si>
    <t>Ovation Annual Software Maintenance (ASM) ELEMENT: Free Ovation updates for the whole year including new full releases.
 Upgrade to include all the latest options. Benefit from the latest options free of charge, as soon as your key is reissued after the ASM renewal. Such benefit alone can add up to be more than 3 times the cost of the ASM.
 Access to the Technical Support Hotline free of charge is granted. 
 Free key transfers and name changes.
 Get the reassurance that your system will always be up to date. Notifications will be sent out regularly when updates, Hot Fixes or new options are available for download.
 ASM can be renewed prior to expiration, at time of expiration or within two years from expiration (quantity 2). The ASM plan start date will automatically be activated when the last day of the previous ASM is reached.
 (Merging Product Code: ASM-OVA-ELM)</t>
  </si>
  <si>
    <t>$ 92.778,00</t>
  </si>
  <si>
    <t>Ovation Element Latest Upgrade</t>
  </si>
  <si>
    <t>This Ovation ELEMENTUpgrade is only required if the customer is not under a valid ASM plan or if the ASM expired for a period of two years and more.
 Under such ciscurmstances both the ASM and Upgrade need to be ordered at the same time.
 Combining the Upgrade along with the ASM will allow the customer to receive the latest upgrade version and one year of ASM starting at time of order.
 (Merging Product Code: UPG-OVA-101ELM)</t>
  </si>
  <si>
    <t>$ 156.758,00</t>
  </si>
  <si>
    <t>Ovation Element Pack</t>
  </si>
  <si>
    <t>Ovation ELEMENT; for small theatres and simple corporate AV events; packs everything you need to fire audio cues; Instant and user-friendly audio cues playback; Live Cue recording; On the fly editing; Support for multichannel busses (5.1, 7.1, 22.2, etc…), Ambisonic and objects audio; Merging Technologies 3D audio renderer; MIDI send/receive support; Ovation redundancy; Software Playback 8 channels;Mixer Busses 7.1; Pyramix Editing Supported
 Bundled Pyramix Evaluation mode only; DXD/DSD Playout support 2 channels
 (Merging Product Code: MOV-PCK-ELM)</t>
  </si>
  <si>
    <t>$ 380.688,00</t>
  </si>
  <si>
    <t>Ovation MSC Elm Latest Upgrade</t>
  </si>
  <si>
    <t>This Ovation MassCore ELEMENT Upgrade is only required if the customer is not under a valid ASM plan or if the ASM expired for a period of two years and more.
 Under such ciscurmstances both the ASM and Upgrade need to be ordered at the same time.
 Combining the Upgrade along with the ASM will allow the customer to receive the latest upgrade version and one year of ASM starting at time of order.
 (Merging Product Code: UPG-OVA-101MELM)</t>
  </si>
  <si>
    <t>Ovation MSC Pre Latest Upgrade</t>
  </si>
  <si>
    <t>This Ovation MassCore PREMIUM Upgrade is only required if the customer is not under a valid ASM plan or if the ASM expired for a period of two years and more.
 Under such ciscurmstances both the ASM and Upgrade need to be ordered at the same time.
 Combining the Upgrade along with the ASM will allow the customer to receive the latest upgrade version and one year of ASM starting at time of order.
 (Merging Product Code: UPG-OVA-101MPRE)</t>
  </si>
  <si>
    <t>$ 2.620.072,00</t>
  </si>
  <si>
    <t>Ovation MSC Pro Latest Upgrade</t>
  </si>
  <si>
    <t>This Ovation MassCore PROFESSIONAL Upgrade is only required if the customer is not under a valid ASM plan or if the ASM expired for a period of two years and more.
 Under such ciscurmstances both the ASM and Upgrade need to be ordered at the same time.
 Combining the Upgrade along with the ASM will allow the customer to receive the latest upgrade version and one year of ASM starting at time of order.
 (Merging Product Code: UPG-OVA-101MPRO)</t>
  </si>
  <si>
    <t>$ 2.172.198,00</t>
  </si>
  <si>
    <t>Ovation MassCore Elm ASM</t>
  </si>
  <si>
    <t>Ovation MassCore Annual Software Maintenance ELEMENT: Free Ovation updates for the whole year including new full releases.
 Upgrade to include all the latest options. Benefit from the latest options free of charge, as soon as your key is reissued after the ASM renewal. Such benefit alone can add up to be more than 3 times the cost of the ASM.
 Access to the Technical Support Hotline free of charge is granted. 
 Free key transfers and name changes.
 Get the reassurance that your system will always be up to date. Notifications will be sent out regularly when updates, Hot Fixes or new options are available for download.
 ASM can be renewed prior to expiration, at time of expiration or within two years from expiration (quantity 2). The ASM plan start date will automatically be activated when the last day of the previous ASM is reached.
 (Merging Product Code: ASM-OVA-MELM)</t>
  </si>
  <si>
    <t>$ 1.180.466,00</t>
  </si>
  <si>
    <t>Ovation MassCore Pre ASM</t>
  </si>
  <si>
    <t>Ovation MassCore Annual Software Maintenance PREMIUM: Free Ovation updates for the whole year including new full releases.
 Upgrade to include all the latest options. Benefit from the latest options free of charge, as soon as your key is reissued after the ASM renewal. Such benefit alone can add up to be more than 3 times the cost of the ASM.
 Access to the Technical Support Hotline free of charge is granted.
 Free key transfers and name changes.
 Get the reassurance that your system will always be up to date. Notifications will be sent out regularly when updates, Hot Fixes or new options are available for download.
 ASM can be renewed prior to expiration, at time of expiration or within two years from expiration (quantity 2). The ASM plan start date will automatically be activated when the last day of the previous ASM is reached.
 (Merging Product Code: ASM-OVA-MPRE)</t>
  </si>
  <si>
    <t>$ 2.236.178,00</t>
  </si>
  <si>
    <t>Ovation MassCore Pro ASM</t>
  </si>
  <si>
    <t>Ovation MassCore Annual Software Maintenance PROFESSIONAL: Free Ovation updates for the whole year including new full releases.
 Upgrade to include all the latest options. Benefit from the latest options free of charge, as soon as your key is reissued after the ASM renewal. Such benefit alone can add up to be more than 3 times the cost of the ASM.
 Access to the Technical Support Hotline free of charge is granted.
 Free key transfers and name changes.
 Get the reassurance that your system will always be up to date. Notifications will be sent out regularly when updates, Hot Fixes or new options are available for download.
 ASM can be renewed prior to expiration, at time of expiration or within two years from expiration (quantity 2). The ASM plan start date will automatically be activated when the last day of the previous ASM is reached.
 (Merging Product Code: ASM-OVA-MPRO)</t>
  </si>
  <si>
    <t>$ 1.756.314,00</t>
  </si>
  <si>
    <t>Ovation Pre Latest Upgrade</t>
  </si>
  <si>
    <t>This Ovation PREMIUM Upgrade is only required if the customer is not under a valid ASM plan or if the ASM expired for a period of two years and more.
 Under such ciscurmstances both the ASM and Upgrade need to be ordered at the same time.
 Combining the Upgrade along with the ASM will allow the customer to receive the latest upgrade version and one year of ASM starting at time of order.
 (Merging Product Code: UPG-OVA-101PRE)</t>
  </si>
  <si>
    <t>Ovation Premium ASM</t>
  </si>
  <si>
    <t>Ovation Annual Software Maintenance (ASM) PREMIUM: Free Ovation updates for the whole year including new full releases.
 Upgrade to include all the latest options. Benefit from the latest options free of charge, as soon as your key is reissued after the ASM renewal. Such benefit alone can add up to be more than 3 times the cost of the ASM.
 Access to the Technical Support Hotline free of charge is granted. 
 Free key transfers and name changes.
 Get the reassurance that your system will always be up to date. Notifications will be sent out regularly when updates, Hot Fixes or new options are available for download.
 ASM can be renewed prior to expiration, at time of expiration or within two years from expiration (quantity 2). The ASM plan start date will automatically be activated when the last day of the previous ASM is reached. 
 (Merging Product Code: ASM-OVA-PRE)</t>
  </si>
  <si>
    <t>$ 1.148.476,00</t>
  </si>
  <si>
    <t>Ovation Premium Pack</t>
  </si>
  <si>
    <t>Ovation PREMIUM; Advanced solution for performances like cruise ships, theme parks, large theatre environments, broadcast and more; PREMIUM allows on the fly record, edit and playback audio cues through Flux SPAT or Dolby Atmos renderer; Ovation PREMIUM synchronizes seamlessly with Dataton WATCHOUT and Ross Video. Mixer control via Eucon or Ovation surfaces.
 Instant, user-friendly audio cues playback; Live Cue recording; On the fly editing; Multichannel busses support (5.1, 7.1, 22.2, etc…), Ambisonic and objects audio; Merging Technologies 3D audio renderer; MIDI send/receive support; Ovation redundancy; Software playback 8 channels; Mixer Busses 7.1; Pyramix Editing Supported; Bundled Pyramix Evaluation mode only; DXD/DSD Playout support 2 channels; Mixer Automation; OSC send/receive and Automation support; Support for all other control protocols (LTC, MTC, TCP/IP, COM, RS-422, MSC, Script/Batch files); Support for HUI Controllers; Webserver with customizable GUI allowing Ovation to be remote controlled from any tablet/smartphone/laptop; Software Playback 48 channels; Mixer Busses 22.2; Pyramix Editing Supported; Bundled Pyramix Element; DXD/DSD Playout support 8 channels;
 Dolby Atmos® and Flux plugins pack; Support of Eucon and OASIS controllers; Dataton WATCHOUT and Ross Video integration; Multi sequencer synchronization; Track count up to 384 I/O (with MERGING+MASSCORE engine only); Designed for extended audio interactivity requirements in AV systems design. Software Playback 128 channels; Mixer Busses 30.2; Pyramix Editing Supported; Bundled Pyramix Element; DXD/DSD Playout support 16 channels. Use MERGING+MASSCORE audio engine for most powerful performance. 
 (Merging Product Code: MOV-PCK-PRE)</t>
  </si>
  <si>
    <t>$ 6.878.088,00</t>
  </si>
  <si>
    <t>Ovation Pro Latest Upgrade</t>
  </si>
  <si>
    <t>This Ovation PROFESSIONAL Upgrade is only required if the customer is not under a valid ASM plan or if the ASM expired for a period of two years and more.
 Under such ciscurmstances both the ASM and Upgrade need to be ordered at the same time.
 Combining the Upgrade along with the ASM will allow the customer to receive the latest upgrade version and one year of ASM starting at time of order.
 (Merging Product Code: UPG-OVA-101PRO)</t>
  </si>
  <si>
    <t>$ 860.566,00</t>
  </si>
  <si>
    <t>Ovation Professional ASM</t>
  </si>
  <si>
    <t>Ovation Annual Software Maintenance (ASM) PROFESSIONAL: Free Ovation updates for the whole year including new full releases.
 Upgrade to include all the latest options. Benefit from the latest options free of charge, as soon as your key is reissued after the ASM renewal. Such benefit alone can add up to be more than 3 times the cost of the ASM.
 Access to the Technical Support Hotline free of charge is granted. 
 Free key transfers and name changes.
 Get the reassurance that your system will always be up to date. Notifications will be sent out regularly when updates, Hot Fixes or new options are available for download.
 ASM can be renewed prior to expiration, at time of expiration or within two years from expiration (quantity 2). The ASM plan start date will automatically be activated when the last day of the previous ASM is reached.
 (Merging Product Code: ASM-OVA-PRO)</t>
  </si>
  <si>
    <t>$ 668.612,00</t>
  </si>
  <si>
    <t>$ 605.080,00</t>
  </si>
  <si>
    <t>Ovation Professional Pack</t>
  </si>
  <si>
    <t>Ovation PROFESSIONAL; for professional show designers and broadcasters; Show control, automation and integration with other devices; can run a show, whether being controlled by external devices or running the show itself or a mix of both.
 Instant and user-friendly audio cues playback; Live Cue recording; On the fly editing; Support for multichannel busses (5.1, 7.1, 22.2, etc…), Ambisonic and objects audio; Merging Technologies 3D audio renderer; MIDI send/receive support; Ovation redundancy; Software Playback 8 channels;Mixer Busses 7.1; Pyramix Editing Supported; Bundled Pyramix Evaluation mode only; DXD/DSD Playout support 2 channels; Mixer Automation; OSC send/receive and Automation support; Support for all other control protocols (LTC, MTC, TCP/IP, COM, RS-422, MSC, Script/Batch files); Support for HUI Controllers; Webserver with beautiful customizable GUI allowing Ovation to be controlled from any tablet/smartphone/laptop; Software Playback 48 channels; Mixer Busses 22.2; Pyramix Editing Supported; Bundled Pyramix Element; DXD/DSD Playout support 8 channels
 (Merging Product Code: MOV-PCK-PRO)</t>
  </si>
  <si>
    <t>PSU AC/DC 12V FOR HAPI MKII</t>
  </si>
  <si>
    <t>Power Supply AC/DC 12V for Hapi DC input
 (Merging Product Code: PSU-AC/DC-30W)</t>
  </si>
  <si>
    <t>$ 252.728,00</t>
  </si>
  <si>
    <t>$ 228.718,00</t>
  </si>
  <si>
    <t>Pyramix AAF Interchange Option</t>
  </si>
  <si>
    <t>Advanced Authoring Format (AAF) is a multimedia file format that allows you to exchange digital media and metadata between platforms, systems, and applications. Authoring applications that support AAF, such as Media Composer, Pro Tools, DaVinci, and more. Read, and write the data in AAF files as much as they support the format
 (Merging Product Code: VSO-AAF)</t>
  </si>
  <si>
    <t>Pyramix AVC-INTRA Option</t>
  </si>
  <si>
    <t>Please Note: All Pyramix Packs excluding ELEMENT will include Video support for the following formats and codecs:
 Mov: ProRes 422 HQ, ProRes 422 LT, ProRes 422 Proxy, DV25, DV50, H264
 Mp4: H264
 MXF: DV25, DV50
 The Pyramix AVC-INTRA Option adds additional video codec support for AVC-INTRA. (Merging Product Code: VSO-AVC-INTRA)</t>
  </si>
  <si>
    <t>$ 1.212.470,00</t>
  </si>
  <si>
    <t>Pyramix AVDNXHD Option</t>
  </si>
  <si>
    <t>Please Note: All Pyramix Packs excluding ELEMENT will include Video support for the following formats and codecs:
 Mov: ProRes 422 HQ, ProRes 422 LT, ProRes 422 Proxy, DV25, DV50, H264
 Mp4: H264
 MXF: DV25, DV50
 The Pyramix AVDNXHD Option adds additional video codec support for AVDNXHD. (Merging Product Code: VSO-AVDNXHD)</t>
  </si>
  <si>
    <t>Pyramix DVCPROHD Option</t>
  </si>
  <si>
    <t>Please Note: All Pyramix Packs excluding ELEMENT include Video support for the following formats and codecs:
 Mov: ProRes 422 HQ, ProRes 422 LT, ProRes 422 Proxy, DV25, DV50, H264
 Mp4: H264
 MXF: DV25, DV50
 The Pyramix DVCPROHD Option adds additional video codec support for DVCPROHD. 
 (Merging Product Code: VSO-DVCPROHD)</t>
  </si>
  <si>
    <t>Pyramix Element ASM</t>
  </si>
  <si>
    <t>Pyramix Annual Software Maintenance (ASM) ELEMENT: Free Pyramix updates for the whole year including new full releases.
 Upgrade to include all the latest options. Benefit from the latest options free of charge, as soon as your key is reissued after the ASM renewal. Such benefit alone can add up to be more than 3 times the cost of the ASM. Access to the Technical Support Hotline free of charge is granted. Free key transfers and name changes. Your system will always be up to date. Notifications will be sent out regularly when updates, hot fixes or new options are available for download.
 ASM can be renewed prior to expiration, at time of expiration or within two years from expiration (quantity 2). The ASM plan start date will automatically be activated when the last day of the previous ASM is reached.
 (Merging Product Code: ASM-PMX-ELM)</t>
  </si>
  <si>
    <t>Pyramix Element Latest Upgrade</t>
  </si>
  <si>
    <t>This Pyramix ELEMENT Upgrade is only required if the customer is not under a valid ASM plan or if the ASM expired for a period of two years and more.
 Under such ciscurmstances both the ASM and Upgrade need to be ordered at the same time.
 Combining the Upgrade along with the ASM will allow the customer to receive the latest upgrade version and one year of ASM starting at time of order.
 (Merging Product Code: UPG-PMX-141ELM)</t>
  </si>
  <si>
    <t>Pyramix Element Pack</t>
  </si>
  <si>
    <t>Pyramix ELEMENT; "analog-like" digital audio (DSD/DXD); 3D audio mixer including Ambisonic up to the 2nd order; supports most popular studio controllers such as Avid S1 and Avid Control App; Available Bus Types (Max Speaker Config Size): 22.2
 Software Playback: @48kHz/96kHz/192kHz/352.8 - 384.kHz (DXD &amp; DSD 64/128/256 (2.8 MHz / 5.6MHz / 11.2 MHz) 512/256/128/64 software channels
 Hardware I/O: @48kHz/96kHz/192kHz/352.8 - 384.kHz (DXD &amp; DSD 64/128/256 (2.8 MHz / 5.6MHz / 11.2 MHz) 48/24/12/2 hardware channels
 (Merging Product Code: MSP-PCK-ELM)</t>
  </si>
  <si>
    <t>Pyramix H264-ENC Option</t>
  </si>
  <si>
    <t>Please Note: All Pyramix Packs excluding ELEMENT will include Video support for the following formats and codecs:
 Mov: ProRes 422 HQ, ProRes 422 LT, ProRes 422 Proxy, DV25, DV50, H264
 Mp4: H264
 MXF: DV25, DV50
 The Pyramix H264-ENC Option adds additional video codec support for H264-ENC. (Merging Product Code: VSO-H264-ENC)</t>
  </si>
  <si>
    <t>Pyramix IMX-MPG2HD Option</t>
  </si>
  <si>
    <t>Please Note: All Pyramix Packs excluding ELEMENT will include Video support for the following formats and codecs:
 Mov: ProRes 422 HQ, ProRes 422 LT, ProRes 422 Proxy, DV25, DV50, H264
 Mp4: H264
 MXF: DV25, DV50
 The Pyramix IMX-MPG2HD Option adds additional video codec support for IMX-MPG2HD. (Merging Product Code: VSO-IMX-MPG2HD)</t>
  </si>
  <si>
    <t>Pyramix MSC Elm Latest Upgrade</t>
  </si>
  <si>
    <t>This Pyramix MassCore ELEMENT Upgrade is only required if the customer is not under a valid ASM plan or if the ASM expired for a period of two years and more.
 Under such ciscurmstances both the ASM and Upgrade need to be ordered at the same time.
 Combining the Upgrade along with the ASM will allow the customer to receive the latest upgrade version and one year of ASM starting at time of order.
 (Merging Product Code: UPG-PMX-141MELM)</t>
  </si>
  <si>
    <t>Pyramix MSC Pre Latest Upgrade</t>
  </si>
  <si>
    <t>This Pyramix MassCore PREMIUM Upgrade is only required if the customer is not under a valid ASM plan or if the ASM expired for a period of two years and more.
 Under such ciscurmstances both the ASM and Upgrade need to be ordered at the same time.
 Combining the Upgrade along with the ASM will allow the customer to receive the latest upgrade version and one year of ASM starting at time of order.
 (Merging Product Code: UPG-PMX-141MPRE)</t>
  </si>
  <si>
    <t>$ 3.195.906,00</t>
  </si>
  <si>
    <t>Pyramix MSC Pro Latest Upgrade</t>
  </si>
  <si>
    <t>This Pyramix MassCore PROFESSIONAL Upgrade is only required if the customer is not under a valid ASM plan or if the ASM expired for a period of two years and more.
 Under such ciscurmstances both the ASM and Upgrade need to be ordered at the same time.
 Combining the Upgrade along with the ASM will allow the customer to receive the latest upgrade version and one year of ASM starting at time of order.
 (Merging Product Code: UPG-PMX-141MPRO)</t>
  </si>
  <si>
    <t>$ 2.044.238,00</t>
  </si>
  <si>
    <t>Pyramix MassCore Elm ASM</t>
  </si>
  <si>
    <t>Pyramix MassCore Annual Software Maintenance ELEMENT: Free Pyramix updates for the whole year including new full releases.
 Upgrade to include all the latest options. Benefit from the latest options free of charge, as soon as your key is reissued after the ASM renewal. Such benefit alone can add up to be more than 3 times the cost of the ASM. Access to the Technical Support Hotline free of charge is granted. Free key transfers and name changes. Your system will always be up to date. Notifications will be sent out regularly when updates, hot fixes or new options are available for download.
 ASM can be renewed prior to expiration, at time of expiration or within two years from expiration (quantity 2). The ASM plan start date will automatically be activated when the last day of the previous ASM is reached.
 (Merging Product Code: ASM-PMX-MELM)</t>
  </si>
  <si>
    <t>Pyramix MassCore Pre ASM</t>
  </si>
  <si>
    <t>Pyramix MassCore Annual Software Maintenance PREMIUM: Free Pyramix updates for the whole year including new full releases.
 Upgrade to include all the latest options. Benefit from the latest options free of charge, as soon as your key is reissued after the ASM renewal. Such benefit alone can add up to be more than 3 times the cost of the ASM. Access to the Technical Support Hotline free of charge is granted. Free key transfers and name changes. Your system will always be up to date. Notifications will be sent out regularly when updates, hot fixes or new options are available for download.
 ASM can be renewed prior to expiration, at time of expiration or within two years from expiration (quantity 2). The ASM plan start date will automatically be activated when the last day of the previous ASM is reached.
 (Merging Product Code: ASM-PMX-MPRE)</t>
  </si>
  <si>
    <t>$ 2.812.026,00</t>
  </si>
  <si>
    <t>$ 2.544.808,00</t>
  </si>
  <si>
    <t>Pyramix MassCore Pro ASM</t>
  </si>
  <si>
    <t>Pyramix MassCore Annual Software Maintenance PROFESSIONAL: Free Pyramix updates for the whole year including new full releases.
 Upgrade to include all the latest options. Benefit from the latest options free of charge, as soon as your key is reissued after the ASM renewal. Such benefit alone can add up to be more than 3 times the cost of the ASM. Access to the Technical Support Hotline free of charge is granted. Free key transfers and name changes. Your system will always be up to date. Notifications will be sent out regularly when updates, hot fixes or new options are available for download.
 ASM can be renewed prior to expiration, at time of expiration or within two years from expiration (quantity 2). The ASM plan start date will automatically be activated when the last day of the previous ASM is reached.
 (Merging Product Code: ASM-PMX-MPRO)</t>
  </si>
  <si>
    <t>$ 1.692.334,00</t>
  </si>
  <si>
    <t>Pyramix Pre Latest Upgrade</t>
  </si>
  <si>
    <t>This Pyramix PREMIUM Upgrade is only required if the customer is not under a valid ASM plan or if the ASM expired for a period of two years and more.
 Under such ciscurmstances both the ASM and Upgrade need to be ordered at the same time.
 Combining the Upgrade along with the ASM will allow the customer to receive the latest upgrade version and one year of ASM starting at time of order.
 (Merging Product Code: UPG-PMX-141PRE)</t>
  </si>
  <si>
    <t>$ 1.916.264,00</t>
  </si>
  <si>
    <t>Pyramix Premium ASM</t>
  </si>
  <si>
    <t>Pyramix Annual Software Maintenance (ASM) PREMIUM: Free Pyramix updates for the whole year including new full releases.
 Upgrade to include all the latest options. Benefit from the latest options free of charge, as soon as your key is reissued after the ASM renewal. Such benefit alone can add up to be more than 3 times the cost of the ASM. Access to the Technical Support Hotline free of charge is granted. Free key transfers and name changes. Your system will always be up to date. Notifications will be sent out regularly when updates, hot fixes or new options are available for download.
 ASM can be renewed prior to expiration, at time of expiration or within two years from expiration (quantity 2). The ASM plan start date will automatically be activated when the last day of the previous ASM is reached.
 (Merging Product Code: ASM-PMX-PRE)</t>
  </si>
  <si>
    <t>Pyramix Premium Pack</t>
  </si>
  <si>
    <t>Pyramix PREMIUM; most sophisticated version, suitable for Dolby Atmos; Pyramix PREMIUM integrates with the biggest and most powerful remote controllers in the market.
 Available Bus Types (Max Speaker Config Size): 22.2
 Software Playback: @48kHz/96kHz/192kHz/352.8 - 384.kHz (DXD &amp; DSD 64/128/256 (2.8 MHz / 5.6MHz / 11.2 MHz) 512/256/128/64 software channels
 Hardware I/O: @48kHz/96kHz/192kHz/352.8 - 384.kHz (DXD &amp; DSD 64/128/256 (2.8 MHz / 5.6MHz / 11.2 MHz) 128/64/32/16 hardware channels
 (Merging Product Code: MSP-PCK-PRE)</t>
  </si>
  <si>
    <t>Pyramix Pro Latest Upgrade</t>
  </si>
  <si>
    <t>This Pyramix PROFESSIONAL Upgrade is only required if the customer is not under a valid ASM plan or if the ASM expired for a period of two years and more.
 Under such ciscurmstances both the ASM and Upgrade need to be ordered at the same time.
 Combining the Upgrade along with the ASM will allow the customer to receive the latest upgrade version and one year of ASM starting at time of order.
 (Merging Product Code: UPG-PMX-141PRO)</t>
  </si>
  <si>
    <t>$ 764.582,00</t>
  </si>
  <si>
    <t>Pyramix Professional ASM</t>
  </si>
  <si>
    <t>Pyramix Annual Software Maintenance (ASM) PROFESSIONAL: Free Pyramix updates for the whole year including new full releases.
 Upgrade to include all the latest options. Benefit from the latest options free of charge, as soon as your key is reissued after the ASM renewal. Such benefit alone can add up to be more than 3 times the cost of the ASM. Access to the Technical Support Hotline free of charge is granted. Free key transfers and name changes. Your system will always be up to date. Notifications will be sent out regularly when updates, hot fixes or new options are available for download.
 ASM can be renewed prior to expiration, at time of expiration or within two years from expiration (quantity 2). The ASM plan start date will automatically be activated when the last day of the previous ASM is reached.
 (Merging Product Code: ASM-PMX-PRO)</t>
  </si>
  <si>
    <t>$ 572.642,00</t>
  </si>
  <si>
    <t>Pyramix Professional Pack</t>
  </si>
  <si>
    <t>Pyramix PROFESSIONAL; recording up to 96 channels; lightning fast and unique source/destination editing tool and invaluable sonic manipulation tools, metering and plugins to enable powerful mixing. Integration with big remote controllers;
 Available Bus Types (Max Speaker Config Size): 22.2
 Software Playback: @48kHz/96kHz/192kHz/352.8 - 384.kHz (DXD &amp; DSD 64/128/256 (2.8 MHz / 5.6MHz / 11.2 MHz) 512/256/128/64 software channels
 Hardware I/O: @48kHz/96kHz/192kHz/352.8 - 384.kHz (DXD &amp; DSD 64/128/256 (2.8 MHz / 5.6MHz / 11.2 MHz) 96/48/24/8 hardware channels
 (Merging Product Code: MSP-PCK-PRO)</t>
  </si>
  <si>
    <t>Audio Magic Ring Software</t>
  </si>
  <si>
    <t>Audio Magic Ring is an audio file conversion application for Windows OS.Convert any number of files between different formats, wordlengths or sample rates. Audio Magic Ring (AMR) is an indispensable tool for sound designers, editors, music producers, webdesigners or anyone who has to work with a variety of digital audio formats in batch.
 (Merging Product Code: AMR)</t>
  </si>
  <si>
    <t>HAPI MKII REDUNDANT 12V INPUT</t>
  </si>
  <si>
    <t>Hapi MKII network converter, 8 channel AES I/O, 8/2 channel ADAT/SPDIF Optical I/O, Ravenna including Redundant Power Supply Option (DC 12V Input)
 (Merging Product Code: IOC-HAPI-MKIIR)</t>
  </si>
  <si>
    <t>$ 9.581.334,00</t>
  </si>
  <si>
    <t>Procesadores</t>
  </si>
  <si>
    <t>Xilica</t>
  </si>
  <si>
    <t>SOLARO QR1-UC</t>
  </si>
  <si>
    <t>Solaro QR1 (UC Variant Microsoft Teams, Zoom, Cisco WebEx or Google Hangouts)</t>
  </si>
  <si>
    <t>$ 4.527.082,00</t>
  </si>
  <si>
    <t>$ 3.741.388,00</t>
  </si>
  <si>
    <t>SOLARO QR1</t>
  </si>
  <si>
    <t>Solaro QR1</t>
  </si>
  <si>
    <t>$ 3.233.636,00</t>
  </si>
  <si>
    <t>$ 2.672.418,00</t>
  </si>
  <si>
    <t>Accesorios Solaro</t>
  </si>
  <si>
    <t>XC-SML</t>
  </si>
  <si>
    <t>Solaro XC-SML</t>
  </si>
  <si>
    <t>$ 258.692,00</t>
  </si>
  <si>
    <t>$ 213.794,00</t>
  </si>
  <si>
    <t>XC-SLO</t>
  </si>
  <si>
    <t>Solaro XC-SLO</t>
  </si>
  <si>
    <t>$ 194.012,00</t>
  </si>
  <si>
    <t>$ 160.342,00</t>
  </si>
  <si>
    <t>XC-SGP</t>
  </si>
  <si>
    <t>Solaro XC-SGP</t>
  </si>
  <si>
    <t>$ 172.466,00</t>
  </si>
  <si>
    <t>$ 142.534,00</t>
  </si>
  <si>
    <t>Network Endpoints</t>
  </si>
  <si>
    <t>GIOUSB</t>
  </si>
  <si>
    <t>Gio USB</t>
  </si>
  <si>
    <t>$ 1.616.818,00</t>
  </si>
  <si>
    <t>$ 1.336.216,00</t>
  </si>
  <si>
    <t>GIOBT1</t>
  </si>
  <si>
    <t>Gio Bluetooth (Decora)</t>
  </si>
  <si>
    <t>$ 1.719.214,00</t>
  </si>
  <si>
    <t>$ 1.420.832,00</t>
  </si>
  <si>
    <t>GIOXLR</t>
  </si>
  <si>
    <t>Gio XLR</t>
  </si>
  <si>
    <t>$ 2.091.082,00</t>
  </si>
  <si>
    <t>$ 1.728.160,00</t>
  </si>
  <si>
    <t>Parlantes</t>
  </si>
  <si>
    <t>SONIA C5</t>
  </si>
  <si>
    <t>Sonia C5 (Pair)</t>
  </si>
  <si>
    <t>$ 840.742,00</t>
  </si>
  <si>
    <t>$ 694.834,00</t>
  </si>
  <si>
    <t>Amplificadores</t>
  </si>
  <si>
    <t>SONIA AMP</t>
  </si>
  <si>
    <t>Sonia Amp</t>
  </si>
  <si>
    <t>$ 2.371.334,00</t>
  </si>
  <si>
    <t>$ 1.959.776,00</t>
  </si>
  <si>
    <t>F</t>
  </si>
  <si>
    <t>QU Series</t>
  </si>
  <si>
    <t>Allen &amp; Heath</t>
  </si>
  <si>
    <t>QU-16C</t>
  </si>
  <si>
    <t>Qu-16 Rack-mountable Digital Mixer. 16 Mic/Line, 3 Stereo Line, 4FX, 12 Mix, Touchscreen</t>
  </si>
  <si>
    <t>$ 5.053.902,00</t>
  </si>
  <si>
    <t>$ 4.573.674,00</t>
  </si>
  <si>
    <t>QU-24C</t>
  </si>
  <si>
    <t>Qu-24 Digital Mixer: 24 Mic/Line, 3 Stereo Line, 4FX, 20 Mix, Touchscreen</t>
  </si>
  <si>
    <t>$ 6.738.662,00</t>
  </si>
  <si>
    <t>$ 6.098.330,00</t>
  </si>
  <si>
    <t>QU-32C</t>
  </si>
  <si>
    <t>Qu-32 Digital Mixer: 32 Mic/Line, 3 Stereo Line, 4FX, 24 Mix, 7" Touchscreen</t>
  </si>
  <si>
    <t>$ 8.423.268,00</t>
  </si>
  <si>
    <t>$ 7.622.860,00</t>
  </si>
  <si>
    <t>QU-PAC</t>
  </si>
  <si>
    <t>Qu-PAC Rack-mountable Compact Digital Mixer: 16 Mic/Line (32 Mon + 3 St Inputs via dSnake), 12 XLR outs, Touchscreen</t>
  </si>
  <si>
    <t>$ 4.470.830,00</t>
  </si>
  <si>
    <t>$ 4.046.000,00</t>
  </si>
  <si>
    <t>QU-SB</t>
  </si>
  <si>
    <t>Qu-SB iPad-controlled ultra compact Digital Mixer: 16 Mic/Line, 1 x Stereo line, 4FX, 12 mix</t>
  </si>
  <si>
    <t>$ 3.067.008,00</t>
  </si>
  <si>
    <t>$ 2.775.584,00</t>
  </si>
  <si>
    <t>QU-5</t>
  </si>
  <si>
    <t>Compact 38in/24out 96kHz Mixer, 17 100mm Motorised Faders, 16 XLR/Jack ‘Combi’ Mic/Line Input Sockets, 12 XLR Output Sockets, 19” Rack Mountable (optional kit available)</t>
  </si>
  <si>
    <t>$ 5.175.184,00</t>
  </si>
  <si>
    <t>$ 4.683.420,00</t>
  </si>
  <si>
    <t>QU-5D</t>
  </si>
  <si>
    <t>Compact 38in/24out 96kHz Mixer with Dante, 17 100mm Motorised Faders, 16 XLR/Jack ‘Combi’ Mic/Line Input Sockets, 12 XLR Output Sockets, 19” Rack Mountable (optional kit available), 16×16 48/96 kHz Dante interface with dedicated locking EtherCon port</t>
  </si>
  <si>
    <t>$ 5.918.010,00</t>
  </si>
  <si>
    <t>$ 5.355.672,00</t>
  </si>
  <si>
    <t>QU-6</t>
  </si>
  <si>
    <t>Compact 38in/24out 96kHz Mixer, 25 100mm Motorised Faders, 24 XLR/Jack ‘Combi’ Mic/Line Input Sockets, 16 XLR Output Sockets</t>
  </si>
  <si>
    <t>$ 6.656.468,00</t>
  </si>
  <si>
    <t>$ 6.023.948,00</t>
  </si>
  <si>
    <t>QU-6D</t>
  </si>
  <si>
    <t>Compact 38in/24out 96kHz Mixer with Dante, 25 100mm Motorised Faders, 24 XLR/Jack ‘Combi’ Mic/Line Input Sockets, 16 XLR Output Sockets, 16×16 48/96 kHz Dante interface with dedicated locking EtherCon port</t>
  </si>
  <si>
    <t>$ 7.394.086,00</t>
  </si>
  <si>
    <t>$ 6.691.482,00</t>
  </si>
  <si>
    <t>QU-7</t>
  </si>
  <si>
    <t>Compact 38in/24out 96kHz Mixer, 33 100mm Motorised Faders, 32 XLR/Jack ‘Combi’ Mic/Line Input Sockets, 20 XLR Output Sockets</t>
  </si>
  <si>
    <t>$ 8.135.582,00</t>
  </si>
  <si>
    <t>$ 7.362.530,00</t>
  </si>
  <si>
    <t>QU-7D</t>
  </si>
  <si>
    <t>Compact 38in/24out 96kHz Mixer with Dante, 33 100mm Motorised Faders, 32 XLR/Jack ‘Combi’ Mic/Line Input Sockets, 20 XLR Output Sockets, 16×16 48/96 kHz Dante interface with dedicated locking EtherCon port</t>
  </si>
  <si>
    <t>$ 8.853.026,00</t>
  </si>
  <si>
    <t>$ 8.011.794,00</t>
  </si>
  <si>
    <t>SQ Series</t>
  </si>
  <si>
    <t>SQ-5</t>
  </si>
  <si>
    <t>SQ-5 48ch digital mixer, 96kHz, 16 Mic/Line 12 XLR out, 8FX, 17 faders, touchscreen, SLink &amp; I/O Port, rackmountable</t>
  </si>
  <si>
    <t>$ 8.031.492,00</t>
  </si>
  <si>
    <t>$ 7.268.324,00</t>
  </si>
  <si>
    <t>SQ-6</t>
  </si>
  <si>
    <t>SQ-6 48ch digital mixer, 96kHz, 24 Mic/Line 14 XLR out, 8FX, 25 faders, touchscreen, SLink &amp; I/O Port</t>
  </si>
  <si>
    <t>$ 10.104.514,00</t>
  </si>
  <si>
    <t>$ 9.144.366,00</t>
  </si>
  <si>
    <t>SQ-7</t>
  </si>
  <si>
    <t>SQ-7 48ch digital mixer, 96kHz, 32 Mic/Line 16 XLR out, 8FX, 33 faders, touchscreen, SLink &amp; I/O Port</t>
  </si>
  <si>
    <t>$ 13.183.744,00</t>
  </si>
  <si>
    <t>$ 11.930.982,00</t>
  </si>
  <si>
    <t>SQ-RACK</t>
  </si>
  <si>
    <t>SQ-RACK 48ch digital mixer, 96kHz, 16 Mic/Line 12 XLR out, 8FX, 17 faders, touchscreen, SLink &amp; I/O Port, rackmountabl</t>
  </si>
  <si>
    <t>$ 5.213.376,00</t>
  </si>
  <si>
    <t>$ 4.717.986,00</t>
  </si>
  <si>
    <t>M-SQ-DANT64-AX</t>
  </si>
  <si>
    <t>SQ Dante Audio Interface Module for SQ Series Mixers - 64x64 bi-directional audio, 96kHz/48kHz, 2 EtherCon ports</t>
  </si>
  <si>
    <t>$ 1.897.112,00</t>
  </si>
  <si>
    <t>$ 1.567.860,00</t>
  </si>
  <si>
    <t>M-SQ-DANT32-AX</t>
  </si>
  <si>
    <t>Dante Audio Interface Moduel for SQ/AHM series - 32x32 bi-directional audio, 96kHZ/48kHz, 2 EtherCon ports</t>
  </si>
  <si>
    <t>$ 1.225.504,00</t>
  </si>
  <si>
    <t>$ 1.109.052,00</t>
  </si>
  <si>
    <t>M-SQ-WAVES3-AX</t>
  </si>
  <si>
    <t>SQ WAVES Audio Interface Module for SQ Series Mixers - 64x64 bi-directional audio, 96kHz/48kHz, 2 EtherCon ports</t>
  </si>
  <si>
    <t>$ 2.122.498,00</t>
  </si>
  <si>
    <t>$ 1.754.130,00</t>
  </si>
  <si>
    <t>M-SQ-SLINK-AX</t>
  </si>
  <si>
    <t>SQ Link card for SQ mixers - 128x128 digital audio, 96kHz/48kHz, supports dSnake, DX, GigaAce and ME systems</t>
  </si>
  <si>
    <t>$ 554.134,00</t>
  </si>
  <si>
    <t>$ 457.968,00</t>
  </si>
  <si>
    <t>M-SQ-MADI-AX</t>
  </si>
  <si>
    <t>Module SQ Madi</t>
  </si>
  <si>
    <t>$ 1.681.008,00</t>
  </si>
  <si>
    <t>$ 1.389.262,00</t>
  </si>
  <si>
    <t>Avantis</t>
  </si>
  <si>
    <t>AVANTIS</t>
  </si>
  <si>
    <t>Avantis 64ch 42-bus digital mixer, 96kHz, 12 Mic/Line inputs, 12 XLR outs, 12FX, 24 faders, 2 x touchscreen, 2 x I/O ports</t>
  </si>
  <si>
    <t>$ 28.407.974,00</t>
  </si>
  <si>
    <t>$ 25.708.564,00</t>
  </si>
  <si>
    <t>AVANTIS-S/ARX</t>
  </si>
  <si>
    <t xml:space="preserve">Avantis 64ch 42-bus digital mixer, 96kHz, 6 Mic/Line inputs, 6 XLR outs, 12FX, 12 faders, 1 x touchscreen, 2 x I/O ports
</t>
  </si>
  <si>
    <t>$ 17.400.460,00</t>
  </si>
  <si>
    <t>$ 15.747.032,00</t>
  </si>
  <si>
    <t>CQ Series</t>
  </si>
  <si>
    <t>CQ12T</t>
  </si>
  <si>
    <t>10-channel Digital Mixer with 10 Mic Preamps, Touchscreen, Effects, 16-channel SD Recorder, 16-in/16-out USB Audio Interface, and Bluetooth</t>
  </si>
  <si>
    <t>$ 2.035.908,00</t>
  </si>
  <si>
    <t>$ 1.842.456,00</t>
  </si>
  <si>
    <t>CQ18T</t>
  </si>
  <si>
    <t>16-channel Digital Mixer with 16 Mic Preamps, Touchscreen, Effects, 24-in/22-out SD Recording/Playback, 24-in/22-out USB Audio Interface, Wi-Fi, and Bluetooth</t>
  </si>
  <si>
    <t>$ 2.636.662,00</t>
  </si>
  <si>
    <t>$ 2.386.118,00</t>
  </si>
  <si>
    <t>CQ20B</t>
  </si>
  <si>
    <t>16-channel Rackmounted Digital Mixer with 16 Mic Preamps, Effects, 24-in/22-out SD Recording/Playback, 24-in/22-out USB Audio Interface, Wi-Fi, and Bluetooth</t>
  </si>
  <si>
    <t>$ 2.251.088,00</t>
  </si>
  <si>
    <t>$ 2.037.182,00</t>
  </si>
  <si>
    <t>CQ12T-CASE</t>
  </si>
  <si>
    <t>CQ12T Soft case</t>
  </si>
  <si>
    <t>$ 265.818,00</t>
  </si>
  <si>
    <t>$ 240.562,00</t>
  </si>
  <si>
    <t>CQ18T-CASE</t>
  </si>
  <si>
    <t>CQ18T Soft Case</t>
  </si>
  <si>
    <t>CQ20B-CASE</t>
  </si>
  <si>
    <t>CQ20B Soft Case</t>
  </si>
  <si>
    <t>$ 275.324,00</t>
  </si>
  <si>
    <t>$ 249.158,00</t>
  </si>
  <si>
    <t>CQ12T-RK19</t>
  </si>
  <si>
    <t>CQ12T 19" Rack Mount Kit</t>
  </si>
  <si>
    <t>$ 175.322,00</t>
  </si>
  <si>
    <t>$ 144.886,00</t>
  </si>
  <si>
    <t>CQ18T-RK19</t>
  </si>
  <si>
    <t>CQ18T 19" Rack Mount Kit</t>
  </si>
  <si>
    <t>CQ20B-RK19</t>
  </si>
  <si>
    <t>CQ20B 19" Rack Mount Kit</t>
  </si>
  <si>
    <t>$ 113.120,00</t>
  </si>
  <si>
    <t>$ 93.492,00</t>
  </si>
  <si>
    <t>dLive C Series</t>
  </si>
  <si>
    <t>DLIVE-CTI15</t>
  </si>
  <si>
    <t>dLive CTI1500 Surface, Titanium metalwork, single 12" screen, 12 faders, 6 mic/line in, 6 line out, 2in/2out AES, 1/O Port</t>
  </si>
  <si>
    <t>$ 32.409.916,00</t>
  </si>
  <si>
    <t>$ 29.330.238,00</t>
  </si>
  <si>
    <t>DLIVE-DLC15</t>
  </si>
  <si>
    <t>dLive C Class C1500 Surface, single 12" screen, 12 faders, 6 mic/line in, 6 line out, 2in/2out AES, 1/O Port</t>
  </si>
  <si>
    <t>$ 22.912.232,00</t>
  </si>
  <si>
    <t>$ 20.735.050,00</t>
  </si>
  <si>
    <t>DLIVE-DLC25</t>
  </si>
  <si>
    <t>dLive C Class C2500 Surface, single 12" screen, 20 faders, 6 mic/line in, 6 line out, 2in/2out AES, 1/O Port</t>
  </si>
  <si>
    <t>$ 26.899.712,00</t>
  </si>
  <si>
    <t>$ 24.343.634,00</t>
  </si>
  <si>
    <t>DLIVE-DLC35</t>
  </si>
  <si>
    <t>dLive C Class C3500 Surface, two 12" screens, 24 faders, 6 mic/line in, 6 line out, 2in/2out AES, 1/O Port</t>
  </si>
  <si>
    <t>$ 34.969.648,00</t>
  </si>
  <si>
    <t>$ 31.646.734,00</t>
  </si>
  <si>
    <r>
      <rPr>
        <rFont val="Calibri"/>
        <color rgb="FF1155CC"/>
        <u/>
      </rPr>
      <t>DLIVE-CDM32</t>
    </r>
    <r>
      <rPr>
        <rFont val="Calibri"/>
        <b/>
        <color rgb="FF1155CC"/>
        <u/>
      </rPr>
      <t>U</t>
    </r>
  </si>
  <si>
    <r>
      <rPr>
        <rFont val="Calibri"/>
        <color rgb="FF000000"/>
      </rPr>
      <t xml:space="preserve">dLive C Class CDM32 MixRack </t>
    </r>
    <r>
      <rPr>
        <rFont val="Calibri"/>
        <b/>
        <color rgb="FFFF0000"/>
      </rPr>
      <t>Ultra FX</t>
    </r>
    <r>
      <rPr>
        <rFont val="Calibri"/>
        <color rgb="FF000000"/>
      </rPr>
      <t xml:space="preserve"> - 128 x 64 I/O, 32/16 sockets, ME-1 Port, 1 I/O port, gigaACE</t>
    </r>
  </si>
  <si>
    <t>$ 20.085.156,00</t>
  </si>
  <si>
    <t>$ 18.176.620,00</t>
  </si>
  <si>
    <r>
      <rPr>
        <rFont val="Calibri"/>
        <color rgb="FF1155CC"/>
        <u/>
      </rPr>
      <t>DLIVE-CDM48</t>
    </r>
    <r>
      <rPr>
        <rFont val="Calibri"/>
        <b/>
        <color rgb="FF1155CC"/>
        <u/>
      </rPr>
      <t>U</t>
    </r>
  </si>
  <si>
    <r>
      <rPr>
        <rFont val="Calibri"/>
        <color rgb="FF000000"/>
      </rPr>
      <t xml:space="preserve">dLive C Class CDM48 MixRack </t>
    </r>
    <r>
      <rPr>
        <rFont val="Calibri"/>
        <b/>
        <color rgb="FFFF0000"/>
      </rPr>
      <t>Ultra FX</t>
    </r>
    <r>
      <rPr>
        <rFont val="Calibri"/>
        <color rgb="FF000000"/>
      </rPr>
      <t xml:space="preserve"> - 128 x 64 I/O, 48/24 sockets, ME-1 Port, 1 I/O port, gigaACE</t>
    </r>
  </si>
  <si>
    <t>$ 22.772.750,00</t>
  </si>
  <si>
    <t>$ 20.608.826,00</t>
  </si>
  <si>
    <r>
      <rPr>
        <rFont val="Calibri"/>
        <color rgb="FF1155CC"/>
        <u/>
      </rPr>
      <t>DLIVE-CDM64</t>
    </r>
    <r>
      <rPr>
        <rFont val="Calibri"/>
        <b/>
        <color rgb="FF1155CC"/>
        <u/>
      </rPr>
      <t>U</t>
    </r>
  </si>
  <si>
    <r>
      <rPr>
        <rFont val="Calibri"/>
        <color rgb="FF000000"/>
      </rPr>
      <t xml:space="preserve">dLive C Class CDM64 MixRack </t>
    </r>
    <r>
      <rPr>
        <rFont val="Calibri"/>
        <b/>
        <color rgb="FFFF0000"/>
      </rPr>
      <t>Ultra FX</t>
    </r>
    <r>
      <rPr>
        <rFont val="Calibri"/>
        <color rgb="FF000000"/>
      </rPr>
      <t xml:space="preserve"> - 128 x 64 I/O, 64/32 sockets, ME-1 Port, 1 I/O port, gigaACE</t>
    </r>
  </si>
  <si>
    <t>$ 25.496.730,00</t>
  </si>
  <si>
    <t>$ 23.073.960,00</t>
  </si>
  <si>
    <t>dLive S Series</t>
  </si>
  <si>
    <t>DLIVE-S3</t>
  </si>
  <si>
    <t>dLive S Class S3000 Surface - 20 faders, 1 x 12” screen, 8 mic/line in, 8 line out, 4in/6out AES, GigaACE, 2x I/O Ports, 1x PSU</t>
  </si>
  <si>
    <t>$ 42.723.058,00</t>
  </si>
  <si>
    <t>$ 38.663.408,00</t>
  </si>
  <si>
    <t>DLIVE-S5</t>
  </si>
  <si>
    <t>dLive S Class S5000 Surface - 28 faders, dual 12” screens, 8 mic/line in, 8 line out, 4in/6out AES, GigaACE, 2x I/O Ports, 1x PSU</t>
  </si>
  <si>
    <t>$ 55.381.746,00</t>
  </si>
  <si>
    <t>$ 50.119.230,00</t>
  </si>
  <si>
    <t>DLIVE-S7</t>
  </si>
  <si>
    <t>dLive S Class S7000 Surface - 36 faders, dual 12” screens, 8 mic/line in, 8 line out, 4in/6out AES, GigaACE, 2x I/O Ports, 1x PSU</t>
  </si>
  <si>
    <t>$ 60.128.740,00</t>
  </si>
  <si>
    <t>$ 54.415.144,00</t>
  </si>
  <si>
    <r>
      <rPr>
        <rFont val="Calibri"/>
        <color rgb="FF1155CC"/>
        <u/>
      </rPr>
      <t>DLIVE-DM32</t>
    </r>
    <r>
      <rPr>
        <rFont val="Calibri"/>
        <b/>
        <color rgb="FF1155CC"/>
        <u/>
      </rPr>
      <t>U</t>
    </r>
  </si>
  <si>
    <r>
      <rPr>
        <rFont val="Calibri"/>
        <color rgb="FF000000"/>
      </rPr>
      <t xml:space="preserve">dLive S Class DM32 MixRack </t>
    </r>
    <r>
      <rPr>
        <rFont val="Calibri"/>
        <b/>
        <color rgb="FFFF0000"/>
      </rPr>
      <t>Ultra FX</t>
    </r>
    <r>
      <rPr>
        <rFont val="Calibri"/>
        <color rgb="FF000000"/>
      </rPr>
      <t xml:space="preserve"> 128 x 64 mix engine, 32/16 sockets, 1x PSU, GigaACE, ME-1port, 3x I/O Ports</t>
    </r>
  </si>
  <si>
    <t>$ 28.387.352,00</t>
  </si>
  <si>
    <t>$ 25.689.902,00</t>
  </si>
  <si>
    <r>
      <rPr>
        <rFont val="Calibri"/>
        <color rgb="FF1155CC"/>
        <u/>
      </rPr>
      <t>DLIVE-DM48</t>
    </r>
    <r>
      <rPr>
        <rFont val="Calibri"/>
        <b/>
        <color rgb="FF1155CC"/>
        <u/>
      </rPr>
      <t>U</t>
    </r>
  </si>
  <si>
    <r>
      <rPr>
        <rFont val="Calibri"/>
        <color rgb="FF000000"/>
      </rPr>
      <t xml:space="preserve">dLive S Class DM48 MixRack </t>
    </r>
    <r>
      <rPr>
        <rFont val="Calibri"/>
        <b/>
        <color rgb="FFFF0000"/>
      </rPr>
      <t>Ultra FX</t>
    </r>
    <r>
      <rPr>
        <rFont val="Calibri"/>
        <color rgb="FF000000"/>
      </rPr>
      <t xml:space="preserve"> 128 x 64 mix engine, 48/24 sockets, 1x PSU, GigaACE, ME-1port, 3x I/O Ports</t>
    </r>
  </si>
  <si>
    <t>$ 34.753.236,00</t>
  </si>
  <si>
    <t>$ 31.450.888,00</t>
  </si>
  <si>
    <r>
      <rPr>
        <rFont val="Calibri"/>
        <color rgb="FF1155CC"/>
        <u/>
      </rPr>
      <t>DLIVE-DM64</t>
    </r>
    <r>
      <rPr>
        <rFont val="Calibri"/>
        <b/>
        <color rgb="FF1155CC"/>
        <u/>
      </rPr>
      <t>U</t>
    </r>
  </si>
  <si>
    <r>
      <rPr>
        <rFont val="Calibri"/>
        <color rgb="FF000000"/>
      </rPr>
      <t xml:space="preserve">dLive S Class DM64 MixRack </t>
    </r>
    <r>
      <rPr>
        <rFont val="Calibri"/>
        <b/>
        <color rgb="FFFF0000"/>
      </rPr>
      <t xml:space="preserve">Ultra FX </t>
    </r>
    <r>
      <rPr>
        <rFont val="Calibri"/>
        <color rgb="FF000000"/>
      </rPr>
      <t>128 x 64 mix engine, 64/32 sockets, 1x PSU, GigaACE, ME-1port, 3x I/O Ports</t>
    </r>
  </si>
  <si>
    <t>$ 39.500.272,00</t>
  </si>
  <si>
    <t>$ 35.746.858,00</t>
  </si>
  <si>
    <r>
      <rPr>
        <rFont val="Calibri"/>
        <color rgb="FF1155CC"/>
        <u/>
      </rPr>
      <t>DLIVE-DM0</t>
    </r>
    <r>
      <rPr>
        <rFont val="Calibri"/>
        <b/>
        <color rgb="FF1155CC"/>
        <u/>
      </rPr>
      <t>U</t>
    </r>
  </si>
  <si>
    <r>
      <rPr>
        <rFont val="Calibri"/>
        <color rgb="FF000000"/>
      </rPr>
      <t>dLive S Class DM0 compact 4U MixRack</t>
    </r>
    <r>
      <rPr>
        <rFont val="Calibri"/>
        <b/>
        <color rgb="FFFF0000"/>
      </rPr>
      <t xml:space="preserve"> Ultra FX</t>
    </r>
    <r>
      <rPr>
        <rFont val="Calibri"/>
        <color rgb="FF000000"/>
      </rPr>
      <t>, 128 x 64 mix engine, dual PSU, gigaACE, ME-1 port, 3x I/O ports</t>
    </r>
  </si>
  <si>
    <t>$ 15.699.124,00</t>
  </si>
  <si>
    <t>$ 14.207.354,00</t>
  </si>
  <si>
    <t>DLIVE-DX32</t>
  </si>
  <si>
    <t>dLive DX32 modular expander 4x 8ch, analog or digital I/O, 1x PSU, redundant link to rack or surface</t>
  </si>
  <si>
    <t>$ 7.070.770,00</t>
  </si>
  <si>
    <t>$ 6.398.896,00</t>
  </si>
  <si>
    <t>dLive Accesories</t>
  </si>
  <si>
    <t>MPS16</t>
  </si>
  <si>
    <t>Optional redundant, hot swappable PSU for dLive S Surfaces, DM MixRacks and Expander</t>
  </si>
  <si>
    <t>$ 2.355.164,00</t>
  </si>
  <si>
    <t>$ 1.946.420,00</t>
  </si>
  <si>
    <t>IP1-BK-EU/X</t>
  </si>
  <si>
    <t>IP1 wallplate controller for dLive, 1x rotary encoder, PoE, fits UK/EU electrical wall boxes, white</t>
  </si>
  <si>
    <t>$ 865.858,00</t>
  </si>
  <si>
    <t>$ 715.582,00</t>
  </si>
  <si>
    <t>IP1-WH-EU/X</t>
  </si>
  <si>
    <t>IP1 wallplate controller for dLive, 1x rotary encoder, PoE, fits US single-gang electrical wall boxes, white</t>
  </si>
  <si>
    <t>IP4-BK</t>
  </si>
  <si>
    <t>IP4 Controller Black EU</t>
  </si>
  <si>
    <t>$ 634.900,00</t>
  </si>
  <si>
    <t>$ 574.574,00</t>
  </si>
  <si>
    <t>IP6</t>
  </si>
  <si>
    <t>IP6 remote controller for dLive. 6 x rotary encoders, PoE, TCP/IP</t>
  </si>
  <si>
    <t>$ 1.885.114,00</t>
  </si>
  <si>
    <t>$ 1.705.984,00</t>
  </si>
  <si>
    <t>IP8</t>
  </si>
  <si>
    <t>IP8 remote controller for dLive. 8 x motorised faders, PoE, TCP/IP</t>
  </si>
  <si>
    <t>$ 3.525.844,00</t>
  </si>
  <si>
    <t>$ 2.913.918,00</t>
  </si>
  <si>
    <t>DX-HUB</t>
  </si>
  <si>
    <t>½ rack hub for DX Expanders, gigaACE port (requires gigaACE card in MixRack or Surface), 4 DX ports</t>
  </si>
  <si>
    <t>$ 1.997.674,00</t>
  </si>
  <si>
    <t>$ 1.807.848,00</t>
  </si>
  <si>
    <t>GPIO/X</t>
  </si>
  <si>
    <t>½ rack GPIO interface, PoE enabled, 8 opto-coupled inputs, 8 N/O outputs (1 switchable N/C)</t>
  </si>
  <si>
    <t>$ 1.815.268,00</t>
  </si>
  <si>
    <t>$ 1.642.788,00</t>
  </si>
  <si>
    <t>M-DX32-INPR-AX</t>
  </si>
  <si>
    <t>DX32 PRIME Mic/line input module - 8 XLR Inputs, 32bit converters, premium preamp design and components</t>
  </si>
  <si>
    <t>$ 6.755.210,00</t>
  </si>
  <si>
    <t>$ 5.582.822,00</t>
  </si>
  <si>
    <t>M-DX32-OUTPR-AX</t>
  </si>
  <si>
    <t>DX32 PRIME Line output module - 8 balanced line outputs on XLR sockets, 32bit converters, premium design and components</t>
  </si>
  <si>
    <t>$ 3.317.762,00</t>
  </si>
  <si>
    <t>$ 2.741.956,00</t>
  </si>
  <si>
    <t>M-DL-DANT64-AX</t>
  </si>
  <si>
    <t>Dante card for dLive systems – 64x64 bi-directional audio, 96kHz/48kHz, 3 EtherCon ports</t>
  </si>
  <si>
    <t>$ 3.949.974,00</t>
  </si>
  <si>
    <t>$ 3.574.634,00</t>
  </si>
  <si>
    <t>M-DL-DANT128-AX</t>
  </si>
  <si>
    <t>Dante card for dLive systems – 128x128 bi-directional audio, 96kHz/48kHz, 3 EtherCon ports</t>
  </si>
  <si>
    <t>$ 5.611.830,00</t>
  </si>
  <si>
    <t>$ 5.078.584,00</t>
  </si>
  <si>
    <t>M-DL-GOPT-AX</t>
  </si>
  <si>
    <t>fibreACE Audio Networking card, 96kHz, 128 in, 128 out, dual redundancy, OpticalCon connectors</t>
  </si>
  <si>
    <t>$ 6.181.812,00</t>
  </si>
  <si>
    <t>$ 5.594.400,00</t>
  </si>
  <si>
    <t>M-DL-SMADI-AX</t>
  </si>
  <si>
    <t>SuperMADI Audio Networking card, 96kHz, 128 I/O, 8x BNC, 4x SFP slots</t>
  </si>
  <si>
    <t>$ 4.209.394,00</t>
  </si>
  <si>
    <t>$ 3.809.400,00</t>
  </si>
  <si>
    <t>M-DL-DXLINK-AX</t>
  </si>
  <si>
    <t>DX Link card, 128 in, 128 out, 4 DX ports, redundant / parallel mode</t>
  </si>
  <si>
    <t>$ 1.100.596,00</t>
  </si>
  <si>
    <t>$ 996.016,00</t>
  </si>
  <si>
    <t>M-DL-ADAPT-AX</t>
  </si>
  <si>
    <t>Multi-channel conversion interface for audio networking cards (Dante, MADI, ACE, ES, Waves V2)</t>
  </si>
  <si>
    <t>$ 872.970,00</t>
  </si>
  <si>
    <t>$ 790.006,00</t>
  </si>
  <si>
    <t>M-DL-AIN-AX</t>
  </si>
  <si>
    <t>DX32 Mic/line input module - 8 controllable preamps with XLR Input</t>
  </si>
  <si>
    <t>$ 1.201.928,00</t>
  </si>
  <si>
    <t>$ 1.087.716,00</t>
  </si>
  <si>
    <t>M-DL-AOUT-AX</t>
  </si>
  <si>
    <t>DX32 Line output module - 8 balanced line outputs on XLR sockets</t>
  </si>
  <si>
    <t>$ 1.075.396,00</t>
  </si>
  <si>
    <t>$ 973.210,00</t>
  </si>
  <si>
    <t>M-DL-DIN-AX</t>
  </si>
  <si>
    <t>DX32 Digital input module - 4 dual channel AES digital inputs</t>
  </si>
  <si>
    <t>-</t>
  </si>
  <si>
    <t>M-DL-DOUT-AX</t>
  </si>
  <si>
    <t>DX32 Digital output module - 4 dual channel AES digital outputs</t>
  </si>
  <si>
    <t>M-DL-GACE-AX</t>
  </si>
  <si>
    <t>gigaAce Audio Networking card, 96kHz, 128 in, 128 out, dual redundancy</t>
  </si>
  <si>
    <t>$ 2.988.664,00</t>
  </si>
  <si>
    <t>$ 2.704.674,00</t>
  </si>
  <si>
    <t>M-DL-WAVES3-AX</t>
  </si>
  <si>
    <t>Waves Audio Networking card, switchable 48/96kHz, 128 in, 128 out</t>
  </si>
  <si>
    <t>$ 4.349.464,00</t>
  </si>
  <si>
    <t>$ 3.936.170,00</t>
  </si>
  <si>
    <t>FULLU-RK19X</t>
  </si>
  <si>
    <t>Rack mounting kit for up to 2 GPIO / DX-Hub, half-U or 1U</t>
  </si>
  <si>
    <t>DL-DLC15-RK19X</t>
  </si>
  <si>
    <t>dLive C1500 Surface Optional 19" Rack Kit</t>
  </si>
  <si>
    <t>M-DL-ULTRAFX-AX</t>
  </si>
  <si>
    <t>Module DL Ultrafx Upgrade Kit</t>
  </si>
  <si>
    <t>$ 5.433.568,00</t>
  </si>
  <si>
    <t>$ 4.917.262,00</t>
  </si>
  <si>
    <t>AHM</t>
  </si>
  <si>
    <t>AHM-16</t>
  </si>
  <si>
    <t>Audio Matrix Processor for sound management and installation, 16x16 channels, 8x8 local I/O, 2x2 GPIO, I/O port</t>
  </si>
  <si>
    <t>$ 2.665.698,00</t>
  </si>
  <si>
    <t>$ 2.412.396,00</t>
  </si>
  <si>
    <t>AHM-32</t>
  </si>
  <si>
    <t>Audio Matrix Processor for sound management and installation, 32x32 channels, 12x12 local I/O, 2x2 GPIO, I/O port</t>
  </si>
  <si>
    <t>$ 3.857.686,00</t>
  </si>
  <si>
    <t>$ 3.491.124,00</t>
  </si>
  <si>
    <t>AHM-64</t>
  </si>
  <si>
    <t>Audio Matrix Processor for sound management and installation, 64x64 channels, 12x12 local I/O, SLink, I/O Port, 2x2 GPIO</t>
  </si>
  <si>
    <t>$ 7.532.672,00</t>
  </si>
  <si>
    <t>$ 6.816.908,00</t>
  </si>
  <si>
    <t>M-AHM-32-AX</t>
  </si>
  <si>
    <t>AHM-32 Processing Expansion Module for echo cancelling application</t>
  </si>
  <si>
    <t>$ 1.803.312,00</t>
  </si>
  <si>
    <t>$ 1.631.966,00</t>
  </si>
  <si>
    <t>M-AHM-64-AX</t>
  </si>
  <si>
    <t>AHM-64 Processing Expansion Module for echo cancelling application</t>
  </si>
  <si>
    <t>AHM-64-RK/X</t>
  </si>
  <si>
    <t>Optional extra rack ear kit for AHM-64</t>
  </si>
  <si>
    <t>$ 243.824,00</t>
  </si>
  <si>
    <t>$ 220.654,00</t>
  </si>
  <si>
    <t>Custom Control</t>
  </si>
  <si>
    <t>CC-7</t>
  </si>
  <si>
    <t>Tablet 7XPL 7"</t>
  </si>
  <si>
    <t>$ 2.560.068,00</t>
  </si>
  <si>
    <t>$ 2.115.750,00</t>
  </si>
  <si>
    <t>CC-10</t>
  </si>
  <si>
    <t>Tablet 10XPL 10"</t>
  </si>
  <si>
    <t>$ 3.053.302,00</t>
  </si>
  <si>
    <t>$ 2.523.388,00</t>
  </si>
  <si>
    <t>CC-STN</t>
  </si>
  <si>
    <t>Desk Stand</t>
  </si>
  <si>
    <t>$ 329.560,00</t>
  </si>
  <si>
    <t>$ 272.370,00</t>
  </si>
  <si>
    <t>CC-BRK</t>
  </si>
  <si>
    <t>Glass Mount Bracket</t>
  </si>
  <si>
    <t>$ 352.310,00</t>
  </si>
  <si>
    <t>$ 291.158,00</t>
  </si>
  <si>
    <t>Audio Racks</t>
  </si>
  <si>
    <t>GX4816</t>
  </si>
  <si>
    <t>GX4816 AudioRack for dLive or SQ systems; 48 mic/line, 16 XLR out, 2 x DX ports to connect with DX boxes and ME, Cat5/6</t>
  </si>
  <si>
    <t>$ 9.755.270,00</t>
  </si>
  <si>
    <t>$ 8.828.302,00</t>
  </si>
  <si>
    <t>DX012</t>
  </si>
  <si>
    <t>DX012 output expander for dLive or SQ systems; 12 XLR out, 8 configurable analogue / AES, 2 Ethercon ports, Cat5/6</t>
  </si>
  <si>
    <t>$ 3.297.350,00</t>
  </si>
  <si>
    <t>$ 2.984.030,00</t>
  </si>
  <si>
    <t>DX168</t>
  </si>
  <si>
    <t>DX168 AudioRack for dLive S or C Class systems; 16 mic/line, 8 XLR out, Cat 5/6, 2 Ethercon ports</t>
  </si>
  <si>
    <t>$ 3.723.916,00</t>
  </si>
  <si>
    <t>$ 3.370.052,00</t>
  </si>
  <si>
    <t>DX164-W</t>
  </si>
  <si>
    <t>DX164-W Wall-mount/floor expander for SQ or dLive systems; 16 mic/line, 4 XLR out, 2 Ethercon ports, IEC/gland + DC input</t>
  </si>
  <si>
    <t>$ 4.547.368,00</t>
  </si>
  <si>
    <t>$ 4.115.258,00</t>
  </si>
  <si>
    <t>DX88-P</t>
  </si>
  <si>
    <t>Half rack DX expander for AHM/SQ/dLive/Avantis. 8 Phoenix mic/line, 8 Phoenix out, DC input</t>
  </si>
  <si>
    <t>$ 2.171.316,00</t>
  </si>
  <si>
    <t>$ 1.964.984,00</t>
  </si>
  <si>
    <t>DT168</t>
  </si>
  <si>
    <t>DT168 portable Dante I/O expander; 16 mic/line, 8 XLR out, Primary and Secodary ports</t>
  </si>
  <si>
    <t>$ 4.871.804,00</t>
  </si>
  <si>
    <t>$ 4.408.880,00</t>
  </si>
  <si>
    <t>DT164-W</t>
  </si>
  <si>
    <t>DT164-W wall-mount/floor Dante I/O expander; 16 mic/line, 4 XLR out, Primary and Secondary ports, IEC/gland + DC input</t>
  </si>
  <si>
    <t>$ 6.606.460,00</t>
  </si>
  <si>
    <t>$ 5.978.700,00</t>
  </si>
  <si>
    <t>AR0804</t>
  </si>
  <si>
    <t>AR84 AudioRack for GLD and Qu mixers: 8 Mic/Line, 4 XLR Out, dSNAKE Cat5</t>
  </si>
  <si>
    <t>$ 2.014.068,00</t>
  </si>
  <si>
    <t>$ 1.822.688,00</t>
  </si>
  <si>
    <t>AR2412</t>
  </si>
  <si>
    <t>AR2412 AudioRack for Qu &amp; GLD mixers: 24 Mic/Line, 12 XLR Out, dSNAKE Cat5</t>
  </si>
  <si>
    <t>$ 3.322.298,00</t>
  </si>
  <si>
    <t>$ 3.006.612,00</t>
  </si>
  <si>
    <t>AB1608</t>
  </si>
  <si>
    <t>AB168 AudioRack for Qu &amp; GLD mixers: 16 XLR Inputs, 8 XLR outputs, dSNAKE Cat5, Handle &amp; Bumpers</t>
  </si>
  <si>
    <t>$ 2.890.272,00</t>
  </si>
  <si>
    <t>$ 2.615.634,00</t>
  </si>
  <si>
    <t>Small Format DANTE IO Boxes</t>
  </si>
  <si>
    <t>DT02/X</t>
  </si>
  <si>
    <t>Dante interface, 2 XLR out, PSU, rubber feet</t>
  </si>
  <si>
    <t>$ 641.200,00</t>
  </si>
  <si>
    <t>$ 580.272,00</t>
  </si>
  <si>
    <t>DT20/X</t>
  </si>
  <si>
    <t>Dante interface, 2 XLR mic/line in, 48V, local control, PSU, rubber feet</t>
  </si>
  <si>
    <t>$ 641.102,00</t>
  </si>
  <si>
    <t>$ 580.188,00</t>
  </si>
  <si>
    <t>DT22-M/X</t>
  </si>
  <si>
    <t>Dante interface, 2x2 Phoenix, 48V, local control, surface mount ears</t>
  </si>
  <si>
    <t>$ 859.180,00</t>
  </si>
  <si>
    <t>$ 777.546,00</t>
  </si>
  <si>
    <t>DT02-M/X</t>
  </si>
  <si>
    <t>Dante interface, 2 XLR out, surface mount ears</t>
  </si>
  <si>
    <t>$ 683.480,00</t>
  </si>
  <si>
    <t>$ 618.534,00</t>
  </si>
  <si>
    <t>DT20-M/X</t>
  </si>
  <si>
    <t>Dante interface, 2 XLR mic/line in, 48V, local control, surface mount ears</t>
  </si>
  <si>
    <t>$ 685.846,00</t>
  </si>
  <si>
    <t>$ 620.676,00</t>
  </si>
  <si>
    <t>DT-RK19/X</t>
  </si>
  <si>
    <t>19" rack mounting kit for single or dual DT20/02/22</t>
  </si>
  <si>
    <t>$ 231.322,00</t>
  </si>
  <si>
    <t>$ 209.342,00</t>
  </si>
  <si>
    <t>DT-SMK/X</t>
  </si>
  <si>
    <t>Surface mount kit for DT20/02</t>
  </si>
  <si>
    <t>$ 65.212,00</t>
  </si>
  <si>
    <t>$ 59.010,00</t>
  </si>
  <si>
    <t>ME Series - Personal Mixing System</t>
  </si>
  <si>
    <t>ME-500/X</t>
  </si>
  <si>
    <t>16 mono/stereo channel Personal Mixer, with PSU</t>
  </si>
  <si>
    <t>$ 1.116.542,00</t>
  </si>
  <si>
    <t>$ 1.010.436,00</t>
  </si>
  <si>
    <t>ME-1/X</t>
  </si>
  <si>
    <t>40 Channel Personal Mixer with PSU, headphones hook and Mic bracket</t>
  </si>
  <si>
    <t>$ 1.510.222,00</t>
  </si>
  <si>
    <t>$ 1.366.722,00</t>
  </si>
  <si>
    <t>ME-U</t>
  </si>
  <si>
    <t>10 Port PoE Hub for ME-1 mixers. ME-D option card fitted (for GLD, iLive)</t>
  </si>
  <si>
    <t>$ 4.562.726,00</t>
  </si>
  <si>
    <t>$ 4.129.160,00</t>
  </si>
  <si>
    <t>XONE DJ &amp; PERFORMANCE CONSOLES</t>
  </si>
  <si>
    <t>XONE:922</t>
  </si>
  <si>
    <t>Xone:92 (MK2) Club &amp; DJ Mixer. 6 Stereo Channels (4 Phono/Line, 2 Mono/Mic), 2 Stereo Outputs, innoFADER</t>
  </si>
  <si>
    <t>$ 3.733.954,00</t>
  </si>
  <si>
    <t>$ 3.379.138,00</t>
  </si>
  <si>
    <t>XONE:96</t>
  </si>
  <si>
    <t>XONE:96 Club &amp; DJ mixer. 6 St Channels, 2 St + 2 H/Phone O/p, Dual 24ch 32bit Soundcard, dual VCF filters, Traktor Scratch cert.</t>
  </si>
  <si>
    <t>$ 5.042.786,00</t>
  </si>
  <si>
    <t>$ 4.563.608,00</t>
  </si>
  <si>
    <t>XONE:PX5</t>
  </si>
  <si>
    <t>XONE:PX5 6-channel analogue FX mixer with integral soundcard</t>
  </si>
  <si>
    <t>$ 3.328.066,00</t>
  </si>
  <si>
    <t>$ 3.011.820,00</t>
  </si>
  <si>
    <t>XONE:92</t>
  </si>
  <si>
    <t>XONE:92 Club &amp; DJ mixer. 6 Stereo Channels (4 Phono/Line, 2 Mono/Mic), 2 Stereo Outputs</t>
  </si>
  <si>
    <t>$ 3.666.824,00</t>
  </si>
  <si>
    <t>$ 3.318.392,00</t>
  </si>
  <si>
    <t>XONE:43</t>
  </si>
  <si>
    <t>XONE:43 Club &amp; DJ Mixer. 4 Stereo Channels, 2 Mix Outputs</t>
  </si>
  <si>
    <t>$ 1.796.620,00</t>
  </si>
  <si>
    <t>$ 1.625.904,00</t>
  </si>
  <si>
    <t>XONE:23</t>
  </si>
  <si>
    <t>XONE:23 DJ Mixer. 2 Channels with dual Phono/Line Inputs, 2 Mix Outputs</t>
  </si>
  <si>
    <t>$ 782.460,00</t>
  </si>
  <si>
    <t>$ 708.106,00</t>
  </si>
  <si>
    <t>XONE:23C</t>
  </si>
  <si>
    <t>XONE:23 DJ Mixer with integral Soundcard. 2 Channels with dual Phono/Line Inputs, 2 Mix Outputs</t>
  </si>
  <si>
    <t>$ 1.036.952,00</t>
  </si>
  <si>
    <t>$ 938.420,00</t>
  </si>
  <si>
    <t>XONE:K2</t>
  </si>
  <si>
    <t>XONE K2 DJ MIDI Controller/52 hardware controls + soundcard, providing 171 MIDI commands</t>
  </si>
  <si>
    <t>$ 745.192,00</t>
  </si>
  <si>
    <t>$ 674.380,00</t>
  </si>
  <si>
    <t>MODEL1</t>
  </si>
  <si>
    <t>$ 7.889.504,00</t>
  </si>
  <si>
    <t>$ 7.139.818,00</t>
  </si>
  <si>
    <t>MODEL1.4</t>
  </si>
  <si>
    <t>$ 6.398.224,00</t>
  </si>
  <si>
    <t>$ 5.790.246,00</t>
  </si>
  <si>
    <t>ZED6 SERIES</t>
  </si>
  <si>
    <t>ZED6</t>
  </si>
  <si>
    <t>ZED-6 6-Channel Live Mixer</t>
  </si>
  <si>
    <t>$ 319.130,00</t>
  </si>
  <si>
    <t>$ 288.806,00</t>
  </si>
  <si>
    <t>ZED6FX</t>
  </si>
  <si>
    <t>ZED-6FX 6-Channel Live Mixer with FX</t>
  </si>
  <si>
    <t>$ 480.158,00</t>
  </si>
  <si>
    <t>$ 434.532,00</t>
  </si>
  <si>
    <t>ZEDI SERIES</t>
  </si>
  <si>
    <t>ZEDi8</t>
  </si>
  <si>
    <t>ZEDi-8 8-Channel Live + USB Recording Mixer</t>
  </si>
  <si>
    <t>ZEDi10</t>
  </si>
  <si>
    <t>ZEDi-10 10-Channel Live + USB Recording Mixer</t>
  </si>
  <si>
    <t>$ 638.246,00</t>
  </si>
  <si>
    <t>$ 577.598,00</t>
  </si>
  <si>
    <t>ZEDi10FX</t>
  </si>
  <si>
    <t>ZEDi-10FX 10-Channel Live + USB Recording Mixer with FX</t>
  </si>
  <si>
    <t>$ 802.242,00</t>
  </si>
  <si>
    <t>$ 726.012,00</t>
  </si>
  <si>
    <t>ZED STEREO MIXER WITH EFFECTS</t>
  </si>
  <si>
    <t>ZED10FX</t>
  </si>
  <si>
    <t>ZED-10FX 4 Mic/Line Inputs, 2 Stereos, USB, FX</t>
  </si>
  <si>
    <t>$ 831.530,00</t>
  </si>
  <si>
    <t>$ 752.514,00</t>
  </si>
  <si>
    <t>ZED60-10FX</t>
  </si>
  <si>
    <t>ZED60-10FX 4 Mic/Line Inputs, 2 Stereos, 60mm faders, USB, FX</t>
  </si>
  <si>
    <t>$ 979.524,00</t>
  </si>
  <si>
    <t>$ 886.438,00</t>
  </si>
  <si>
    <t>ZED60-14FX</t>
  </si>
  <si>
    <t>ZED60-14FX 8 Mic/Line Inputs, 2 Stereos, 60mm faders, USB, FX</t>
  </si>
  <si>
    <t>$ 1.254.302,00</t>
  </si>
  <si>
    <t>$ 1.135.106,00</t>
  </si>
  <si>
    <t>ZED12FX</t>
  </si>
  <si>
    <t>ZED-12FX 6 Mic/Line Inputs, 3 Stereo Sources USB, FX, Sonar X1 L.E.</t>
  </si>
  <si>
    <t>$ 1.497.580,00</t>
  </si>
  <si>
    <t>$ 1.355.270,00</t>
  </si>
  <si>
    <t>ZED16FX</t>
  </si>
  <si>
    <t>ZED16FX 10 Mic/Line Inputs, 3 Stereo Sources USB, FX and Sonar X1 L.E.</t>
  </si>
  <si>
    <t>$ 1.869.714,00</t>
  </si>
  <si>
    <t>$ 1.692.040,00</t>
  </si>
  <si>
    <t>ZED22FX</t>
  </si>
  <si>
    <t>ZED-22FX 16 Mic/Line Inputs, 3 Stereo Sources, USB, FX and Sonar X1 L.E.</t>
  </si>
  <si>
    <t>$ 2.201.038,00</t>
  </si>
  <si>
    <t>$ 1.991.892,00</t>
  </si>
  <si>
    <t>ZED STEREO MIXER</t>
  </si>
  <si>
    <t>ZED1002</t>
  </si>
  <si>
    <t>ZED-10 4 Mic/Line Inputs, 2 Stereo, USB</t>
  </si>
  <si>
    <t>$ 666.106,00</t>
  </si>
  <si>
    <t>$ 602.812,00</t>
  </si>
  <si>
    <t>ZED1402</t>
  </si>
  <si>
    <t>ZED-14 6 Mic/Line Inputs, 4 Stereo, USB and Sonar X1 L.E.</t>
  </si>
  <si>
    <t>$ 1.254.694,00</t>
  </si>
  <si>
    <t>$ 1.135.470,00</t>
  </si>
  <si>
    <t>ZED1802</t>
  </si>
  <si>
    <t>ZED-18 10 Mic/Line Inputs, 4 Stereo, USB and Sonar X1 L.E.</t>
  </si>
  <si>
    <t>$ 1.581.496,00</t>
  </si>
  <si>
    <t>$ 1.431.220,00</t>
  </si>
  <si>
    <t>ZED2402</t>
  </si>
  <si>
    <t>ZED-24 16 Mic/Line Inputs, 4 Stereo, USB and Sonar X1 L.E.</t>
  </si>
  <si>
    <t>$ 1.908.298,00</t>
  </si>
  <si>
    <t>$ 1.726.970,00</t>
  </si>
  <si>
    <t>ZED 4 GROUP MIXER</t>
  </si>
  <si>
    <t>ZED2042</t>
  </si>
  <si>
    <t>ZED-420 4 Bus, 16 Mono Input, 2 Dual Stereo, 6 Aux with USB</t>
  </si>
  <si>
    <t>$ 3.300.948,00</t>
  </si>
  <si>
    <t>$ 2.987.278,00</t>
  </si>
  <si>
    <t>ZED2842</t>
  </si>
  <si>
    <t>ZED-428 4 Bus, 24 Mono Input, 2 Dual Stereo, 6 Aux with USB</t>
  </si>
  <si>
    <t>$ 4.216.534,00</t>
  </si>
  <si>
    <t>$ 3.815.868,00</t>
  </si>
  <si>
    <t>ZED3642</t>
  </si>
  <si>
    <t>ZED-436 4 Bus, 32 Mono Input, 2 Dual Stereo, 6 Aux with USB</t>
  </si>
  <si>
    <t>$ 5.180.252,00</t>
  </si>
  <si>
    <t>$ 4.688.012,00</t>
  </si>
  <si>
    <t>XB BROADCAST MIXER</t>
  </si>
  <si>
    <t>XB-10</t>
  </si>
  <si>
    <t>$ 1.693.062,00</t>
  </si>
  <si>
    <t>$ 1.532.188,00</t>
  </si>
  <si>
    <t>XB2-14</t>
  </si>
  <si>
    <t>Small Broadcast Mixer. 4 XLR Mic/Line Inputs, 2 XLR Telco Channels, 4 Stereo Channels, start/stop</t>
  </si>
  <si>
    <t>$ 3.309.656,00</t>
  </si>
  <si>
    <t>$ 2.995.160,00</t>
  </si>
  <si>
    <t>MONTAJES DE RACK</t>
  </si>
  <si>
    <t>QU-16RK</t>
  </si>
  <si>
    <t>$ 120.722,00</t>
  </si>
  <si>
    <t>$ 99.764,00</t>
  </si>
  <si>
    <t>SQ-BRACKETX</t>
  </si>
  <si>
    <t>$ 109.942,00</t>
  </si>
  <si>
    <t>$ 90.860,00</t>
  </si>
  <si>
    <t>SQ-5-RK19X</t>
  </si>
  <si>
    <t>$ 193.480,00</t>
  </si>
  <si>
    <t>$ 159.894,00</t>
  </si>
  <si>
    <t>Z10-RK19X</t>
  </si>
  <si>
    <t>$ 207.326,00</t>
  </si>
  <si>
    <t>$ 171.346,00</t>
  </si>
  <si>
    <t>Z1402-RK19X</t>
  </si>
  <si>
    <t>$ 145.138,00</t>
  </si>
  <si>
    <t>$ 119.952,00</t>
  </si>
  <si>
    <t>Z1802-RK19X</t>
  </si>
  <si>
    <t>Z60-10FX-RK19X</t>
  </si>
  <si>
    <t>$ 211.428,00</t>
  </si>
  <si>
    <t>$ 174.734,00</t>
  </si>
  <si>
    <t>Z60-14FX-RK19X</t>
  </si>
  <si>
    <t>$ 140.938,00</t>
  </si>
  <si>
    <t>$ 116.480,00</t>
  </si>
  <si>
    <t>Microphones</t>
  </si>
  <si>
    <t>Universal Audio</t>
  </si>
  <si>
    <t>MIC-UASD-1</t>
  </si>
  <si>
    <t>SD-1 Standard Dynamic Microphone</t>
  </si>
  <si>
    <t>$ 804.020,00</t>
  </si>
  <si>
    <t>$ 727.622,00</t>
  </si>
  <si>
    <t>MIC-UASP-1</t>
  </si>
  <si>
    <t>SP-1 Standard Pencil Microphone (Pair)</t>
  </si>
  <si>
    <t>$ 1.072.918,00</t>
  </si>
  <si>
    <t>$ 970.970,00</t>
  </si>
  <si>
    <t>MIC-UASD-3</t>
  </si>
  <si>
    <t>SD-3 Dynamic Microphone with Hemisphere Modeling</t>
  </si>
  <si>
    <t>$ 346.878,00</t>
  </si>
  <si>
    <t>$ 313.922,00</t>
  </si>
  <si>
    <t>MIC-UASD-3X3</t>
  </si>
  <si>
    <t>SD-3 Dynamic Microphone (3-Pack) with Hemisphere Modeling</t>
  </si>
  <si>
    <t>$ 938.462,00</t>
  </si>
  <si>
    <t>$ 849.296,00</t>
  </si>
  <si>
    <t>MIC-UASD-5</t>
  </si>
  <si>
    <t>SD-5 Dynamic Microphone with Hemisphere Modeling</t>
  </si>
  <si>
    <t>$ 535.108,00</t>
  </si>
  <si>
    <t>$ 484.260,00</t>
  </si>
  <si>
    <t>MIC-UASD-7</t>
  </si>
  <si>
    <t>SD-7 Dynamic Microphone with Hemisphere Modeling</t>
  </si>
  <si>
    <t>$ 400.666,00</t>
  </si>
  <si>
    <t>$ 362.586,00</t>
  </si>
  <si>
    <t>MIC-UA187</t>
  </si>
  <si>
    <t>UA Bock 187 FET Condenser Microphone</t>
  </si>
  <si>
    <t>$ 3.358.586,00</t>
  </si>
  <si>
    <t>$ 3.039.442,00</t>
  </si>
  <si>
    <t>MIC-UA167</t>
  </si>
  <si>
    <t>UA Bock 167 Tube Condenser Microphone w/ PSU</t>
  </si>
  <si>
    <t>$ 8.064.364,00</t>
  </si>
  <si>
    <t>$ 7.298.074,00</t>
  </si>
  <si>
    <t>MIC-UA251</t>
  </si>
  <si>
    <t>UA Bock 251 Tube Condenser Microphone w/ PSU</t>
  </si>
  <si>
    <t>$ 16.131.416,00</t>
  </si>
  <si>
    <t>$ 14.598.570,00</t>
  </si>
  <si>
    <t>MIC-UALX</t>
  </si>
  <si>
    <t>UA Sphere LX Microphone System</t>
  </si>
  <si>
    <t>$ 2.686.334,00</t>
  </si>
  <si>
    <t>$ 2.431.072,00</t>
  </si>
  <si>
    <t>MIC-UADLX</t>
  </si>
  <si>
    <t>UA Sphere DLX Microphone System</t>
  </si>
  <si>
    <t>$ 4.030.838,00</t>
  </si>
  <si>
    <t>$ 3.647.812,00</t>
  </si>
  <si>
    <t>Sphere L22</t>
  </si>
  <si>
    <t>The Sphere L22 system consists of a dedicated, dual-channel microphone and its software counterpart, the included Sphere plug-in (UAD, AAX DSP, AAX Native, VST, AU).</t>
  </si>
  <si>
    <t>$ 3.226.818,00</t>
  </si>
  <si>
    <t>$ 2.920.204,00</t>
  </si>
  <si>
    <t>UAFX</t>
  </si>
  <si>
    <t>OX</t>
  </si>
  <si>
    <t>OX - Amp Top Box</t>
  </si>
  <si>
    <t>GPM-ASTRA</t>
  </si>
  <si>
    <t>Astra Modulation Pedal</t>
  </si>
  <si>
    <t>GPM-DLVRB</t>
  </si>
  <si>
    <t>Del-Verb Ambience Companion</t>
  </si>
  <si>
    <t>GPM-DRM</t>
  </si>
  <si>
    <t>Dream '65 Reverb Amplifier</t>
  </si>
  <si>
    <t>GPM-GLXY</t>
  </si>
  <si>
    <t>Galaxy ’74 Tape Echo &amp; Reverb</t>
  </si>
  <si>
    <t>GPM-GOLD</t>
  </si>
  <si>
    <t>Golden Reverb Pedal</t>
  </si>
  <si>
    <t>GPM-MAX</t>
  </si>
  <si>
    <t>MAX Preamp &amp; Dual Compressor</t>
  </si>
  <si>
    <t>GPM-RUBY</t>
  </si>
  <si>
    <t>Ruby '63 Top Boost Amplifier</t>
  </si>
  <si>
    <t>GPM-STAR</t>
  </si>
  <si>
    <t>Starlight Delay Pedal</t>
  </si>
  <si>
    <t>GPM-WDR</t>
  </si>
  <si>
    <t>Woodrow '55 Instrument Amplifier</t>
  </si>
  <si>
    <t>GPM-KNUC</t>
  </si>
  <si>
    <t xml:space="preserve">Knuckles '92 Rev F Dual Rec Amplifier      
</t>
  </si>
  <si>
    <t>GPS-BRGD</t>
  </si>
  <si>
    <t xml:space="preserve">Brigade Chorus &amp; Vibrato   
</t>
  </si>
  <si>
    <t>$ 454.440,00</t>
  </si>
  <si>
    <t>$ 411.264,00</t>
  </si>
  <si>
    <t>GPS-LA2A</t>
  </si>
  <si>
    <t xml:space="preserve">LA-2A Studio Compressor   
</t>
  </si>
  <si>
    <t>GPS-ORN</t>
  </si>
  <si>
    <t>Orion Tape Echo NEW!</t>
  </si>
  <si>
    <t>$ 588.896,00</t>
  </si>
  <si>
    <t>$ 532.938,00</t>
  </si>
  <si>
    <t>GPS-HVNLY</t>
  </si>
  <si>
    <t>Heavenly Plate Reverb NEW!</t>
  </si>
  <si>
    <t>GPS-EVMR</t>
  </si>
  <si>
    <t>Evermore Studio Reverb NEW!</t>
  </si>
  <si>
    <t>GPS-1176</t>
  </si>
  <si>
    <t>1176 Studio Compressor NEW!</t>
  </si>
  <si>
    <t>PSU-GP1-WW</t>
  </si>
  <si>
    <t>Power Supply for UAFX Pedals</t>
  </si>
  <si>
    <t>$ 77.980,00</t>
  </si>
  <si>
    <t>$ 70.574,00</t>
  </si>
  <si>
    <t>Apollo Networked Audio</t>
  </si>
  <si>
    <t>APX16DG2-ESS</t>
  </si>
  <si>
    <t xml:space="preserve">Apollo x16D ESS (Rack/TB3/Dante/MAC/WIN)  </t>
  </si>
  <si>
    <t>APX16DG2-ULT</t>
  </si>
  <si>
    <t>Apollo x16D ULT (Rack/TB3/Dante/MAC/WIN)</t>
  </si>
  <si>
    <t>$ 10.751.594,00</t>
  </si>
  <si>
    <t>$ 9.729.944,00</t>
  </si>
  <si>
    <t>APE1X</t>
  </si>
  <si>
    <t>Apollo e1x Remote-controllable Unison Preamp (Dante)</t>
  </si>
  <si>
    <t>APE2M</t>
  </si>
  <si>
    <t>Apollo e2m Stereo Headphone Amplifier and Line Interface (Dante)</t>
  </si>
  <si>
    <t>$ 1.340.024,00</t>
  </si>
  <si>
    <t>$ 1.212.694,00</t>
  </si>
  <si>
    <t>Apollo Gen 2</t>
  </si>
  <si>
    <t>APTXDG2-ESS</t>
  </si>
  <si>
    <t xml:space="preserve">Apollo Twin X DUO Gen 2 ESS (Desktop/TB3/MAC/WIN) </t>
  </si>
  <si>
    <t>$ 3.224.130,00</t>
  </si>
  <si>
    <t>$ 2.917.768,00</t>
  </si>
  <si>
    <t>APTXQG2-ESS</t>
  </si>
  <si>
    <t xml:space="preserve">Apollo Twin X QUAD Gen 2 ESS (Desktop/TB3/MAC/WIN) </t>
  </si>
  <si>
    <t>APX6G2-ESS</t>
  </si>
  <si>
    <t>Apollo x6 Gen 2 ESS (Rack/TB3/MAC/WIN)</t>
  </si>
  <si>
    <t>$ 6.718.068,00</t>
  </si>
  <si>
    <t>$ 6.079.696,00</t>
  </si>
  <si>
    <t>APX8G2-ESS</t>
  </si>
  <si>
    <t>Apollo x8 Gen 2 ESS (Rack/TB3/MAC/WIN)</t>
  </si>
  <si>
    <t>$ 7.795.466,00</t>
  </si>
  <si>
    <t>$ 7.054.726,00</t>
  </si>
  <si>
    <t>APX8PG2-ESS</t>
  </si>
  <si>
    <t xml:space="preserve">Apollo x8p Gen 2 ESS (Rack/TB3/MAC/WIN) </t>
  </si>
  <si>
    <t>$ 9.408.882,00</t>
  </si>
  <si>
    <t>$ 8.514.814,00</t>
  </si>
  <si>
    <t>APX16G2-ESS</t>
  </si>
  <si>
    <t xml:space="preserve">Apollo x16 Gen 2 ESS (Rack/TB3/MAC/WIN)  </t>
  </si>
  <si>
    <t>$ 10.753.386,00</t>
  </si>
  <si>
    <t>$ 9.731.568,00</t>
  </si>
  <si>
    <t>Thunderbolt Audio Interfaces</t>
  </si>
  <si>
    <t>APLTWDII-HE</t>
  </si>
  <si>
    <t>Apollo Twin MkII (Desktop/TB2/MAC/WIN)</t>
  </si>
  <si>
    <t>$ 2.417.422,00</t>
  </si>
  <si>
    <t>$ 2.187.724,00</t>
  </si>
  <si>
    <t>APLTWXD-HE</t>
  </si>
  <si>
    <t>Apollo Twin X DUO (Desktop/TB3/MAC/WIN)</t>
  </si>
  <si>
    <t>APLTWXQ-HE</t>
  </si>
  <si>
    <t>Apollo Twin X QUAD (Desktop/TB3/MAC/WIN)</t>
  </si>
  <si>
    <t>APX4-HE</t>
  </si>
  <si>
    <t>Apollo x4 HE (Desktop/TB3/MAC/WIN)</t>
  </si>
  <si>
    <t>$ 5.375.342,00</t>
  </si>
  <si>
    <t>$ 4.864.566,00</t>
  </si>
  <si>
    <t>APX6</t>
  </si>
  <si>
    <t>Apollo x6 (Rack/TB3/MAC/WIN)</t>
  </si>
  <si>
    <t>$ 6.182.050,00</t>
  </si>
  <si>
    <t>$ 5.594.624,00</t>
  </si>
  <si>
    <t>APX6-HE</t>
  </si>
  <si>
    <t>Apollo x6 HE (Rack/TB3/MAC/WIN)</t>
  </si>
  <si>
    <t>$ 7.257.656,00</t>
  </si>
  <si>
    <t>$ 6.568.016,00</t>
  </si>
  <si>
    <t>APX8</t>
  </si>
  <si>
    <t>Apollo x8 (Rack/TB3/MAC/WIN)</t>
  </si>
  <si>
    <t>$ 7.526.568,00</t>
  </si>
  <si>
    <t>$ 6.811.364,00</t>
  </si>
  <si>
    <t>APX8-HE</t>
  </si>
  <si>
    <t>Apollo x8 HE (Rack/TB3/MAC/WIN)</t>
  </si>
  <si>
    <t>$ 8.602.174,00</t>
  </si>
  <si>
    <t>$ 7.784.770,00</t>
  </si>
  <si>
    <t>APX8P</t>
  </si>
  <si>
    <t>Apollo x8p (Rack/TB3/MAC/WIN)</t>
  </si>
  <si>
    <t>$ 9.139.970,00</t>
  </si>
  <si>
    <t>$ 8.271.466,00</t>
  </si>
  <si>
    <t>APX8P-HE</t>
  </si>
  <si>
    <t>Apollo x8p HE (Rack/TB3/MAC/WIN)</t>
  </si>
  <si>
    <t>$ 10.215.576,00</t>
  </si>
  <si>
    <t>$ 9.244.872,00</t>
  </si>
  <si>
    <t>APX16-HE</t>
  </si>
  <si>
    <t>Apollo x16 HE (Rack/TB3/MAC/WIN)</t>
  </si>
  <si>
    <t>APLS-HE</t>
  </si>
  <si>
    <t>Apollo Solo HE (Desktop/TB3/MAC/WIN)</t>
  </si>
  <si>
    <t>$ 1.341.816,00</t>
  </si>
  <si>
    <t>$ 1.214.318,00</t>
  </si>
  <si>
    <t>TBOC-3</t>
  </si>
  <si>
    <t>Thunderbolt 3 Option Card (MAC/WIN)</t>
  </si>
  <si>
    <t>USB Audio Interfaces</t>
  </si>
  <si>
    <t>APLTWXDU-HE</t>
  </si>
  <si>
    <t>Apollo Twin X DUO USB HE (Desktop/WIN) NEW!</t>
  </si>
  <si>
    <t>APLTWDU-HE</t>
  </si>
  <si>
    <t>Apollo Twin DUO USB HE (Desktop/WIN) PRICE DROP!</t>
  </si>
  <si>
    <t>APLSU-HE</t>
  </si>
  <si>
    <t>Apollo Solo USB HE (Desktop/WIN)</t>
  </si>
  <si>
    <t>VOLT1</t>
  </si>
  <si>
    <t>Volt 1 1-in/2-out USB 2.0 (MAC/WIN)</t>
  </si>
  <si>
    <t>$ 373.772,00</t>
  </si>
  <si>
    <t>$ 338.254,00</t>
  </si>
  <si>
    <t>VOLT2</t>
  </si>
  <si>
    <t>Volt 2 2-in/2-out USB 2.0 (MAC/WIN)</t>
  </si>
  <si>
    <t>$ 508.228,00</t>
  </si>
  <si>
    <t>$ 459.928,00</t>
  </si>
  <si>
    <t>VOLT4</t>
  </si>
  <si>
    <t>Volt 4 4-in/4-out USB 2.0 (MAC/WIN)</t>
  </si>
  <si>
    <t>$ 696.458,00</t>
  </si>
  <si>
    <t>$ 630.280,00</t>
  </si>
  <si>
    <t>VOLT176</t>
  </si>
  <si>
    <t>Volt 176 1-in/2-out USB 2.0 (MAC/WIN)</t>
  </si>
  <si>
    <t>VOLT276</t>
  </si>
  <si>
    <t>Volt 276 2-in/2-out USB 2.0 (MAC/WIN)</t>
  </si>
  <si>
    <t>VOLT476</t>
  </si>
  <si>
    <t>Volt 476 4-in/4-out USB 2.0 (MAC/WIN)</t>
  </si>
  <si>
    <t>$ 992.250,00</t>
  </si>
  <si>
    <t>$ 897.960,00</t>
  </si>
  <si>
    <t>VOLT476P</t>
  </si>
  <si>
    <t>Volt 476P 4-in/4-out USB 2.0 (MAC/WIN)</t>
  </si>
  <si>
    <t>$ 1.261.148,00</t>
  </si>
  <si>
    <t>$ 1.141.308,00</t>
  </si>
  <si>
    <t>VOLT-SB2</t>
  </si>
  <si>
    <t>Volt 2 USB 2.0 Studio Pack (MAC/WIN)</t>
  </si>
  <si>
    <t>$ 669.564,00</t>
  </si>
  <si>
    <t>$ 605.948,00</t>
  </si>
  <si>
    <t>VOLT-SB276</t>
  </si>
  <si>
    <t>Volt 276 USB 2.0 Studio Pack (MAC/WIN)</t>
  </si>
  <si>
    <t>UAD2 Satellites - Thunderbolt</t>
  </si>
  <si>
    <t>TB3SATQ-C</t>
  </si>
  <si>
    <t>UAD-2 Satellite QUAD - Core (TB3)</t>
  </si>
  <si>
    <t>TB3SATO-C</t>
  </si>
  <si>
    <t>UAD-2 Satellite OCTO - Core (TB3)</t>
  </si>
  <si>
    <t>$ 3.493.042,00</t>
  </si>
  <si>
    <t>$ 3.161.116,00</t>
  </si>
  <si>
    <t>UAD2 Satellites - USB</t>
  </si>
  <si>
    <t>USBSATO-C</t>
  </si>
  <si>
    <t>UAD-2 Satellite USB - QUAD Core</t>
  </si>
  <si>
    <t>UAD-2 Satellite USB - OCTO Core</t>
  </si>
  <si>
    <t>UAD2 Satellites - FireWire</t>
  </si>
  <si>
    <t>SATD-C**</t>
  </si>
  <si>
    <t>UAD-2 Satellite DUO Core</t>
  </si>
  <si>
    <t>SATQ-C**</t>
  </si>
  <si>
    <t>UAD-2 Satellite QUAD Core</t>
  </si>
  <si>
    <t>UAD2 PCIe Cards</t>
  </si>
  <si>
    <t>PCI2O-C</t>
  </si>
  <si>
    <t>UAD-2 - OCTO Core</t>
  </si>
  <si>
    <t>Analog Hardware</t>
  </si>
  <si>
    <t>LA2A</t>
  </si>
  <si>
    <t>LA-2A Classic Leveling Amplifier</t>
  </si>
  <si>
    <t>$ 12.635.700,00</t>
  </si>
  <si>
    <t>$ 11.435.018,00</t>
  </si>
  <si>
    <t>1176LN</t>
  </si>
  <si>
    <t>1176LN Classic Limiting Amplifier</t>
  </si>
  <si>
    <t>$ 6.988.758,00</t>
  </si>
  <si>
    <t>$ 6.324.668,00</t>
  </si>
  <si>
    <t>1176SA</t>
  </si>
  <si>
    <t>1176-SA Stereo Adapter</t>
  </si>
  <si>
    <t>6176 Vintage Channel Strip</t>
  </si>
  <si>
    <t>LA610</t>
  </si>
  <si>
    <t>LA-610 Mk2 Classic Tube Recording Channel</t>
  </si>
  <si>
    <t>S610</t>
  </si>
  <si>
    <t>Solo/610 Classic Tube Single Channel Mic Pre</t>
  </si>
  <si>
    <t>4710D</t>
  </si>
  <si>
    <t>4-710d Four-Channel Mic Pre</t>
  </si>
  <si>
    <t>710TF</t>
  </si>
  <si>
    <t>710 Twin-Finity Single-Channel Mic Pre</t>
  </si>
  <si>
    <t>Bocinas para instalacion</t>
  </si>
  <si>
    <t>IP Horn Loudspeakers/ Modules</t>
  </si>
  <si>
    <t>BOSCH</t>
  </si>
  <si>
    <t>LHN-UC15L-SIP</t>
  </si>
  <si>
    <t>Horn loudspeaker 15W, long throw, SIP</t>
  </si>
  <si>
    <t>$ 3.157.000,00</t>
  </si>
  <si>
    <t>$ 2.609.600,00</t>
  </si>
  <si>
    <t>LHN-UC15W-SIP</t>
  </si>
  <si>
    <t>Horn loudspeaker 15W, wide angle, SIP</t>
  </si>
  <si>
    <t>$ 2.853.200,00</t>
  </si>
  <si>
    <t>$ 2.359.000,00</t>
  </si>
  <si>
    <t>AMN-P15-SIP</t>
  </si>
  <si>
    <t>Amplifier module 15W, SIP</t>
  </si>
  <si>
    <t>Especifiaciones</t>
  </si>
  <si>
    <t>Boom arm</t>
  </si>
  <si>
    <t>König &amp; Meyer</t>
  </si>
  <si>
    <t>21100-500-55</t>
  </si>
  <si>
    <r>
      <rPr>
        <rFont val="Calibri, Arial"/>
        <b/>
        <color rgb="FFFF0000"/>
      </rPr>
      <t>Nuevo!</t>
    </r>
    <r>
      <rPr>
        <rFont val="Calibri, Arial"/>
        <b/>
        <color rgb="FFFF0000"/>
      </rPr>
      <t xml:space="preserve"> Classic one-piece boom arm with 3/8" thread, and sliding adjustment through non-scratching swivel joint. Easy tightening with T-bar locking screw. Complete with locking washer and plastic handgrip.</t>
    </r>
  </si>
  <si>
    <t>$ 71.134,00</t>
  </si>
  <si>
    <t>$ 58.800,00</t>
  </si>
  <si>
    <t>Weight: 0.7 kg, BL: 800 mm.</t>
  </si>
  <si>
    <t>21080-500-02</t>
  </si>
  <si>
    <r>
      <rPr>
        <rFont val="Calibri, Arial"/>
        <b/>
        <color rgb="FFFF0000"/>
      </rPr>
      <t>Nuevo!</t>
    </r>
    <r>
      <rPr>
        <rFont val="Calibri, Arial"/>
        <b/>
        <color rgb="FFFF0000"/>
      </rPr>
      <t xml:space="preserve"> Consists of tubing assembly and extendable boom arm. Zinc die-cast base with long folding legs. Square swivel joint with large wing nut.</t>
    </r>
  </si>
  <si>
    <t>$ 201.446,00</t>
  </si>
  <si>
    <t>$ 166.488,00</t>
  </si>
  <si>
    <t>Weight: 3.0 kg, H: 925/1630 mm, BL: 425/725 mm.</t>
  </si>
  <si>
    <t>21080-500-55</t>
  </si>
  <si>
    <r>
      <rPr>
        <rFont val="Calibri, Arial"/>
        <b/>
        <color rgb="FFFF0000"/>
      </rPr>
      <t>Nuevo!</t>
    </r>
    <r>
      <rPr>
        <rFont val="Calibri, Arial"/>
        <b/>
        <color rgb="FFFF0000"/>
      </rPr>
      <t xml:space="preserve"> Consists of tubing assembly and extendable boom arm. Zinc die-cast base with long folding legs. Square swivel joint with large wing nut.</t>
    </r>
  </si>
  <si>
    <t>$ 190.302,00</t>
  </si>
  <si>
    <t>$ 157.276,00</t>
  </si>
  <si>
    <t>25400-500-55</t>
  </si>
  <si>
    <r>
      <rPr>
        <rFont val="Calibri, Arial"/>
        <b/>
        <color rgb="FFFF0000"/>
      </rPr>
      <t>Nuevo!</t>
    </r>
    <r>
      <rPr>
        <rFont val="Calibri, Arial"/>
        <b/>
        <color rgb="FFFF0000"/>
      </rPr>
      <t xml:space="preserve"> Entry-level, low-priced microphone stand. The practical swivel joint allows the one-piece boom arm to be simultaneously positioned for tilt and length. Thanks to a low weight of only 1.84 kg, it is particularly suitable for the mobile musician. The stand requires little space as its base diameter is only 660 mm. The large foot end caps help to make the stand stable and reduce unpleasant transmission noise.</t>
    </r>
  </si>
  <si>
    <t>$ 118.566,00</t>
  </si>
  <si>
    <t>$ 97.986,00</t>
  </si>
  <si>
    <t>H: 890 -1600 mm, BL: 805 mm, weight: 1.84 kg</t>
  </si>
  <si>
    <t>25600-500-55</t>
  </si>
  <si>
    <r>
      <rPr>
        <rFont val="Calibri, Arial"/>
        <b/>
        <color rgb="FFFF0000"/>
      </rPr>
      <t xml:space="preserve">Nuevo! </t>
    </r>
    <r>
      <rPr>
        <rFont val="Calibri, Arial"/>
        <b/>
        <color rgb="FFFF0000"/>
      </rPr>
      <t>High-quality microphone stand with telescopic boom arm. Die-cast base with folding legs. Unique design retains all screws and levers without tension. Patented clamping lever can be fixed in any position, for holding mic cable, etc.</t>
    </r>
  </si>
  <si>
    <t>$ 299.376,00</t>
  </si>
  <si>
    <t>$ 247.422,00</t>
  </si>
  <si>
    <t>Weight: 3.4 kg, H: 970/1640 mm, BL: 600/955 mm.</t>
  </si>
  <si>
    <t>21140-500-55</t>
  </si>
  <si>
    <r>
      <rPr>
        <rFont val="Calibri, Arial"/>
        <b/>
        <color rgb="FFFF0000"/>
      </rPr>
      <t>Nuevo!</t>
    </r>
    <r>
      <rPr>
        <rFont val="Calibri, Arial"/>
        <b/>
        <color rgb="FFFF0000"/>
      </rPr>
      <t xml:space="preserve"> Two-piece telescopic boom arm with 3/8" thread. Complete with locking washer and plastic grip. Smooth, silent and scratch-free adjustment thanks to large wing nut.</t>
    </r>
  </si>
  <si>
    <t>$ 71.610,00</t>
  </si>
  <si>
    <t>$ 59.192,00</t>
  </si>
  <si>
    <t>Weight: 0.58 kg, BL: 425/725 mm.</t>
  </si>
  <si>
    <t>v</t>
  </si>
  <si>
    <t>21020-500-55</t>
  </si>
  <si>
    <r>
      <rPr>
        <rFont val="Calibri, Arial"/>
        <b/>
        <color rgb="FFFF0000"/>
      </rPr>
      <t xml:space="preserve">Nuevo! </t>
    </r>
    <r>
      <rPr>
        <rFont val="Calibri, Arial"/>
        <b/>
        <color rgb="FFFF0000"/>
      </rPr>
      <t>The industry standard for a mic stand and boom arm combination. Package consists of the 201A/2 microphone stand and the 211 boom arm. Folding base for ease of transport. Long legs for added stability. The 210/2 - a classic for 30 years. More than 2 million sold.</t>
    </r>
  </si>
  <si>
    <t>$ 180.810,00</t>
  </si>
  <si>
    <t>$ 149.436,00</t>
  </si>
  <si>
    <t>Weight: 3.2 kg, H: 900/1605 mm, BL: 800 mm.</t>
  </si>
  <si>
    <t>21231-400-55</t>
  </si>
  <si>
    <t>Telescopic boom arm with 3/8" thread. Adjustable counterweight. For use with model 20811 and 21411.</t>
  </si>
  <si>
    <t>$ 501.536,00</t>
  </si>
  <si>
    <t>$ 414.498,00</t>
  </si>
  <si>
    <t>Weight: 5.3 kg, BL: 1070/1870 mm.</t>
  </si>
  <si>
    <t>Monitor stands</t>
  </si>
  <si>
    <t>26735-000-55</t>
  </si>
  <si>
    <r>
      <rPr>
        <rFont val="Calibri, Arial"/>
        <b/>
        <color rgb="FFFF0000"/>
      </rPr>
      <t xml:space="preserve">Nuevo! </t>
    </r>
    <r>
      <rPr>
        <rFont val="Calibri, Arial"/>
        <b/>
        <color rgb="FFFF0000"/>
      </rPr>
      <t>A decorative space saving speaker stand. The heavy cast iron plate with a relatively small diameter requires little space. The tried-and-tested spring-loaded bolt with locking screw makes height adjustment easy and safe. The stand has a maximum pull-out height of 1800 mm and is suitable for speakers with a maximum weight of 20 kg. The integrated mounting aid simplifies mounting the loud speaker cabinets.</t>
    </r>
  </si>
  <si>
    <t>$ 354.508,00</t>
  </si>
  <si>
    <t>$ 292.992,00</t>
  </si>
  <si>
    <t>Load-bearing capacity: 20 kg. Weight: 10.0 kg, H: 1100/1810 mm, extension tube diameter 35 mm.</t>
  </si>
  <si>
    <t>26776-000-55</t>
  </si>
  <si>
    <r>
      <rPr>
        <rFont val="Calibri, Arial"/>
        <b/>
        <color rgb="FFFF0000"/>
      </rPr>
      <t>Nuevo!</t>
    </r>
    <r>
      <rPr>
        <rFont val="Calibri, Arial"/>
        <b/>
        <color rgb="FFCC0000"/>
      </rPr>
      <t xml:space="preserve"> </t>
    </r>
    <r>
      <rPr>
        <rFont val="Calibri, Arial"/>
        <b/>
        <color rgb="FFFF0000"/>
      </rPr>
      <t>Height-adjustable desktop stand with tilt support. The solid metal construction with the large support plate (230 x 250 mm) is suitable for a wide range of monitors and other equipment in the same size range. The plate can be continuously tilted up to 12.5° and can be moved to optimise the centre of gravity. A stop bar ensures the necessary safety and prevents the monitor from slipping. Four felt-covered support pads provide decoupling under the base plate. The individual height can be adjusted in 4 steps between 350 and 450 mm. In terms of load capacity, the stand can be centrally loaded up to 25 kg. Rubber pads are included for secure, noise-insulating support of the monitors.</t>
    </r>
  </si>
  <si>
    <t>$ 257.880,00</t>
  </si>
  <si>
    <t>$ 213.122,00</t>
  </si>
  <si>
    <t>Load-bearing capacity: 25 kg. Weight: 4.15 kg.</t>
  </si>
  <si>
    <t>26774-000-56</t>
  </si>
  <si>
    <r>
      <rPr>
        <rFont val="Calibri, Arial"/>
        <b/>
        <color rgb="FFFF0000"/>
      </rPr>
      <t>Nuevo!</t>
    </r>
    <r>
      <rPr>
        <rFont val="Calibri, Arial"/>
        <b/>
        <color rgb="FFFF0000"/>
      </rPr>
      <t xml:space="preserve"> Attractive table stand for studio monitors and loudspeakers. The height adjustment is variable between 167 and 254 mm. 4 rubber pads each for floor and tray provide for stability and noise filtration. The recommended max. load is 15 kg. The support area (tray) dimensions are 230 x 250 mm.</t>
    </r>
  </si>
  <si>
    <t>$ 244.132,00</t>
  </si>
  <si>
    <t>$ 201.754,00</t>
  </si>
  <si>
    <t>Load-bearing capacity: 15 kg. Weight: 4.96 kg.</t>
  </si>
  <si>
    <t>26777-000-55</t>
  </si>
  <si>
    <r>
      <rPr>
        <rFont val="Calibri, Arial"/>
        <b/>
        <color rgb="FFFF0000"/>
      </rPr>
      <t>Nuevo!</t>
    </r>
    <r>
      <rPr>
        <rFont val="Calibri, Arial"/>
        <b/>
        <color rgb="FFFF0000"/>
      </rPr>
      <t xml:space="preserve"> Height-adjustable monitor stand with table clamp for near-field monitors. The solid metal construction with the large support plate (205 x 245 mm) is suitable for a wide range of monitors and other equipment in the same size range. A practical table clamp allows it to be attached to tabletops with a thickness of 10 to 52 mm. The individual height adjustment is possible in 6 steps between 335 and 485 mm. In terms of load capacity, a centric load of up to 25 kg is possible. The support plate can be rotated 360° for perfect alignment. Rubber pads are included for secure, noise-insulating support of the monitors.</t>
    </r>
  </si>
  <si>
    <t>$ 207.494,00</t>
  </si>
  <si>
    <t>$ 171.486,00</t>
  </si>
  <si>
    <t>Load-bearing capacity: 25 kg. Weight: 2.6 kg.</t>
  </si>
  <si>
    <t>26778-000-55</t>
  </si>
  <si>
    <r>
      <rPr>
        <rFont val="Calibri, Arial"/>
        <b/>
        <color rgb="FFFF0000"/>
      </rPr>
      <t xml:space="preserve">Nuevo! </t>
    </r>
    <r>
      <rPr>
        <rFont val="Calibri, Arial"/>
        <b/>
        <color rgb="FFFF0000"/>
      </rPr>
      <t>Height-adjustable monitor stand with table clamp for near-field monitors. The solid metal construction with the large support plate (230 x 250 mm) is suitable for a wide range of monitors and other equipment in this size range. The plate can be tilted continuously up to 12.5° and moved to optimise the centre of gravity. A stop bar ensures the necessary safety and prevents the monitor from slipping. The practical table clamp enables attachment to tabletops with a thickness of 10 to 52 mm. The individual height can be adjusted in 4 steps between 335 and 435 mm. In terms of load capacity, a centric load of up to 25 kg is possible. The support plate can be rotated 360° for perfect alignment. Rubber pads are included for secure, noise-insulating support of the monitors.</t>
    </r>
  </si>
  <si>
    <t>Load-bearing capacity: 25 kg. Weight: 3,1 kg.</t>
  </si>
  <si>
    <t>24167-000-55</t>
  </si>
  <si>
    <r>
      <rPr>
        <rFont val="Calibri, Arial"/>
        <b/>
        <color rgb="FFFF0000"/>
      </rPr>
      <t xml:space="preserve">Nuevo! </t>
    </r>
    <r>
      <rPr>
        <rFont val="Calibri, Arial"/>
        <b/>
        <color rgb="FFFF0000"/>
      </rPr>
      <t>Solid and stable wall mount with adjustable boom for monitors and speakers up to 15 kg. The boom can be swiveled on both sides up to 54° and tilted continuously up to -17°. The width is 200 mm and the clamping depth ranges from 210 to 340 mm. Self-adhesive rubber pads protect the surface of the box and prevent vibration noise. User-friendly controls allow quick and convenient adjustments, which also remain fixed thanks to additional counter options. The sturdy metal construction is protected by a durable powder coating.</t>
    </r>
  </si>
  <si>
    <t>$ 330.204,00</t>
  </si>
  <si>
    <t>$ 272.902,00</t>
  </si>
  <si>
    <t>Load-bearing capacity: 15 kg. Weight: 2.36 kg.</t>
  </si>
  <si>
    <t>24166-000-55</t>
  </si>
  <si>
    <t>Nuevo! Solid and stable wall mount with adjustable boom for monitors and speakers up to 15 kg. The boom can be swiveled on both sides up to 54° and tilted continuously up to -17°. The width is 170 mm and the clamping depth ranges from 150 to 220 mm. Self-adhesive rubber pads protect the surface of the box and prevent vibration noise. User-friendly controls allow quick and convenient adjustments, which also remain fixed thanks to additional counter options. The sturdy metal construction is protected by a durable powder coating.</t>
  </si>
  <si>
    <t>$ 312.536,00</t>
  </si>
  <si>
    <t>$ 258.300,00</t>
  </si>
  <si>
    <t>Load-bearing capacity: 15 kg. Weight: 2.05 kg.</t>
  </si>
  <si>
    <t>21459-000-55</t>
  </si>
  <si>
    <t>Two easy-to-carry speaker stands made of high quality aluminum ina carrying case.Fiberglass-reinforced fittings and an additional safety pin ensure stable support for the speakers. The height and feet adjust by an easy-to-use clamping lever.</t>
  </si>
  <si>
    <t>$ 667.534,00</t>
  </si>
  <si>
    <t>$ 551.684,00</t>
  </si>
  <si>
    <t>Load-bearing capacity: 40 kg. Weight: 5.88 kg, H: 1270/1930 mm.</t>
  </si>
  <si>
    <t>21467-000-55</t>
  </si>
  <si>
    <t>An exceptional aluminum speaker stand with a unique patented expanding mandrel system that provides a stable, tight and firm fit for speakers. The movable plastic splints provide for a vibration-free connection between the rod and the speaker. Connecting the speaker is easy and is done using the handy ring lock - which is simply placed in position and screwed on. The height is adjusted by an easy-to-use spring-loaded bolt and locking screw. Double foot struts, zinc die cast clamping brackets and large end caps provide for highest degree of stand stability. It can't get any better than this!</t>
  </si>
  <si>
    <t>$ 587.496,00</t>
  </si>
  <si>
    <t>$ 485.534,00</t>
  </si>
  <si>
    <t>Load-bearing capacity: 50 kg. Weight: 5.2 kg, H: 1370/2170 mm, extension tube diameter 35 to 37 mm.</t>
  </si>
  <si>
    <t>21436-009-55</t>
  </si>
  <si>
    <t>The standard speaker stand constructed from aluminum has been significantly improved. The new legs with a tubing diameter of 35 mm and the large, fixed foot end caps guarantee stability and safety. Lasered bore holes and durable, robust plastic saddle washers improve the coefficient of friction between the legs and braces, and prevent scratching of the finish. A compact clamp with a push-button system affords user-friendly stand height adjustment. The locking screw provides additional stability and vibration-free speaker mount. Additional features include a pull-out guard for the extension tube and an integral anti-shock component.</t>
  </si>
  <si>
    <t>$ 359.856,00</t>
  </si>
  <si>
    <t>$ 297.402,00</t>
  </si>
  <si>
    <t>Load-bearing capacity: 40 kg. Weight: 3.5 kg, H: 1440/2230 mm.</t>
  </si>
  <si>
    <t>Desing monitor</t>
  </si>
  <si>
    <t>26795-018-56</t>
  </si>
  <si>
    <r>
      <rPr>
        <rFont val="Calibri, Arial"/>
        <b/>
        <color rgb="FFFF0000"/>
      </rPr>
      <t>Nuevo!</t>
    </r>
    <r>
      <rPr>
        <rFont val="Calibri, Arial"/>
        <b/>
        <color rgb="FFFF0000"/>
      </rPr>
      <t xml:space="preserve"> </t>
    </r>
    <r>
      <rPr>
        <rFont val="Calibri, Arial"/>
        <b/>
        <color rgb="FFFF0000"/>
      </rPr>
      <t>Impressive steel stand for monitors with stable, elegant cast base 480 x 480 mm. The large-dimensioned tube combination is gradually height adjustable by means of a spring-loaded clamping knob from 794 to 1344 mm. Depending on the size of the monitor, three different bearing plates 26792 can be mounted.</t>
    </r>
  </si>
  <si>
    <t>$ 821.660,00</t>
  </si>
  <si>
    <t>$ 679.056,00</t>
  </si>
  <si>
    <t>Weight: 17.5 kg H: 794/1344 mm.</t>
  </si>
  <si>
    <t>26792-032-56</t>
  </si>
  <si>
    <r>
      <rPr>
        <rFont val="Calibri, Arial"/>
        <b/>
        <color rgb="FFFF0000"/>
      </rPr>
      <t>Nuevo!</t>
    </r>
    <r>
      <rPr>
        <rFont val="Calibri, Arial"/>
        <b/>
        <color rgb="FFFF0000"/>
      </rPr>
      <t xml:space="preserve"> Bearing plate for monitors, suitable for the design monitor stand 26795. Includes 4 spikes and 4 rubber knobs.</t>
    </r>
  </si>
  <si>
    <t>$ 159.614,00</t>
  </si>
  <si>
    <t>$ 131.922,00</t>
  </si>
  <si>
    <t>Dimensions 240 x 5 x 200 mm, weight: 1.924 kg.</t>
  </si>
  <si>
    <t>26792-024-56</t>
  </si>
  <si>
    <r>
      <rPr>
        <rFont val="Calibri, Arial"/>
        <b/>
        <color rgb="FFFF0000"/>
      </rPr>
      <t>Nuevo!</t>
    </r>
    <r>
      <rPr>
        <rFont val="Calibri, Arial"/>
        <b/>
        <color rgb="FFFF0000"/>
      </rPr>
      <t xml:space="preserve"> Bearing plate for monitors, suitable for the design monitor stand 26795. Includes 4 spikes and 4 rubber knobs.</t>
    </r>
  </si>
  <si>
    <t>$ 120.932,00</t>
  </si>
  <si>
    <t>$ 99.946,00</t>
  </si>
  <si>
    <t>Headphone holder</t>
  </si>
  <si>
    <t>16075-000-42</t>
  </si>
  <si>
    <r>
      <rPr>
        <rFont val="Calibri, Arial"/>
        <b/>
        <color rgb="FFFF0000"/>
      </rPr>
      <t>Nuevo!</t>
    </r>
    <r>
      <rPr>
        <rFont val="Calibri, Arial"/>
        <b/>
        <color rgb="FFFF0000"/>
      </rPr>
      <t xml:space="preserve"> Present or store your headphones with this attractive headphone table stand. The black structured surface and the exclusive design provide for perfect stability and high functionality. The stand is ideal for home use and professional studio use as well. The rubber-covered holder protects the headphones from damage. Flat rubber pads ensure that the headphone table stand is slip-resistant.</t>
    </r>
  </si>
  <si>
    <t>$ 75.166,00</t>
  </si>
  <si>
    <t>$ 62.118,00</t>
  </si>
  <si>
    <t>Dimensions: 147 x 145 x 250 mm, weight: 0.7 kg.</t>
  </si>
  <si>
    <t>16075-000-56</t>
  </si>
  <si>
    <r>
      <rPr>
        <rFont val="Calibri, Arial"/>
        <b/>
        <color rgb="FFFF0000"/>
      </rPr>
      <t xml:space="preserve">Nuevo! </t>
    </r>
    <r>
      <rPr>
        <rFont val="Calibri, Arial"/>
        <b/>
        <color rgb="FFFF0000"/>
      </rPr>
      <t>Present or store your headphones with this attractive headphone table stand. The black structured surface and the exclusive design provide for perfect stability and high functionality. The stand is ideal for home use and professional studio use as well. The rubber-covered holder protects the headphones from damage. Flat rubber pads ensure that the headphone table stand is slip-resistant.</t>
    </r>
  </si>
  <si>
    <t>$ 73.388,00</t>
  </si>
  <si>
    <t>$ 60.662,00</t>
  </si>
  <si>
    <t>16075-000-87</t>
  </si>
  <si>
    <r>
      <rPr>
        <rFont val="Calibri, Arial"/>
        <b/>
        <color rgb="FFFF0000"/>
      </rPr>
      <t xml:space="preserve">Nuevo! </t>
    </r>
    <r>
      <rPr>
        <rFont val="Calibri, Arial"/>
        <b/>
        <color rgb="FFFF0000"/>
      </rPr>
      <t>Present or store your headphones with this attractive headphone table stand. The black structured surface and the exclusive design provide for perfect stability and high functionality. The stand is ideal for home use and professional studio use as well. The rubber-covered holder protects the headphones from damage. Flat rubber pads ensure that the headphone table stand is slip-resistant.</t>
    </r>
  </si>
  <si>
    <t>16090-000-55</t>
  </si>
  <si>
    <t>Protective and stable holder covered in soft rubber for 2 standard headphones. In addition, there are grooves on the front of the support arm in which two in-ear-headphones can be hung. The clamp can be extended from 0 to 45 mm allowing it to be mounted on a wide variety of tables, shelves etc.</t>
  </si>
  <si>
    <t>$ 65.800,00</t>
  </si>
  <si>
    <t>$ 54.390,00</t>
  </si>
  <si>
    <t>Support bracket: 60 x 100 mm, weight: 0,205 kg.</t>
  </si>
  <si>
    <t>Microphone »Fishing Pole«</t>
  </si>
  <si>
    <t>23765-300-55</t>
  </si>
  <si>
    <t>Useful microphone fishing pole made of aluminum tubing; 4-piece folding design. The clamps with the innovative locking system are easy to use and provide a high level of security. The length of the fishing pole can be adjusted variably between 1000 and 3220 mm. Cables can be placed inside the pole. An upholstered carrying case is included.</t>
  </si>
  <si>
    <t>$ 515.760,00</t>
  </si>
  <si>
    <t>$ 426.258,00</t>
  </si>
  <si>
    <t>Weight: 0.9 kg, H: 1000/3220 mm.</t>
  </si>
  <si>
    <t>23783-300-55</t>
  </si>
  <si>
    <t>Professional microphone fishing pole made of high-quality carbon, featuring high stability and rigidity with low weight. The three clamps with the innovative locking system are easy to use and provide highly functional locking force. The length can be continuously adjusted from 1,130 to 3,780 mm. An internal cable feed-through is possible. The padded bag with carrying loop is included in the delivery.</t>
  </si>
  <si>
    <t>$ 1.120.448,00</t>
  </si>
  <si>
    <t>$ 925.988,00</t>
  </si>
  <si>
    <t>Weight: 0.98 kg, L: 1130/3780 mm.</t>
  </si>
  <si>
    <t>Microphone clip</t>
  </si>
  <si>
    <t>85055-000-55</t>
  </si>
  <si>
    <r>
      <rPr>
        <rFont val="Calibri, Arial"/>
        <b/>
        <color rgb="FFFF0000"/>
      </rPr>
      <t xml:space="preserve">Nuevo! </t>
    </r>
    <r>
      <rPr>
        <rFont val="Calibri, Arial"/>
        <b/>
        <color rgb="FFFF0000"/>
      </rPr>
      <t>Tapered slip-in microphone clip diameter 28-34 mm, high quality elastic rubber.</t>
    </r>
  </si>
  <si>
    <t>$ 12.922,00</t>
  </si>
  <si>
    <t>$ 10.682,00</t>
  </si>
  <si>
    <t>3/8" and 5/8", weight: 0,04 kg.</t>
  </si>
  <si>
    <t>85035-000-55</t>
  </si>
  <si>
    <r>
      <rPr>
        <rFont val="Calibri, Arial"/>
        <b/>
        <color rgb="FFFF0000"/>
      </rPr>
      <t>Nuevo!</t>
    </r>
    <r>
      <rPr>
        <rFont val="Calibri, Arial"/>
        <b/>
        <color rgb="FFFF0000"/>
      </rPr>
      <t xml:space="preserve"> Tapered slip-in microphone clip, diameter 17-21 mm, high quality elastic rubber.</t>
    </r>
  </si>
  <si>
    <t>$ 12.446,00</t>
  </si>
  <si>
    <t>$ 10.290,00</t>
  </si>
  <si>
    <t>3/8" and 5/8", weight: 0,03 kg.</t>
  </si>
  <si>
    <t>85050-000-55</t>
  </si>
  <si>
    <r>
      <rPr>
        <rFont val="Calibri, Arial"/>
        <b/>
        <color rgb="FFFF0000"/>
      </rPr>
      <t>Nuevo!</t>
    </r>
    <r>
      <rPr>
        <rFont val="Calibri, Arial"/>
        <b/>
        <color rgb="FFFF0000"/>
      </rPr>
      <t xml:space="preserve"> Tapered slip-in microphone clip diameter 22-28 mm, high quality elastic rubber.</t>
    </r>
  </si>
  <si>
    <t>85060-000-55</t>
  </si>
  <si>
    <r>
      <rPr>
        <rFont val="Calibri, Arial"/>
        <b/>
        <color rgb="FFFF0000"/>
      </rPr>
      <t>Nuevo!</t>
    </r>
    <r>
      <rPr>
        <rFont val="Calibri, Arial"/>
        <b/>
        <color rgb="FFFF0000"/>
      </rPr>
      <t xml:space="preserve"> Tapered slip-in microphone clip diameter 34-40 mm, high quality elastic rubber.</t>
    </r>
  </si>
  <si>
    <t>$ 13.342,00</t>
  </si>
  <si>
    <t>$ 11.018,00</t>
  </si>
  <si>
    <t>3/8" and 5/8", weight: 0,06 kg.</t>
  </si>
  <si>
    <t>21110-500-55</t>
  </si>
  <si>
    <t>Classic two-piece telescopic boom arm with 3/8" thread. Silent, scratchless swivel joint for adjustment of angle, easy tightening with T-bar locking screw.</t>
  </si>
  <si>
    <t>Weight: 0.64 kg, BL: 435/745 mm.</t>
  </si>
  <si>
    <t>Microphone desk arm</t>
  </si>
  <si>
    <t>23860-321-55</t>
  </si>
  <si>
    <t>This exclusive microphone arm with a 3/8" or 5/8" thread connector in a modern design with a new innovative table clamp for quick and easy positioning of a microphone in the studio or at a multimedia work station. The 6 m long internally guided microphone cable has a 3 pin XLR plug connector. Microphones to max. 1.5 kg are easily held in any position. The clamping width of 10 to 51 mm / ø 15 to ø 51 mm allows the clamp to be attached to a wide variety of surfaces. The stable metal construction with high quality plastic inserts guarantees secure and strong hold. The cleverly shaped clamping parts allow the clamp to be used on smooth surfaces and round-shaped tubes. The microphone arm can also be fixed with the table flange 23855 available as an optional extra.</t>
  </si>
  <si>
    <t>$ 818.104,00</t>
  </si>
  <si>
    <t>$ 676.116,00</t>
  </si>
  <si>
    <t>Load-bearing capacity: 1,5 kg. Weight: 1.23 kg, arm lengths: 460 mm + 500 mm.</t>
  </si>
  <si>
    <t>Microphone holder for drums</t>
  </si>
  <si>
    <t>24030-500-55</t>
  </si>
  <si>
    <r>
      <rPr>
        <rFont val="Calibri, Arial"/>
        <b/>
        <color rgb="FFFF0000"/>
      </rPr>
      <t>Nuevo!</t>
    </r>
    <r>
      <rPr>
        <rFont val="Calibri, Arial"/>
        <b/>
        <color rgb="FFFF0000"/>
      </rPr>
      <t xml:space="preserve"> Unique, compact holder to attach microphones to drums. Easy to mount and remove. Rubber inserts absorb noise and shock. No parts to lose. Tightens securely. With 3/8" thread.</t>
    </r>
  </si>
  <si>
    <t>$ 52.934,00</t>
  </si>
  <si>
    <t>$ 43.750,00</t>
  </si>
  <si>
    <t>Weight: 0.1 kg, H: 60 mm.</t>
  </si>
  <si>
    <t>24035-500-55</t>
  </si>
  <si>
    <r>
      <rPr>
        <rFont val="Calibri, Arial"/>
        <b/>
        <color rgb="FFFF0000"/>
      </rPr>
      <t>Nuevo!</t>
    </r>
    <r>
      <rPr>
        <rFont val="Calibri, Arial"/>
        <b/>
        <color rgb="FFFF0000"/>
      </rPr>
      <t xml:space="preserve"> Compact holder to attach microphones to drums, esp. bass drums. The microphone can be slided up to 70 mm on the mounting rail and placed very near to the drum. Easy mounting, no parts to lose. Rubber washer and inserts absorb noise and shock, "RIMS" suitable. With 3/8" thread.</t>
    </r>
  </si>
  <si>
    <t>$ 55.608,00</t>
  </si>
  <si>
    <t>$ 45.962,00</t>
  </si>
  <si>
    <t>Weight: 0.12 kg, L: 115 mm.</t>
  </si>
  <si>
    <t>25950-500-55</t>
  </si>
  <si>
    <r>
      <rPr>
        <rFont val="Calibri, Arial"/>
        <b/>
        <color rgb="FFFF0000"/>
      </rPr>
      <t xml:space="preserve">Nuevo! </t>
    </r>
    <r>
      <rPr>
        <rFont val="Calibri, Arial"/>
        <b/>
        <color rgb="FFFF0000"/>
      </rPr>
      <t>Extra low design for bass drums or special use. Very short and heavy legs provide maximum stability. Legs are foldable for easy transport. Comes with two-piece boom arm.</t>
    </r>
  </si>
  <si>
    <t>$ 189.406,00</t>
  </si>
  <si>
    <t>$ 156.534,00</t>
  </si>
  <si>
    <t>Weight: 2.98 kg, H: 280 mm, BL: 425/725 mm.</t>
  </si>
  <si>
    <t>25993-500-55</t>
  </si>
  <si>
    <r>
      <rPr>
        <rFont val="Calibri, Arial"/>
        <b/>
        <color rgb="FFFF0000"/>
      </rPr>
      <t xml:space="preserve">Nuevo! </t>
    </r>
    <r>
      <rPr>
        <rFont val="Calibri, Arial"/>
        <b/>
        <color rgb="FFFF0000"/>
      </rPr>
      <t>Compact, space-saving microphone stand for bass drums, AMPs, Cajons, etc. The flat, stable stand slides for example under a bass drum, an AMP or Cajon and is a good choice wherever a tripod stand might be too bulky. Thanks to the easy height adjustment and the extendable boom arm, the microphone can be adjusted individually and precisely. Four elastic rubber feet absorb impact sound and reduce unwanted transmission noise.</t>
    </r>
  </si>
  <si>
    <t>$ 192.556,00</t>
  </si>
  <si>
    <t>$ 159.138,00</t>
  </si>
  <si>
    <t>Setup dimensions: Base 250 x 202 mm, Height 275/405 mm, Boom arm length 333/565 mm, weight: 2.4 kg</t>
  </si>
  <si>
    <t>24030-300-55</t>
  </si>
  <si>
    <t>Unique, compact holder to attach microphones to drums. Easy to mount and remove. Rubber inserts absorb noise and shock. No parts to lose. Tightens securely. With 3/8" thread.</t>
  </si>
  <si>
    <t>$ 70.546,00</t>
  </si>
  <si>
    <t>$ 58.310,00</t>
  </si>
  <si>
    <t>24035-300-55</t>
  </si>
  <si>
    <t xml:space="preserve">Compact holder to attach microphones to drums, esp. bass drums. The microphone can be slided up to 70 mm on the mounting rail and placed very near to the drum. Easy mounting, no parts to lose. Rubber washer and inserts absorb noise and shock, "RIMS" suitable. With 3/8" thread.
</t>
  </si>
  <si>
    <t>$ 74.102,00</t>
  </si>
  <si>
    <t>$ 61.250,00</t>
  </si>
  <si>
    <t>25910-300-55</t>
  </si>
  <si>
    <t>Extra low design for bass drums or special use. Die-cast base with folding legs. Comes complete with boom arm.</t>
  </si>
  <si>
    <t>$ 232.386,00</t>
  </si>
  <si>
    <t>$ 192.052,00</t>
  </si>
  <si>
    <t>Weight: 1.9 kg, H: 280 mm, BL: 525 mm.</t>
  </si>
  <si>
    <t>25950-300-55</t>
  </si>
  <si>
    <t>Extra low design for bass drums or special use. Very short and heavy legs provide maximum stability. Legs are foldable for easy transport. Comes with two-piece boom arm.</t>
  </si>
  <si>
    <t>$ 252.546,00</t>
  </si>
  <si>
    <t>$ 208.712,00</t>
  </si>
  <si>
    <t>Microphone stand</t>
  </si>
  <si>
    <t>26010-500-55</t>
  </si>
  <si>
    <r>
      <rPr>
        <rFont val="Calibri, Arial"/>
        <b/>
        <color rgb="FFFF0000"/>
      </rPr>
      <t xml:space="preserve">Nuevo! </t>
    </r>
    <r>
      <rPr>
        <rFont val="Calibri, Arial"/>
        <b/>
        <color rgb="FFFF0000"/>
      </rPr>
      <t>Cast-iron round base, with anti-vibration rubber insert for noise filtration.</t>
    </r>
  </si>
  <si>
    <t>$ 127.638,00</t>
  </si>
  <si>
    <t>$ 105.490,00</t>
  </si>
  <si>
    <t>Weight: 3.6 kg, H: 870/1575 mm, base-diameter: 250 mm.</t>
  </si>
  <si>
    <t>20120-500-55</t>
  </si>
  <si>
    <r>
      <rPr>
        <rFont val="Calibri, Arial"/>
        <b/>
        <color rgb="FFFF0000"/>
      </rPr>
      <t xml:space="preserve">Nuevo! </t>
    </r>
    <r>
      <rPr>
        <rFont val="Calibri, Arial"/>
        <b/>
        <color rgb="FFFF0000"/>
      </rPr>
      <t>Folding, short-legged design with die-cast base. Noiseless height-adjustment.</t>
    </r>
  </si>
  <si>
    <t>$ 137.536,00</t>
  </si>
  <si>
    <t>$ 113.666,00</t>
  </si>
  <si>
    <t>Weight: 2.0 kg, H: 890/1590 mm.</t>
  </si>
  <si>
    <t>25900-500-55</t>
  </si>
  <si>
    <r>
      <rPr>
        <rFont val="Calibri, Arial"/>
        <b/>
        <color rgb="FFFF0000"/>
      </rPr>
      <t>Nuevo!</t>
    </r>
    <r>
      <rPr>
        <rFont val="Calibri, Arial"/>
        <b/>
        <color rgb="FFFF0000"/>
      </rPr>
      <t xml:space="preserve"> Low-level, telescopic stand with foldable legs. Comes with 2-piece boom arm.</t>
    </r>
  </si>
  <si>
    <t>$ 212.534,00</t>
  </si>
  <si>
    <t>$ 175.644,00</t>
  </si>
  <si>
    <t>Weight: 2.2 kg, H: 425/645 mm, BL: 435/745 mm.</t>
  </si>
  <si>
    <t>26007-319-55</t>
  </si>
  <si>
    <t>Extra high tube combination for special recording techniques and antenna positions. The variable adjustable height is between 1120 and 3150 mm. Thanks to the included adapter 21950 the tube combination can be used with the round microphone stand bases and the larger loudspeaker stand bases.</t>
  </si>
  <si>
    <t>$ 206.304,00</t>
  </si>
  <si>
    <t>$ 170.506,00</t>
  </si>
  <si>
    <t>H: 1120/3150 mm, weight: 1.73 kg.</t>
  </si>
  <si>
    <t>26010-300-55</t>
  </si>
  <si>
    <t>Cast-iron round base, with anti-vibration rubber insert for noise filtration.</t>
  </si>
  <si>
    <t>$ 170.142,00</t>
  </si>
  <si>
    <t>$ 140.616,00</t>
  </si>
  <si>
    <t>23760-000-55</t>
  </si>
  <si>
    <t>21020-300-55</t>
  </si>
  <si>
    <t>The industry standard for a mic stand and boom arm combination. Package consists of the 201A/2 microphone stand and the 211 boom arm. Folding base for ease of transport. Long legs for added stability. The 210/2 - a classic for 30 years. More than 2 million sold.</t>
  </si>
  <si>
    <t>$ 267.372,00</t>
  </si>
  <si>
    <t>$ 220.962,00</t>
  </si>
  <si>
    <t>25400-300-55</t>
  </si>
  <si>
    <t>Entry-level, low-priced microphone stand. The practical swivel joint allows the one-piece boom arm to be simultaneously positioned for tilt and length. Thanks to a low weight of only 1.84 kg, it is particularly suitable for the mobile musician. The stand requires little space as its base diameter is only 660 mm. The large foot end caps help to make the stand stable and reduce unpleasant transmission noise.</t>
  </si>
  <si>
    <t>25600-300-55</t>
  </si>
  <si>
    <t>High-quality microphone stand with telescopic boom arm. Die-cast base with folding legs. Unique design retains all screws and levers without tension. Patented clamping lever can be fixed in any position, for holding mic cable, etc.</t>
  </si>
  <si>
    <t>$ 411.432,00</t>
  </si>
  <si>
    <t>$ 340.018,00</t>
  </si>
  <si>
    <t>Microphone table base</t>
  </si>
  <si>
    <t>29375-000-55</t>
  </si>
  <si>
    <r>
      <rPr>
        <rFont val="Calibri, Arial"/>
        <b/>
        <color rgb="FFFF0000"/>
      </rPr>
      <t xml:space="preserve">Nuevo! </t>
    </r>
    <r>
      <rPr>
        <rFont val="Calibri, Arial"/>
        <b/>
        <color rgb="FFFF0000"/>
      </rPr>
      <t>Beautifully designed, compact, zinc die-cast base. 3-pin XLR connections (male/female), completely mounted, crackle-free switching, with phantom powering-pilot light, with switch (gray). Two diodes indicate the operating state (voltage / microphone ON/OFF).</t>
    </r>
  </si>
  <si>
    <t>$ 418.418,00</t>
  </si>
  <si>
    <t>$ 345.800,00</t>
  </si>
  <si>
    <t>Weight: 0.5 kg, dimensions: Diameter 130 mm, H: 35 mm.</t>
  </si>
  <si>
    <t>29376-000-55</t>
  </si>
  <si>
    <r>
      <rPr>
        <rFont val="Calibri, Arial"/>
        <b/>
        <color rgb="FFFF0000"/>
      </rPr>
      <t xml:space="preserve">Nuevo! </t>
    </r>
    <r>
      <rPr>
        <rFont val="Calibri, Arial"/>
        <b/>
        <color rgb="FFFF0000"/>
      </rPr>
      <t>Beautifully designed, compact, zinc die-cast base. 3-pin XLR connections (male/female), completely mounted, without pushbutton or switch.</t>
    </r>
  </si>
  <si>
    <t>$ 300.146,00</t>
  </si>
  <si>
    <t>$ 248.052,00</t>
  </si>
  <si>
    <t>SEMS-3000</t>
  </si>
  <si>
    <t>SEMS 3000 mic stand 5/8". all black</t>
  </si>
  <si>
    <t>$ 115.598,00</t>
  </si>
  <si>
    <t>$ 95.536,00</t>
  </si>
  <si>
    <t>Popkiller</t>
  </si>
  <si>
    <t>23956-000-55</t>
  </si>
  <si>
    <t>The K&amp;M Popkiller - a world-wide classic. For stands with diameter of up to 30 mm. Double nylon screen for superior performance. Unobtrusive black round filter frame. Non-marring locking screw prevents scratching of mic stand.</t>
  </si>
  <si>
    <t>$ 104.342,00</t>
  </si>
  <si>
    <t>$ 86.226,00</t>
  </si>
  <si>
    <t>Weight: 0.22 kg, standard gooseneck diameter: 8 mm, screen diameter: 130 mm.</t>
  </si>
  <si>
    <t>Camera stand</t>
  </si>
  <si>
    <t>19783-100-55</t>
  </si>
  <si>
    <r>
      <rPr>
        <rFont val="Calibri, Arial"/>
        <b/>
        <color rgb="FFFF0000"/>
      </rPr>
      <t xml:space="preserve">Nuevo! </t>
    </r>
    <r>
      <rPr>
        <rFont val="Calibri, Arial"/>
        <b/>
        <color rgb="FFFF0000"/>
      </rPr>
      <t>Easy-to-use desktop camera stand for mounting compact cameras, action cameras, web cams, mini-projectors and mobile recorders with a ¼" connection thread. The ball joint allows the mounted equipment to be rotated 360° and fixed in any position. The tilt-angle is infinitely adjustable up to 90° and the load capacity is designed for equipment up to 1 kg. When folded, the feet turn into a handle which additionally allows mobile use.</t>
    </r>
  </si>
  <si>
    <t>$ 81.816,00</t>
  </si>
  <si>
    <t>$ 67.606,00</t>
  </si>
  <si>
    <t>Weight: 0.2 kg, H: 118 mm.</t>
  </si>
  <si>
    <t>Smartphone stand</t>
  </si>
  <si>
    <t>19746-000-55</t>
  </si>
  <si>
    <r>
      <rPr>
        <rFont val="Calibri, Arial"/>
        <b/>
        <color rgb="FFFF0000"/>
      </rPr>
      <t xml:space="preserve">Nuevo! </t>
    </r>
    <r>
      <rPr>
        <rFont val="Calibri, Arial"/>
        <b/>
        <color rgb="FFFF0000"/>
      </rPr>
      <t>With this universal holder your smartphone is always within reach. The holder is suitable for all flat devices with a width of 60 to 84 mm. The operation is simple and fast. Insert smartphone - press clamping jaws together - done. The device is released at the push of a button. The clamping jaws with integrated rubber pads guarantee a secure hold. The exchangeable support bars with different depths can be individually adapted to the smartphone so that the function of the operating elements on the device is not impaired. Thanks to the flexible ball joint, the holder can be tilted up and down, and rotated 360°. The flexible support arm with a length of 100 mm provides additional individual setting. An attractive metal base with non-slip rubber pads provides excellent stability.</t>
    </r>
  </si>
  <si>
    <t>$ 121.408,00</t>
  </si>
  <si>
    <t>$ 100.338,00</t>
  </si>
  <si>
    <t>Weight: 0.65 kg, H: 168 mm, base dimensions: 144 x 147,5 mm.</t>
  </si>
  <si>
    <t>19747-000-55</t>
  </si>
  <si>
    <r>
      <rPr>
        <rFont val="Calibri, Arial"/>
        <b/>
        <color rgb="FFFF0000"/>
      </rPr>
      <t>Nuevo!</t>
    </r>
    <r>
      <rPr>
        <rFont val="Calibri, Arial"/>
        <b/>
        <color rgb="FFFF0000"/>
      </rPr>
      <t xml:space="preserve"> With this universal holder your smartphone is always within reach. The holder is suitable for all flat devices with a width of 60 to 84 mm. The operation is simple and fast. Insert smartphone - press clamping jaws together - done. The device is released at the push of a button. The clamping jaws with integrated rubber pads guarantee a secure hold. The exchangeable support bars with different depths can be individually adapted to the smartphone so that the function of the operating elements on the device is not impaired. Thanks to the flexible ball joint, the holder can be tilted up and down, and rotated 360°. The flexible support arm with a length of 100 mm provides additional individual setting. A stable clamping element with an ergonomic knurled screw allows mounting on any tube up to 30 mm in diameter.</t>
    </r>
  </si>
  <si>
    <t>$ 103.152,00</t>
  </si>
  <si>
    <t>$ 85.246,00</t>
  </si>
  <si>
    <t>Weight: 0.225 kg.</t>
  </si>
  <si>
    <t>19850-000-55</t>
  </si>
  <si>
    <t>With this elegant universal holder made out of high sheen, deep black acrylic glass, your Smartphone has a prominent spot on your desk. Two grip pads hold the Smartphone in place (without adhesives and magnets), you can choose between vertical and horizontal placement. The Smartphone is easy to place into and remove from the stand. To reactivate the grip pads simply clean them with water. The 45° angle provides for viewing videos and photos and for surfing and typing. The stand is equipped with two non-slip pads on the bottom of the stand.</t>
  </si>
  <si>
    <t>$ 46.830,00</t>
  </si>
  <si>
    <t>$ 38.710,00</t>
  </si>
  <si>
    <t xml:space="preserve">Dimensions: approx. 75 x 50 x 85 mm; Weight: 0,072 kg
</t>
  </si>
  <si>
    <t>Table clamp</t>
  </si>
  <si>
    <t>23720-300-55</t>
  </si>
  <si>
    <t>The new table clamp with a 3/8" threaded connector is a true all-rounder. The threaded bolt can be fixed in four different directions using the universal spanner included. The clamp can also be extended using additional or other threaded bolts (¼", 3/8“, 5/8“). Having a clamping range of 0 to 48 mm the clamp is suitable for a wide spectrum of mounting. The stable metal construction with high quality plastic inserts guarantees a secure and strong hold. The cleverly shaped clamping parts allow the clamp to be used on smooth surfaces and round-shaped tubes.</t>
  </si>
  <si>
    <t>$ 101.374,00</t>
  </si>
  <si>
    <t>$ 83.776,00</t>
  </si>
  <si>
    <t>Clamping range up to 48 mm. Weight: 0.23 kg.</t>
  </si>
  <si>
    <t>Table microphone</t>
  </si>
  <si>
    <t>23200-500-55</t>
  </si>
  <si>
    <r>
      <rPr>
        <rFont val="Calibri, Arial"/>
        <color rgb="FF000000"/>
      </rPr>
      <t xml:space="preserve">Nuevo! </t>
    </r>
    <r>
      <rPr>
        <rFont val="Calibri, Arial"/>
        <b val="0"/>
        <color rgb="FF000000"/>
      </rPr>
      <t>Sound-absorbing cast-iron base with black powder-coated screw-in rod, 3/8" thread.</t>
    </r>
  </si>
  <si>
    <t>$ 87.626,00</t>
  </si>
  <si>
    <t>$ 72.408,00</t>
  </si>
  <si>
    <t>Weight: 1.4 kg, H: 175 mm, base-diameter: 130 mm.</t>
  </si>
  <si>
    <t>25800-321-55</t>
  </si>
  <si>
    <t>This variable microphone clamp has everything you need. A sophisticated mechanism allows the clamp to be rotated 360°. At the same time the height and position can be varied as required. A supplementary extension tube can be used for an even greater range. The clamping width of 10 to 51 mm / ø 15 to ø 51 mm allows the clamp to be attached to a wide variety of surfaces. The stable metal construction with high quality plastic inserts guarantees secure and strong hold.The cleverly shaped clamping parts allow the clamp to be used on smooth surfaces and round-shaped tubes.</t>
  </si>
  <si>
    <t>$ 206.892,00</t>
  </si>
  <si>
    <t>$ 170.996,00</t>
  </si>
  <si>
    <t>Clamping range of 10 to 51 mm / ø 15 to ø 51 mm. Weight: 0.8 kg, H: 640/1100 mm.</t>
  </si>
  <si>
    <t>23105-300-55</t>
  </si>
  <si>
    <t>Tablet PC holder</t>
  </si>
  <si>
    <t>19791-016-55</t>
  </si>
  <si>
    <r>
      <rPr>
        <rFont val="Calibri, Arial"/>
        <b/>
        <color rgb="FFFF0000"/>
      </rPr>
      <t xml:space="preserve">Nuevo! </t>
    </r>
    <r>
      <rPr>
        <rFont val="Calibri, Arial"/>
        <b/>
        <color rgb="FFFF0000"/>
      </rPr>
      <t>Universal Tablet Holder for different models. The Universal Tablet Holder can be adjusted variably to accommodate different tablet sizes without needing tools and holds the devices securely and effectively for many different situations. Be it on stage, in rehearsal rooms or at home - thanks to the strong clamp element with the ergonomic clamp screw the holder can be attached to any tube up to 30 mm quickly and easily. The individually adjustable support arms can accommodate the use of tablets ranging in height from 222 to 334 mm and width from 128 to 232 mm (for example iPad, iPad Air, iPad Pro, Amazon Fire HDX 8.9, Samsung Galaxy Tab from 9.7, Google Nexus 9, Asus Transformer or Microsoft Surface as well as Surface Pro). The depth of the tablets can vary between 6 and 11 mm. For the first use of the tablet holder the support arms settings are made by adjusting the clamp screws to the size and depth of the tablet. For other uses the tablet can be attached and detached quickly and simply through a snap lock. A handy wing nut allows one to adjust the angle, so that each user will easily be able to find their ideal individual position. The tablet can switch between portrait and landscape positions. The tablet is kept in place, there is no danger of the tablet switching position by itself.</t>
    </r>
  </si>
  <si>
    <t>$ 167.650,00</t>
  </si>
  <si>
    <t>$ 138.558,00</t>
  </si>
  <si>
    <t>Weight: 0.6 kg.</t>
  </si>
  <si>
    <t>19790-516-55</t>
  </si>
  <si>
    <r>
      <rPr>
        <rFont val="Calibri, Arial"/>
        <b/>
        <color rgb="FFFF0000"/>
      </rPr>
      <t xml:space="preserve">Nuevo! </t>
    </r>
    <r>
      <rPr>
        <rFont val="Calibri, Arial"/>
        <b/>
        <color rgb="FFFF0000"/>
      </rPr>
      <t>Give your Tablet devices a safe and secure hold: The Universal Tablet Holder can be adjusted variably to accommodate different tablet sizes without needing tools and holds the devices securely and effectively for many different situations. Be it on stage, in rehearsal rooms or at home - thanks to the 3/8" female thread the holder can be attached to for example any microphone stand quickly and simply. The individually adjustable support arms can accommodate the use of tablets ranging in height from 222 to 334 mm and width from 128 to 232 mm (for example iPad, iPad Air, iPad Pro, Amazon Fire HDX 8.9, Samsung Galaxy Tab from 9.7, Google Nexus 9, Asus Transformer or Microsoft Surface as well as Surface Pro). The depth of the tablets can vary between 6 and 11 mm. For the first use of the tablet holder the support arms settings are made by adjusting the clamp screws to the size and depth of the tablet. For other uses the tablet can be attached and detached quickly and simply through a snap lock. This provides maximum flexibility and mobility. A handy wing nut allows one to adjust the angle, so that each user will easily be able to find their ideal individual position. The tablet can switch between portrait and landscape positions. The tablet is kept in place, there is no danger of the tablet switching position by itself.</t>
    </r>
  </si>
  <si>
    <t>$ 116.074,00</t>
  </si>
  <si>
    <t>$ 95.928,00</t>
  </si>
  <si>
    <t>Weight: 0.265 kg.</t>
  </si>
  <si>
    <t>Thread adapter</t>
  </si>
  <si>
    <t>21500-000-29</t>
  </si>
  <si>
    <r>
      <rPr>
        <rFont val="Calibri, Arial"/>
        <b/>
        <color rgb="FFFF0000"/>
      </rPr>
      <t xml:space="preserve">Nuevo! </t>
    </r>
    <r>
      <rPr>
        <rFont val="Calibri, Arial"/>
        <b val="0"/>
        <color rgb="FF000000"/>
      </rPr>
      <t>1/2"</t>
    </r>
    <r>
      <rPr>
        <rFont val="Calibri, Arial"/>
        <b val="0"/>
        <color rgb="FFFF0000"/>
      </rPr>
      <t xml:space="preserve"> </t>
    </r>
    <r>
      <rPr>
        <rFont val="Calibri, Arial"/>
        <b val="0"/>
        <color rgb="FF000000"/>
      </rPr>
      <t>and 3/8" female thread, 5/8" 27 gauge male thread.</t>
    </r>
  </si>
  <si>
    <t>$ 8.484,00</t>
  </si>
  <si>
    <t>$ 7.000,00</t>
  </si>
  <si>
    <t>Weight: 0,01 kg.</t>
  </si>
  <si>
    <t>21600-000-29</t>
  </si>
  <si>
    <r>
      <rPr>
        <rFont val="Calibri, Arial"/>
        <b/>
        <color rgb="FFFF0000"/>
      </rPr>
      <t>Nuevo!</t>
    </r>
    <r>
      <rPr>
        <rFont val="Calibri, Arial"/>
        <b val="0"/>
        <color rgb="FF000000"/>
      </rPr>
      <t xml:space="preserve"> 5/8" 27 gauge female thread, 3/8" male thread.</t>
    </r>
  </si>
  <si>
    <t>$ 11.144,00</t>
  </si>
  <si>
    <t>$ 9.212,00</t>
  </si>
  <si>
    <t>Weight: 0,022 kg.</t>
  </si>
  <si>
    <t>21700-000-29</t>
  </si>
  <si>
    <r>
      <rPr>
        <rFont val="Calibri, Arial"/>
        <b/>
        <color rgb="FFFF0000"/>
      </rPr>
      <t xml:space="preserve">Nuevo! </t>
    </r>
    <r>
      <rPr>
        <rFont val="Calibri, Arial"/>
        <b val="0"/>
        <color rgb="FF000000"/>
      </rPr>
      <t>3/8" female thread, 5/8" 27 gauge male thread.</t>
    </r>
  </si>
  <si>
    <t>$ 5.810,00</t>
  </si>
  <si>
    <t>$ 4.802,00</t>
  </si>
  <si>
    <t>21800-000-29</t>
  </si>
  <si>
    <r>
      <rPr>
        <rFont val="Calibri, Arial"/>
        <b/>
        <color rgb="FFFF0000"/>
      </rPr>
      <t xml:space="preserve">Nuevo! </t>
    </r>
    <r>
      <rPr>
        <rFont val="Calibri, Arial"/>
        <b val="0"/>
        <color rgb="FF000000"/>
      </rPr>
      <t>1/2" female thread, 3/8" male thread.</t>
    </r>
  </si>
  <si>
    <t>$ 10.668,00</t>
  </si>
  <si>
    <t>$ 8.820,00</t>
  </si>
  <si>
    <t>Weight: 0,03 kg.</t>
  </si>
  <si>
    <t>21900-000-29</t>
  </si>
  <si>
    <r>
      <rPr>
        <rFont val="Calibri, Arial"/>
        <b/>
        <color rgb="FFFF0000"/>
      </rPr>
      <t xml:space="preserve">Nuevo! </t>
    </r>
    <r>
      <rPr>
        <rFont val="Calibri, Arial"/>
        <b val="0"/>
        <color rgb="FF000000"/>
      </rPr>
      <t>3/8" female thread, 1/2" male thread.</t>
    </r>
  </si>
  <si>
    <t>$ 9.786,00</t>
  </si>
  <si>
    <t>$ 8.078,00</t>
  </si>
  <si>
    <t>Weight: 0,036 kg.</t>
  </si>
  <si>
    <t>21770-000-29</t>
  </si>
  <si>
    <r>
      <rPr>
        <rFont val="Calibri, Arial"/>
        <b/>
        <color rgb="FFFF0000"/>
      </rPr>
      <t xml:space="preserve">Nuevo! </t>
    </r>
    <r>
      <rPr>
        <rFont val="Calibri, Arial"/>
        <b val="0"/>
        <color rgb="FF000000"/>
      </rPr>
      <t>Thread adapter made of steel with an ¼" internal thread and an 3/8" external thread.</t>
    </r>
  </si>
  <si>
    <t>21900-208-29</t>
  </si>
  <si>
    <r>
      <rPr>
        <rFont val="Calibri, Arial"/>
        <b/>
        <color rgb="FFFF0000"/>
      </rPr>
      <t xml:space="preserve">Nuevo! </t>
    </r>
    <r>
      <rPr>
        <rFont val="Calibri, Arial"/>
        <b val="0"/>
        <color rgb="FF000000"/>
      </rPr>
      <t>Thread adapter with 16 mm external diameter. 3/8“ female and 1/2“ male thread. Fits the boom arm 21231.</t>
    </r>
  </si>
  <si>
    <t>$ 21.336,00</t>
  </si>
  <si>
    <t>$ 17.640,00</t>
  </si>
  <si>
    <t>Weight: 0.03 kg.</t>
  </si>
  <si>
    <t>21918-000-29</t>
  </si>
  <si>
    <r>
      <rPr>
        <rFont val="Calibri, Arial"/>
        <b/>
        <color rgb="FFFF0000"/>
      </rPr>
      <t xml:space="preserve">Nuevo! </t>
    </r>
    <r>
      <rPr>
        <rFont val="Calibri, Arial"/>
        <b val="0"/>
        <color rgb="FF000000"/>
      </rPr>
      <t>Thread adapter with an external diameter of 18 mm x 30 mm. Female thread of 3/8“. Male thread M8 x 12 mm.</t>
    </r>
  </si>
  <si>
    <t>$ 22.232,00</t>
  </si>
  <si>
    <t>$ 18.368,00</t>
  </si>
  <si>
    <t>21920-000-29</t>
  </si>
  <si>
    <r>
      <rPr>
        <rFont val="Calibri, Arial"/>
        <b/>
        <color rgb="FFFF0000"/>
      </rPr>
      <t xml:space="preserve">Nuevo! </t>
    </r>
    <r>
      <rPr>
        <rFont val="Calibri, Arial"/>
        <b val="0"/>
        <color rgb="FF000000"/>
      </rPr>
      <t>Thread adapter with an external diameter of 18 mm. Female thread 3/8“. Male thread ¼“.</t>
    </r>
  </si>
  <si>
    <t>$ 18.256,00</t>
  </si>
  <si>
    <t>$ 15.092,00</t>
  </si>
  <si>
    <t>21922-000-25</t>
  </si>
  <si>
    <r>
      <rPr>
        <rFont val="Calibri, Arial"/>
        <b/>
        <color rgb="FFFF0000"/>
      </rPr>
      <t xml:space="preserve">Nuevo! </t>
    </r>
    <r>
      <rPr>
        <rFont val="Calibri, Arial"/>
        <b val="0"/>
        <color rgb="FF000000"/>
      </rPr>
      <t>With this useful thread adapter, you can convert any K&amp;M light stand into a camera stand in no time at all. M10 to ¼".</t>
    </r>
  </si>
  <si>
    <t>$ 15.596,00</t>
  </si>
  <si>
    <t>$ 12.880,00</t>
  </si>
  <si>
    <t>Weight: 0.02 kg.</t>
  </si>
  <si>
    <t>21927-000-29</t>
  </si>
  <si>
    <r>
      <rPr>
        <rFont val="Calibri, Arial"/>
        <b/>
        <color rgb="FFFF0000"/>
      </rPr>
      <t xml:space="preserve">Nuevo! </t>
    </r>
    <r>
      <rPr>
        <rFont val="Calibri, Arial"/>
        <b val="0"/>
        <color rgb="FF000000"/>
      </rPr>
      <t>With the thread adapter you can equip a K&amp;M microphone round base like e.g. 26009 with a 3/8" threaded bolt. M20 x 1.25 mm to 3/8.</t>
    </r>
  </si>
  <si>
    <t>$ 14.700,00</t>
  </si>
  <si>
    <t>$ 12.152,00</t>
  </si>
  <si>
    <t>Weight: 0.043 kg.</t>
  </si>
  <si>
    <t>21950-000-25</t>
  </si>
  <si>
    <r>
      <rPr>
        <rFont val="Calibri, Arial"/>
        <b/>
        <color rgb="FFFF0000"/>
      </rPr>
      <t xml:space="preserve">Nuevo! </t>
    </r>
    <r>
      <rPr>
        <rFont val="Calibri, Arial"/>
        <b val="0"/>
        <color rgb="FF000000"/>
      </rPr>
      <t>The reducing thread adapter M20 male threaded bolt fits with a M20 x 1.25 mm female thread. Microphone rods can be connected to base plates.</t>
    </r>
  </si>
  <si>
    <t>Weight: 0.09 kg. Dimensions: ø 25 x 50 mm.</t>
  </si>
  <si>
    <t>21980-000-29</t>
  </si>
  <si>
    <r>
      <rPr>
        <rFont val="Calibri, Arial"/>
        <b/>
        <color rgb="FFFF0000"/>
      </rPr>
      <t xml:space="preserve">Nuevo! </t>
    </r>
    <r>
      <rPr>
        <rFont val="Calibri, Arial"/>
        <b val="0"/>
        <color rgb="FF000000"/>
      </rPr>
      <t>Thread adapter with an external diameter of 20 mm. Female thread 3/8“. Male thread M10 mm. With a width across flats of 17.</t>
    </r>
  </si>
  <si>
    <t>$ 25.788,00</t>
  </si>
  <si>
    <t>$ 21.308,00</t>
  </si>
  <si>
    <t>Weight: 0.04 kg.</t>
  </si>
  <si>
    <t>1974501555/00</t>
  </si>
  <si>
    <t>7214/00</t>
  </si>
  <si>
    <t>Universal clamp</t>
  </si>
  <si>
    <t>23723-300-55</t>
  </si>
  <si>
    <t>The new table clamp with a 3/8“ threaded connector is a true all-rounder. The threaded bolt can be fixed in four different directions using the universal spanner included. The clamp can also be extended using additional or other threaded bolts (¼“, 3/8“, 5/8“). Having a clamping range of 10 to 51 mm the clamp is suitable for a wide spectrum of mounting. The stable metal construction with high quality plastic inserts guarantees a secure and strong hold. The specially shaped clamping parts allow the clamp to be used on smooth surfaces and round-shaped tubes.</t>
  </si>
  <si>
    <t>$ 113.232,00</t>
  </si>
  <si>
    <t>$ 93.576,00</t>
  </si>
  <si>
    <t>Clamping range up to 51 mm. Weight: 0.26 kg.</t>
  </si>
  <si>
    <t>14047-000-55</t>
  </si>
  <si>
    <r>
      <rPr>
        <rFont val="Calibri, Arial"/>
        <b/>
        <color rgb="FFFF0000"/>
      </rPr>
      <t xml:space="preserve">Nuevo! </t>
    </r>
    <r>
      <rPr>
        <rFont val="Calibri, Arial"/>
        <b/>
        <color rgb="FFFF0000"/>
      </rPr>
      <t>The stool with power! The secret lies in the integrated pneumatic spring for effortless and comfortable height adjustment. Simply release the clamping knob and it couldn’t be easier to adjust the height.</t>
    </r>
  </si>
  <si>
    <t>$ 729.652,00</t>
  </si>
  <si>
    <t>$ 603.022,00</t>
  </si>
  <si>
    <t>H: 650 - 930 mm, seat covered with imitation leather, seat size: 380 x 350 mm, weight: 6.6 kg</t>
  </si>
  <si>
    <t>14041-000-00</t>
  </si>
  <si>
    <r>
      <rPr>
        <rFont val="Calibri, Arial"/>
        <b/>
        <color rgb="FFFF0000"/>
      </rPr>
      <t>Nuevo!</t>
    </r>
    <r>
      <rPr>
        <rFont val="Calibri, Arial"/>
        <b/>
        <color rgb="FFFF0000"/>
      </rPr>
      <t xml:space="preserve"> Sturdy carrying case for stools 14044/14045 and 14046/14047.Tearproof nylon material, water-resistant. The case comes with padded handles and an adjustable shoulder strap. Plastic rubber feet protect the bottom of the case. Reinforced outer shell to protect the stands.</t>
    </r>
  </si>
  <si>
    <t>$ 170.730,00</t>
  </si>
  <si>
    <t>$ 141.106,00</t>
  </si>
  <si>
    <t>Dimensions: 930 x 400 x 150 mm, weight: 1,78 kg.</t>
  </si>
  <si>
    <t>»Omega Pro« Ruby Red</t>
  </si>
  <si>
    <t>18820-019-91</t>
  </si>
  <si>
    <r>
      <rPr>
        <rFont val="Calibri, Arial"/>
        <b/>
        <color rgb="FFFF0000"/>
      </rPr>
      <t>Nuevo!</t>
    </r>
    <r>
      <rPr>
        <rFont val="Calibri, Arial"/>
        <b/>
        <color rgb="FFFF0000"/>
      </rPr>
      <t xml:space="preserve"> The compact steel tubing construction and the large round levelling end caps give this attractive keyboard table exceptional stability. The spring-loaded clamping knobs on both columns allow easy and precise height adjustment. The support arms can be individually adjusted to the size of your keyboard. Thanks to the folding legs a compact and flat pack size is achieved, making the »Omega Pro« the perfect mobile "travel companion". The design of this table matches the piano benches 14080, 14081, 14085 and 14086. Optionally available are the attachments 18811 for a second and 18822 for a third level, allowing the use of a second or third keyboard. With the aid of the 18814 adapter, the 18817 universal holder can also be mounted quickly and easily on the keyboard stand. Delivery includes a carrying strap.</t>
    </r>
  </si>
  <si>
    <t>$ 638.064,00</t>
  </si>
  <si>
    <t>$ 527.324,00</t>
  </si>
  <si>
    <t>Load-bearing capacity: 80 kg. Weight: 10.33 kg, H: 600/1020 mm, width: 122/729 mm, Depth 345 mm.</t>
  </si>
  <si>
    <t>18811-000-91</t>
  </si>
  <si>
    <r>
      <rPr>
        <rFont val="Calibri, Arial"/>
        <b/>
        <color rgb="FFFF0000"/>
      </rPr>
      <t>Nuevo!</t>
    </r>
    <r>
      <rPr>
        <rFont val="Calibri, Arial"/>
        <b/>
        <color rgb="FFFF0000"/>
      </rPr>
      <t xml:space="preserve"> The ideal complement to keyboard stands »Omega-E« 18800, »Omega« 18810 and »Omega Pro« 18820 to use a second keyboard or laptop. Bigger master keyboards can be placed on the large lower support arms. The depth of the upper support arms can be adjusted to 4 positions, so the lower keyboard remains visible. The desired height of the stacker can be set easily and quickly using the spring-loaded clamping knob. 10 different heights allow each user to be able to find a position that best suits his/her needs. To optimize the position the upper support arms can be adjusted in 5 steps from 0° (horizontal) to a 20° angle. Self-adhesive rubber pads ensure that the instrument is not damaged and stays in place. The stacker is also the basis for an extension to a third level. By removing the back cover, the stacker 18822 can be inserted to take a third keyboard.</t>
    </r>
  </si>
  <si>
    <t>$ 357.952,00</t>
  </si>
  <si>
    <t>$ 295.834,00</t>
  </si>
  <si>
    <t>Load-bearing capacity: 25 kg. H: 262/375 mm, D: 330 mm, weight: 4.2 kg</t>
  </si>
  <si>
    <t>18822-019-91</t>
  </si>
  <si>
    <r>
      <rPr>
        <rFont val="Calibri, Arial"/>
        <b/>
        <color rgb="FFFF0000"/>
      </rPr>
      <t>Nuevo!</t>
    </r>
    <r>
      <rPr>
        <rFont val="Calibri, Arial"/>
        <b/>
        <color rgb="FFFF0000"/>
      </rPr>
      <t xml:space="preserve"> Stacker for the 3rd level of the keyboard stands »Omega-E« 18800, »Omega« 18810 and »Omega Pro« 18820. The stacker is easily and quickly positioned to the desired height by a spring-loaded clamping knob. In addition, depth and inclination adjust in various positions. This stacker can only be used in conjunction with the 18811 stacker. A rubberised stop provides the necessary safety and prevents the keyboard from slipping.</t>
    </r>
  </si>
  <si>
    <t>$ 341.474,00</t>
  </si>
  <si>
    <t>$ 282.212,00</t>
  </si>
  <si>
    <t>Load-bearing capacity: 15 kg. H: 200/275 mm, D: 280 mm, weight: 2.6 kg.</t>
  </si>
  <si>
    <t>»Omega Pro« White</t>
  </si>
  <si>
    <t>18820-019-76</t>
  </si>
  <si>
    <r>
      <rPr>
        <rFont val="Calibri, Arial"/>
        <b/>
        <color rgb="FFFF0000"/>
      </rPr>
      <t>Nuevo!</t>
    </r>
    <r>
      <rPr>
        <rFont val="Calibri, Arial"/>
        <b/>
        <color rgb="FFFF0000"/>
      </rPr>
      <t xml:space="preserve"> The compact steel tubing construction and the large round levelling end caps give this attractive keyboard table exceptional stability. The spring-loaded clamping knobs on both columns allow easy and precise height adjustment. The support arms can be individually adjusted to the size of your keyboard. Thanks to the folding legs a compact and flat pack size is achieved, making the »Omega Pro« the perfect mobile "travel companion". The design of this table matches the piano benches 14080, 14081, 14085 and 14086. Optionally available are the attachments 18811 for a second and 18822 for a third level, allowing the use of a second or third keyboard. With the aid of the 18814 adapter, the 18817 universal holder can also be mounted quickly and easily on the keyboard stand. Delivery includes a carrying strap.</t>
    </r>
  </si>
  <si>
    <t>18811-000-76</t>
  </si>
  <si>
    <r>
      <rPr>
        <rFont val="Calibri, Arial"/>
        <b/>
        <color rgb="FFFF0000"/>
      </rPr>
      <t xml:space="preserve">Nuevo! </t>
    </r>
    <r>
      <rPr>
        <rFont val="Calibri, Arial"/>
        <b/>
        <color rgb="FFFF0000"/>
      </rPr>
      <t>The ideal complement to keyboard stands »Omega-E« 18800, »Omega« 18810 and »Omega Pro« 18820 to use a second keyboard or laptop. Bigger master keyboards can be placed on the large lower support arms. The depth of the upper support arms can be adjusted to 4 positions, so the lower keyboard remains visible. The desired height of the stacker can be set easily and quickly using the spring-loaded clamping knob. 10 different heights allow each user to be able to find a position that best suits his/her needs. To optimize the position the upper support arms can be adjusted in 5 steps from 0° (horizontal) to a 20° angle. Self-adhesive rubber pads ensure that the instrument is not damaged and stays in place. The stacker is also the basis for an extension to a third level. By removing the back cover, the stacker 18822 can be inserted to take a third keyboard.</t>
    </r>
  </si>
  <si>
    <t>18822-019-76</t>
  </si>
  <si>
    <r>
      <rPr>
        <rFont val="Calibri, Arial"/>
        <b/>
        <color rgb="FFFF0000"/>
      </rPr>
      <t>Nuevo!</t>
    </r>
    <r>
      <rPr>
        <rFont val="Calibri, Arial"/>
        <b/>
        <color rgb="FFFF0000"/>
      </rPr>
      <t xml:space="preserve"> </t>
    </r>
    <r>
      <rPr>
        <rFont val="Calibri, Arial"/>
        <b/>
        <color rgb="FFFF0000"/>
      </rPr>
      <t>Stacker for the 3rd level of the keyboard stands »Omega-E« 18800, »Omega« 18810 and »Omega Pro« 18820. The stacker is easily and quickly positioned to the desired height by a spring-loaded clamping knob. In addition, depth and inclination adjust in various positions. This stacker can only be used in conjunction with the 18811 stacker. A rubberised stop provides the necessary safety and prevents the keyboard from slipping.</t>
    </r>
  </si>
  <si>
    <t>»Omega Pro« Black</t>
  </si>
  <si>
    <t>18820-019-55</t>
  </si>
  <si>
    <r>
      <rPr>
        <rFont val="Calibri, Arial"/>
        <b/>
        <color rgb="FFFF0000"/>
      </rPr>
      <t>Nuevo!</t>
    </r>
    <r>
      <rPr>
        <rFont val="Calibri, Arial"/>
        <b/>
        <color rgb="FFFF0000"/>
      </rPr>
      <t xml:space="preserve"> The compact steel tubing construction and the large round levelling end caps give this attractive keyboard table exceptional stability. The spring-loaded clamping knobs on both columns allow easy and precise height adjustment. The support arms can be individually adjusted to the size of your keyboard. Thanks to the folding legs a compact and flat pack size is achieved, making the »Omega Pro« the perfect mobile "travel companion". The design of this table matches the piano benches 14080, 14081, 14085 and 14086. Optionally available are the attachments 18811 for a second and 18822 for a third level, allowing the use of a second or third keyboard. With the aid of the 18814 adapter, the 18817 universal holder can also be mounted quickly and easily on the keyboard stand. Delivery includes a carrying strap.</t>
    </r>
  </si>
  <si>
    <t>$ 610.498,00</t>
  </si>
  <si>
    <t>$ 504.546,00</t>
  </si>
  <si>
    <t>18811-000-55</t>
  </si>
  <si>
    <r>
      <rPr>
        <rFont val="Calibri, Arial"/>
        <b/>
        <color rgb="FFFF0000"/>
      </rPr>
      <t>Nuevo!</t>
    </r>
    <r>
      <rPr>
        <rFont val="Calibri, Arial"/>
        <b/>
        <color rgb="FFFF0000"/>
      </rPr>
      <t xml:space="preserve"> The ideal complement to keyboard stands »Omega-E« 18800, »Omega« 18810 and »Omega Pro« 18820 to use a second keyboard or laptop. Bigger master keyboards can be placed on the large lower support arms. The depth of the upper support arms can be adjusted to 4 positions, so the lower keyboard remains visible. The desired height of the stacker can be set easily and quickly using the spring-loaded clamping knob. 10 different heights allow each user to be able to find a position that best suits his/her needs. To optimize the position the upper support arms can be adjusted in 5 steps from 0° (horizontal) to a 20° angle. Self-adhesive rubber pads ensure that the instrument is not damaged and stays in place. The stacker is also the basis for an extension to a third level. By removing the back cover, the stacker 18822 can be inserted to take a third keyboard.</t>
    </r>
  </si>
  <si>
    <t>$ 335.720,00</t>
  </si>
  <si>
    <t>$ 277.452,00</t>
  </si>
  <si>
    <t>18822-019-55</t>
  </si>
  <si>
    <r>
      <rPr>
        <rFont val="Calibri, Arial"/>
        <b/>
        <color rgb="FFFF0000"/>
      </rPr>
      <t>Nuevo!</t>
    </r>
    <r>
      <rPr>
        <rFont val="Calibri, Arial"/>
        <b/>
        <color rgb="FFFF0000"/>
      </rPr>
      <t xml:space="preserve"> Stacker for the 3rd level of the keyboard stands »Omega-E« 18800, »Omega« 18810 and »Omega Pro« 18820. The stacker is easily and quickly positioned to the desired height by a spring-loaded clamping knob. In addition, depth and inclination adjust in various positions. This stacker can only be used in conjunction with the 18811 stacker. A rubberised stop provides the necessary safety and prevents the keyboard from slipping.</t>
    </r>
  </si>
  <si>
    <t>$ 320.124,00</t>
  </si>
  <si>
    <t>$ 264.572,00</t>
  </si>
  <si>
    <t>18814-022-55</t>
  </si>
  <si>
    <r>
      <rPr>
        <rFont val="Calibri, Arial"/>
        <b/>
        <color rgb="FFFF0000"/>
      </rPr>
      <t xml:space="preserve">Nuevo! </t>
    </r>
    <r>
      <rPr>
        <rFont val="Calibri, Arial"/>
        <b/>
        <color rgb="FFFF0000"/>
      </rPr>
      <t>With the adapter the table-style keyboard stand »Omega« 18810 can be extended even further. The universal holder 18817 can be quickly and easily mounted onto the stand.</t>
    </r>
  </si>
  <si>
    <t>$ 54.250,00</t>
  </si>
  <si>
    <t>$ 44.828,00</t>
  </si>
  <si>
    <t>Weight: 0.35 kg, L: 240 mm.</t>
  </si>
  <si>
    <t>18817-000-55</t>
  </si>
  <si>
    <r>
      <rPr>
        <rFont val="Calibri, Arial"/>
        <b/>
        <color rgb="FFFF0000"/>
      </rPr>
      <t>Nuevo!</t>
    </r>
    <r>
      <rPr>
        <rFont val="Calibri, Arial"/>
        <b/>
        <color rgb="FFFF0000"/>
      </rPr>
      <t xml:space="preserve"> Useful accessory for the table-style keyboard stands »Omega« 18800, 18810 and 18820, as well as 18950 and 18953. With the correct adapter the universal holder can be mounted to the table-style keyboard stands: 18814 for »Omega«; 18954 for the 18950 and 18953 (this is only required, if an accessory is already mounted to the existing support tubes). The height of the vertical tube can be adjusted individually choosing from 8 positions. The 3/8" i.e. 5/8" threaded connector connects other accessories, such as boom arm, gooseneck, iPad holder, Tablet PC holder etc.</t>
    </r>
  </si>
  <si>
    <t>$ 83.174,00</t>
  </si>
  <si>
    <t>$ 68.740,00</t>
  </si>
  <si>
    <t>H: 470 mm, weight: 0.74 kg.</t>
  </si>
  <si>
    <t>18809-000-55</t>
  </si>
  <si>
    <r>
      <rPr>
        <rFont val="Calibri, Arial"/>
        <b/>
        <color rgb="FFFF0000"/>
      </rPr>
      <t xml:space="preserve">Nuevo! </t>
    </r>
    <r>
      <rPr>
        <rFont val="Calibri, Arial"/>
        <b/>
        <color rgb="FFFF0000"/>
      </rPr>
      <t>Cable clamps (set of 2) made of wear-resistant plastic. Suitable for keyboard stands »Omega« 18810 and »Omega Pro« 18820. The cable duct inside has a size of approx. 30 x 12 mm and a height of 22 mm.</t>
    </r>
  </si>
  <si>
    <t>Weight: 0.03 kg</t>
  </si>
  <si>
    <t>18815-018-55</t>
  </si>
  <si>
    <r>
      <rPr>
        <rFont val="Calibri, Arial"/>
        <b/>
        <color rgb="FFFF0000"/>
      </rPr>
      <t>Nuevo!</t>
    </r>
    <r>
      <rPr>
        <rFont val="Calibri, Arial"/>
        <b/>
        <color rgb="FFFF0000"/>
      </rPr>
      <t xml:space="preserve"> This newly designed holder for the keyboard tables 18810 »Omega«, 18820 »Omega Pro«, 18950 and 18953 provides a good view of your laptop. You won’t find a more versatile laptop holder. The holder is infinitely adjustable in height, distance and direction. The desk angle can also be adjusted. In addition, the holder can be attached to any of the legs of a keyboard stand. The adjustable stop pins mean the laptop connections are always accessible. The support shelf is also suitable for small items of equipment, e.g. an iPad.</t>
    </r>
  </si>
  <si>
    <t>$ 390.852,00</t>
  </si>
  <si>
    <t>$ 323.022,00</t>
  </si>
  <si>
    <t>Shelf: 356 x 238 mm, extendable: from 240 to 400 mm, H: 278 to 428 mm, tilt gradual: 0-26º, weight: 2,2 kg.</t>
  </si>
  <si>
    <t>18807-000-55</t>
  </si>
  <si>
    <r>
      <rPr>
        <rFont val="Calibri, Arial"/>
        <b/>
        <color rgb="FFFF0000"/>
      </rPr>
      <t>Nuevo!</t>
    </r>
    <r>
      <rPr>
        <rFont val="Calibri, Arial"/>
        <b/>
        <color rgb="FFFF0000"/>
      </rPr>
      <t xml:space="preserve"> The practical universal holder opens up new application possibilities for the »Omega« 18810 and 18820 keyboard stands as well as for the 18950 and 18953 table-style keyboard stands. The holder is steplessly adjustable in height and distance and can be mounted individually on any supporting leg of a keyboard stand. As an option K&amp;M offers the sheet music holder 18805, various tablet PC holders and microphone boom arms.</t>
    </r>
  </si>
  <si>
    <t>$ 220.528,00</t>
  </si>
  <si>
    <t>$ 182.266,00</t>
  </si>
  <si>
    <t>H: 268-418 mm, weight: 1.61 kg.</t>
  </si>
  <si>
    <t>Clamps</t>
  </si>
  <si>
    <t>19715-300-55</t>
  </si>
  <si>
    <r>
      <rPr>
        <rFont val="Calibri, Arial"/>
        <b/>
        <color rgb="FFFF0000"/>
      </rPr>
      <t>Nuevo!</t>
    </r>
    <r>
      <rPr>
        <rFont val="Calibri, Arial"/>
        <b/>
        <color rgb="FFFF0000"/>
      </rPr>
      <t xml:space="preserve"> The robust clamping element with the ergonomic clamping screw provides for a quick and easy mount to tubes with a diameter of up to 30 mm. Thanks to the 3/8" screw all K&amp;M iPad holders or Tablet PC holders can be mounted easily. Alternatively, an additional microphone or other accessories (with 3/8" threaded connector) can also be mounted.</t>
    </r>
  </si>
  <si>
    <t>Length: 232 mm, weight: 0.339 kg.</t>
  </si>
  <si>
    <t>21406-000-55</t>
  </si>
  <si>
    <r>
      <rPr>
        <rFont val="Calibri, Arial"/>
        <b/>
        <color rgb="FFFF0000"/>
      </rPr>
      <t xml:space="preserve">Nuevo! </t>
    </r>
    <r>
      <rPr>
        <rFont val="Calibri, Arial"/>
        <b/>
        <color rgb="FFFF0000"/>
      </rPr>
      <t>A pair of cable clamps made of wear-resistant plastic for speaker and lighting stands with tube diameters from ø 35 to 42 mm.</t>
    </r>
  </si>
  <si>
    <t>$ 11.564,00</t>
  </si>
  <si>
    <t>$ 9.548,00</t>
  </si>
  <si>
    <t>Weight: 0.026 kg</t>
  </si>
  <si>
    <t>20150-500-55</t>
  </si>
  <si>
    <r>
      <rPr>
        <rFont val="Calibri, Arial"/>
        <b/>
        <color rgb="FFFF0000"/>
      </rPr>
      <t>Nuevo!</t>
    </r>
    <r>
      <rPr>
        <rFont val="Calibri, Arial"/>
        <b/>
        <color rgb="FFFF0000"/>
      </rPr>
      <t xml:space="preserve"> </t>
    </r>
    <r>
      <rPr>
        <rFont val="Calibri, Arial"/>
        <b/>
        <color rgb="FFFF0000"/>
      </rPr>
      <t>Extra high microphone stand for special recording techniques or antenna positioning. The height ranges from 1190 to 3220 mm and can be steplessly adjusted. Full metal feet with a large footprint of ø 850 mm provide additional stability.</t>
    </r>
  </si>
  <si>
    <t>$ 229.432,00</t>
  </si>
  <si>
    <t>$ 189.602,00</t>
  </si>
  <si>
    <t>H: 1190/3220 mm, weight: 4.97 kg.</t>
  </si>
  <si>
    <t>24350-000-55</t>
  </si>
  <si>
    <r>
      <rPr>
        <rFont val="Calibri, Arial"/>
        <b/>
        <color rgb="FFFF0000"/>
      </rPr>
      <t xml:space="preserve">Nuevo! </t>
    </r>
    <r>
      <rPr>
        <rFont val="Calibri, Arial"/>
        <b/>
        <color rgb="FFFF0000"/>
      </rPr>
      <t>Universal wall mount with 3/8" or 5/8" mounting bolt for microphones and antennas. Thanks to the user-friendly ball joint, the mount can be swiveled 360° and tilted 90°. The mounting plate has a diameter of 70 mm and the wall distance is 205 mm.</t>
    </r>
  </si>
  <si>
    <t>$ 120.526,00</t>
  </si>
  <si>
    <t>$ 99.610,00</t>
  </si>
  <si>
    <t>Weight: 0.475 kg.</t>
  </si>
  <si>
    <t>85070-000-55</t>
  </si>
  <si>
    <r>
      <rPr>
        <rFont val="Calibri, Arial"/>
        <b/>
        <color rgb="FFFF0000"/>
      </rPr>
      <t>Nuevo!</t>
    </r>
    <r>
      <rPr>
        <rFont val="Calibri, Arial"/>
        <b/>
        <color rgb="FFFF0000"/>
      </rPr>
      <t xml:space="preserve"> </t>
    </r>
    <r>
      <rPr>
        <rFont val="Calibri, Arial"/>
        <b/>
        <color rgb="FFFF0000"/>
      </rPr>
      <t>The microphone clip is made from an elastic, high quality plastic material which holds absolutely securely most popular types of microphones with a shaft diameter of 34 – 40 mm. Its unique construction means the microphone can be attached and engaged at the centre so the microphone is quick and easy to mount or remove.</t>
    </r>
  </si>
  <si>
    <t>$ 14.224,00</t>
  </si>
  <si>
    <t>$ 11.760,00</t>
  </si>
  <si>
    <t>3/8" and 5/8", weight: 0,046 kg.</t>
  </si>
  <si>
    <t>20800-509-55</t>
  </si>
  <si>
    <r>
      <rPr>
        <rFont val="Calibri, Arial"/>
        <b/>
        <color rgb="FFFF0000"/>
      </rPr>
      <t>Nuevo!</t>
    </r>
    <r>
      <rPr>
        <rFont val="Calibri, Arial"/>
        <b/>
        <color rgb="FFFF0000"/>
      </rPr>
      <t xml:space="preserve"> This compact overhead microphone stand is now even lighter and more stable. Thanks to a new leg combination and a new clamping element, its weight has been reduced to 3.8 kg. The leg base diameter of 1 m affords stability and safety. A range of different boom arms can be attached using the 3/8" thread adaptor. The stand extends to a height of over 3 m.</t>
    </r>
  </si>
  <si>
    <t>$ 317.464,00</t>
  </si>
  <si>
    <t>$ 262.360,00</t>
  </si>
  <si>
    <t>Weight: 3.8 kg, H: 1290/3010 mm.</t>
  </si>
  <si>
    <t>Wall mount</t>
  </si>
  <si>
    <t>24169-000-55</t>
  </si>
  <si>
    <r>
      <rPr>
        <rFont val="Calibri, Arial"/>
        <b/>
        <color rgb="FFFF0000"/>
      </rPr>
      <t xml:space="preserve">Nuevo! </t>
    </r>
    <r>
      <rPr>
        <rFont val="Calibri, Arial"/>
        <b/>
        <color rgb="FFFF0000"/>
      </rPr>
      <t>Robust wall mount for holding speakers with flange socket up to 25 kg. The swivel range is continuously adjustable up to 120°. The tilt can be fixed in three steps with 0°, -12.5° and -25°. A patented expanding mandrel ensures a wobble- and vibration-free fit of the speaker. The solid steel construction and durable powder coating ensure long-lasting use.</t>
    </r>
  </si>
  <si>
    <t>$ 256.228,00</t>
  </si>
  <si>
    <t>$ 211.750,00</t>
  </si>
  <si>
    <t>Straddling bearing-anchors diameter 35 to 37 mm x 85 mm.Load-bearing capacity: 25 kg. Weight: 2.0 kg.</t>
  </si>
  <si>
    <t>24463-000-57</t>
  </si>
  <si>
    <r>
      <rPr>
        <rFont val="Calibri, Arial"/>
        <b/>
        <color rgb="FFFF0000"/>
      </rPr>
      <t>Nuevo!</t>
    </r>
    <r>
      <rPr>
        <rFont val="Calibri, Arial"/>
        <b/>
        <color rgb="FFFF0000"/>
      </rPr>
      <t xml:space="preserve"> Attractive cover for speaker wall mounts with a wall mounting plate of 160 x 90 mm (e.g. 24471). This cover conceals the fastening parts of the wall mount and thus visually enhances it. The cover can be easily and quickly attached to the installed wall mount and removed again for service work. No tools are required for installation, as the robust cover made of impact-resistant plastic is fastened with magnets. Several cable outlets are provided for concealed cable routing.</t>
    </r>
  </si>
  <si>
    <t>$ 59.696,00</t>
  </si>
  <si>
    <t>$ 49.336,00</t>
  </si>
  <si>
    <t>Dimensions: 95 x 38 x 166 mm, weight: 0.0635 kg.</t>
  </si>
  <si>
    <t>24463-000-55</t>
  </si>
  <si>
    <r>
      <rPr>
        <rFont val="Calibri, Arial"/>
        <b/>
        <color rgb="FFFF0000"/>
      </rPr>
      <t>Nuevo!</t>
    </r>
    <r>
      <rPr>
        <rFont val="Calibri, Arial"/>
        <b/>
        <color rgb="FFFF0000"/>
      </rPr>
      <t xml:space="preserve"> Attractive cover for speaker wall mounts with a wall mounting plate of 160 x 90 mm (e.g. 24471). This cover conceals the fastening parts of the wall mount and thus visually enhances it. The cover can be easily and quickly attached to the installed wall mount and removed again for service work. No tools are required for installation, as the robust cover made of impact-resistant plastic is fastened with magnets. Several cable outlets are provided for concealed cable routing.</t>
    </r>
  </si>
  <si>
    <t>$ 53.480,00</t>
  </si>
  <si>
    <t>$ 44.198,00</t>
  </si>
  <si>
    <t>Light stands</t>
  </si>
  <si>
    <t>21393-070-55</t>
  </si>
  <si>
    <r>
      <rPr>
        <rFont val="Calibri, Arial"/>
        <b/>
        <color rgb="FFFF0000"/>
      </rPr>
      <t>Nuevo!</t>
    </r>
    <r>
      <rPr>
        <rFont val="Calibri, Arial"/>
        <b/>
        <color rgb="FFFF0000"/>
      </rPr>
      <t xml:space="preserve"> Attachable to light and speaker stands with extension tube diameter of 35 mm. With 4 screw fittings for spot lights.</t>
    </r>
  </si>
  <si>
    <t>$ 185.850,00</t>
  </si>
  <si>
    <t>$ 153.594,00</t>
  </si>
  <si>
    <t>Load-bearing capacity: 25 kg. Sturdy rectangular steel, weight: 2.9 kg, D: 1455 x 40 x 20 mm.</t>
  </si>
  <si>
    <t>21390-000-55</t>
  </si>
  <si>
    <r>
      <rPr>
        <rFont val="Calibri, Arial"/>
        <b/>
        <color rgb="FFFF0000"/>
      </rPr>
      <t>Nuevo!</t>
    </r>
    <r>
      <rPr>
        <rFont val="Calibri, Arial"/>
        <b/>
        <color rgb="FFFF0000"/>
      </rPr>
      <t xml:space="preserve"> For light stands. Rectangular steel tubing. Attaches with M10 x 40 mm bolt and washer.</t>
    </r>
  </si>
  <si>
    <t>$ 88.032,00</t>
  </si>
  <si>
    <t>$ 72.758,00</t>
  </si>
  <si>
    <t>Load-bearing capacity: 25 kg. Weight: 2.1 kg, L: 1260 x 40 x 20 mm.</t>
  </si>
  <si>
    <t>21394-000-55</t>
  </si>
  <si>
    <r>
      <rPr>
        <rFont val="Calibri, Arial"/>
        <b/>
        <color rgb="FFFF0000"/>
      </rPr>
      <t xml:space="preserve">Nuevo! </t>
    </r>
    <r>
      <rPr>
        <rFont val="Calibri, Arial"/>
        <b/>
        <color rgb="FFFF0000"/>
      </rPr>
      <t>For crossbars. Includes 4 screw fittings.</t>
    </r>
  </si>
  <si>
    <t>Weight: 0.4 kg.</t>
  </si>
  <si>
    <t>Antenna stand</t>
  </si>
  <si>
    <t>26007-519-55</t>
  </si>
  <si>
    <t>Nuevo! Extra high tube combination for special recording techniques and antenna positions. The variable adjustable height is between 1120 and 3150 mm. Thanks to the included adapter 21950 the tube combination can be used with the round microphone stand bases and the larger loudspeaker stand bases.</t>
  </si>
  <si>
    <t>$ 154.728,00</t>
  </si>
  <si>
    <t>$ 127.876,00</t>
  </si>
  <si>
    <t>26700-000-56</t>
  </si>
  <si>
    <t>Nuevo! Flat round base suitable for all common distance rods and rod combinations using a M20 threaded bolt. The diameter of the round base is 450 mm. Felt strips for floor protection are included. Optional carrying case 26751 is available.</t>
  </si>
  <si>
    <t>$ 221.004,00</t>
  </si>
  <si>
    <t>$ 182.658,00</t>
  </si>
  <si>
    <t>Weight: 6.7 kg.</t>
  </si>
  <si>
    <t>26009-000-56</t>
  </si>
  <si>
    <t>Nuevo! Extra heavy cast iron base with 300 mm diameter. The threaded connector M20 x 1.25 mm fine thread is suitable for all K&amp;M microphone stands with round base. A circumferential rubber ring absorbs the impact sound and reduces unwanted transmission noise. Powder-coated black structure.</t>
  </si>
  <si>
    <t>$ 128.058,00</t>
  </si>
  <si>
    <t>$ 105.826,00</t>
  </si>
  <si>
    <t>Weight: 4.4 kg.</t>
  </si>
  <si>
    <t>26706-000-56</t>
  </si>
  <si>
    <r>
      <rPr>
        <rFont val="Calibri, Arial"/>
        <b/>
        <color rgb="FFFF0000"/>
      </rPr>
      <t>Nuevo!</t>
    </r>
    <r>
      <rPr>
        <rFont val="Calibri, Arial"/>
        <b/>
        <color rgb="FFFF0000"/>
      </rPr>
      <t xml:space="preserve"> </t>
    </r>
    <r>
      <rPr>
        <rFont val="Calibri, Arial"/>
        <b/>
        <color rgb="FFFF0000"/>
      </rPr>
      <t>Heavy and solid base plate for all common distance rods and tube combinations with M20 threaded bolt. Depending on the requirements, there are three options for positioning the distance rods. In addition to the centric and off-center position, the tube combination can also be fixed in the corner. Other useful features are the integrated handle, cable bushing and four sturdy felt-covered feet to prevent scratches and marks on the floor.</t>
    </r>
  </si>
  <si>
    <t>$ 573.566,00</t>
  </si>
  <si>
    <t>$ 474.026,00</t>
  </si>
  <si>
    <t>Dimension: 550 x 550 x 27.3 mm. Weight: 13.3 kg.</t>
  </si>
  <si>
    <t>23560-500-55</t>
  </si>
  <si>
    <r>
      <rPr>
        <rFont val="Calibri, Arial"/>
        <b/>
        <color rgb="FFFF0000"/>
      </rPr>
      <t>Nuevo!</t>
    </r>
    <r>
      <rPr>
        <rFont val="Calibri, Arial"/>
        <b/>
        <color rgb="FFFF0000"/>
      </rPr>
      <t xml:space="preserve"> Extra-long microphone bar (850 mm) for different recording techniques.Stable, vibration-free design. 6 elongated mounting slots including knurled screws for continuous adjustment.</t>
    </r>
  </si>
  <si>
    <t>$ 149.394,00</t>
  </si>
  <si>
    <t>$ 123.466,00</t>
  </si>
  <si>
    <t>Weight: 0.62 kg, L: 850 mm.</t>
  </si>
  <si>
    <t>Misc</t>
  </si>
  <si>
    <t>11505-000-55</t>
  </si>
  <si>
    <r>
      <rPr>
        <rFont val="Calibri, Arial"/>
        <b/>
        <color rgb="FFFF0000"/>
      </rPr>
      <t xml:space="preserve">Nuevo! </t>
    </r>
    <r>
      <rPr>
        <rFont val="Calibri, Arial"/>
        <b/>
        <color rgb="FFFF0000"/>
      </rPr>
      <t>Large foldable sheet music holder with a steel extension arm, to be screwed onto vertical stand tubes. The clamping range for the tubes lies between ø 11 and ø 30 mm. The distance of the sheet music holder to the stand tube can be steplessly adjusted on the extension arm ranging between 185 and 265 mm. The sheet music holder is clamped and aligned by means of a handy wing nut. For transport, it can be folded and retracted to save space.</t>
    </r>
  </si>
  <si>
    <t>$ 145.838,00</t>
  </si>
  <si>
    <t>Weight: 1.1 kg, Dimensions: 485 x 240 mm.</t>
  </si>
  <si>
    <t>14087-000-55</t>
  </si>
  <si>
    <r>
      <rPr>
        <rFont val="Calibri, Arial"/>
        <b/>
        <color rgb="FFFF0000"/>
      </rPr>
      <t>Nuevo!</t>
    </r>
    <r>
      <rPr>
        <rFont val="Calibri, Arial"/>
        <b/>
        <color rgb="FFFF0000"/>
      </rPr>
      <t xml:space="preserve"> The compact steel construction and the large round end caps give this elegant bench a high degree of stability. The high-quality upholstery with the attractive imitation leather cover allows for a pleasant and comfortable music-making. The double-sided spring-loaded clamping knobs provide an easy and precise height adjustment. Thanks to the engraved height scale, every musician can find his or her personal setting easily. The two legs can be folded to a compact package. Thus, the extremely stable bench is also suitable for transport in no time at all. The design of the bench is matched to the keyboard tables 18810/18820.</t>
    </r>
  </si>
  <si>
    <t>$ 721.182,00</t>
  </si>
  <si>
    <t>$ 596.022,00</t>
  </si>
  <si>
    <t>Cushioned seat with an artificial leather cover, 660 x 330 mm. Weight 9.5 kg, height 423/623 mm.</t>
  </si>
  <si>
    <t>18953-017-55</t>
  </si>
  <si>
    <r>
      <rPr>
        <rFont val="Calibri, Arial"/>
        <b/>
        <color rgb="FFFF0000"/>
      </rPr>
      <t>Nuevo!</t>
    </r>
    <r>
      <rPr>
        <rFont val="Calibri, Arial"/>
        <b/>
        <color rgb="FFFF0000"/>
      </rPr>
      <t xml:space="preserve"> The stable and sturdy stage piano stand is great for playing the piano in a seated or standing position. The height can be adjusted between 600 and 1000 mm without the use of tools. The stand is equipped with height adjustable legs with integrated levelling feet for uneven surfaces. The stage piano stand is collapsible for easy and compact transport. There is a wide range of expansion options, such as a stacker for a second keyboard, laptop or universal holder, which round off the complete package.</t>
    </r>
  </si>
  <si>
    <t>$ 588.686,00</t>
  </si>
  <si>
    <t>$ 486.514,00</t>
  </si>
  <si>
    <t>Load-bearing capacity: 80 kg. Weight: 8.5 kg, H: 600/1000 mm, SW: 900 mm, SD: 260 mm.</t>
  </si>
  <si>
    <t>42040-000-55</t>
  </si>
  <si>
    <r>
      <rPr>
        <rFont val="Calibri, Arial"/>
        <b/>
        <color rgb="FFFF0000"/>
      </rPr>
      <t xml:space="preserve">Nuevo! </t>
    </r>
    <r>
      <rPr>
        <rFont val="Calibri, Arial"/>
        <b/>
        <color rgb="FFFF0000"/>
      </rPr>
      <t>Sturdy aluminum construction. Folds flat. Adjustable desk width. Non-skid rubber pads.</t>
    </r>
  </si>
  <si>
    <t>$ 424.648,00</t>
  </si>
  <si>
    <t>$ 350.952,00</t>
  </si>
  <si>
    <t>Load-bearing capacity: 40 kg. Weight: 2,6 kg, H on center: 725 mm, w: 300 - 550 mm, D: 480 mm.</t>
  </si>
  <si>
    <t xml:space="preserve">RTS Matrix Intercom </t>
  </si>
  <si>
    <t>AURICULARES</t>
  </si>
  <si>
    <t>TELEX/RTS</t>
  </si>
  <si>
    <t>PH1</t>
  </si>
  <si>
    <t>Single side headset</t>
  </si>
  <si>
    <t>$ 1.016.988,00</t>
  </si>
  <si>
    <t>$ 840.490,00</t>
  </si>
  <si>
    <t>PH2</t>
  </si>
  <si>
    <t>Double side headset</t>
  </si>
  <si>
    <t>$ 1.222.480,00</t>
  </si>
  <si>
    <t>$ 1.010.310,00</t>
  </si>
  <si>
    <t>PH44</t>
  </si>
  <si>
    <t>$ 902.552,00</t>
  </si>
  <si>
    <t>$ 745.906,00</t>
  </si>
  <si>
    <t>PH88</t>
  </si>
  <si>
    <t>$ 899.948,00</t>
  </si>
  <si>
    <t>$ 743.764,00</t>
  </si>
  <si>
    <t>CES-2</t>
  </si>
  <si>
    <t>Complete kit with RTV-04, CMT-98, ET-4</t>
  </si>
  <si>
    <t>$ 364.140,00</t>
  </si>
  <si>
    <t>$ 300.944,00</t>
  </si>
  <si>
    <t>ACCESORIOS PARA AURICULARES</t>
  </si>
  <si>
    <t>C-8</t>
  </si>
  <si>
    <t>Ear cushion for PH-44/PH-88, leatherette</t>
  </si>
  <si>
    <t>$ 33.810,00</t>
  </si>
  <si>
    <t>$ 27.944,00</t>
  </si>
  <si>
    <t>RTV-04</t>
  </si>
  <si>
    <t>Earphone, 125 ohms</t>
  </si>
  <si>
    <t>$ 124.852,00</t>
  </si>
  <si>
    <t>$ 103.180,00</t>
  </si>
  <si>
    <t>ET-4</t>
  </si>
  <si>
    <t>Acoustic tube, coiled, earcone</t>
  </si>
  <si>
    <t>$ 130.046,00</t>
  </si>
  <si>
    <t>$ 107.478,00</t>
  </si>
  <si>
    <t>BT-3</t>
  </si>
  <si>
    <t>Earcones for ET4, medium size</t>
  </si>
  <si>
    <t>$ 104.034,00</t>
  </si>
  <si>
    <t>$ 85.988,00</t>
  </si>
  <si>
    <t>ET-1</t>
  </si>
  <si>
    <t>Eartip, clear color, metal plug</t>
  </si>
  <si>
    <t>$ 46.816,00</t>
  </si>
  <si>
    <t>$ 38.696,00</t>
  </si>
  <si>
    <t>MATRICES</t>
  </si>
  <si>
    <t>ODIN16NOCORD</t>
  </si>
  <si>
    <t>16 port digital matrix</t>
  </si>
  <si>
    <t>$ 38.650.962,00</t>
  </si>
  <si>
    <t>$ 31.942.946,00</t>
  </si>
  <si>
    <t>ODIN 32</t>
  </si>
  <si>
    <t>32 port digital matrix</t>
  </si>
  <si>
    <t>$ 61.110.658,00</t>
  </si>
  <si>
    <t>$ 50.504.678,00</t>
  </si>
  <si>
    <t>OMS INTERMED</t>
  </si>
  <si>
    <t>Main station Intermed 4ch</t>
  </si>
  <si>
    <t>ACCESORIOS PARA MATRICES</t>
  </si>
  <si>
    <t>RVON-I/O</t>
  </si>
  <si>
    <t>Analog to RVON interface, 8ch</t>
  </si>
  <si>
    <t>$ 25.232.368,00</t>
  </si>
  <si>
    <t>$ 20.853.196,00</t>
  </si>
  <si>
    <t>AP1800</t>
  </si>
  <si>
    <t>Access point, US</t>
  </si>
  <si>
    <t>$ 9.402.638,00</t>
  </si>
  <si>
    <t>$ 7.770.784,00</t>
  </si>
  <si>
    <t>OMI-16</t>
  </si>
  <si>
    <t>OMNEO 16ch front/back card kit installed</t>
  </si>
  <si>
    <t>$ 34.393.114,00</t>
  </si>
  <si>
    <t>$ 28.424.060,00</t>
  </si>
  <si>
    <t>AIO-BC-16-MDR</t>
  </si>
  <si>
    <t>Analog I/O 16ch, MDR back card</t>
  </si>
  <si>
    <t>$ 4.517.954,00</t>
  </si>
  <si>
    <t>$ 3.733.842,00</t>
  </si>
  <si>
    <t>MCIIE-S</t>
  </si>
  <si>
    <t>Master controller card kit, single frame</t>
  </si>
  <si>
    <t>$ 27.544.664,00</t>
  </si>
  <si>
    <t>$ 22.764.182,00</t>
  </si>
  <si>
    <t>MCP1</t>
  </si>
  <si>
    <t>Rack mount kit for 2 units</t>
  </si>
  <si>
    <t>$ 634.648,00</t>
  </si>
  <si>
    <t>$ 524.496,00</t>
  </si>
  <si>
    <t>MCP2</t>
  </si>
  <si>
    <t>Rack mount kit for 1 unit</t>
  </si>
  <si>
    <t>KEYPANELS</t>
  </si>
  <si>
    <t>KP3016</t>
  </si>
  <si>
    <t>Rackpanel,16 keys, color, 5F headset</t>
  </si>
  <si>
    <t>$ 10.097.108,00</t>
  </si>
  <si>
    <t>$ 8.344.714,00</t>
  </si>
  <si>
    <t>KP3016A</t>
  </si>
  <si>
    <t>Rackpanel,16 keys, 5F headset, analog</t>
  </si>
  <si>
    <t>$ 8.260.798,00</t>
  </si>
  <si>
    <t>$ 6.827.100,00</t>
  </si>
  <si>
    <t>KP5032</t>
  </si>
  <si>
    <t>Rackpanel, 32 keys, color, 5F headset</t>
  </si>
  <si>
    <t>$ 19.710.432,00</t>
  </si>
  <si>
    <t>$ 16.289.616,00</t>
  </si>
  <si>
    <t>PAP5032PB</t>
  </si>
  <si>
    <t>IFB program assign panel push button A5F</t>
  </si>
  <si>
    <t>$ 12.882.786,00</t>
  </si>
  <si>
    <t>$ 10.646.930,00</t>
  </si>
  <si>
    <t>MCP90-12</t>
  </si>
  <si>
    <t>Microphone, 30cm (12")</t>
  </si>
  <si>
    <t>$ 1.053.402,00</t>
  </si>
  <si>
    <t>$ 870.590,00</t>
  </si>
  <si>
    <t>BELTPACKS</t>
  </si>
  <si>
    <t>TR1800</t>
  </si>
  <si>
    <t>Beltpack, US</t>
  </si>
  <si>
    <t>$ 7.558.530,00</t>
  </si>
  <si>
    <t>$ 6.246.716,00</t>
  </si>
  <si>
    <t>BP4000</t>
  </si>
  <si>
    <t>Beltpack headset</t>
  </si>
  <si>
    <t>$ 1.461.768,00</t>
  </si>
  <si>
    <t>$ 1.208.074,00</t>
  </si>
  <si>
    <t>BP2002</t>
  </si>
  <si>
    <t>PS4001</t>
  </si>
  <si>
    <t>Power supply, 4ch, US power cable</t>
  </si>
  <si>
    <t>$ 4.905.502,00</t>
  </si>
  <si>
    <t>$ 4.054.134,00</t>
  </si>
  <si>
    <t>RMK-D</t>
  </si>
  <si>
    <t>Audiocom dual rack mount, black</t>
  </si>
  <si>
    <t>$ 429.170,00</t>
  </si>
  <si>
    <t>$ 354.676,00</t>
  </si>
  <si>
    <t>RMK-S</t>
  </si>
  <si>
    <t>Audiocom single rack mount, grey</t>
  </si>
  <si>
    <t>BPA-3</t>
  </si>
  <si>
    <t>Antenna, flex, 556-635.9MHz, yellow</t>
  </si>
  <si>
    <t>$ 195.076,00</t>
  </si>
  <si>
    <t>$ 161.224,00</t>
  </si>
  <si>
    <t>BPA-4</t>
  </si>
  <si>
    <t>Antenna, flex, 636-725.9MHz, green</t>
  </si>
  <si>
    <t>INTERFACES TELEFONICAS</t>
  </si>
  <si>
    <t>TIF-PRO2 SIP</t>
  </si>
  <si>
    <t>SIP Interface 2 Channels</t>
  </si>
  <si>
    <t>$ 11.082.890,00</t>
  </si>
  <si>
    <t>$ 9.159.416,00</t>
  </si>
  <si>
    <t>TIF-2000A</t>
  </si>
  <si>
    <t>Telephone interface, single line</t>
  </si>
  <si>
    <t>$ 8.172.360,00</t>
  </si>
  <si>
    <t>$ 6.754.020,00</t>
  </si>
  <si>
    <t>Potencias y Amplificadores</t>
  </si>
  <si>
    <t>Comercial</t>
  </si>
  <si>
    <t>CROWN</t>
  </si>
  <si>
    <t>G135MAE60</t>
  </si>
  <si>
    <t>135MA AMP 220/230/240V *PKG*</t>
  </si>
  <si>
    <t>$ 774.620,00</t>
  </si>
  <si>
    <t>$ 640.178,00</t>
  </si>
  <si>
    <t>Serie XLI</t>
  </si>
  <si>
    <t>XLI800</t>
  </si>
  <si>
    <t>2 canales de 300W cada uno @ 4Ω Power Amplifier</t>
  </si>
  <si>
    <t>$ 865.900,00</t>
  </si>
  <si>
    <t>$ 715.624,00</t>
  </si>
  <si>
    <t>XLI1500</t>
  </si>
  <si>
    <t>2 canales de 450W cada uno @ 4Ω Power Amplifier</t>
  </si>
  <si>
    <t>$ 1.042.552,00</t>
  </si>
  <si>
    <t>$ 861.616,00</t>
  </si>
  <si>
    <t>XLI2500</t>
  </si>
  <si>
    <t>2 canales de 750W cada uno @ 4Ω Power Amplifier</t>
  </si>
  <si>
    <t>$ 1.590.554,00</t>
  </si>
  <si>
    <t>$ 1.314.516,00</t>
  </si>
  <si>
    <t>XLI3500</t>
  </si>
  <si>
    <t>2 canales de 1000W cada uno @ 4Ω Power Amplifier</t>
  </si>
  <si>
    <t>$ 2.886.058,00</t>
  </si>
  <si>
    <t>$ 2.385.180,00</t>
  </si>
  <si>
    <t>Serie XLS</t>
  </si>
  <si>
    <t>XLS1002</t>
  </si>
  <si>
    <t>2 canales de 350W cada uno @ 4Ω Power Amplifier</t>
  </si>
  <si>
    <t>$ 1.167.264,00</t>
  </si>
  <si>
    <t>$ 964.684,00</t>
  </si>
  <si>
    <t>XLS1502</t>
  </si>
  <si>
    <t>2 canales de 525W cada uno @ 4Ω Power Amplifier</t>
  </si>
  <si>
    <t>$ 1.412.880,00</t>
  </si>
  <si>
    <t>$ 1.167.670,00</t>
  </si>
  <si>
    <t>XLS2002</t>
  </si>
  <si>
    <t>2 canales de 650W cada uno @ 4Ω Power Amplifier</t>
  </si>
  <si>
    <t>$ 1.882.846,00</t>
  </si>
  <si>
    <t>$ 1.556.072,00</t>
  </si>
  <si>
    <t>XLS2502</t>
  </si>
  <si>
    <t>2 canales de 775W cada uno @ 4Ω Power Amplifier</t>
  </si>
  <si>
    <t>$ 2.144.982,00</t>
  </si>
  <si>
    <t>$ 1.772.708,00</t>
  </si>
  <si>
    <t>Serie XLT</t>
  </si>
  <si>
    <t>XTI4002-U</t>
  </si>
  <si>
    <t>2 canales de 1200W cada uno @ 4Ω Power Amplifier</t>
  </si>
  <si>
    <t>$ 4.045.664,00</t>
  </si>
  <si>
    <t>$ 3.343.522,00</t>
  </si>
  <si>
    <t>Serie CT</t>
  </si>
  <si>
    <t>CT 875A</t>
  </si>
  <si>
    <t>Eight-channel, 75W @ 4Ω Power Amplifier</t>
  </si>
  <si>
    <t>$ 3.720.780,00</t>
  </si>
  <si>
    <t>$ 3.075.016,00</t>
  </si>
  <si>
    <t>CT 4150A</t>
  </si>
  <si>
    <t>Four-channel, 125W @ 4Ω Power Amplifier</t>
  </si>
  <si>
    <t>$ 2.670.892,00</t>
  </si>
  <si>
    <t>$ 2.207.352,00</t>
  </si>
  <si>
    <t>CT 8150A</t>
  </si>
  <si>
    <t>Eight-channel, 125W @ 4Ω Power Amplifier</t>
  </si>
  <si>
    <t>$ 5.315.408,00</t>
  </si>
  <si>
    <t>$ 4.392.906,00</t>
  </si>
  <si>
    <t>Serie CDI</t>
  </si>
  <si>
    <t>CDI2X300</t>
  </si>
  <si>
    <t>2 canales de 300W cada uno.</t>
  </si>
  <si>
    <t>$ 3.142.006,00</t>
  </si>
  <si>
    <t>$ 2.596.706,00</t>
  </si>
  <si>
    <t>CDI4X300</t>
  </si>
  <si>
    <t>4 canales de 300W cada uno.</t>
  </si>
  <si>
    <t>$ 4.365.396,00</t>
  </si>
  <si>
    <t>$ 3.607.772,00</t>
  </si>
  <si>
    <t>CDI4X600</t>
  </si>
  <si>
    <t>4 canales de 600W cada uno.</t>
  </si>
  <si>
    <t>$ 6.057.044,00</t>
  </si>
  <si>
    <t>$ 5.005.826,00</t>
  </si>
  <si>
    <t>Serie DCI</t>
  </si>
  <si>
    <t>DCI2X300</t>
  </si>
  <si>
    <t>2 canales de 300W cada uno @ 4Ω, 70V/100V Analog Power Amplifier</t>
  </si>
  <si>
    <t>$ 3.492.328,00</t>
  </si>
  <si>
    <t>$ 2.886.212,00</t>
  </si>
  <si>
    <t>DCI4X300</t>
  </si>
  <si>
    <t>4 canales de 300W cada uno @ 4Ω, 70V/100V Analog Power Amplifier</t>
  </si>
  <si>
    <t>$ 5.712.742,00</t>
  </si>
  <si>
    <t>$ 4.721.276,00</t>
  </si>
  <si>
    <t>Serie VMA</t>
  </si>
  <si>
    <t>JBL</t>
  </si>
  <si>
    <t>VMA160</t>
  </si>
  <si>
    <t>1 canal de 60W @ 4Ω Power Amplifier,Salida 70V o 100V. 5 canales de entrada. Bluetooth</t>
  </si>
  <si>
    <t>$ 1.107.358,00</t>
  </si>
  <si>
    <t>$ 915.166,00</t>
  </si>
  <si>
    <t>VMA1120</t>
  </si>
  <si>
    <t>1 canales de 120W cada uno @ 4Ω Power Amplifier,Salida 70V o 100V. 5 canales de entrada. Bluetooth</t>
  </si>
  <si>
    <t>$ 1.417.304,00</t>
  </si>
  <si>
    <t>$ 1.171.324,00</t>
  </si>
  <si>
    <t>VMA1240</t>
  </si>
  <si>
    <t>1 canal de 240W @ 4Ω Power Amplifier,Salida 70V o 100V. 8 canales de entrada. Bluetooth</t>
  </si>
  <si>
    <t>$ 1.724.338,00</t>
  </si>
  <si>
    <t>$ 1.425.074,00</t>
  </si>
  <si>
    <t>VMA260</t>
  </si>
  <si>
    <t>2 canal de 60W @ 4Ω Power Amplifier,Salida 70V o 100V. 8 canales de entrada. Bluetooth</t>
  </si>
  <si>
    <t>$ 1.555.106,00</t>
  </si>
  <si>
    <t>$ 1.285.214,00</t>
  </si>
  <si>
    <t>VMA2120</t>
  </si>
  <si>
    <t>2 canal de 120W @ 4Ω Power Amplifier,Salida 70V o 100V. 8 canales de entrada. Bluetooth</t>
  </si>
  <si>
    <t>$ 1.859.032,00</t>
  </si>
  <si>
    <t>$ 1.536.388,00</t>
  </si>
  <si>
    <t>Serie CSMA</t>
  </si>
  <si>
    <t>CSMA240</t>
  </si>
  <si>
    <t>Amplificador de 8 entradas de linea o para microfono por 2 salidas de 40 Watts. Salidas de potencia y tambien para 70V o 100V. Control de bajos y agudos. Compatibilidad para manejarlo remotamente con JBL CSR-V y cable ethernet.</t>
  </si>
  <si>
    <t>$ 1.901.032,00</t>
  </si>
  <si>
    <t>$ 1.571.108,00</t>
  </si>
  <si>
    <t>CSMA280</t>
  </si>
  <si>
    <t>Amplificador de 8 entradas de linea o para microfono por 2 salidas de 80 Watts. Salidas de potencia y tambien para 70V o 100V. Control de bajos y agudos. Compatibilidad para manejarlo remotamente con JBL CSR-V y cable ethernet.</t>
  </si>
  <si>
    <t>$ 2.376.234,00</t>
  </si>
  <si>
    <t>$ 1.963.836,00</t>
  </si>
  <si>
    <t>CSR-V-BLK</t>
  </si>
  <si>
    <t>JBL, Wall controller with vol control. Compatible con VMA y CSMA</t>
  </si>
  <si>
    <t>$ 196.154,00</t>
  </si>
  <si>
    <t>$ 162.106,00</t>
  </si>
  <si>
    <t>Serie CSA</t>
  </si>
  <si>
    <t>NCSA 140Z</t>
  </si>
  <si>
    <t>1 x 40W DriveCore Amplifier, Fanless, 4ohm/8ohm/70V/100V, 1U Half-Rack, Mounting kit</t>
  </si>
  <si>
    <t>$ 819.784,00</t>
  </si>
  <si>
    <t>$ 677.502,00</t>
  </si>
  <si>
    <t>NCSA 180Z</t>
  </si>
  <si>
    <t>1 x 80W DriveCore Amplifier, Fanless, 4ohm/8ohm/70V/100V, 1U Half-Rack, Mounting kit</t>
  </si>
  <si>
    <t>$ 1.443.876,00</t>
  </si>
  <si>
    <t>$ 1.193.276,00</t>
  </si>
  <si>
    <t>J104SET-BT</t>
  </si>
  <si>
    <t>Monitores Estudio JBL J104SET Bluetooth (Activo + Pasivo). Están perfectamente escalados para su uso en el escritorio, garantizando la potencia y el rendimiento de un amplificador integrado de 60W clase D, distribuido uniformemente en ambso monitores</t>
  </si>
  <si>
    <t>$ 596.890,00</t>
  </si>
  <si>
    <t>$ 493.304,00</t>
  </si>
  <si>
    <t>305P MKII</t>
  </si>
  <si>
    <t>Monitor activo woofer 5" y soft domo tweeter de 1", potencia 41W, por unidad.</t>
  </si>
  <si>
    <t>$ 536.998,00</t>
  </si>
  <si>
    <t>$ 443.800,00</t>
  </si>
  <si>
    <t>306P MKII</t>
  </si>
  <si>
    <t>Monitor activo woofer 6,5" y soft domo tweeter de 1", potencia 56W (LF)+56 W (HF), por unidad.</t>
  </si>
  <si>
    <t>$ 717.136,00</t>
  </si>
  <si>
    <t>$ 592.676,00</t>
  </si>
  <si>
    <t>LSR308</t>
  </si>
  <si>
    <t>Monitor activo woofer 8" y soft domo tweeter de 1", potencia 56W, por unidad.</t>
  </si>
  <si>
    <t>$ 891.702,00</t>
  </si>
  <si>
    <t>$ 736.946,00</t>
  </si>
  <si>
    <t>LSR310S</t>
  </si>
  <si>
    <t>Subwoofer linea LSR, 10", activo</t>
  </si>
  <si>
    <t>$ 1.381.114,00</t>
  </si>
  <si>
    <t>$ 1.141.420,00</t>
  </si>
  <si>
    <t>LSR708i</t>
  </si>
  <si>
    <t>Monitor pasivo woofer 8" , por unidad.</t>
  </si>
  <si>
    <t>$ 4.785.158,00</t>
  </si>
  <si>
    <t>$ 3.954.678,00</t>
  </si>
  <si>
    <t>Parlantes de instalación</t>
  </si>
  <si>
    <t>Linea CONTROL</t>
  </si>
  <si>
    <t>CONTROL1PRO (PAR)</t>
  </si>
  <si>
    <t>Compact Size Two-Way, 5.25" Low Frequency, .75" Polycarbonate Dome Tweeter, Molded Enclosure, Shielded Magnet, Black. Priced as Each. Packaged and sold in pairs.</t>
  </si>
  <si>
    <t>$ 474.852,00</t>
  </si>
  <si>
    <t>$ 392.448,00</t>
  </si>
  <si>
    <t>CONTROL2PST (PAR)</t>
  </si>
  <si>
    <t>One Control 2P Powered Master speaker, (without passive extension speaker) and power supply.</t>
  </si>
  <si>
    <t>$ 772.478,00</t>
  </si>
  <si>
    <t>$ 638.414,00</t>
  </si>
  <si>
    <t>CONTROL5 (PAR)</t>
  </si>
  <si>
    <t>Compact Size Two-Way, 6.5" Low Frequency, 1" Pure Titanium Dome Tweeter, Molded Enclosure, Shielded Magnet, Black, Priced as Each. Master Pack Quantity: 2 Pieces.</t>
  </si>
  <si>
    <t>$ 1.288.672,00</t>
  </si>
  <si>
    <t>$ 1.065.008,00</t>
  </si>
  <si>
    <t>CONTROL 25-1</t>
  </si>
  <si>
    <t>Control 25-1 in Black. Professional 5.25" 2-way Ultra-Compact Indoor/Outdoor Background/Foreground Speaker with Rich Sonic Character and Contemporary High-Design look that fits into a wide range of decors, 5.25" (135mm) woven-fiberglass cone LF and 0.75" (19mm) PEI diaphragm Tweeter, 100W Cont. Pink Noise (400W Peak) Power Capacity (2hr), 60Hz - 20kHz Frequency Range, 90dB Sensitivity, 30W 70V/100V multi-tap Transformer with 8Ω direct, Wide 100° x 100° coverage, Built-in InvisiBall® Mounting Hardware, Black (RAL9004) (Priced as each; sold in pairs)</t>
  </si>
  <si>
    <t>$ 576.184,00</t>
  </si>
  <si>
    <t>$ 476.182,00</t>
  </si>
  <si>
    <t>CONTROL 28-1</t>
  </si>
  <si>
    <t>Control 28-1 in Black. Professional 8" 2-Way High-Output Indoor/Outdoor Background/Foreground Speaker with Rich Sonic Character and Contemporary High-Design look that fits into a wide range of decors, 8" (200mm) woven-fiberglass cone LF and 1" (25mm) PEI diaphragm Tweeter, 120W Cont. Pink Noise (480W Peak) Power Capacity (2hr), 45Hz - 20kHz Frequency Range, 91dB Sensitivity, 60W 70V/100V multi-tap Transformer with 8Ω direct, Wide 100° x 100° coverage, Built-in InvisiBall® Mounting Hardware, Black (RAL9004) (Priced as each; sold in pairs)</t>
  </si>
  <si>
    <t>$ 930.650,00</t>
  </si>
  <si>
    <t>$ 769.132,00</t>
  </si>
  <si>
    <t>CONTROL HST</t>
  </si>
  <si>
    <t>Control HST in Black. On-Wall speaker with Hemispherical Soundfield Technology™ that provides Extremely Wide Horizontal Coverage of almost 180°, 5.25" CMMD Woofer and two splayed 0.75" Fluid-cooled Tweeters, 100W Cont. Pink Noise (400W Peak) Power Capacity (2hr), 50Hz - 20kHz Frequency Range, 88dB Sensitivity, 60W 70V/100V multi-tap Transformer with 8Ω direct, 180° H x 160° V Coverage, IP-54 Rated, Includes U-Bracket, Black (RAL9004) (Priced and Sold in Pairs)</t>
  </si>
  <si>
    <t>$ 980.952,00</t>
  </si>
  <si>
    <t>$ 810.712,00</t>
  </si>
  <si>
    <t>CONTROL HST WH</t>
  </si>
  <si>
    <t>Control HST in White. On-Wall speaker with Hemispherical Soundfield Technology™ that provides Extremely Wide Horizontal Coverage of almost 180°, 5.25" CMMD Woofer and two splayed 0.75" Fluid-cooled Tweeters, 100W Cont. Pink Noise (400W Peak) Power Capacity (2hr), 50Hz - 20kHz Frequency Range, 88dB Sensitivity, 60W 70V/100V multi-tap Transformer with 8Ω direct, 180° H x 160° V Coverage, IP-54 Rated, Includes U-Bracket, White (RAL9016) (Priced and Sold in Pairs)</t>
  </si>
  <si>
    <t>CONTROL CRV</t>
  </si>
  <si>
    <t>Control CRV in Black. Versatile High Design Indoor/Outdoor Loudspeaker with Unique, Contemporary, Curved-Design and Versatile mounting configurations, Dual 4" (100mm) PolyPlas,™ shielded Woofer and 0.75" (19mm) Titanium-laminate Dome Tweeter, 75W Cont. Pink Noise (150W Program) Power Capacity (2hr), 80Hz - 20kHz Frequency Range, 89dB Sensitivity, 30W 70V/100V multi-tap Transformer with 4Ω direct, 105° H x 80° V Coverage, Outdoor rated to IP-34, Includes Corner/Wall-mount Bracket (Priced and sold as Each) International Masterpack is 4Pcs</t>
  </si>
  <si>
    <t>CONTROL CRV WH</t>
  </si>
  <si>
    <t>Control CRV in White. Versatile High Design Indoor/Outdoor Loudspeaker with Unique, Contemporary, Curved-Design and Versatile mounting configurations, Dual 4" (100mm) PolyPlas,™ shielded Woofer and 0.75" (19mm) Titanium-laminate Dome Tweeter, 75W Cont. Pink Noise (150W Program) Power Capacity (2hr), 80Hz - 20kHz Frequency Range, 89dB Sensitivity, 30W 70V/100V multi-tap Transformer with 4Ω direct, 105° H x 80° V Coverage, Outdoor rated to IP-34, Includes Corner/Wall-mount Bracket (Priced and sold as Each) International Masterpack is 4Pcs</t>
  </si>
  <si>
    <t>Linea CSS</t>
  </si>
  <si>
    <t>CSS-H15</t>
  </si>
  <si>
    <t>CSS-H15 - 15 Watt Paging Horn with Excellent voice range clarity for announcement and paging, 1.3" (33mm) Phenolic Diaphragm, 15W Cont. Pink Noise (60W Peak) Power Capacity (100hr), 400Hz - 7.5kHz Frequency Range, 15W 70V/100V multi-tap Transformer with 8Ω direct, 70° Horizontal by 90° Vertical Coverage, IP-65 Rated, Built-in high-pass filter for Reliability, Includes Stainless steel Wall-Mounting Bracket, White (RAL9016) (priced and sold as each) International Masterpack is 6Pcs</t>
  </si>
  <si>
    <t>$ 291.074,00</t>
  </si>
  <si>
    <t>CSS-H30</t>
  </si>
  <si>
    <t>CSS-H30 - 30 Watt Paging Horn with Excellent voice range clarity for announcement and paging, 1.5" (38mm) Phenolic Diaphragm, 30W Cont. Pink Noise (120W Peak) Power Capacity (100hr), 380Hz - 6kHz Frequency Range, 30W 70V/100V multi-tap Transformer with 8Ω direct, 50° Horizontal by 70° Vertical Coverage, IP-65 Rated, Built-in high-pass filter for Reliability, Includes Stainless steel Wall-Mounting Bracket, (priced and sold as each) White (RAL9016) International Masterpack is 4Pcs</t>
  </si>
  <si>
    <t>$ 398.314,00</t>
  </si>
  <si>
    <t>$ 329.182,00</t>
  </si>
  <si>
    <t>Linea CBT - Columnas</t>
  </si>
  <si>
    <t>CBT50LA-1</t>
  </si>
  <si>
    <t>CBT 50LA-1 in Black. 20.8" (53cm) tall Constant Beamwidth Technology™ Line Array Column Loudspeaker offering constant directivity, Eight 2" (50mm) Drivers, 150W Cont. Pink Noise (600W Peak) Power Capacity (2hr), 80Hz - 20kHz Frequency Range, 60W 70V/100V multi-tap Transformer with 8Ω direct, 20° Vertical x 150° Horizontal Coverage, Dynamic SonicGuard™ overload protection, Selectable Speech/Music Mode, Swivel (pan)/tilt wall bracket included (Priced &amp; sold as each)</t>
  </si>
  <si>
    <t>$ 1.492.092,00</t>
  </si>
  <si>
    <t>$ 1.233.134,00</t>
  </si>
  <si>
    <t>CBT50LA-1-WH</t>
  </si>
  <si>
    <t>CBT70J-1</t>
  </si>
  <si>
    <t>CBT 70J-1 in Black. 27.6" (70cm) Tall Constant Beamwidth Technology™ J-Shaped 2-way Line Array with Asymmetrical vertical coverage that sends more sound toward far area of room, Sixteen 1”(25mm) soft dome Tweeters and Four 5”(130mm) High-Power LF Drivers arranged coaxially, 500W Cont. Pink Noise (2000W Peak) Power Capacity (2hr), 60Hz - 20kHz Frequency Range, Selectable Narrow (25°) or Broad (45°) Vertical x 150° Horizontal coverage, Dynamic SonicGuard™ overload protection, Selectable Speech/Music Mode, Nominal Impedance 8Ω, Aluminum Grille, Swivel (pan)/tilt wall bracket included (Priced &amp; sold as each)</t>
  </si>
  <si>
    <t>$ 3.831.226,00</t>
  </si>
  <si>
    <t>$ 3.166.296,00</t>
  </si>
  <si>
    <t>CBT70JE-1</t>
  </si>
  <si>
    <t>CBT 70JE-1 in Black. Purpose-Designed Extension for CBT 70J-1 Line Array Column Speaker providing extended bass response, extended pattern control, and increased sound output levels, Four 5”(130mm) High-Power LF Drivers and Built-in crossover network (requires same full-range input as to 70J), 500W Cont. Pink Noise (2000W Peak) Power Capacity (2hr), 45Hz - 700Hz Frequency Range, Nominal Impedance 8Ω, Aluminum Grille, Includes Coupler Plate which joins the CBT70J-1 and 70JE-1 end-to-end, CBT 70J-1 + 70JE-1 Sysytem to be driven in parallel (Priced &amp; sold as each)</t>
  </si>
  <si>
    <t>$ 2.171.638,00</t>
  </si>
  <si>
    <t>$ 1.794.744,00</t>
  </si>
  <si>
    <t>LandScape - Exterior</t>
  </si>
  <si>
    <t>CONTROL85M</t>
  </si>
  <si>
    <t>Control 85M - 2-Way Coaxial Mushroom Landscape Speaker with Tough polyethylene highly weather resistant enclosure, 5.25" (135mm) polypropylene cone woofer and 0.75" (19mm) weather-resistant tweeter, 80W Cont. Pink Noise (320W Peak) Power Handling (2hr), 55Hz - 18kHz Frequency Range, 30W 70V/100V multi-tap Transformer with 8Ω direct, IP-56 rated, Hunter Green (RAL6018) (Priced &amp; sold as each)</t>
  </si>
  <si>
    <t>$ 738.724,00</t>
  </si>
  <si>
    <t>$ 610.512,00</t>
  </si>
  <si>
    <t>CONTROL88M</t>
  </si>
  <si>
    <t>Control 88M - 2-Way Coaxial Mushroom Landscape Speaker with Tough polyethylene highly weather resistant enclosure, 8" (200mm) polypropylene cone woofer and 1" (25mm) weather-resistant tweeter, 120W Cont. Pink Noise (480W Peak) Power Handling (2hr), 47Hz - 16kHz Frequency Range, 60W 70V/100V multi-tap Transformer with 8Ω direct, IP-56 rated, Hunter Green (RAL6018) (Priced &amp; sold as each)</t>
  </si>
  <si>
    <t>$ 1.108.030,00</t>
  </si>
  <si>
    <t>$ 915.726,00</t>
  </si>
  <si>
    <t>CONTROL89MS</t>
  </si>
  <si>
    <t>Control 89MS - Mushroom-Style Above-ground Landscape Subwoofer with Tough polyethylene highly weather resistant enclosure, 8" (200mm) polypropylene cone woofer with TPV surround, 150W Cont. Pink Noise (600W Peak) Power Handling (2hr), 40Hz - 150Hz Frequency Range, 80W 70V/100V multi-tap Transformer with 8Ω direct, IP-56 rated, Hunter Green (RAL6018) (Priced &amp; sold as each)</t>
  </si>
  <si>
    <t>$ 974.022,00</t>
  </si>
  <si>
    <t>$ 804.972,00</t>
  </si>
  <si>
    <t>Linea GSB - Sub Exterior</t>
  </si>
  <si>
    <t>GSB8-GN</t>
  </si>
  <si>
    <t>In-ground Landscape subwoofer, 8" (209mm) polypropylene cone woofer, 35Hz - 130Hz Frequency Range, 250W (1000W peak) Cont. Pink Noise Power Handling (2hr), 100W multi-tap transformer with 6Ω direct, IP-66 rated, Hunter Green (RAL6028) (Priced and sold as each)</t>
  </si>
  <si>
    <t>$ 1.209.222,00</t>
  </si>
  <si>
    <t>$ 999.348,00</t>
  </si>
  <si>
    <t>GSB12-GN</t>
  </si>
  <si>
    <t>In-ground Landscape subwoofer, 12" (305mm) polypropylene cone woofer, 30Hz - 120Hz Frequency Range, 450W (1800W peak) Cont. Pink Noise Power Handling (2hr), 200W multi-tap  transformer with 6Ω direct, IP-66 rated, Hunter Green (RAL6028) (Priced and sold as each)</t>
  </si>
  <si>
    <t>$ 1.890.224,00</t>
  </si>
  <si>
    <t>$ 1.562.162,00</t>
  </si>
  <si>
    <t>Linea GSF</t>
  </si>
  <si>
    <t>GSF3-GN</t>
  </si>
  <si>
    <t>Compact aimable coax Landscape Speaker, 3" (83mm) polypropylene cone woofer &amp; 0.8" (20mm) tweeter, 74Hz - 20kHz Frequency Range, 30W (120W peak) Cont. Pink Noise Power Handling (2hr) at 8Ω, 15W multi-tap transformer, IP-66 rated, Hunter Green (RAL6028) (Priced as each; Sold in pairs)</t>
  </si>
  <si>
    <t>$ 504.210,00</t>
  </si>
  <si>
    <t>$ 416.696,00</t>
  </si>
  <si>
    <t>GSF6-GN</t>
  </si>
  <si>
    <t xml:space="preserve">Compact aimable coax Landscape Speaker, 6.5" (165mm) polypropylene cone woofer &amp; 1" (25mm) tweeter, 65Hz - 20kHz Frequency Range, 50W (200W peak) Cont. Pink Noise Power Handling (2hr) at 8Ω, 30W multi-tap transformer, IP-66 rated,  Hunter Green (RAL6028) (Priced as each; Sold in pairs)
</t>
  </si>
  <si>
    <t>$ 683.186,00</t>
  </si>
  <si>
    <t>$ 564.620,00</t>
  </si>
  <si>
    <t>Parlantes de techo:</t>
  </si>
  <si>
    <t>CONTROL24C-M</t>
  </si>
  <si>
    <t>Control 24C Micro - Professional 2-way Ceiling Low-Z Speaker for Background Music with Extremely wide 150° coverage, 4.5" (115mm) IMG woofer and 0.5" (12mm) polycarbonate tweeter, 15W Cont. Pink Noise Power Capacity (100hr), 85Hz - 25kHz Frequency Range, Nominal Impedance 7.1Ω, 86dB Sensitivity, Shallow 4.1" (105mm) Depth, Complete Package Includes Backcan, Grille and Tile Rails, (Priced as each: sold in pairs) International Master Pack is 8 Pcs</t>
  </si>
  <si>
    <t>$ 256.592,00</t>
  </si>
  <si>
    <t>$ 212.058,00</t>
  </si>
  <si>
    <t>CONTROL24C-T</t>
  </si>
  <si>
    <t>Control 24CT - Control 24C with preattached 30W 70V/100V multi-tap Transformer, Professional 2-way Coaxial Ceiling Speaker for Background/Foreground with High power, wide frequency response and low distortion, 4" (100mm)  polypropelene-coated woofer and 0.75" (19mm) titanium coated tweeter, 40W Cont. Pink Noise Power Capacity (100hr), 80Hz - 20kHz Frequency Range, 86dB Sensitivity, 130° conical coverage, Complete Package Includes Backcan, Grille and Tile Rails, (Priced as each: sold in pairs) International Master Pack is 8 Pcs</t>
  </si>
  <si>
    <t>$ 433.678,00</t>
  </si>
  <si>
    <t>$ 358.414,00</t>
  </si>
  <si>
    <t>8124 - 4" Open-Back Styled-Grille Full-Range Ceiling Speaker, 93dB Sensitivity, 20W driver power capacity, 6W 100V/70V multi-tap transformer (no low-Z setting), 130° coverage, 60Hz - 18kHz frequency range, dog-ears for easy blind-mount installation (Priced as each; sold in pack of 4 pcs)</t>
  </si>
  <si>
    <t>$ 106.862,00</t>
  </si>
  <si>
    <t>$ 88.312,00</t>
  </si>
  <si>
    <t>8128 - 8" Open-Back Styled-Grille Full-Range Ceiling Speaker, high 97dB sensitivity, 25W driver power capacity, 6W 100V/70V multi-tap transformer (no low-Z setting), 90° coverage, 50Hz - 16kHz frequency range, dog-ears for easy blind-mount installation (Priced as each; sold in pack of 4 pcs)</t>
  </si>
  <si>
    <t>$ 141.386,00</t>
  </si>
  <si>
    <t>$ 116.858,00</t>
  </si>
  <si>
    <t>CSS8004</t>
  </si>
  <si>
    <t>CSS8004 - 4" Commercial Series Ceiling Speaker, 15W Cont. Pink Noise power handling (100hr) driver, 90dB Sensitivity, 5W 100V/70V/25V multi-tap transformer (no low-Z setting), 175° Coverage, pre-assembled with driver/metal grille/transformer, compatible with CSS-BB4x6 backcan and CSS-TR4/8x12 tile rails (Priced as each; sold in carton of 6 pcs)</t>
  </si>
  <si>
    <t>$ 58.254,00</t>
  </si>
  <si>
    <t>$ 48.146,00</t>
  </si>
  <si>
    <t>CSS8008</t>
  </si>
  <si>
    <t>CSS8008 - 8" Commercial Series Ceiling Speaker, 15W Cont. Pink Noise power handling (100hr) driver, 96dB Sensitivity, 5W 100V/70V/25V multi-tap transformer (no low-Z setting), 120° coverage, pre-assembled with driver/metal grille/transformer, compatible with CSS-BB8x6 backcan and CSS-TR4/8x12 tile rails (Priced as each; sold in carton of 6pcs)</t>
  </si>
  <si>
    <t>$ 76.440,00</t>
  </si>
  <si>
    <t>$ 63.182,00</t>
  </si>
  <si>
    <t>C64P/T</t>
  </si>
  <si>
    <t>Control 64P/T Compact Full-Range Pendant Loudspeaker with 4" (100mm) Driver, 50W cont. pink noise (200W Peak) power handling (2hr), 88dB sensitivity, 65Hz - 15kHz frequency range, 120° conical coverage, 30W 70V/100V multi-tap transformer with 8Ω direct, Includes suspension hardware with 2x15' (4.5m) galvanized steel cables and easy to adjust clamps, IP44 rated, UL listed (speaker and hanging cable system), black (Priced as each; sold and packaged in pairs)</t>
  </si>
  <si>
    <t>$ 531.804,00</t>
  </si>
  <si>
    <t>$ 439.502,00</t>
  </si>
  <si>
    <t>C64P/T-WH</t>
  </si>
  <si>
    <t>Control 64P/T-WH Compact Full-Range Pendant Loudspeaker with 4" (100mm) Driver, 50W cont. pink noise (200W Peak) power handling (2hr), 88dB sensitivity, 65Hz - 15kHz frequency range, 120° conical coverage, 30W 70V/100V multi-tap transformer with 8Ω direct, Includes suspension hardware with 2x15' (4.5m) galvanized steel cables and easy to adjust clamps, IP44 rated, UL listed (speaker and hanging cable system), white (Priced as each; sold and packaged in pairs)</t>
  </si>
  <si>
    <t>C65P/T</t>
  </si>
  <si>
    <t>Control 65P/T Premium Compact Full-Range RBI Pendant Loudspeaker with 5.25" (130mm) Woofer and 0.75" (20mm) Tweeter, 75W cont. pink noise (300W Peak) power handling (100hr), 86dB sensitivity, 55Hz - 20kHz frequency range, consistent 120° conical coverage featuring JBL's Radiation Boundary Integrator® (RBI™) technology, 60W 70V/100V multi-tap transformer with 8Ω direct. Includes suspension hardware with 2x15' (4.5m) galvanized steel cable and easy to adjust clamp, IP44 rated, UL listed (speaker and hanging cable system), black (Priced as each; sold in pairs)</t>
  </si>
  <si>
    <t>$ 694.288,00</t>
  </si>
  <si>
    <t>$ 573.790,00</t>
  </si>
  <si>
    <t>LCT 81C/TM</t>
  </si>
  <si>
    <t>JBL-LCT 81C/TM - Lay-in Full-range Ceiling Tile Speaker for 600mm x 600mm suspended grid ceilings, 8" (200mm) dual-cone driver, 20W Pink Noise (40W Program) low-Z power handling (100hr), 100° Coverage. Very low-profile at 4.1" (103 mm) deep, 100Hz - 16kHz frequency range, 10W 70V/100V multi-tap transformer with 8Ω direct rotary tap-selector switch. Very high 96dB Sensitivity, 108dB (114 dB peak) max SPL, high speech intelligibility, UL1480 and UL2043, white full-face grille. NOT for 2' x 2' US-Style grid ceilings [use LCT 81C/T] (Priced as each; sold in pairs)</t>
  </si>
  <si>
    <t>$ 386.190,00</t>
  </si>
  <si>
    <t>$ 319.172,00</t>
  </si>
  <si>
    <t>AKG</t>
  </si>
  <si>
    <t>C44-USB</t>
  </si>
  <si>
    <t>AKG C44-USB LYRA es un micrófono profesional multimodo Ultra-HD.</t>
  </si>
  <si>
    <t>$ 470.596,00</t>
  </si>
  <si>
    <t>$ 388.920,00</t>
  </si>
  <si>
    <t>P220</t>
  </si>
  <si>
    <t>AKG, Micrófono de estudio de condensador de diafragma grande cardioide. Incluye case de transporte!</t>
  </si>
  <si>
    <t>$ 531.846,00</t>
  </si>
  <si>
    <t>$ 439.544,00</t>
  </si>
  <si>
    <t>P420</t>
  </si>
  <si>
    <t>AKG, Micrófono de estudio de condensador de diafragma grande con 3 patrones polares seleccionables: Cardioide, Omnidireccional o Figura 8. Incluye case de transporte!</t>
  </si>
  <si>
    <t>$ 718.928,00</t>
  </si>
  <si>
    <t>$ 594.160,00</t>
  </si>
  <si>
    <t>Barras de sonido - Soundbar</t>
  </si>
  <si>
    <t>PSB-1/230</t>
  </si>
  <si>
    <t>2.0 active soundbar with an application-specific feature set for hotel guestrooms and cruise ship staterooms. Volume limiting switch places upper limit on SPL. Security lockout plate prevents guests from tampering with advanced settings. One RCA analog input. Four 19mm (0.75”) HF drivers, and two 51mm (2.0”) LF drivers. Class D amplifier delivers 20W per channel. 56Hz - 20KHz (+/- 3dB). Works with any TV's line level, analog, stereo output (fixed or variable volume). IR Learning allows the PSB-1 to be controlled by any remote. All table/wall mounting hardware included. Black. Sold and packed as each.</t>
  </si>
  <si>
    <t>$ 713.986,00</t>
  </si>
  <si>
    <t>$ 590.072,00</t>
  </si>
  <si>
    <t>Accesorios Home Studio</t>
  </si>
  <si>
    <t>ACTPACK</t>
  </si>
  <si>
    <t>Bundle that includes one Nano Patch+ compact 2 channel analog passive volume control and these accessories: 2 XLR male to XLR female Cables (3m); 2 XLR male to TRS Cables (3m) 2  Speaker Isolation Pads, dimensions each (D x W x H): 6.5 in. x 11 in. x 1.5 in. (170mm x 300mm x 40mm including angled addition)</t>
  </si>
  <si>
    <t>Procesadores de audio</t>
  </si>
  <si>
    <t>DBX</t>
  </si>
  <si>
    <t>DBXCT2</t>
  </si>
  <si>
    <t>DBX, CABLE TESTER.</t>
  </si>
  <si>
    <t>$ 143.570,00</t>
  </si>
  <si>
    <t>$ 118.650,00</t>
  </si>
  <si>
    <t>DBXRTA-M</t>
  </si>
  <si>
    <t>DBX, micrófono cardioide.</t>
  </si>
  <si>
    <t>$ 322.602,00</t>
  </si>
  <si>
    <t>$ 266.616,00</t>
  </si>
  <si>
    <t>DBX234SV/220V</t>
  </si>
  <si>
    <t>DBX, Stereo 2/3 Way, Mono 4-Way Crossover.</t>
  </si>
  <si>
    <t>$ 572.698,00</t>
  </si>
  <si>
    <t>$ 473.298,00</t>
  </si>
  <si>
    <t>DBXPA2-V/220V</t>
  </si>
  <si>
    <t>$ 1.351.014,00</t>
  </si>
  <si>
    <t>$ 1.222.634,00</t>
  </si>
  <si>
    <t>10,5%%</t>
  </si>
  <si>
    <t>Parlantes para Cine</t>
  </si>
  <si>
    <t>HPD5739</t>
  </si>
  <si>
    <t>4 ohm Low Frequency Section for 5732 System. Components: Two 2226HPL VGC™ Vented Gap Cooled 380mm (15”) Woofers installed in a 4739 Enclosure.</t>
  </si>
  <si>
    <t>$ 4.001.466,00</t>
  </si>
  <si>
    <t>$ 3.306.996,00</t>
  </si>
  <si>
    <t>5732-M/HF</t>
  </si>
  <si>
    <t>Mid-High Frequency Section for 5732 System. Components: Two 2169J 200mm (8 inch) Differential Drive® Mid Frequency and one 2452H-SL 4” Titanium Diaphragm High Frequency Compression Driver.  Pre-Assembled and Pre-Aimed.</t>
  </si>
  <si>
    <t>$ 5.964.252,00</t>
  </si>
  <si>
    <t>$ 4.929.134,00</t>
  </si>
  <si>
    <t>Parlantes para conferencias - EXPAND</t>
  </si>
  <si>
    <t>EPOS</t>
  </si>
  <si>
    <t>SP 20 ML</t>
  </si>
  <si>
    <t>Altavoz diseñado portátil para móviles y optimizado para Skype for Business, conferencias personales y de grupos pequeños en PC / softphone y teléfono móvil o tableta. El sistema de cable incorporado se conecta directamente a la PC y al teléfono móvil o tableta. Incluye Speakerphone con cable USB, 5mm jack cable, bolsa de transporte.</t>
  </si>
  <si>
    <t>$ 438.228,00</t>
  </si>
  <si>
    <t>$ 396.592,00</t>
  </si>
  <si>
    <t>SP 30</t>
  </si>
  <si>
    <t>Portable wireless speakerphone for personal conferencing or up to 8 people. It is possible to set up a conference call at a moment’s notice in any location or use the device as part of a permanent conference room solution. Incluye Speakerphone, USB-C cable, bolsa de transporte.</t>
  </si>
  <si>
    <t>$ 565.880,00</t>
  </si>
  <si>
    <t>$ 467.670,00</t>
  </si>
  <si>
    <t>SP 30 +</t>
  </si>
  <si>
    <t>$ 724.388,00</t>
  </si>
  <si>
    <t>$ 598.668,00</t>
  </si>
  <si>
    <t>SP 30T</t>
  </si>
  <si>
    <t>Altavoz Bluetooth® portátil e inalámbrico con un rendimiento de audio excepcional. Admite conferencias tanto personales como de tamaño pequeño a mediano para hasta 8 personas. Certificado para Microsoft Teams. Incluye dongle USB Bluetooth®, USB cable, bolsa de transporte.</t>
  </si>
  <si>
    <t>EXPAND 80T</t>
  </si>
  <si>
    <t>Altavoz Bluetooth® premium escalable para hasta 7 participantes en la habitación. Sea escuchado con seis micrófonos adaptables de formación de haces que aíslan las voces de la reverberación de la sala y el ruido ambiental. Incluye BTDongle, USBAdapter, PowerSupply, USBCable.</t>
  </si>
  <si>
    <t>$ 1.895.768,00</t>
  </si>
  <si>
    <t>$ 1.566.754,00</t>
  </si>
  <si>
    <t>EXPAND 80 Mic</t>
  </si>
  <si>
    <t>Microfono expansio de EXPAND 80T.</t>
  </si>
  <si>
    <t>$ 526.274,00</t>
  </si>
  <si>
    <t>$ 434.938,00</t>
  </si>
  <si>
    <t>EXPAND VISION 3T</t>
  </si>
  <si>
    <t>Solución de vídeo todo en uno para Microsoft Teams Rooms en Android™ para la oficina inteligente de hoy. Únase a las reuniones con un solo toque y disfrute de una experiencia completa de Microsoft Teams. Mejore la colaboración con vídeo Full HD, captación de voz excepcional y cancelación de ruido. EPOS EXPAND Vision 3T Video Collaboration Bar, EPOS EXPAND incluye
 SP 30T Speakerphone, Bluetooth® remote control, universal
 power supply, USB-C extension cable (5 m/16 ft), HDMI cable,
 USB-C to USB-A adapter, wall mount bracket.</t>
  </si>
  <si>
    <t>$ 5.008.892,00</t>
  </si>
  <si>
    <t>$ 4.139.576,00</t>
  </si>
  <si>
    <t>HEADSET CON MICRÓFONO</t>
  </si>
  <si>
    <t>PC 2 CHAT</t>
  </si>
  <si>
    <t>Auricular de una sola oreja, audio de alta calidad. Micrófono pasivo con cancelación de ruido garantiza una conversación clara. Con un sencillo plug-and-play con tomas duales de 3,5 mm para PC, este ligero auricular on-ear está diseñado para la comodidad y para la durabilidad del uso diario.</t>
  </si>
  <si>
    <t>$ 54.754,00</t>
  </si>
  <si>
    <t>$ 45.248,00</t>
  </si>
  <si>
    <t>PC 3 CHAT</t>
  </si>
  <si>
    <t>Auricular de dos orejas, audio de alta calidad. Micrófono pasivo con cancelación de ruido garantiza una conversación clara. Con un sencillo plug-and-play con tomas duales de 3,5 mm para PC, este ligero auricular on-ear está diseñado para la comodidad y para la durabilidad del uso diario.</t>
  </si>
  <si>
    <t>$ 64.834,00</t>
  </si>
  <si>
    <t>$ 53.578,00</t>
  </si>
  <si>
    <t>PC 5 CHAT</t>
  </si>
  <si>
    <t>Auricular de dos orejas, audio de alta calidad. Micrófono pasivo con cancelación de ruido garantiza una conversación clara. Con un sencillo plug-and-play conector TRRS para PC, este ligero auricular on-ear está diseñado para la comodidad y para la durabilidad del uso diario. Multiplataforma Mac OSX, Mobile phone, PS4, Xbox One, Nintendo Switch, PC / Soft phone</t>
  </si>
  <si>
    <t>$ 73.080,00</t>
  </si>
  <si>
    <t>$ 60.396,00</t>
  </si>
  <si>
    <t>PC 8 USB</t>
  </si>
  <si>
    <t>Auriculare USB estéreo con tarjeta de sonido incorporada y control de volumen/silencio ofrecen un sonido estéreo superlativo, mientras que su micrófono pasivo con cancelación de ruido garantiza una conversación clara. Estos auriculares están diseñados para resistir el uso diario y son compatibles con PC y Mac®.</t>
  </si>
  <si>
    <t>$ 113.176,00</t>
  </si>
  <si>
    <t>$ 93.534,00</t>
  </si>
  <si>
    <t>ADAPT 160 USB II</t>
  </si>
  <si>
    <t>Auriculares con cable con conectividad USB y control de llamadas en línea, optimizados para profesionales de UC que valoran un sonido excelente, un estilo moderno discreto y comodidad.</t>
  </si>
  <si>
    <t>$ 203.714,00</t>
  </si>
  <si>
    <t>$ 168.364,00</t>
  </si>
  <si>
    <t>ADAPT 160 USB C</t>
  </si>
  <si>
    <t>Auriculares con cable con conectividad USB C y control de llamadas en línea, optimizados para profesionales de UC que valoran un sonido excelente, un estilo moderno discreto y comodidad.</t>
  </si>
  <si>
    <t>ADAPT 165 USB II</t>
  </si>
  <si>
    <t>Auriculares con cable de doble cara con conector de 3,5 mm y cable USB desmontable con control de llamadas en línea.</t>
  </si>
  <si>
    <t>$ 226.352,00</t>
  </si>
  <si>
    <t>$ 187.068,00</t>
  </si>
  <si>
    <t>ADAPT 165 USB C</t>
  </si>
  <si>
    <t>Auriculares con cable de doble cara con conector de 3,5 mm y cable USB C desmontable con control de llamadas en línea.</t>
  </si>
  <si>
    <t>ADAPT 260</t>
  </si>
  <si>
    <t>Auriculares doble con conectividad USB optimizada para Comunicaciones Unificadas. Diseñados para los profesionales en centros de contacto y oficinas que requieren un rendimiento de sonido de calidad, durabilidad y comodidad durante todo el día.</t>
  </si>
  <si>
    <t>$ 452.928,00</t>
  </si>
  <si>
    <t>$ 374.318,00</t>
  </si>
  <si>
    <t>SC 30 USB ML</t>
  </si>
  <si>
    <t>Auriculares doble con cable y conectividad USB a PC/softphone. UC optimizado y Skype para empresas certificado. Disfruta de conversaciones con sonido natural, audio de gran calidad y fácil manejo de llamadas para todo tu personal.</t>
  </si>
  <si>
    <t>SC 60 USB ML</t>
  </si>
  <si>
    <t>$ 158.984,00</t>
  </si>
  <si>
    <t>$ 131.390,00</t>
  </si>
  <si>
    <t>SC 75 USB MS</t>
  </si>
  <si>
    <t>Auricular Dúo con doble conexión USB + Jack 3.5mm, compatible con dispositivos móviles y PC, control de llamadas en el cable mayor para facilidad, micrófono con cancelación de ruido.</t>
  </si>
  <si>
    <t>$ 271.628,00</t>
  </si>
  <si>
    <t>$ 224.490,00</t>
  </si>
  <si>
    <t>SC 260 USB</t>
  </si>
  <si>
    <t>$ 294.266,00</t>
  </si>
  <si>
    <t>$ 243.194,00</t>
  </si>
  <si>
    <t>SC 660 USB ML</t>
  </si>
  <si>
    <t>Auriculares USB premium con micrófono, con cable, optimizados para UC y certificados para Skype for Business.</t>
  </si>
  <si>
    <t>$ 520.618,00</t>
  </si>
  <si>
    <t>$ 430.262,00</t>
  </si>
  <si>
    <t>MB Pro 1 UC ML</t>
  </si>
  <si>
    <t>Auriculares para profesionales de negocios dinámicos en la oficina y en movimiento. Garantice una comunicación de alta calidad y sonido natural con tecnologías de audio EPOS avanzadas, conectividad múltiple y diseño de alta gama.</t>
  </si>
  <si>
    <t>$ 633.794,00</t>
  </si>
  <si>
    <t>$ 523.796,00</t>
  </si>
  <si>
    <t>MB Pro 2 UC ML</t>
  </si>
  <si>
    <t>Auriculares Bluetooth® con micrófono premium conectividad dual para dispositivos móviles y PC / softphone. Tanto UC optimizado como Skype for Business Certified.</t>
  </si>
  <si>
    <t>$ 697.172,00</t>
  </si>
  <si>
    <t>$ 576.170,00</t>
  </si>
  <si>
    <t>AURICULARES PARA CONFERENCIA LINEA EDU</t>
  </si>
  <si>
    <t>EDU 10</t>
  </si>
  <si>
    <t>El EDU 10 es compatible con varios dispositivos, y un único conector de 3,5 mm ofrece la simplicidad de plug-and-play. Los auriculares estéreo ayudan a los estudiantes a concentrarse, mientras que el micrófono unidireccional con cancelación de ruido mantiene una comunicación clara. Se vende en un paquete de 10 auriculares.</t>
  </si>
  <si>
    <t>$ 857.990,00</t>
  </si>
  <si>
    <t>$ 709.086,00</t>
  </si>
  <si>
    <t>EDU 11 USB</t>
  </si>
  <si>
    <t>Los auriculares monoaurales EDU 11 USB son ligeros y fáciles de conectar a cualquier dispositivo. Poseen un micrófono unidireccional con cancelación de ruido que reduce al mínimo el ruido de fondo para oír a los estudiantes con claridad. Se venden en paquetes de 10 unidades.</t>
  </si>
  <si>
    <t>$ 1.289.134,00</t>
  </si>
  <si>
    <t>$ 1.065.400,00</t>
  </si>
  <si>
    <t>EDU 12 USB</t>
  </si>
  <si>
    <t>Los auriculares estéreo USB EDU 12 ofrecen a los estudiantes un mayor control y les ayudan a mantener la concentración. Un control en línea permite a los estudiantes ajustar fácilmente el volumen y el silencio, mientras que el micrófono con cancelación de ruido elimina el ruido de fondo. Se vende en un paquete de 10 auriculares.</t>
  </si>
  <si>
    <t>$ 1.504.720,00</t>
  </si>
  <si>
    <t>$ 1.243.564,00</t>
  </si>
  <si>
    <t>AURICULARES BLUETOOTH</t>
  </si>
  <si>
    <t>Presence Grey UC</t>
  </si>
  <si>
    <t>Auriculares Bluetooth® de primera calidad para los profesionales móviles que requieren una excelente solución de comunicación en cualquier lugar. Optimizado para comunicaciones unificadas y certificado para Skype for Business, incluido un estuche de transporte y una llave USB.</t>
  </si>
  <si>
    <t>$ 573.972,00</t>
  </si>
  <si>
    <t>$ 474.348,00</t>
  </si>
  <si>
    <t>AURICULARES GAMING</t>
  </si>
  <si>
    <t>GAME ZERO BLACK</t>
  </si>
  <si>
    <t>Auricular cerrado diseñado para gamers. La tecnología de transductor original ofrece una claridad de audio extrema para un realismo y una precisión posicional excepcionalmente detallados. Ligeros, pero robustos, los auriculares se pliegan para facilitar su transporte. Multiplataforma Mac OSX, PS5, Xbox Series X, PS4, Xbox One, Nintendo Switch, PC / Soft phone, Incluye: Cables intercambiables para PC y consola, bolsa de transporte,
 Guía de seguridad, Guía de inicio rápido</t>
  </si>
  <si>
    <t>$ 693.294,00</t>
  </si>
  <si>
    <t>$ 572.964,00</t>
  </si>
  <si>
    <t>GAME ONE BLACK</t>
  </si>
  <si>
    <t>Auricular abierto diseñado para gamers. La tecnología de transductor original ofrece una claridad de audio extrema para un realismo y una precisión posicional excepcionalmente detallados. Ligeros, pero robustos, los auriculares se pliegan para facilitar su transporte. Multiplataforma Mac OSX, PS5, Xbox Series X, PS4, Xbox One, Nintendo Switch, PC / Soft phone, Incluye: Cables intercambiables para PC y consola, bolsa de transporte,
 Guía de seguridad, Guía de inicio rápido</t>
  </si>
  <si>
    <t>$ 654.542,00</t>
  </si>
  <si>
    <t>$ 540.946,00</t>
  </si>
  <si>
    <t>GSP 300</t>
  </si>
  <si>
    <t>Diseñados para gamers que disfrutan de un buen sonido en sus juegos, los auriculares acústicos cerrados para juegos GSP 300 ofrecen una experiencia envolvente con audio de alta calidad. Los graves profundos transmiten la intensidad de la acción del juego, mientras que la claridad acústica garantiza una comunicación nítida y clara en el juego. incluye PCV 05 Adaptador de audio combinado, Guía de seguridad</t>
  </si>
  <si>
    <t>$ 344.274,00</t>
  </si>
  <si>
    <t>$ 284.522,00</t>
  </si>
  <si>
    <t>GSP 301</t>
  </si>
  <si>
    <t>GSP 302</t>
  </si>
  <si>
    <t>GSP 350</t>
  </si>
  <si>
    <t>Auricular con Micrófono cerrado para Gaming</t>
  </si>
  <si>
    <t>$ 479.710,00</t>
  </si>
  <si>
    <t>$ 396.452,00</t>
  </si>
  <si>
    <t>GSP 500</t>
  </si>
  <si>
    <t>$ 730.968,00</t>
  </si>
  <si>
    <t>$ 604.100,00</t>
  </si>
  <si>
    <t>GSP 550</t>
  </si>
  <si>
    <t>$ 884.128,00</t>
  </si>
  <si>
    <t>$ 730.688,00</t>
  </si>
  <si>
    <t>GSP 600</t>
  </si>
  <si>
    <t>$ 794.766,00</t>
  </si>
  <si>
    <t>$ 656.838,00</t>
  </si>
  <si>
    <t>GSP 670</t>
  </si>
  <si>
    <t>$ 1.274.644,00</t>
  </si>
  <si>
    <t>$ 1.053.430,00</t>
  </si>
  <si>
    <t xml:space="preserve">MOQ
Min/Mult Order Quantity </t>
  </si>
  <si>
    <t>XLR 3 CONTACTOS A CABLE</t>
  </si>
  <si>
    <t>NEUTRIK</t>
  </si>
  <si>
    <t>NC3FX1-TOP</t>
  </si>
  <si>
    <t>XLR cable end X1-TOP series 3 pole female - nickel/gold - IP 65 and UV rated for cable OD 5 – 10 mm</t>
  </si>
  <si>
    <t>$ 35.350,00</t>
  </si>
  <si>
    <t>$ 29.218,00</t>
  </si>
  <si>
    <t>NC3MX1-TOP</t>
  </si>
  <si>
    <t>XLR cable end X1-TOP series 3 pole male - nickel/gold - IP 65 and UV rated for cable OD 5 – 10 mm</t>
  </si>
  <si>
    <t>$ 35.084,00</t>
  </si>
  <si>
    <t>$ 28.994,00</t>
  </si>
  <si>
    <t>NC3FXX-D</t>
  </si>
  <si>
    <t xml:space="preserve">Cable end XX series – female 3 pin – nickel/silver - bulk 100U
</t>
  </si>
  <si>
    <t>$ 1.244.950,00</t>
  </si>
  <si>
    <t>$ 1.028.888,00</t>
  </si>
  <si>
    <t>NC3MXCC</t>
  </si>
  <si>
    <t>Cable end XCC series 3 pin male - nickel/gold</t>
  </si>
  <si>
    <t>$ 19.614,00</t>
  </si>
  <si>
    <t>$ 16.212,00</t>
  </si>
  <si>
    <t>NC3MXX-D</t>
  </si>
  <si>
    <t>Cable end XX series – male 3 pin – nickel/silver - bulk 100U</t>
  </si>
  <si>
    <t>$ 1.120.994,00</t>
  </si>
  <si>
    <t>$ 926.436,00</t>
  </si>
  <si>
    <t>NC3FX-D</t>
  </si>
  <si>
    <t>XLR-3 Cont. Hembra a cable (plateado p/soldar).Caja de 100 Unidades Sin packaging individual.</t>
  </si>
  <si>
    <t>$ 1.261.120,00</t>
  </si>
  <si>
    <t>$ 1.042.244,00</t>
  </si>
  <si>
    <t>NC3MX-D</t>
  </si>
  <si>
    <t>XLR-3 Cont. Macho a cable (plateado p/soldar). Caja de 100 Unidades Sin Packaging individual</t>
  </si>
  <si>
    <t>$ 1.142.554,00</t>
  </si>
  <si>
    <t>$ 944.258,00</t>
  </si>
  <si>
    <t>NC3FX</t>
  </si>
  <si>
    <t>XLR-3 Cont. Hembra a cable (plateado p/soldar).</t>
  </si>
  <si>
    <t>$ 13.314,00</t>
  </si>
  <si>
    <t>$ 11.004,00</t>
  </si>
  <si>
    <t>NC3FXCC</t>
  </si>
  <si>
    <r>
      <rPr>
        <rFont val="Calibri"/>
        <b/>
        <color rgb="FFFF0000"/>
      </rPr>
      <t xml:space="preserve">Nuevo! </t>
    </r>
    <r>
      <rPr>
        <rFont val="Calibri"/>
        <color theme="1"/>
      </rPr>
      <t>Cable end XCC series 3 pin female - nickel/gold</t>
    </r>
  </si>
  <si>
    <t>$ 30.072,00</t>
  </si>
  <si>
    <t>$ 24.850,00</t>
  </si>
  <si>
    <t>NC3MX</t>
  </si>
  <si>
    <t>XLR-3 Cont. Macho a cable (plateado p/soldar)</t>
  </si>
  <si>
    <t>$ 11.592,00</t>
  </si>
  <si>
    <t>$ 9.576,00</t>
  </si>
  <si>
    <r>
      <rPr>
        <rFont val="Calibri"/>
        <b/>
        <color rgb="FFFF0000"/>
      </rPr>
      <t xml:space="preserve">Nuevo! </t>
    </r>
    <r>
      <rPr>
        <rFont val="Calibri"/>
        <color theme="1"/>
      </rPr>
      <t>Cable end XCC series 3 pin male - nickel/gold</t>
    </r>
  </si>
  <si>
    <t>$ 19.180,00</t>
  </si>
  <si>
    <t>$ 15.862,00</t>
  </si>
  <si>
    <t>NC3FX-B</t>
  </si>
  <si>
    <t>XLR-3 Cont. Hembra a cable (negro p/soldar)</t>
  </si>
  <si>
    <t>$ 18.704,00</t>
  </si>
  <si>
    <t>$ 15.456,00</t>
  </si>
  <si>
    <t>NC3MX-B</t>
  </si>
  <si>
    <t>XLR-3 Cont. Macho a cable (negro p/soldar)</t>
  </si>
  <si>
    <t>$ 16.982,00</t>
  </si>
  <si>
    <t>$ 14.028,00</t>
  </si>
  <si>
    <t>NC3FXX</t>
  </si>
  <si>
    <t>XLR-3 Cont. Hembra a cable (plateado p/soldar). Línea Nueva</t>
  </si>
  <si>
    <t>$ 12.068,00</t>
  </si>
  <si>
    <t>$ 9.982,00</t>
  </si>
  <si>
    <t>NC3MXX</t>
  </si>
  <si>
    <t>XLR-3 Cont. Macho a cable (plateado p/soldar).Línea Nueva</t>
  </si>
  <si>
    <t>$ 10.836,00</t>
  </si>
  <si>
    <t>$ 8.946,00</t>
  </si>
  <si>
    <t>NC3FX-HD</t>
  </si>
  <si>
    <t>XLR-3 Cont. Hembra a cable (plateado p/soldar). Alta Resistencia</t>
  </si>
  <si>
    <t>$ 35.140,00</t>
  </si>
  <si>
    <t>$ 29.036,00</t>
  </si>
  <si>
    <t>NC3MX-HD</t>
  </si>
  <si>
    <t>XLR-3 Cont. Macho a cable (plateado p/soldar). Alta Resistencia</t>
  </si>
  <si>
    <t>$ 37.240,00</t>
  </si>
  <si>
    <t>$ 30.772,00</t>
  </si>
  <si>
    <t>NC3FRX</t>
  </si>
  <si>
    <t>XLR-3 Cont. Hembra compacto a cable angulo recto (plateado p/soldar)</t>
  </si>
  <si>
    <t>$ 31.318,00</t>
  </si>
  <si>
    <t>$ 25.872,00</t>
  </si>
  <si>
    <t>NC3MRX</t>
  </si>
  <si>
    <t>XLR-3 Cont. Macho compacto a cable angulo recto (plateado p/soldar)</t>
  </si>
  <si>
    <t>$ 31.262,00</t>
  </si>
  <si>
    <t>$ 25.830,00</t>
  </si>
  <si>
    <t>NC3FM</t>
  </si>
  <si>
    <t>XLR-3 Cont. Unisex.</t>
  </si>
  <si>
    <t>$ 62.734,00</t>
  </si>
  <si>
    <t>$ 51.842,00</t>
  </si>
  <si>
    <t>ACCESORIOS PARA XLR A CABLE</t>
  </si>
  <si>
    <t>BSX-2-RED</t>
  </si>
  <si>
    <r>
      <rPr>
        <rFont val="Calibri"/>
        <b/>
        <color rgb="FFFF0000"/>
      </rPr>
      <t xml:space="preserve">Nuevo! </t>
    </r>
    <r>
      <rPr>
        <rFont val="Calibri"/>
        <color theme="1"/>
      </rPr>
      <t>Colored boot - X series -Red</t>
    </r>
  </si>
  <si>
    <t>$ 3.178,00</t>
  </si>
  <si>
    <t>$ 2.632,00</t>
  </si>
  <si>
    <t>BSX-3-ORANGE</t>
  </si>
  <si>
    <r>
      <rPr>
        <rFont val="Calibri"/>
        <b/>
        <color rgb="FFFF0000"/>
      </rPr>
      <t xml:space="preserve">Nuevo! </t>
    </r>
    <r>
      <rPr>
        <rFont val="Calibri"/>
        <color theme="1"/>
      </rPr>
      <t>Colored boot - X series -Orange</t>
    </r>
  </si>
  <si>
    <t>BSX-8-GREY</t>
  </si>
  <si>
    <r>
      <rPr>
        <rFont val="Calibri"/>
        <b/>
        <color rgb="FFFF0000"/>
      </rPr>
      <t>Nuevo!</t>
    </r>
    <r>
      <rPr>
        <rFont val="Calibri"/>
        <color theme="1"/>
      </rPr>
      <t xml:space="preserve"> Colored boot - X series -Grey</t>
    </r>
  </si>
  <si>
    <t>XXR-2 NEO</t>
  </si>
  <si>
    <r>
      <rPr>
        <rFont val="Calibri"/>
        <color theme="1"/>
      </rPr>
      <t xml:space="preserve">Neon colored coding rings for </t>
    </r>
    <r>
      <rPr>
        <rFont val="Calibri"/>
        <b/>
        <color theme="1"/>
      </rPr>
      <t>NC*MXX</t>
    </r>
    <r>
      <rPr>
        <rFont val="Calibri"/>
        <color theme="1"/>
      </rPr>
      <t>, glowing in the dark. Color ring can be changed without unsoldering insert.</t>
    </r>
  </si>
  <si>
    <t>$ 1.666,00</t>
  </si>
  <si>
    <t>$ 1.386,00</t>
  </si>
  <si>
    <t>XXR-6 NEO</t>
  </si>
  <si>
    <r>
      <rPr>
        <rFont val="Calibri"/>
        <color theme="1"/>
      </rPr>
      <t xml:space="preserve">Neon colored coding rings for </t>
    </r>
    <r>
      <rPr>
        <rFont val="Calibri"/>
        <b/>
        <color theme="1"/>
      </rPr>
      <t>NC*MXX</t>
    </r>
    <r>
      <rPr>
        <rFont val="Calibri"/>
        <color theme="1"/>
      </rPr>
      <t>, glowing in the dark. Color ring can be changed without unsoldering insert.</t>
    </r>
  </si>
  <si>
    <t>XLR 4 CONTACTOS A CABLE</t>
  </si>
  <si>
    <t>NC4FXX</t>
  </si>
  <si>
    <t>Cable end XX series 4 pin female - nickel/silver</t>
  </si>
  <si>
    <t>$ 21.994,00</t>
  </si>
  <si>
    <t>$ 18.172,00</t>
  </si>
  <si>
    <t>NC4FX</t>
  </si>
  <si>
    <r>
      <rPr>
        <rFont val="Calibri"/>
        <b/>
        <color rgb="FFFF0000"/>
      </rPr>
      <t xml:space="preserve">Nuevo! </t>
    </r>
    <r>
      <rPr>
        <rFont val="Calibri"/>
        <color theme="1"/>
      </rPr>
      <t>XLR-4 Cont. Hembra a cable (plateado p/soldar)</t>
    </r>
  </si>
  <si>
    <t>$ 22.036,00</t>
  </si>
  <si>
    <t>$ 18.214,00</t>
  </si>
  <si>
    <t>NC4MX</t>
  </si>
  <si>
    <t>XLR-4 Cont. Macho a cable (plateado p/soldar)</t>
  </si>
  <si>
    <t>$ 16.436,00</t>
  </si>
  <si>
    <t>$ 13.580,00</t>
  </si>
  <si>
    <t>XLR 5 CONTACTOS A CABLE</t>
  </si>
  <si>
    <t>NC5FXX</t>
  </si>
  <si>
    <t>Cable end XX series 5 pin female - nickel/silver</t>
  </si>
  <si>
    <t>$ 27.216,00</t>
  </si>
  <si>
    <t>$ 22.498,00</t>
  </si>
  <si>
    <t>NC5MXX</t>
  </si>
  <si>
    <t>Cable end XX series 5 pin male - nickel/silver</t>
  </si>
  <si>
    <t>$ 20.216,00</t>
  </si>
  <si>
    <t>$ 16.702,00</t>
  </si>
  <si>
    <t>NC5FX</t>
  </si>
  <si>
    <t>XLR-5 Cont. Hembra a cable (plateado p/soldar)</t>
  </si>
  <si>
    <t>$ 27.594,00</t>
  </si>
  <si>
    <t>$ 22.806,00</t>
  </si>
  <si>
    <t>NC5MX</t>
  </si>
  <si>
    <t>XLR-5 Cont. Macho a cable (plateado p/soldar)</t>
  </si>
  <si>
    <t>$ 20.804,00</t>
  </si>
  <si>
    <t>$ 17.192,00</t>
  </si>
  <si>
    <t>XLR 6 CONTACTOS A CABLE</t>
  </si>
  <si>
    <t>NC6FX</t>
  </si>
  <si>
    <t>XLR-6 Cont. Hembra a cable (plateado p/soldar)</t>
  </si>
  <si>
    <t>$ 30.884,00</t>
  </si>
  <si>
    <t>$ 25.522,00</t>
  </si>
  <si>
    <t>NC6MX</t>
  </si>
  <si>
    <t>XLR-6 Cont. Macho a cable (plateado p/soldar)</t>
  </si>
  <si>
    <t>$ 21.938,00</t>
  </si>
  <si>
    <t>$ 18.130,00</t>
  </si>
  <si>
    <t>XLR 7 CONTACTOS A CABLE</t>
  </si>
  <si>
    <t>NC7MX-BAG</t>
  </si>
  <si>
    <t>Cable end X series 7 pin male - black/silver</t>
  </si>
  <si>
    <t>$ 32.284,00</t>
  </si>
  <si>
    <t>$ 26.684,00</t>
  </si>
  <si>
    <t>NC7FX</t>
  </si>
  <si>
    <t>XLR-7 Cont. Hembra a cable (plateado p/soldar)</t>
  </si>
  <si>
    <t>$ 38.430,00</t>
  </si>
  <si>
    <t>$ 31.752,00</t>
  </si>
  <si>
    <t>NC7MX</t>
  </si>
  <si>
    <t>XLR-7 Cont. Macho a cable (plateado p/soldar)</t>
  </si>
  <si>
    <t>$ 26.726,00</t>
  </si>
  <si>
    <t>$ 22.092,00</t>
  </si>
  <si>
    <t>XLR 3 CONTACTOS A CHASIS</t>
  </si>
  <si>
    <t>NC3FP-1</t>
  </si>
  <si>
    <t>XLR-3 Cont. Hembra a chasis (plateado p/soldar cable)</t>
  </si>
  <si>
    <t>$ 13.258,00</t>
  </si>
  <si>
    <t>$ 10.962,00</t>
  </si>
  <si>
    <t>NC3MP</t>
  </si>
  <si>
    <t>XLR-3 Cont. Macho a chasis (plateado p/soldar cable)</t>
  </si>
  <si>
    <t>$ 12.824,00</t>
  </si>
  <si>
    <t>$ 10.598,00</t>
  </si>
  <si>
    <t>NC3FD-L-1</t>
  </si>
  <si>
    <t>XLR-3 Cont. Hembra a chasis (cuadrado) (plateado p/soldar cable)</t>
  </si>
  <si>
    <t>$ 12.558,00</t>
  </si>
  <si>
    <t>$ 10.374,00</t>
  </si>
  <si>
    <t>NC3MD-L-1</t>
  </si>
  <si>
    <t>XLR-3 Cont. Macho a chasis (cuadrado) (plateado p/soldar cable)</t>
  </si>
  <si>
    <t>$ 11.536,00</t>
  </si>
  <si>
    <t>$ 9.534,00</t>
  </si>
  <si>
    <t>NC3FD-L-B-1</t>
  </si>
  <si>
    <t>XLR-3 Cont. Hembra a chasis (cuadrado) (Negro p/soldar cable)</t>
  </si>
  <si>
    <t>$ 15.792,00</t>
  </si>
  <si>
    <t>$ 13.048,00</t>
  </si>
  <si>
    <t>NC3MD-L-B-1</t>
  </si>
  <si>
    <t>XLR-3 Cont. Macho a chasis (cuadrado) (Negro p/soldar cable)</t>
  </si>
  <si>
    <t>$ 15.470,00</t>
  </si>
  <si>
    <t>$ 12.782,00</t>
  </si>
  <si>
    <t>XLR 4 CONTACTOS A CHASIS</t>
  </si>
  <si>
    <t>NC4FP-1</t>
  </si>
  <si>
    <t>XLR-4 Cont. Hembra a chasis (plateado p/soldar cable)</t>
  </si>
  <si>
    <t>$ 25.704,00</t>
  </si>
  <si>
    <t>$ 21.252,00</t>
  </si>
  <si>
    <t>NC4MP</t>
  </si>
  <si>
    <t>XLR-4 Cont. Macho a chasis (plateado p/soldar cable)</t>
  </si>
  <si>
    <t>$ 16.380,00</t>
  </si>
  <si>
    <t>$ 13.538,00</t>
  </si>
  <si>
    <t>NC4FD-L-1</t>
  </si>
  <si>
    <t>XLR-4 Cont. Hembra a chasis (cuadrado) (plateado p/soldar cable)</t>
  </si>
  <si>
    <t>NC4MD-L-1</t>
  </si>
  <si>
    <t>XLR-4 Cont. Macho a chasis (cuadrado) (plateado p/soldar cable)</t>
  </si>
  <si>
    <t>$ 17.304,00</t>
  </si>
  <si>
    <t>$ 14.294,00</t>
  </si>
  <si>
    <t>XLR 5 CONTACTOS A CHASIS</t>
  </si>
  <si>
    <t>NC5FP-1</t>
  </si>
  <si>
    <t>XLR-5 Cont. Hembra a chasis (plateado p/soldar cable)</t>
  </si>
  <si>
    <t>$ 33.096,00</t>
  </si>
  <si>
    <t>$ 27.342,00</t>
  </si>
  <si>
    <t>NC5MP</t>
  </si>
  <si>
    <t>XLR-5 Cont. Macho a chasis (plateado p/soldar cable)</t>
  </si>
  <si>
    <t>$ 26.838,00</t>
  </si>
  <si>
    <t>$ 22.176,00</t>
  </si>
  <si>
    <t>NC5MD-L-1</t>
  </si>
  <si>
    <t>XLR-5 Cont. Macho a chasis Cuadrado .(plateado p/soldar cable)</t>
  </si>
  <si>
    <t>$ 26.026,00</t>
  </si>
  <si>
    <t>$ 21.518,00</t>
  </si>
  <si>
    <t>XLR 7 CONTACTOS A CHASIS</t>
  </si>
  <si>
    <t>NC7FP-1</t>
  </si>
  <si>
    <t>XLR-7 Cont. Hembra a chasis (plateado p/soldar cable)</t>
  </si>
  <si>
    <t>$ 55.020,00</t>
  </si>
  <si>
    <t>$ 45.472,00</t>
  </si>
  <si>
    <t>NC7MD-L-1</t>
  </si>
  <si>
    <t>XLR-7 Cont. Macho a chasis (plateado p/soldar cable)</t>
  </si>
  <si>
    <t>$ 44.030,00</t>
  </si>
  <si>
    <t>$ 36.386,00</t>
  </si>
  <si>
    <t>NC7FD-L-1</t>
  </si>
  <si>
    <t>$ 58.478,00</t>
  </si>
  <si>
    <t>$ 48.328,00</t>
  </si>
  <si>
    <t>XLR 3 CONTACTOS A PCB-CHASIS</t>
  </si>
  <si>
    <t>NC3FAH2</t>
  </si>
  <si>
    <t>XLR-3 Cont Hembra.; Plastico ; PCB Horiz. ; PCB abajo</t>
  </si>
  <si>
    <t>$ 5.768,00</t>
  </si>
  <si>
    <t>$ 4.760,00</t>
  </si>
  <si>
    <t>NC3MAH</t>
  </si>
  <si>
    <t>XLR-3 Cont. Macho ; Plastico ; PCB Horizontal ; PCB abajo</t>
  </si>
  <si>
    <t>$ 4.480,00</t>
  </si>
  <si>
    <t>$ 3.696,00</t>
  </si>
  <si>
    <t>NC3FAV2</t>
  </si>
  <si>
    <t>XLR-3 Cont. Hembra; Plastico ; PCB Vertical</t>
  </si>
  <si>
    <t>$ 5.824,00</t>
  </si>
  <si>
    <t>$ 4.816,00</t>
  </si>
  <si>
    <t>NC3MAV</t>
  </si>
  <si>
    <t>XLR-3 Cont. Macho; Plastico ; PCB Vertical</t>
  </si>
  <si>
    <t>NC3FAHR2</t>
  </si>
  <si>
    <t>XLR-3 Cont Hembra.; Plastico ; PCB Horizontal ; PCB a derecha</t>
  </si>
  <si>
    <t>$ 7.490,00</t>
  </si>
  <si>
    <t>$ 6.188,00</t>
  </si>
  <si>
    <t>NC3MAHR</t>
  </si>
  <si>
    <t>XLR-3 Cont. Macho ; Plastico ; PCB Horizontal ; PCB a derecha</t>
  </si>
  <si>
    <t>$ 5.502,00</t>
  </si>
  <si>
    <t>$ 4.550,00</t>
  </si>
  <si>
    <t>NC3FDM3-H-BAG</t>
  </si>
  <si>
    <t>XLR-3 Cont. Hembra a chasis</t>
  </si>
  <si>
    <t>$ 23.170,00</t>
  </si>
  <si>
    <t>$ 19.152,00</t>
  </si>
  <si>
    <t>NC3MD-V</t>
  </si>
  <si>
    <t>XLR-3 Cont. Macho a chasis</t>
  </si>
  <si>
    <t>$ 15.848,00</t>
  </si>
  <si>
    <t>$ 13.090,00</t>
  </si>
  <si>
    <t>COMBO (XLR-3H Y JACK 1/4)</t>
  </si>
  <si>
    <t>NCJ6FI-H</t>
  </si>
  <si>
    <t>XLR-3 Cont. Hemb. con Jack 1/4 stereo, a PCB, en un solo recept.</t>
  </si>
  <si>
    <t>$ 11.368,00</t>
  </si>
  <si>
    <t>$ 9.394,00</t>
  </si>
  <si>
    <t>NCJ6FI-V</t>
  </si>
  <si>
    <t>$ 10.780,00</t>
  </si>
  <si>
    <t>$ 8.904,00</t>
  </si>
  <si>
    <t>NCJ6FA-H</t>
  </si>
  <si>
    <t>XLR-3 Cont. Hemb. con Jack 1/4 stereo, a PCB, horizontal.</t>
  </si>
  <si>
    <t>$ 8.246,00</t>
  </si>
  <si>
    <t>$ 6.818,00</t>
  </si>
  <si>
    <t>NCJ6FA-V</t>
  </si>
  <si>
    <t>XLR-3 Cont. Hemb. con Jack 1/4 stereo, a PCB, vertical.</t>
  </si>
  <si>
    <t>$ 6.846,00</t>
  </si>
  <si>
    <t>$ 5.656,00</t>
  </si>
  <si>
    <t>JACK NEUTRIK</t>
  </si>
  <si>
    <t>NJ3FP6C</t>
  </si>
  <si>
    <t>Jack 1/4 chasis con traba</t>
  </si>
  <si>
    <t>$ 22.470,00</t>
  </si>
  <si>
    <t>$ 18.578,00</t>
  </si>
  <si>
    <t>NJ3FC6</t>
  </si>
  <si>
    <t>Jack 1/4 stereo a cable</t>
  </si>
  <si>
    <t>$ 27.706,00</t>
  </si>
  <si>
    <t>$ 22.890,00</t>
  </si>
  <si>
    <t>SPEAKON A CABLE</t>
  </si>
  <si>
    <t>NL2FX</t>
  </si>
  <si>
    <t>2-Contactos ; a cable ; 30 A por contacto (hembra)</t>
  </si>
  <si>
    <t>$ 13.846,00</t>
  </si>
  <si>
    <t>$ 11.452,00</t>
  </si>
  <si>
    <t>NL2FXX-W-S</t>
  </si>
  <si>
    <r>
      <rPr>
        <rFont val="Calibri"/>
        <b/>
        <color rgb="FFFF0000"/>
      </rPr>
      <t xml:space="preserve">Nuevo! </t>
    </r>
    <r>
      <rPr>
        <rFont val="Calibri"/>
        <color theme="1"/>
      </rPr>
      <t>Cable end speakON® XX series 2 pole - brown</t>
    </r>
  </si>
  <si>
    <t>NL4FX</t>
  </si>
  <si>
    <t>4-Contactos ; a cable ; 30 A por contacto (hembra)</t>
  </si>
  <si>
    <t>$ 18.914,00</t>
  </si>
  <si>
    <t>$ 15.638,00</t>
  </si>
  <si>
    <t>NL4FX-D</t>
  </si>
  <si>
    <r>
      <rPr>
        <rFont val="Calibri"/>
        <b/>
        <color rgb="FFFF0000"/>
      </rPr>
      <t xml:space="preserve">Nuevo! </t>
    </r>
    <r>
      <rPr>
        <rFont val="Calibri"/>
        <color theme="1"/>
      </rPr>
      <t>Cable end speakON® SPX 4 pole, bulk 100U</t>
    </r>
  </si>
  <si>
    <t>$ 18.536,00</t>
  </si>
  <si>
    <t>$ 15.316,00</t>
  </si>
  <si>
    <t>NL4FXX-W-S</t>
  </si>
  <si>
    <r>
      <rPr>
        <rFont val="Calibri"/>
        <b/>
        <color rgb="FFFF0000"/>
      </rPr>
      <t>Nuevo!</t>
    </r>
    <r>
      <rPr>
        <rFont val="Calibri"/>
        <b/>
        <color theme="1"/>
      </rPr>
      <t xml:space="preserve"> </t>
    </r>
    <r>
      <rPr>
        <rFont val="Calibri"/>
        <color theme="1"/>
      </rPr>
      <t>Cable end speakON® XX series 4 pole - green - small chuck for cable 6-12 mm</t>
    </r>
  </si>
  <si>
    <t>NL4FXX-W-L</t>
  </si>
  <si>
    <r>
      <rPr>
        <rFont val="Calibri"/>
        <b/>
        <color rgb="FFFF0000"/>
      </rPr>
      <t>Nuevo!</t>
    </r>
    <r>
      <rPr>
        <rFont val="Calibri"/>
        <b/>
        <color theme="1"/>
      </rPr>
      <t xml:space="preserve"> </t>
    </r>
    <r>
      <rPr>
        <rFont val="Calibri"/>
        <color theme="1"/>
      </rPr>
      <t>Cable end speakON® XX series 4 pole - green - large chuck for cable 10-16 mm</t>
    </r>
  </si>
  <si>
    <t>NLT4FX</t>
  </si>
  <si>
    <t>4-Contactos ; a cable ; 30 A por contacto (hembra) . Metálico</t>
  </si>
  <si>
    <t>$ 50.666,00</t>
  </si>
  <si>
    <t>$ 41.874,00</t>
  </si>
  <si>
    <t>NLT4FXX</t>
  </si>
  <si>
    <t>Cable end speakON® STX - 4 pole female - V-0 insert - nickel</t>
  </si>
  <si>
    <t>$ 53.144,00</t>
  </si>
  <si>
    <t>$ 43.918,00</t>
  </si>
  <si>
    <t>NLT4MX</t>
  </si>
  <si>
    <t>4-Contactos ; a cable ; 30 A por contacto (Macho) . Metálico</t>
  </si>
  <si>
    <t>$ 51.142,00</t>
  </si>
  <si>
    <t>$ 42.266,00</t>
  </si>
  <si>
    <t>NLT4MXX</t>
  </si>
  <si>
    <t>Cable end speakON® STX - 4 pole male - V-0 insert - nickel/silver</t>
  </si>
  <si>
    <t>NL8FC</t>
  </si>
  <si>
    <t>8-Contactos ; a cable ; 30 A por contacto</t>
  </si>
  <si>
    <t>$ 50.064,00</t>
  </si>
  <si>
    <t>$ 41.384,00</t>
  </si>
  <si>
    <t>NLT8FX</t>
  </si>
  <si>
    <t>8-Contactos ; a cable ; 30 A por contacto . Metálico</t>
  </si>
  <si>
    <t>$ 94.906,00</t>
  </si>
  <si>
    <t>$ 78.442,00</t>
  </si>
  <si>
    <t>NLT8MX</t>
  </si>
  <si>
    <t>$ 104.440,00</t>
  </si>
  <si>
    <t>$ 86.324,00</t>
  </si>
  <si>
    <t>NL4MMX</t>
  </si>
  <si>
    <t>Adaptador (4-contactos)</t>
  </si>
  <si>
    <t>$ 22.204,00</t>
  </si>
  <si>
    <t>$ 18.354,00</t>
  </si>
  <si>
    <t>NL8MM</t>
  </si>
  <si>
    <t>Adaptador (8-contactos)</t>
  </si>
  <si>
    <t>$ 88.060,00</t>
  </si>
  <si>
    <t>$ 72.772,00</t>
  </si>
  <si>
    <t>NLT8MXX-BAG</t>
  </si>
  <si>
    <t>speakON STX XX series - 8-pole male - black/silver</t>
  </si>
  <si>
    <t>$ 109.676,00</t>
  </si>
  <si>
    <t>$ 90.636,00</t>
  </si>
  <si>
    <t>SPEAKON A CHASIS</t>
  </si>
  <si>
    <t>NL4MP</t>
  </si>
  <si>
    <t>4-Contactos ; a chasis (macho)</t>
  </si>
  <si>
    <t>$ 10.080,00</t>
  </si>
  <si>
    <t>$ 8.330,00</t>
  </si>
  <si>
    <t>NLT4MP</t>
  </si>
  <si>
    <t>4-Contactos ; a chasis (macho) . Metálico</t>
  </si>
  <si>
    <t>$ 28.126,00</t>
  </si>
  <si>
    <t>$ 23.254,00</t>
  </si>
  <si>
    <t>NL4MPR</t>
  </si>
  <si>
    <t>4-Contactos ; a chasis ; para gabinete de speaker</t>
  </si>
  <si>
    <t>NL4MPXX</t>
  </si>
  <si>
    <r>
      <rPr>
        <rFont val="Calibri"/>
        <b/>
        <color rgb="FFFF0000"/>
      </rPr>
      <t xml:space="preserve">Nuevo! </t>
    </r>
    <r>
      <rPr>
        <rFont val="Calibri"/>
        <color theme="1"/>
      </rPr>
      <t>Receptacle speakON® XX series 4 pole - rectangular flange - tab terminals for NLFASTON or soldering - countersunk screw holes for front or rear mounting</t>
    </r>
  </si>
  <si>
    <t>NLT4MPXX</t>
  </si>
  <si>
    <t>Receptacle speakON® STX - 4 pole male - solder tabs - V-0 insert - nickel/silver</t>
  </si>
  <si>
    <t>NLT8MP</t>
  </si>
  <si>
    <t>$ 61.222,00</t>
  </si>
  <si>
    <t>$ 50.596,00</t>
  </si>
  <si>
    <t>NL8MPR</t>
  </si>
  <si>
    <t>8-Contactos a chasis ; para gabinetes de Speaker</t>
  </si>
  <si>
    <t>$ 34.594,00</t>
  </si>
  <si>
    <t>$ 28.588,00</t>
  </si>
  <si>
    <t>NLT8MPXX</t>
  </si>
  <si>
    <t>speakON STX XX series - 8-pole male - nickel/silver</t>
  </si>
  <si>
    <t>STAGE BOX</t>
  </si>
  <si>
    <t>NEUTRIK/REAN</t>
  </si>
  <si>
    <t>NSB2B-12/4</t>
  </si>
  <si>
    <t>Caja de escenario balanceada XLR 12 envios, 4 retornos.</t>
  </si>
  <si>
    <t>$ 315.714,00</t>
  </si>
  <si>
    <t>$ 260.918,00</t>
  </si>
  <si>
    <t>NSB3B-20/4</t>
  </si>
  <si>
    <t>Caja de escenario balanceada XLR 20 envios, 4 retornos.</t>
  </si>
  <si>
    <t>$ 425.488,00</t>
  </si>
  <si>
    <t>$ 351.652,00</t>
  </si>
  <si>
    <t>TRANSFORMADORES</t>
  </si>
  <si>
    <t>NTL1</t>
  </si>
  <si>
    <t>Line 1:1 ; montaje PCB ; MU-METAL</t>
  </si>
  <si>
    <t>$ 216.006,00</t>
  </si>
  <si>
    <t>$ 178.514,00</t>
  </si>
  <si>
    <t>NTE1</t>
  </si>
  <si>
    <t>Transformador de audio ; 1:1 a cable</t>
  </si>
  <si>
    <t>$ 42.952,00</t>
  </si>
  <si>
    <t>$ 35.504,00</t>
  </si>
  <si>
    <t>NTM4</t>
  </si>
  <si>
    <t>Mic 1:4 ; montaje PCB ; MU-METAL</t>
  </si>
  <si>
    <t>$ 189.924,00</t>
  </si>
  <si>
    <t>$ 156.954,00</t>
  </si>
  <si>
    <t>NTE4</t>
  </si>
  <si>
    <t>Transformador de audio ; 1:4 a cable</t>
  </si>
  <si>
    <t>$ 45.108,00</t>
  </si>
  <si>
    <t>$ 37.282,00</t>
  </si>
  <si>
    <t>TS/TRS NEUTRIK</t>
  </si>
  <si>
    <t>NP2C</t>
  </si>
  <si>
    <t>Plug 1/4 Mono (metal)</t>
  </si>
  <si>
    <t>$ 12.670,00</t>
  </si>
  <si>
    <t>$ 10.472,00</t>
  </si>
  <si>
    <t>NP2X</t>
  </si>
  <si>
    <t>Plug 1/4" mono PX Series - nickel/nickel</t>
  </si>
  <si>
    <t>NP2RX</t>
  </si>
  <si>
    <t>Plug 1/4 Mono 90° (metal)</t>
  </si>
  <si>
    <t>$ 19.292,00</t>
  </si>
  <si>
    <t>$ 15.946,00</t>
  </si>
  <si>
    <t>NP2X-SILENT</t>
  </si>
  <si>
    <t>Plug 1/4 Mono SILENT (metal)</t>
  </si>
  <si>
    <t>$ 46.354,00</t>
  </si>
  <si>
    <t>$ 38.304,00</t>
  </si>
  <si>
    <t>NP3X</t>
  </si>
  <si>
    <t>Plug 1/4" stereo PX Series - nickel/nickel</t>
  </si>
  <si>
    <t>NP3RX</t>
  </si>
  <si>
    <t>Plug 1/4 Stereo 90° (metal)</t>
  </si>
  <si>
    <t>$ 29.862,00</t>
  </si>
  <si>
    <t>$ 24.682,00</t>
  </si>
  <si>
    <t>NTP3RC</t>
  </si>
  <si>
    <t>Miniplug 1/8 Stereo 90° (metal)</t>
  </si>
  <si>
    <t>$ 14.392,00</t>
  </si>
  <si>
    <t>$ 11.886,00</t>
  </si>
  <si>
    <t>RCA A CHASIS</t>
  </si>
  <si>
    <t>NF2D-0</t>
  </si>
  <si>
    <t>RCA Rojo a chasis</t>
  </si>
  <si>
    <t>$ 16.926,00</t>
  </si>
  <si>
    <t>$ 13.986,00</t>
  </si>
  <si>
    <t>NF2D-2</t>
  </si>
  <si>
    <t>RCA Negro a chasis</t>
  </si>
  <si>
    <t>$ 16.548,00</t>
  </si>
  <si>
    <t>$ 13.678,00</t>
  </si>
  <si>
    <t>ADAPTADORES</t>
  </si>
  <si>
    <t>NADITBNC-M</t>
  </si>
  <si>
    <t>Interfase AES-EBU</t>
  </si>
  <si>
    <t>$ 173.376,00</t>
  </si>
  <si>
    <t>$ 143.290,00</t>
  </si>
  <si>
    <t>NADITBNC-F</t>
  </si>
  <si>
    <t>$ 168.420,00</t>
  </si>
  <si>
    <t>$ 139.188,00</t>
  </si>
  <si>
    <t>NA3MJ</t>
  </si>
  <si>
    <t>Adaptador XLR Macho a Jack 1/4 stereo</t>
  </si>
  <si>
    <t>$ 42.364,00</t>
  </si>
  <si>
    <t>$ 35.014,00</t>
  </si>
  <si>
    <t>NA3FP</t>
  </si>
  <si>
    <t>Adaptador XLR hembra a Plug 1/4 stereo</t>
  </si>
  <si>
    <t>$ 48.398,00</t>
  </si>
  <si>
    <t>$ 39.998,00</t>
  </si>
  <si>
    <t>NA3MP</t>
  </si>
  <si>
    <t>Adaptador XLR Macho a Plug 1/4 stereo</t>
  </si>
  <si>
    <t>$ 47.908,00</t>
  </si>
  <si>
    <t>$ 39.592,00</t>
  </si>
  <si>
    <t>NA3FF</t>
  </si>
  <si>
    <t>Adaptador XLR Hembra a XLR Hembra</t>
  </si>
  <si>
    <t>$ 39.564,00</t>
  </si>
  <si>
    <t>$ 32.690,00</t>
  </si>
  <si>
    <t>NA3MM</t>
  </si>
  <si>
    <t>Adaptador XLR Macho a XLR Macho</t>
  </si>
  <si>
    <t>$ 38.108,00</t>
  </si>
  <si>
    <t>$ 31.486,00</t>
  </si>
  <si>
    <t>NA3JJ</t>
  </si>
  <si>
    <t>Adaptador Jack 1/4 stereo a Jack 1/4 stereo con traba</t>
  </si>
  <si>
    <t>$ 73.780,00</t>
  </si>
  <si>
    <t>$ 60.970,00</t>
  </si>
  <si>
    <t>POWERCON</t>
  </si>
  <si>
    <t>NAC3FX-W-TOP</t>
  </si>
  <si>
    <t xml:space="preserve">Cable end - powerCON TRUE1 TOP - female - power out - screw terminals - IP 65 and UV rated
</t>
  </si>
  <si>
    <t>$ 37.128,00</t>
  </si>
  <si>
    <t>$ 30.688,00</t>
  </si>
  <si>
    <t>NAC3MX-W-TOP</t>
  </si>
  <si>
    <t xml:space="preserve">Cable end - powerCON TRUE1 TOP - male - power in - screw terminals - IP 65 and UV rated
</t>
  </si>
  <si>
    <t>NAC3FCA</t>
  </si>
  <si>
    <t>Conector a cable c/ traba</t>
  </si>
  <si>
    <t>$ 25.648,00</t>
  </si>
  <si>
    <t>$ 21.196,00</t>
  </si>
  <si>
    <t>NAC3MPA</t>
  </si>
  <si>
    <t>Conector a Chasis</t>
  </si>
  <si>
    <t>$ 10.640,00</t>
  </si>
  <si>
    <t>NAC3FCB</t>
  </si>
  <si>
    <t>NAC3MPB</t>
  </si>
  <si>
    <t>$ 12.712,00</t>
  </si>
  <si>
    <t>$ 10.514,00</t>
  </si>
  <si>
    <t>NAC3FX</t>
  </si>
  <si>
    <t>Conector Hembra para Cable 16/20 A . Capacidad para conectarse y desconectarse con carga.</t>
  </si>
  <si>
    <t>NAC3MX</t>
  </si>
  <si>
    <t>Conector Macho para Cable 16/20 A .Capacidad para conectarse y desconectarse con carga.</t>
  </si>
  <si>
    <t>NAC3FPX</t>
  </si>
  <si>
    <t>Conector Hembra para Chasis 16 A . Capacidad para conectarse y desconectarse con carga.</t>
  </si>
  <si>
    <t>$ 30.282,00</t>
  </si>
  <si>
    <t>$ 25.032,00</t>
  </si>
  <si>
    <t>NAC3MPX</t>
  </si>
  <si>
    <t>Conector Macho para Chasis 16 A .Capacidad para conectarse y desconectarse con carga.</t>
  </si>
  <si>
    <t>$ 16.758,00</t>
  </si>
  <si>
    <t>NAC3PX</t>
  </si>
  <si>
    <t>Cupla-Adaptador Macho -hembra</t>
  </si>
  <si>
    <t>$ 40.964,00</t>
  </si>
  <si>
    <t>$ 33.852,00</t>
  </si>
  <si>
    <t>NAC3FC-HC</t>
  </si>
  <si>
    <t>Conector a cable c/ traba 32 Amp.</t>
  </si>
  <si>
    <t>$ 81.858,00</t>
  </si>
  <si>
    <t>$ 67.662,00</t>
  </si>
  <si>
    <t>NAC3MP-HC</t>
  </si>
  <si>
    <t>Conector a chasis c/ traba 32 Amp.</t>
  </si>
  <si>
    <t>$ 50.008,00</t>
  </si>
  <si>
    <t>$ 41.328,00</t>
  </si>
  <si>
    <t>NAC3MM</t>
  </si>
  <si>
    <t>PowerCON NAC3MPA-1 (entrada) - powerCON NAC3MPB-1 (salida), adaptador para cables</t>
  </si>
  <si>
    <t>$ 73.514,00</t>
  </si>
  <si>
    <t>$ 60.760,00</t>
  </si>
  <si>
    <t>ETHERCON</t>
  </si>
  <si>
    <t>NE8FDY-C6-B</t>
  </si>
  <si>
    <t>Receptacle etherCON CAT6 D series - IDC termination; no tool required- black. NOTE! etherCON CAT6 only. Not compatible with etherCON NE8MX* CAT5 / CAT6A cable ends</t>
  </si>
  <si>
    <t>$ 116.032,00</t>
  </si>
  <si>
    <t>$ 95.900,00</t>
  </si>
  <si>
    <t>NE8MC</t>
  </si>
  <si>
    <t>Ethercon a Cable, para RJ45 ya crimpeado.</t>
  </si>
  <si>
    <t>$ 40.642,00</t>
  </si>
  <si>
    <t>$ 33.586,00</t>
  </si>
  <si>
    <t>NE8MC-1</t>
  </si>
  <si>
    <t>Ethercon a Cable</t>
  </si>
  <si>
    <t>NE8MX-1</t>
  </si>
  <si>
    <r>
      <rPr>
        <rFont val="Calibri"/>
        <b/>
        <color rgb="FFFF0000"/>
      </rPr>
      <t xml:space="preserve">Nuevo! </t>
    </r>
    <r>
      <rPr>
        <rFont val="Calibri"/>
        <color theme="1"/>
      </rPr>
      <t>Cable connector carrier X series etherCON CAT5 and CAT6A - nickel - requires RJ45, for unterminated cable</t>
    </r>
  </si>
  <si>
    <t>$ 11.158,00</t>
  </si>
  <si>
    <t>$ 9.226,00</t>
  </si>
  <si>
    <t>NE8FAV</t>
  </si>
  <si>
    <t>Ethercon a Chasis para Impreso Horizontal</t>
  </si>
  <si>
    <t>$ 16.002,00</t>
  </si>
  <si>
    <t>$ 13.230,00</t>
  </si>
  <si>
    <t>NE8FAH</t>
  </si>
  <si>
    <t>Ethercon a Chasis para Impreso Vertical</t>
  </si>
  <si>
    <t>NE8FDV-YK</t>
  </si>
  <si>
    <t>Ethercon a Chasis para crimpar</t>
  </si>
  <si>
    <t>$ 36.274,00</t>
  </si>
  <si>
    <t>$ 29.974,00</t>
  </si>
  <si>
    <t>NE8FDP</t>
  </si>
  <si>
    <t>Ethercon a Chasis</t>
  </si>
  <si>
    <t>$ 40.264,00</t>
  </si>
  <si>
    <t>$ 33.278,00</t>
  </si>
  <si>
    <t>NE8MX6</t>
  </si>
  <si>
    <t>Ethercon a Cable, CAT5 incluye conector.</t>
  </si>
  <si>
    <t>$ 55.398,00</t>
  </si>
  <si>
    <t>$ 45.794,00</t>
  </si>
  <si>
    <t>NE8FFX6</t>
  </si>
  <si>
    <t>Adaptador Ethercon</t>
  </si>
  <si>
    <t>$ 124.866,00</t>
  </si>
  <si>
    <t>$ 103.194,00</t>
  </si>
  <si>
    <t>CABLES ETHERNET</t>
  </si>
  <si>
    <t>NKE5E-E1E1-M0050</t>
  </si>
  <si>
    <t>Patch Cable- etherFLEX® TOP CAT5e, 5M</t>
  </si>
  <si>
    <t>$ 379.946,00</t>
  </si>
  <si>
    <t>$ 314.006,00</t>
  </si>
  <si>
    <t>NKE5E-E1E1-M0150</t>
  </si>
  <si>
    <t>Patch Cable- etherFLEX® TOP CAT5e, 10M</t>
  </si>
  <si>
    <t>$ 500.290,00</t>
  </si>
  <si>
    <t>$ 413.462,00</t>
  </si>
  <si>
    <t>BNC A CABLE</t>
  </si>
  <si>
    <t>NBNC75BLP7</t>
  </si>
  <si>
    <t>Conector BNC a cable 75 Ohms rearTWIST aplicación HD para: Belden 8241, CAE KX6A, Canare LV-61S, Cordial CVI (CVM) 06-37, CommScope 5563, Draka 0.6/3.7, Draka 0.6L/3.7, Proel HPC 805, RG59B/U, Sommer 600-0051 (M,L,S), Sommer 600-0054 (M,L,S), Klotz V06/37, Nexans HF 75 0,6/3,7 2YCY, Percon VK95.</t>
  </si>
  <si>
    <t>NBNC75BLP9</t>
  </si>
  <si>
    <t>Conector BNC a cable 75 Ohms rearTWIST aplicación HD para: Argosy Image 720, Belden 1505A (ANH), Belden 4505R, Belden 8241F, CAE HD08370LSZH, Canare L-4CFB, Clark Wire CD7559-0, Clark Wire CD7559F-0, CommScope 5565, Draka 0.8/3.7 AF, Draka 755-801, Draka 755-803, Draka 755-804, Gepco VPM2000, Proel HPC 810, Suhner S0426, Sommer 600-0451, Sommer 600-162(F), Percon VK6.</t>
  </si>
  <si>
    <t>NBNC75PNS7</t>
  </si>
  <si>
    <t>Conector BNC a cable 75 Ohms Push Pull , para BELDEN : 8241 , RG59 , CANARE : LV-61S.</t>
  </si>
  <si>
    <t>$ 9.814,00</t>
  </si>
  <si>
    <t>$ 8.106,00</t>
  </si>
  <si>
    <t>NBNC75BTU11</t>
  </si>
  <si>
    <t>Conector BNC a cable 75 Ohms rearTWIST aplicación HD para: Belden 1694A (ANH), Belden 4694R, Bryant BD SD11, Canare L-4.5CHD, Clark Wire CD7506-0, CommScope 5765, Gepco VSD2001, Suhner S05163-02, Suhner S05133-07, Percon VK77.</t>
  </si>
  <si>
    <t>NBNC75BDD6X</t>
  </si>
  <si>
    <t>Diseñados específicamente para transmisiones de señal de video de alta resolución. Presentan valores bajos de pérdida de retorno para señales 4K y 8K. Cables adecuados: Belden 1855A, CommScope 7538. Cables UHD optimizados: Belden 4855R, Clark Wire CD7523, Gepco VDM230.</t>
  </si>
  <si>
    <t>$ 12.390,00</t>
  </si>
  <si>
    <t>$ 10.248,00</t>
  </si>
  <si>
    <t>NBNC75BUU11X</t>
  </si>
  <si>
    <t>Diseñados específicamente para transmisiones de señal de video de alta resolución. Presentan valores bajos de pérdida de retorno para señales 4K y 8K. Cables adecuados: Cordial CVI 10-48 HD, Draka 1.0/4.8 AF, Draka 755-901/5, Percon VK7. Cables UHD optimizados: Argosy Image 1000, Klotz V10/48, Klotz V10/48H, TMB-ProPlex RG6.</t>
  </si>
  <si>
    <t>BNC A CHASIS</t>
  </si>
  <si>
    <t>NBB75FI</t>
  </si>
  <si>
    <t>Conector BNC a chasis Loop Through</t>
  </si>
  <si>
    <t>$ 28.672,00</t>
  </si>
  <si>
    <t>$ 23.702,00</t>
  </si>
  <si>
    <t>NBB75DFIX</t>
  </si>
  <si>
    <t xml:space="preserve">Receptacle - UHD BNC - D style - feedthrough - isolated - antraloy - 75 Ohm
</t>
  </si>
  <si>
    <t>$ 39.396,00</t>
  </si>
  <si>
    <t>$ 32.564,00</t>
  </si>
  <si>
    <t>NBB75DFI</t>
  </si>
  <si>
    <t>Conector BNC a chasis Aislado Feedthrough</t>
  </si>
  <si>
    <t>NBB75DFG</t>
  </si>
  <si>
    <t>Grounded BNC chassis connector</t>
  </si>
  <si>
    <t>$ 37.296,00</t>
  </si>
  <si>
    <t>$ 30.828,00</t>
  </si>
  <si>
    <t>NBB75DFGX</t>
  </si>
  <si>
    <t>Receptacle - BNC - D style - feedthrough - grounded - antraloy - 75 Ohm UHD</t>
  </si>
  <si>
    <t>$ 37.562,00</t>
  </si>
  <si>
    <t>$ 31.038,00</t>
  </si>
  <si>
    <t>HDMI</t>
  </si>
  <si>
    <t>NAHDMI-W</t>
  </si>
  <si>
    <t>CONECTOR HDMI a Chasis</t>
  </si>
  <si>
    <t>$ 56.210,00</t>
  </si>
  <si>
    <t>$ 46.452,00</t>
  </si>
  <si>
    <t>USB</t>
  </si>
  <si>
    <t>NKUSB-1</t>
  </si>
  <si>
    <t>Cable USB tipo A a tipo B</t>
  </si>
  <si>
    <t>$ 103.852,00</t>
  </si>
  <si>
    <t>$ 85.834,00</t>
  </si>
  <si>
    <t>NAUSB-W</t>
  </si>
  <si>
    <t>CONECTOR USB a Chasis</t>
  </si>
  <si>
    <t>$ 22.414,00</t>
  </si>
  <si>
    <t>$ 18.522,00</t>
  </si>
  <si>
    <t>NAUSB3</t>
  </si>
  <si>
    <t>CONECTOR USB 3.0 Tipo A o B a Chasis</t>
  </si>
  <si>
    <t>$ 38.528,00</t>
  </si>
  <si>
    <t>$ 31.850,00</t>
  </si>
  <si>
    <t>NMC-C</t>
  </si>
  <si>
    <t>Conector USB Type C a chasis con traba.</t>
  </si>
  <si>
    <t>$ 19.782,00</t>
  </si>
  <si>
    <t>$ 16.352,00</t>
  </si>
  <si>
    <t>NMC-C-HR</t>
  </si>
  <si>
    <t>Chasis USB Type-C bloqueable con receptáculo integral USB IF aprobado</t>
  </si>
  <si>
    <t>$ 28.182,00</t>
  </si>
  <si>
    <t>$ 23.296,00</t>
  </si>
  <si>
    <t>FIBRA ÓPTICA</t>
  </si>
  <si>
    <t>NOSR-2C-L-ARD</t>
  </si>
  <si>
    <t>$ 23.072,00</t>
  </si>
  <si>
    <t>$ 19.068,00</t>
  </si>
  <si>
    <t>NOSR-4C-A-ARD</t>
  </si>
  <si>
    <t>NOSR-4C-L-ARD</t>
  </si>
  <si>
    <t>$ 21.560,00</t>
  </si>
  <si>
    <t>$ 17.822,00</t>
  </si>
  <si>
    <t>NO2SX-A-KIT</t>
  </si>
  <si>
    <t>NO2SX-L-KIT</t>
  </si>
  <si>
    <t>$ 149.772,00</t>
  </si>
  <si>
    <t>$ 123.774,00</t>
  </si>
  <si>
    <t>NO4MX-A-KIT</t>
  </si>
  <si>
    <t>$ 645.218,00</t>
  </si>
  <si>
    <t>$ 533.232,00</t>
  </si>
  <si>
    <t>NO4SF-KIT</t>
  </si>
  <si>
    <t>$ 69.146,00</t>
  </si>
  <si>
    <t>$ 57.148,00</t>
  </si>
  <si>
    <t>NO4SX-L-KIT</t>
  </si>
  <si>
    <t>$ 190.078,00</t>
  </si>
  <si>
    <t>$ 157.094,00</t>
  </si>
  <si>
    <t>NOSR-S1-A-ARD</t>
  </si>
  <si>
    <t>$ 40.306,00</t>
  </si>
  <si>
    <t>$ 33.320,00</t>
  </si>
  <si>
    <t>NO2-4FDW-A</t>
  </si>
  <si>
    <t>Conector FIBRA OPTICA CHASIS</t>
  </si>
  <si>
    <t>$ 371.000,00</t>
  </si>
  <si>
    <t>$ 306.614,00</t>
  </si>
  <si>
    <t>NO4-FDW-A</t>
  </si>
  <si>
    <t>$ 359.254,00</t>
  </si>
  <si>
    <t>$ 296.912,00</t>
  </si>
  <si>
    <t xml:space="preserve">NKO2M-A-2-0150MT
</t>
  </si>
  <si>
    <t>ADVANCED OPTICALCON DUO/DUO OM3 2F FIELD TACTICAL ASSEMBLY W/GT310.RM REEL+CLAMP 150MT</t>
  </si>
  <si>
    <t>$ 5.659.962,00</t>
  </si>
  <si>
    <t>$ 5.122.138,00</t>
  </si>
  <si>
    <t>DANTE</t>
  </si>
  <si>
    <t>NA2-IO-DPRO</t>
  </si>
  <si>
    <t>The NA2-IO-DPRO is a 2IN, 2OUT breakout box designed to connect legacy audio equipment with the Dante® network. It features high-quality microphone preamps and 2 Dante® ports for either redundant setup or daisy chaining. Audio parameters are adjusted either by Neutrik's DPRO controller or a number of common control software.</t>
  </si>
  <si>
    <t>$ 2.173.920,00</t>
  </si>
  <si>
    <t>FIREWIRE</t>
  </si>
  <si>
    <t>NA1394-6-W</t>
  </si>
  <si>
    <t>Conector FIREWIRE a CHASIS</t>
  </si>
  <si>
    <t>$ 31.528,00</t>
  </si>
  <si>
    <t>$ 26.054,00</t>
  </si>
  <si>
    <t>PATCHERAS / PATCHCORDS</t>
  </si>
  <si>
    <t>NKTT12-R</t>
  </si>
  <si>
    <t>Patch Cable TT nickel crimp/solder 4'- red</t>
  </si>
  <si>
    <t>$ 80.514,00</t>
  </si>
  <si>
    <t>$ 66.542,00</t>
  </si>
  <si>
    <t>NKTT12-B</t>
  </si>
  <si>
    <t>Patch Cable TT nickel crimp/solder 4'- black</t>
  </si>
  <si>
    <t>NPPA-TT-S</t>
  </si>
  <si>
    <t>Pachera jack Bantam 2x48 ;semi-normalizada ;1U rack ; p / soldar</t>
  </si>
  <si>
    <t>$ 3.644.522,00</t>
  </si>
  <si>
    <t>$ 3.012.002,00</t>
  </si>
  <si>
    <t>NPPA-TT-PT</t>
  </si>
  <si>
    <t>Pachera jack Bantam 2x48 ; programable ; 1U rack ; p / crimpear</t>
  </si>
  <si>
    <t>$ 4.612.510,00</t>
  </si>
  <si>
    <t>$ 3.811.990,00</t>
  </si>
  <si>
    <t>NPP-TB</t>
  </si>
  <si>
    <t>Pachera jack Telef. 2x24; programable : p / crimpear</t>
  </si>
  <si>
    <t>$ 4.154.304,00</t>
  </si>
  <si>
    <t>$ 3.433.304,00</t>
  </si>
  <si>
    <t>NPP-TB-HN</t>
  </si>
  <si>
    <t>Pachera jack Telef. 2x24 Semi normalizado para soldar</t>
  </si>
  <si>
    <t>$ 2.311.190,00</t>
  </si>
  <si>
    <t>$ 1.910.076,00</t>
  </si>
  <si>
    <t>NKTT03BU</t>
  </si>
  <si>
    <t>Patch Cord bantam 30cm</t>
  </si>
  <si>
    <t>$ 70.056,00</t>
  </si>
  <si>
    <t>$ 57.904,00</t>
  </si>
  <si>
    <t>NKTT05RD</t>
  </si>
  <si>
    <t>Patch Cord bantam 60cm</t>
  </si>
  <si>
    <t>$ 73.836,00</t>
  </si>
  <si>
    <t>$ 61.026,00</t>
  </si>
  <si>
    <t>NKTT05BU</t>
  </si>
  <si>
    <t>NKTB05-R</t>
  </si>
  <si>
    <t>Patch Cord telefonico 60cm</t>
  </si>
  <si>
    <t>$ 99.806,00</t>
  </si>
  <si>
    <t>$ 82.488,00</t>
  </si>
  <si>
    <t>NKTB05-B</t>
  </si>
  <si>
    <t>$ 101.864,00</t>
  </si>
  <si>
    <t>$ 84.182,00</t>
  </si>
  <si>
    <t>NP3TT-P-B</t>
  </si>
  <si>
    <t>Plug Bantam</t>
  </si>
  <si>
    <t>NP3TB-R</t>
  </si>
  <si>
    <t>Plug telefonico BPO 316 Metal</t>
  </si>
  <si>
    <t>GOOSENECK</t>
  </si>
  <si>
    <t>GN18</t>
  </si>
  <si>
    <t>Gooseneck only, 230 mm length, 12 mm diameter</t>
  </si>
  <si>
    <t>$ 75.236,00</t>
  </si>
  <si>
    <t>$ 62.174,00</t>
  </si>
  <si>
    <t>CABLES USB Type-C</t>
  </si>
  <si>
    <t>NMK-20U-0.5</t>
  </si>
  <si>
    <t>Cable USB Type-C 0,5m</t>
  </si>
  <si>
    <t>$ 170.520,00</t>
  </si>
  <si>
    <t>$ 140.924,00</t>
  </si>
  <si>
    <t>NMK-20U-1</t>
  </si>
  <si>
    <t>Cable USB Type-C 1m</t>
  </si>
  <si>
    <t>$ 211.372,00</t>
  </si>
  <si>
    <t>$ 174.692,00</t>
  </si>
  <si>
    <t>RCA A CABLE</t>
  </si>
  <si>
    <t>NYS352</t>
  </si>
  <si>
    <t>Conector RCA Metal</t>
  </si>
  <si>
    <t>$ 3.612,00</t>
  </si>
  <si>
    <t>$ 2.982,00</t>
  </si>
  <si>
    <t>NYS373-0</t>
  </si>
  <si>
    <t>Conector RCA Metal de color Negro.</t>
  </si>
  <si>
    <t>NYS373-2</t>
  </si>
  <si>
    <t>Conector RCA Metal de color Rojo.</t>
  </si>
  <si>
    <t>$ 4.844,00</t>
  </si>
  <si>
    <t>$ 4.004,00</t>
  </si>
  <si>
    <t>NYS373-5</t>
  </si>
  <si>
    <t>Conector RCA Metal de color Verde.</t>
  </si>
  <si>
    <t>$ 6.734,00</t>
  </si>
  <si>
    <t>$ 5.572,00</t>
  </si>
  <si>
    <t>NF2C-B/2</t>
  </si>
  <si>
    <t>Par de conectores RCA profesionales</t>
  </si>
  <si>
    <t>$ 66.500,00</t>
  </si>
  <si>
    <t>$ 54.964,00</t>
  </si>
  <si>
    <t>NYS367-0</t>
  </si>
  <si>
    <t>Conector RCA a Chasis Negro.</t>
  </si>
  <si>
    <t>NYS367-2</t>
  </si>
  <si>
    <t>Conector RCA a Chasis Rojo.</t>
  </si>
  <si>
    <t>NYS237</t>
  </si>
  <si>
    <t>Adaptador metalico mono Plug/Plug 1/4</t>
  </si>
  <si>
    <t>$ 4.690,00</t>
  </si>
  <si>
    <t>$ 3.878,00</t>
  </si>
  <si>
    <t>NYS-SPP-L</t>
  </si>
  <si>
    <t>Pachera Jack 1/4 2x24 ; 1U rack</t>
  </si>
  <si>
    <t>$ 354.732,00</t>
  </si>
  <si>
    <t>$ 293.160,00</t>
  </si>
  <si>
    <t>RCEM-Z-000-0</t>
  </si>
  <si>
    <t>Ethernet M CONN/CBL FOR RJ45 IP65 NICKEL cable</t>
  </si>
  <si>
    <t>$ 5.978,00</t>
  </si>
  <si>
    <t>$ 4.942,00</t>
  </si>
  <si>
    <t>RRE8F-Z-000-0</t>
  </si>
  <si>
    <t>Ethernet FEM RJ45 RCPT D-FLNG IP65 GOLD/NICKEL chasis</t>
  </si>
  <si>
    <t>$ 25.438,00</t>
  </si>
  <si>
    <t>$ 21.028,00</t>
  </si>
  <si>
    <t>RE8MY-1</t>
  </si>
  <si>
    <t>Conectores Ethernet RJ45 CBL CONN BLACK - BAG</t>
  </si>
  <si>
    <t>$ 4.312,00</t>
  </si>
  <si>
    <t>$ 3.570,00</t>
  </si>
  <si>
    <t>RE8MY-1-D</t>
  </si>
  <si>
    <t>Conectores Ethernet RJ45 CBL CONN BLACK - BAG CAJA DE 100 UNIDADES</t>
  </si>
  <si>
    <t>$ 5.600,00</t>
  </si>
  <si>
    <t>$ 4.634,00</t>
  </si>
  <si>
    <t>RC3F-D</t>
  </si>
  <si>
    <t>XLR-3 Cont. Hembra a cable (plateado p/soldar).Caja de 100 Unidades Sin packaging individual - SOLO SE VENDE CAJA CERRADA.</t>
  </si>
  <si>
    <t>$ 6.468,00</t>
  </si>
  <si>
    <t>$ 5.348,00</t>
  </si>
  <si>
    <t>RC3M-D</t>
  </si>
  <si>
    <t>XLR-3 Cont. Macho a cable (plateado p/soldar). Caja de 100 Unidades Sin Packaging individual. - SOLO SE VENDE CAJA CERRADA</t>
  </si>
  <si>
    <t>RC3F</t>
  </si>
  <si>
    <t>$ 8.736,00</t>
  </si>
  <si>
    <t>$ 7.210,00</t>
  </si>
  <si>
    <t>RC3M</t>
  </si>
  <si>
    <t>$ 6.202,00</t>
  </si>
  <si>
    <t>$ 5.124,00</t>
  </si>
  <si>
    <t>RC3F-B</t>
  </si>
  <si>
    <t>REAN™ XLR cable connector, 3-pole female, black/gold</t>
  </si>
  <si>
    <t>$ 7.546,00</t>
  </si>
  <si>
    <t>$ 6.230,00</t>
  </si>
  <si>
    <t>RC3F-BAG-D</t>
  </si>
  <si>
    <t>REAN™ XLR cable connector, 3-pole female, black/silver, bulk 100U</t>
  </si>
  <si>
    <t>$ 662.900,00</t>
  </si>
  <si>
    <t>$ 547.848,00</t>
  </si>
  <si>
    <t>RC3M-B</t>
  </si>
  <si>
    <t>REAN™ XLR cable connector, 3-pole male, black/gold</t>
  </si>
  <si>
    <t>$ 5.922,00</t>
  </si>
  <si>
    <t>$ 4.900,00</t>
  </si>
  <si>
    <t>RC3M-BAG-D</t>
  </si>
  <si>
    <t>REAN™ XLR cable connector, 3-pole male, black/silver, bulk 100U</t>
  </si>
  <si>
    <t>$ 6.356,00</t>
  </si>
  <si>
    <t>$ 5.250,00</t>
  </si>
  <si>
    <t>RC5F-D</t>
  </si>
  <si>
    <t>XLR-5 Cont. Hembra a cable.CAJA DE 100 UNIDADES  Sin packaging individual.</t>
  </si>
  <si>
    <t>$ 14.070,00</t>
  </si>
  <si>
    <t>$ 11.620,00</t>
  </si>
  <si>
    <t>RC5M-D</t>
  </si>
  <si>
    <t>XLR-5 Cont. Macho a cable.CAJA DE 100 UNIDADES Sin packaging individual.</t>
  </si>
  <si>
    <t>$ 7.434,00</t>
  </si>
  <si>
    <t>$ 6.146,00</t>
  </si>
  <si>
    <t>RC5F</t>
  </si>
  <si>
    <t>XLR-5 Cont. Hembra a cable (plateado p/soldar cable)</t>
  </si>
  <si>
    <t>RC5M</t>
  </si>
  <si>
    <t>XLR-5 Cont. Macho a cable (plateado p/soldar cable)</t>
  </si>
  <si>
    <t>RC3FDL</t>
  </si>
  <si>
    <t>RC3MDL</t>
  </si>
  <si>
    <t>RRX3F-Z</t>
  </si>
  <si>
    <t>REAN™ XLR chassis connector, 3-pole female, Z series, IP65, D-size flange, chrome/tin, bulk 100U</t>
  </si>
  <si>
    <t>$ 1.115.604,00</t>
  </si>
  <si>
    <t>$ 921.984,00</t>
  </si>
  <si>
    <t>RC5FDL</t>
  </si>
  <si>
    <t>XLR-5 Cont. Hembra a chasis (cuadrado) (plateado p/soldar cable)</t>
  </si>
  <si>
    <t>RC5MDL</t>
  </si>
  <si>
    <t>XLR-5 Cont. Macho a chasis (cuadrado) (plateado p/soldar cable)</t>
  </si>
  <si>
    <t>$ 15.624,00</t>
  </si>
  <si>
    <t>RCJ6FI-H</t>
  </si>
  <si>
    <t>$ 5.796,00</t>
  </si>
  <si>
    <t>RCJ6FI-V</t>
  </si>
  <si>
    <t>$ 6.090,00</t>
  </si>
  <si>
    <t>$ 5.040,00</t>
  </si>
  <si>
    <t>NYS201</t>
  </si>
  <si>
    <t>Plug 1/4 Mono Metal (económico)</t>
  </si>
  <si>
    <t>$ 4.368,00</t>
  </si>
  <si>
    <t>NYS202</t>
  </si>
  <si>
    <t>Plug 1/4 Stereo Metal (económico)</t>
  </si>
  <si>
    <t>$ 4.676,00</t>
  </si>
  <si>
    <t>NYS207</t>
  </si>
  <si>
    <t>Plug 1/4 Mono 90gr Metal (económico)</t>
  </si>
  <si>
    <t>$ 4.746,00</t>
  </si>
  <si>
    <t>$ 3.920,00</t>
  </si>
  <si>
    <t>NYS231</t>
  </si>
  <si>
    <t>Miniplug 1/8 Stereo Metal (económico)</t>
  </si>
  <si>
    <t>$ 3.234,00</t>
  </si>
  <si>
    <t>$ 2.674,00</t>
  </si>
  <si>
    <t>NYS2203P</t>
  </si>
  <si>
    <t>REAN™ Cable Jack 1/4" stereo - nickel/silver, w/Solder Terminals, Max cable OD 6mm</t>
  </si>
  <si>
    <t>$ 8.190,00</t>
  </si>
  <si>
    <t>$ 6.776,00</t>
  </si>
  <si>
    <t>RP2C-D</t>
  </si>
  <si>
    <t>Plug 1/4 Mono (metal).CAJA DE 100 UNIDADES Sin packaging individual.</t>
  </si>
  <si>
    <t>$ 5.390,00</t>
  </si>
  <si>
    <t>$ 4.452,00</t>
  </si>
  <si>
    <t>RP2C</t>
  </si>
  <si>
    <t>$ 7.700,00</t>
  </si>
  <si>
    <t>$ 6.370,00</t>
  </si>
  <si>
    <t>RTP3C-BAG</t>
  </si>
  <si>
    <t>REAN™ straight plug 3.5 mm stereo - black/nickel</t>
  </si>
  <si>
    <t>$ 5.446,00</t>
  </si>
  <si>
    <t>$ 4.494,00</t>
  </si>
  <si>
    <t>RP3C-D</t>
  </si>
  <si>
    <t>Plug 1/4 Stereo (metal).CAJA DE 100 UNIDADES Sin packaging individual.</t>
  </si>
  <si>
    <t>$ 9.912,00</t>
  </si>
  <si>
    <t>RP3C</t>
  </si>
  <si>
    <t>Plug 1/4 Stereo (metal)</t>
  </si>
  <si>
    <t>RP2RC</t>
  </si>
  <si>
    <t>RP3RC</t>
  </si>
  <si>
    <t>$ 14.770,00</t>
  </si>
  <si>
    <t>$ 12.208,00</t>
  </si>
  <si>
    <t>NYS208</t>
  </si>
  <si>
    <t>RTP3C</t>
  </si>
  <si>
    <t>Miniplug 1/8 Stereo Metal</t>
  </si>
  <si>
    <t>RP2RCF-D</t>
  </si>
  <si>
    <t>Plug 1/4 Mono en ángulo recto con cabeza plana CAJA DE 100 UNIDADES</t>
  </si>
  <si>
    <t>NYS240L</t>
  </si>
  <si>
    <t>Miniplug 1/8 Stereo Hembra</t>
  </si>
  <si>
    <t>$ 3.766,00</t>
  </si>
  <si>
    <t>$ 3.122,00</t>
  </si>
  <si>
    <t>JACK REAN</t>
  </si>
  <si>
    <t>NYS212</t>
  </si>
  <si>
    <t>Jack 1/4 stereo plastico vertical.</t>
  </si>
  <si>
    <t>$ 2.590,00</t>
  </si>
  <si>
    <t>$ 2.142,00</t>
  </si>
  <si>
    <t>NYS212/2</t>
  </si>
  <si>
    <t>Jack 1/4 mono plastico vertical.</t>
  </si>
  <si>
    <t>$ 2.366,00</t>
  </si>
  <si>
    <t>$ 1.960,00</t>
  </si>
  <si>
    <t>NYS215</t>
  </si>
  <si>
    <t>Jack 1/4 stereo plastico Horizontal. (paralelo al PCB)</t>
  </si>
  <si>
    <t>$ 3.024,00</t>
  </si>
  <si>
    <t>$ 2.492,00</t>
  </si>
  <si>
    <t>NYS216</t>
  </si>
  <si>
    <t>Jack 1/4 stereo plastico vertical. (perpend. al PCB)</t>
  </si>
  <si>
    <t>$ 1.610,00</t>
  </si>
  <si>
    <t>$ 1.330,00</t>
  </si>
  <si>
    <t>NYS229</t>
  </si>
  <si>
    <t>Jack Mono 1/4¨ Metalico abierto</t>
  </si>
  <si>
    <t>NYS230</t>
  </si>
  <si>
    <t>Jack Stereo 1/4¨ Metalico abierto</t>
  </si>
  <si>
    <t>$ 4.256,00</t>
  </si>
  <si>
    <t>$ 3.514,00</t>
  </si>
  <si>
    <t>SEPAKON</t>
  </si>
  <si>
    <t>RCLS4F-G-000-0</t>
  </si>
  <si>
    <r>
      <rPr>
        <rFont val="Calibri"/>
        <color theme="1"/>
      </rPr>
      <t xml:space="preserve">REAN™ loudspeaker cable connector, 4 pole, green, </t>
    </r>
    <r>
      <rPr>
        <rFont val="Calibri"/>
        <b/>
        <color rgb="FFFF0000"/>
      </rPr>
      <t>bulk 100U 100U</t>
    </r>
  </si>
  <si>
    <t>$ 1.455.132,00</t>
  </si>
  <si>
    <t>$ 1.202.586,00</t>
  </si>
  <si>
    <t>RCLS4F-G-000-1</t>
  </si>
  <si>
    <t>REAN™ loudspeaker cable connector, 4 pole, green</t>
  </si>
  <si>
    <t>RLS4FC</t>
  </si>
  <si>
    <t>$ 13.468,00</t>
  </si>
  <si>
    <t>$ 11.130,00</t>
  </si>
  <si>
    <t>POWERCON A CABLE</t>
  </si>
  <si>
    <t>RCAC3I-G</t>
  </si>
  <si>
    <t>3 pole AC power inlet connector CAJA DE 100 UNIDADES</t>
  </si>
  <si>
    <t>RCAC3O-G</t>
  </si>
  <si>
    <t>3 pole AC power outlet connector CAJA DE 100 UNIDADES</t>
  </si>
  <si>
    <t>RCAC3F-X</t>
  </si>
  <si>
    <r>
      <rPr>
        <rFont val="Calibri"/>
        <color theme="1"/>
      </rPr>
      <t xml:space="preserve">REAN™ power X series - cable connector, female - power out - screw terminals - IP65, </t>
    </r>
    <r>
      <rPr>
        <rFont val="Calibri"/>
        <b/>
        <color rgb="FFFF0000"/>
      </rPr>
      <t>bulk 100U 100U</t>
    </r>
  </si>
  <si>
    <t>$ 2.101.862,00</t>
  </si>
  <si>
    <t>$ 1.737.078,00</t>
  </si>
  <si>
    <t>RCAC3M-X</t>
  </si>
  <si>
    <r>
      <rPr>
        <rFont val="Calibri"/>
        <color theme="1"/>
      </rPr>
      <t xml:space="preserve">REAN™ power X series - cable connector, male - power in - screw terminals - IP65, </t>
    </r>
    <r>
      <rPr>
        <rFont val="Calibri"/>
        <b/>
        <color rgb="FFFF0000"/>
      </rPr>
      <t>bulk 100U 100U</t>
    </r>
  </si>
  <si>
    <t>$ 1.778.490,00</t>
  </si>
  <si>
    <t>$ 1.469.832,00</t>
  </si>
  <si>
    <t>POWERCON A CHASIS</t>
  </si>
  <si>
    <t>RRAC3I-G</t>
  </si>
  <si>
    <t>3 pole AC power outlet receptacle with D-Size mounting flange which can be mounted from the front and the rear CAJA DE 100 UNIDADES</t>
  </si>
  <si>
    <t>$ 7.224,00</t>
  </si>
  <si>
    <t>$ 5.964,00</t>
  </si>
  <si>
    <t>RRAC3O-G</t>
  </si>
  <si>
    <t>RRAC3F-X</t>
  </si>
  <si>
    <r>
      <rPr>
        <rFont val="Calibri"/>
        <color theme="1"/>
      </rPr>
      <t xml:space="preserve">Receptacle - REAN™ power X series - female - power out - 1/4" flat tab terminals - IP65, </t>
    </r>
    <r>
      <rPr>
        <rFont val="Calibri"/>
        <b/>
        <color rgb="FFFF0000"/>
      </rPr>
      <t>bulk 100U 100U</t>
    </r>
  </si>
  <si>
    <t>$ 1.401.246,00</t>
  </si>
  <si>
    <t>$ 1.158.052,00</t>
  </si>
  <si>
    <t>RRAC3M-X</t>
  </si>
  <si>
    <t>Receptacle - REAN™ power X series - male - power in - 1/4" flat tab terminals - IP65, bulk 100U</t>
  </si>
  <si>
    <t>$ 754.516,00</t>
  </si>
  <si>
    <t>$ 623.560,00</t>
  </si>
  <si>
    <t>NA-4I4O-AES72</t>
  </si>
  <si>
    <t>AES72 Type 4E stagebox, 4 in/out, removeable rubber cover</t>
  </si>
  <si>
    <t>$ 631.204,00</t>
  </si>
  <si>
    <t>$ 571.228,00</t>
  </si>
  <si>
    <t>RACK PANEL</t>
  </si>
  <si>
    <t>NRP1RU-2A</t>
  </si>
  <si>
    <t>Rack panel, 19 " 1RU, accepts 1 or 2 NA2-IO-DLINE plus 4 D-shape chassis connectors (not included); black</t>
  </si>
  <si>
    <t>$ 137.102,00</t>
  </si>
  <si>
    <t>$ 113.316,00</t>
  </si>
  <si>
    <t>NZP1RU-12</t>
  </si>
  <si>
    <t>Rack panel, angled 30 degrees, 19 " 1RU, accepts up to 12 Neutrik D-shape chassis connectors (not included); black</t>
  </si>
  <si>
    <t>$ 330.050,00</t>
  </si>
  <si>
    <t>$ 272.762,00</t>
  </si>
  <si>
    <t>NZP1RU-8</t>
  </si>
  <si>
    <t>Rack panel, angled 30 degrees, 19 " 1RU, accepts up to 8 Neutrik D-shape chassis connectors (not included); black</t>
  </si>
  <si>
    <t>$ 318.080,00</t>
  </si>
  <si>
    <t>$ 262.878,00</t>
  </si>
  <si>
    <t>TINY XLR 3-4-5 PIN</t>
  </si>
  <si>
    <t>RT3FC-B-D</t>
  </si>
  <si>
    <t>REAN™  TINY cable connector 3-pole, female, black housing, gold plated contacts; Industrial bulk 100U packaging, disassembled version,100pcs/carton; bulk 100U</t>
  </si>
  <si>
    <t>$ 592.830,00</t>
  </si>
  <si>
    <t>$ 489.944,00</t>
  </si>
  <si>
    <t>RT3MC-B-D</t>
  </si>
  <si>
    <t>REAN™ Tiny XLR cable connector, 3-pole, male, black housing, gold plated contacts, bulk 100U</t>
  </si>
  <si>
    <t>$ 743.736,00</t>
  </si>
  <si>
    <t>$ 614.656,00</t>
  </si>
  <si>
    <t>RT4FC-B-D</t>
  </si>
  <si>
    <t>REAN™  TINY cable connector 4-pole, female, black housing, gold plated contacts;  Industrial bulk 100U packaging, disassembled version,100pcs/carton; bulk 100U</t>
  </si>
  <si>
    <t>$ 937.748,00</t>
  </si>
  <si>
    <t>$ 774.998,00</t>
  </si>
  <si>
    <t>RT4FC-B-W</t>
  </si>
  <si>
    <t>REAN™  TINY cable connector 4-pole, female, black housing, gold plated contacts, water resistant boot</t>
  </si>
  <si>
    <t>$ 8.834,00</t>
  </si>
  <si>
    <t>$ 7.308,00</t>
  </si>
  <si>
    <t>RT5FC-B-D</t>
  </si>
  <si>
    <t>REAN™  TINY cable connector 5-pole, female, black housing, gold plated contacts;  Industrial bulk 100U packaging, disassembled version,100pcs/carton; bulk 100U</t>
  </si>
  <si>
    <t>$ 11.480,00</t>
  </si>
  <si>
    <t>$ 9.492,00</t>
  </si>
  <si>
    <t>SCNO2SX-A</t>
  </si>
  <si>
    <t>SCNO4SX-A</t>
  </si>
  <si>
    <t>NKO-DR1</t>
  </si>
  <si>
    <t>$ 489.678,00</t>
  </si>
  <si>
    <t>$ 404.698,00</t>
  </si>
  <si>
    <t>NKTB1-R/G</t>
  </si>
  <si>
    <t>$ 188.356,00</t>
  </si>
  <si>
    <t>$ 155.666,00</t>
  </si>
  <si>
    <t>USB Devices / Digital Interfaces</t>
  </si>
  <si>
    <t>ART</t>
  </si>
  <si>
    <t>BTDI - New !</t>
  </si>
  <si>
    <t>Bluetooth enabled direcct box.</t>
  </si>
  <si>
    <t>$ 336.896,00</t>
  </si>
  <si>
    <t>$ 304.878,00</t>
  </si>
  <si>
    <t>USBDI</t>
  </si>
  <si>
    <t>Stereo Transformer isolate USB to XLR converter</t>
  </si>
  <si>
    <t>$ 177.422,00</t>
  </si>
  <si>
    <t>$ 160.566,00</t>
  </si>
  <si>
    <t>USBDualPre Project Series</t>
  </si>
  <si>
    <t>Two Channel Preamp w/ USB</t>
  </si>
  <si>
    <t>$ 237.944,00</t>
  </si>
  <si>
    <t>$ 196.644,00</t>
  </si>
  <si>
    <t>USBPhonoPlus Project Series</t>
  </si>
  <si>
    <t>Phono / Line Preamp w/USB Includes BIAS SoundSaver Express</t>
  </si>
  <si>
    <t>$ 197.358,00</t>
  </si>
  <si>
    <t>$ 178.612,00</t>
  </si>
  <si>
    <t>TubeMixU - New</t>
  </si>
  <si>
    <t>Five Channel Tubemixer with USB</t>
  </si>
  <si>
    <t>$ 877.044,00</t>
  </si>
  <si>
    <t>$ 793.716,00</t>
  </si>
  <si>
    <t>USBMix</t>
  </si>
  <si>
    <t>Three Channel Mic/Inst/Line Mixer-Interface</t>
  </si>
  <si>
    <t>USBMix4</t>
  </si>
  <si>
    <t>Four Channel Mic/Inst/Line Mixer-Interface</t>
  </si>
  <si>
    <t>$ 257.166,00</t>
  </si>
  <si>
    <t>$ 232.722,00</t>
  </si>
  <si>
    <t>USBMix6</t>
  </si>
  <si>
    <t>Six Channel Mic/Inst/Line Mixer-Interface w/ Effects</t>
  </si>
  <si>
    <t>$ 416.626,00</t>
  </si>
  <si>
    <t>$ 377.034,00</t>
  </si>
  <si>
    <t>Tube MP Project Series w/ USB</t>
  </si>
  <si>
    <t>Tube Mic Preamp w/ Limiter and Selectable Input Impedence</t>
  </si>
  <si>
    <t>$ 356.818,00</t>
  </si>
  <si>
    <t>$ 322.924,00</t>
  </si>
  <si>
    <t>USBII</t>
  </si>
  <si>
    <t>2in/4out high quality 192kHz capable Digital interface</t>
  </si>
  <si>
    <t>$ 456.484,00</t>
  </si>
  <si>
    <t>$ 413.112,00</t>
  </si>
  <si>
    <t>USBIV</t>
  </si>
  <si>
    <t>4 input / 4 output 192kHz capable Digital interface</t>
  </si>
  <si>
    <t>$ 539.378,00</t>
  </si>
  <si>
    <t>Digital MPA II</t>
  </si>
  <si>
    <t>Professional Two Channel Mic Pre w/ Dig. Out</t>
  </si>
  <si>
    <t>$ 1.423.016,00</t>
  </si>
  <si>
    <t>$ 1.287.790,00</t>
  </si>
  <si>
    <t>VoiceChannel</t>
  </si>
  <si>
    <t>Tube Channel Strip w/ Digital Connectivity</t>
  </si>
  <si>
    <t>$ 1.488.774,00</t>
  </si>
  <si>
    <t>$ 1.347.304,00</t>
  </si>
  <si>
    <t>MConnect</t>
  </si>
  <si>
    <t>MIDI In/Out via USB CABLE</t>
  </si>
  <si>
    <t>$ 62.216,00</t>
  </si>
  <si>
    <t>$ 56.294,00</t>
  </si>
  <si>
    <t>XConnect</t>
  </si>
  <si>
    <t>XLR to USB DYNAMIC MIC CABLE</t>
  </si>
  <si>
    <t>$ 71.764,00</t>
  </si>
  <si>
    <t>$ 64.946,00</t>
  </si>
  <si>
    <t>Single Channel Tube Preamps</t>
  </si>
  <si>
    <t>Tube MP</t>
  </si>
  <si>
    <t>Tube Mic Preamp w/ 48V Phantom Power</t>
  </si>
  <si>
    <t>$ 237.230,00</t>
  </si>
  <si>
    <t>$ 214.690,00</t>
  </si>
  <si>
    <t>Tube MP Studio V3</t>
  </si>
  <si>
    <t>Tube Mic Preamp with Variable Valve Voicing</t>
  </si>
  <si>
    <t>$ 297.024,00</t>
  </si>
  <si>
    <t>$ 268.800,00</t>
  </si>
  <si>
    <t>Tube MP Project Series</t>
  </si>
  <si>
    <t>RP1</t>
  </si>
  <si>
    <t>Single Channel Dynamic/Ribbon Mic preAmp w/ variable input impedance</t>
  </si>
  <si>
    <t>$ 119.602,00</t>
  </si>
  <si>
    <t>$ 108.234,00</t>
  </si>
  <si>
    <t>Multi Channel Preamps</t>
  </si>
  <si>
    <t>TPS II</t>
  </si>
  <si>
    <t>Tube PreAmp System w/ Variable Valve Voicing</t>
  </si>
  <si>
    <t>$ 633.668,00</t>
  </si>
  <si>
    <t>$ 573.454,00</t>
  </si>
  <si>
    <t>Pro MPA II</t>
  </si>
  <si>
    <t>Professional Two Channel Mic Preamp</t>
  </si>
  <si>
    <t>$ 1.094.100,00</t>
  </si>
  <si>
    <t>$ 990.136,00</t>
  </si>
  <si>
    <t>TransX</t>
  </si>
  <si>
    <t>Two Channel Transformer PreAmp</t>
  </si>
  <si>
    <t>$ 1.313.354,00</t>
  </si>
  <si>
    <t>$ 1.188.558,00</t>
  </si>
  <si>
    <t>DRP</t>
  </si>
  <si>
    <t>Two Channel Dynamic/Ribbon Mic preAmp w/ variable input impedance</t>
  </si>
  <si>
    <t>$ 127.568,00</t>
  </si>
  <si>
    <t>$ 115.444,00</t>
  </si>
  <si>
    <t>DeeJayPre II</t>
  </si>
  <si>
    <t>PHONO / LINE PREAMP</t>
  </si>
  <si>
    <t>Precision Phono PreampU - New</t>
  </si>
  <si>
    <t>Phono Preamp w/ selectable cartridge types</t>
  </si>
  <si>
    <t>$ 173.838,00</t>
  </si>
  <si>
    <t>$ 157.318,00</t>
  </si>
  <si>
    <t>Compressors and Channel Strips</t>
  </si>
  <si>
    <t>DualLimiter</t>
  </si>
  <si>
    <t>Stereo PWM Limiter/Compressor</t>
  </si>
  <si>
    <t>Pro VLA II</t>
  </si>
  <si>
    <t>Professional Two Channel Compressor</t>
  </si>
  <si>
    <t>$ 1.050.238,00</t>
  </si>
  <si>
    <t>$ 950.446,00</t>
  </si>
  <si>
    <t>Pro Channel II</t>
  </si>
  <si>
    <t>Professional Tube Mic Preamp / Compressor / EQ</t>
  </si>
  <si>
    <t>SCL2</t>
  </si>
  <si>
    <t>Stereo Compressor Limiter w/ expander and gate</t>
  </si>
  <si>
    <t>$ 436.562,00</t>
  </si>
  <si>
    <t>$ 395.080,00</t>
  </si>
  <si>
    <t>TransY</t>
  </si>
  <si>
    <t>Two Channel FET/Transformer Compressor</t>
  </si>
  <si>
    <t>TubeMP/C</t>
  </si>
  <si>
    <t>Tube PreAmp/Opto-Compressor-Limiter</t>
  </si>
  <si>
    <t>$ 376.754,00</t>
  </si>
  <si>
    <t>$ 340.956,00</t>
  </si>
  <si>
    <t>Headphone Amplifiers</t>
  </si>
  <si>
    <t>HP-1 New!</t>
  </si>
  <si>
    <t>Belt worn, single channel, battery powered headphone amplifier</t>
  </si>
  <si>
    <t>$ 130.956,00</t>
  </si>
  <si>
    <t>HeadTap</t>
  </si>
  <si>
    <t>HEADPHONE TAP</t>
  </si>
  <si>
    <t>HeadAmp4</t>
  </si>
  <si>
    <t>FOUR OUTPUT STEREO HEADPHONE AMP</t>
  </si>
  <si>
    <t>$ 225.274,00</t>
  </si>
  <si>
    <t>$ 186.172,00</t>
  </si>
  <si>
    <t>HeadAmp4Pro -Limited QTY</t>
  </si>
  <si>
    <t>Four Channel Headphone Amp w/ selectable talkback/monitoring</t>
  </si>
  <si>
    <t>$ 368.900,00</t>
  </si>
  <si>
    <t>HeadAmp6</t>
  </si>
  <si>
    <t>Six Channel Headphone Amplifier</t>
  </si>
  <si>
    <t>$ 476.420,00</t>
  </si>
  <si>
    <t>$ 431.144,00</t>
  </si>
  <si>
    <t>HeadAmp6 Pro</t>
  </si>
  <si>
    <t>Professional Six Channel Headphone Amplifier</t>
  </si>
  <si>
    <t>$ 652.652,00</t>
  </si>
  <si>
    <t>MyMonitorII</t>
  </si>
  <si>
    <t>PERSONAL MONITOR MIXER w/ Mic and Line input</t>
  </si>
  <si>
    <t>$ 221.676,00</t>
  </si>
  <si>
    <t>$ 200.606,00</t>
  </si>
  <si>
    <t>Power Amplifiers and Studio Monitors</t>
  </si>
  <si>
    <t>RM5</t>
  </si>
  <si>
    <t>Active 300W Referance Monitors (pair)</t>
  </si>
  <si>
    <t>--</t>
  </si>
  <si>
    <t>SDA-1</t>
  </si>
  <si>
    <t>200 Watt x 2 4ohm Class-D amplifier</t>
  </si>
  <si>
    <t>$ 1.089.200,00</t>
  </si>
  <si>
    <t>$ 900.158,00</t>
  </si>
  <si>
    <t>SLA-1</t>
  </si>
  <si>
    <t>100 Watt Studio Linear Amplifier</t>
  </si>
  <si>
    <t>$ 870.926,00</t>
  </si>
  <si>
    <t>$ 719.768,00</t>
  </si>
  <si>
    <t>SLA-2</t>
  </si>
  <si>
    <t>200 Watt Studio Linear Amplifier</t>
  </si>
  <si>
    <t>$ 1.194.004,00</t>
  </si>
  <si>
    <t>$ 1.080.548,00</t>
  </si>
  <si>
    <t>SLA-4</t>
  </si>
  <si>
    <t>Multi-Channel Studio Linear Amplifier</t>
  </si>
  <si>
    <t>$ 1.416.604,00</t>
  </si>
  <si>
    <t>$ 1.170.750,00</t>
  </si>
  <si>
    <t>HVA1</t>
  </si>
  <si>
    <t>70V/100V 2 Channel Installation amplifier - 1u</t>
  </si>
  <si>
    <t>$ 1.307.460,00</t>
  </si>
  <si>
    <t>HVA4</t>
  </si>
  <si>
    <t>70V/100V 4 Channel Installation amplifier - 1u</t>
  </si>
  <si>
    <t>$ 2.289.686,00</t>
  </si>
  <si>
    <t>$ 1.892.296,00</t>
  </si>
  <si>
    <t>Crossovers and Equalizers</t>
  </si>
  <si>
    <t>CX310</t>
  </si>
  <si>
    <t>2-Way/3-Way Crossover</t>
  </si>
  <si>
    <t>$ 476.812,00</t>
  </si>
  <si>
    <t>$ 431.508,00</t>
  </si>
  <si>
    <t>CX311</t>
  </si>
  <si>
    <t>2 Way Stereo Crossover w/ Sub Out</t>
  </si>
  <si>
    <t>$ 317.352,00</t>
  </si>
  <si>
    <t>$ 287.196,00</t>
  </si>
  <si>
    <t>EQ-341</t>
  </si>
  <si>
    <t>Dual 15 Band Equalizer w/ selectable range</t>
  </si>
  <si>
    <t>EQ-351</t>
  </si>
  <si>
    <t>Single 31 Band Equalizer w/ selectable range</t>
  </si>
  <si>
    <t>EQ-355</t>
  </si>
  <si>
    <t>Dual 31 Band Equalizer</t>
  </si>
  <si>
    <t>$ 572.488,00</t>
  </si>
  <si>
    <t>$ 518.098,00</t>
  </si>
  <si>
    <t>Power Solutions</t>
  </si>
  <si>
    <t>PB 4 x 4</t>
  </si>
  <si>
    <t>Power Distribution System</t>
  </si>
  <si>
    <t>$ 205.730,00</t>
  </si>
  <si>
    <t>SP 4 x 4</t>
  </si>
  <si>
    <t>Metered Power Distribution System</t>
  </si>
  <si>
    <t>$ 349.244,00</t>
  </si>
  <si>
    <t>$ 316.064,00</t>
  </si>
  <si>
    <t>PS 4 x 4</t>
  </si>
  <si>
    <t>Dual Metered Power Distribution System</t>
  </si>
  <si>
    <t>$ 413.028,00</t>
  </si>
  <si>
    <t>$ 373.786,00</t>
  </si>
  <si>
    <t>PB4x4PROUSB</t>
  </si>
  <si>
    <t>Power Distribution System w/ Advanced Power Filtering and Rear BNC/2 USB ports</t>
  </si>
  <si>
    <t>$ 428.974,00</t>
  </si>
  <si>
    <t>$ 388.220,00</t>
  </si>
  <si>
    <t>SP4x4PROUSB</t>
  </si>
  <si>
    <t>LED Metered Power Distribution System w/ APF and Rear BNC/2 USB ports</t>
  </si>
  <si>
    <t>$ 604.380,00</t>
  </si>
  <si>
    <t>$ 546.952,00</t>
  </si>
  <si>
    <t>PS4x4PROUSB</t>
  </si>
  <si>
    <t>Dual LED Metered Power Distribution System w/ APF and Rear BNC/ 2 USB ports</t>
  </si>
  <si>
    <t>$ 668.178,00</t>
  </si>
  <si>
    <t>$ 604.674,00</t>
  </si>
  <si>
    <t>PS8-II -110v only</t>
  </si>
  <si>
    <t>8 Output Sequential Power Condioner.</t>
  </si>
  <si>
    <t>PDS8U - 110v Only</t>
  </si>
  <si>
    <t>Eight Outlet Power Strip w/ two USB outlets and 20' Pwr Cord</t>
  </si>
  <si>
    <t>$ 253.568,00</t>
  </si>
  <si>
    <t>$ 229.474,00</t>
  </si>
  <si>
    <t>IS0-8U</t>
  </si>
  <si>
    <t>Eight Outlet Pedal Power Supply w/ USB</t>
  </si>
  <si>
    <t>$ 316.960,00</t>
  </si>
  <si>
    <t>$ 286.846,00</t>
  </si>
  <si>
    <t>Rack and Micro Mixers</t>
  </si>
  <si>
    <t>MX225</t>
  </si>
  <si>
    <t>Dual Source Stereo Five Channel Zone Distribution Mixer</t>
  </si>
  <si>
    <t>$ 536.214,00</t>
  </si>
  <si>
    <t>$ 485.268,00</t>
  </si>
  <si>
    <t>MX524</t>
  </si>
  <si>
    <t>Five Channel/Four Zone Mixer</t>
  </si>
  <si>
    <t>$ 795.354,00</t>
  </si>
  <si>
    <t>MX622</t>
  </si>
  <si>
    <t>Six Channel Personal Mixer w/ EQ, FX Loop, &amp; Balanced Outputs</t>
  </si>
  <si>
    <t>MX622BT - New!</t>
  </si>
  <si>
    <t>Six Channel BlueTooth Personal Mixer w/ EQ, FX Loop, &amp; Balanced Outputs</t>
  </si>
  <si>
    <t>MX624</t>
  </si>
  <si>
    <t>Stereo Two Zone Six Channel Mixer w/ ducking</t>
  </si>
  <si>
    <t>MX821S</t>
  </si>
  <si>
    <t>Eight Channel Personal Stereo Mixer w/ FX loop, &amp; Direct Outs</t>
  </si>
  <si>
    <t>MX822</t>
  </si>
  <si>
    <t>Eight Channel Stereo Mixer</t>
  </si>
  <si>
    <t>$ 496.356,00</t>
  </si>
  <si>
    <t>$ 449.190,00</t>
  </si>
  <si>
    <t>MacroMix</t>
  </si>
  <si>
    <t>FOUR CHANNEL PERSONAL MIXER</t>
  </si>
  <si>
    <t>$ 157.892,00</t>
  </si>
  <si>
    <t>$ 142.884,00</t>
  </si>
  <si>
    <t>PowerMix III</t>
  </si>
  <si>
    <t>THREE CHANNEL STEREO MIXER</t>
  </si>
  <si>
    <t>$ 237.622,00</t>
  </si>
  <si>
    <t>$ 215.040,00</t>
  </si>
  <si>
    <t>ProMix</t>
  </si>
  <si>
    <t>THREE CHANNEL MICROPHONE MIXER</t>
  </si>
  <si>
    <t>SplitMix4</t>
  </si>
  <si>
    <t>PASSIVE FOUR CHANNEL STEREO/MONO SPLITTER?MIXER</t>
  </si>
  <si>
    <t>$ 126.000,00</t>
  </si>
  <si>
    <t>$ 114.030,00</t>
  </si>
  <si>
    <t>Active and Passive DI's</t>
  </si>
  <si>
    <t>AVDirect</t>
  </si>
  <si>
    <t>MULTI-INPUT AUDIO/VIDEO DIRECT BOX</t>
  </si>
  <si>
    <t>$ 141.946,00</t>
  </si>
  <si>
    <t>$ 128.450,00</t>
  </si>
  <si>
    <t>PDB</t>
  </si>
  <si>
    <t>PASSIVE DIRECT BOX</t>
  </si>
  <si>
    <t>PDB4</t>
  </si>
  <si>
    <t>Four Channel Passive D.I. w/ ground and pas per channel</t>
  </si>
  <si>
    <t>dADB</t>
  </si>
  <si>
    <t>DUAL Active DIRECT BOX</t>
  </si>
  <si>
    <t>dPDB</t>
  </si>
  <si>
    <t>DUAL PASSIVE DIRECT BOX</t>
  </si>
  <si>
    <t>Xdirect</t>
  </si>
  <si>
    <t>ACTIVE DI</t>
  </si>
  <si>
    <t>$ 110.054,00</t>
  </si>
  <si>
    <t>$ 99.596,00</t>
  </si>
  <si>
    <t>Zdirect</t>
  </si>
  <si>
    <t>PASSIVE DI</t>
  </si>
  <si>
    <t>$ 78.162,00</t>
  </si>
  <si>
    <t>$ 70.728,00</t>
  </si>
  <si>
    <t>DualXDirect</t>
  </si>
  <si>
    <t>Dual Channel Active Direct Box</t>
  </si>
  <si>
    <t>DualZDirect</t>
  </si>
  <si>
    <t>Dual Channel Passive Direct Box</t>
  </si>
  <si>
    <t>$ 79.730,00</t>
  </si>
  <si>
    <t>$ 72.156,00</t>
  </si>
  <si>
    <t>DualRDB</t>
  </si>
  <si>
    <t>Dual Reamping Direct Box</t>
  </si>
  <si>
    <t>Patchbays and Splitters</t>
  </si>
  <si>
    <t>P16</t>
  </si>
  <si>
    <t>Sixteen Channel XLR Balanced Patch Bay</t>
  </si>
  <si>
    <t>P48</t>
  </si>
  <si>
    <t>Fourty-Eight Point Patch Bay</t>
  </si>
  <si>
    <t>ARTS8</t>
  </si>
  <si>
    <t>Eight Channel Balanced 2-Way Mic Splitter</t>
  </si>
  <si>
    <t>$ 655.816,00</t>
  </si>
  <si>
    <t>$ 593.502,00</t>
  </si>
  <si>
    <t>ARTS8-3Way</t>
  </si>
  <si>
    <t>Eight Channel Balanced 3-Way Mic Splitter</t>
  </si>
  <si>
    <t>$ 695.688,00</t>
  </si>
  <si>
    <t>$ 629.580,00</t>
  </si>
  <si>
    <t>ProSplit</t>
  </si>
  <si>
    <t>HIGH PERFORMANCE 2-WAY MIC SPLITTER</t>
  </si>
  <si>
    <t>$ 135.548,00</t>
  </si>
  <si>
    <t>$ 122.668,00</t>
  </si>
  <si>
    <t>SplitComPro</t>
  </si>
  <si>
    <t>2-WAY MIC SPLITTER / COMBINER</t>
  </si>
  <si>
    <t>$ 87.710,00</t>
  </si>
  <si>
    <t>$ 79.366,00</t>
  </si>
  <si>
    <t>TPatch</t>
  </si>
  <si>
    <t>Eight Point Patch Bay</t>
  </si>
  <si>
    <t>XPatch</t>
  </si>
  <si>
    <t>Three Channel Balanced Patch Bay</t>
  </si>
  <si>
    <t>$ 103.656,00</t>
  </si>
  <si>
    <t>$ 93.800,00</t>
  </si>
  <si>
    <t>Instrument Accessories</t>
  </si>
  <si>
    <t>CoolSwitch</t>
  </si>
  <si>
    <t>A/B-Y SWITCH</t>
  </si>
  <si>
    <t>CoolSwitchPro</t>
  </si>
  <si>
    <t>A/B-Y SWITCH with transformer isolation</t>
  </si>
  <si>
    <t>LoopSwitch</t>
  </si>
  <si>
    <t>TRUE BYPASS LOOP SWITCHER</t>
  </si>
  <si>
    <t>$ 95.676,00</t>
  </si>
  <si>
    <t>$ 86.590,00</t>
  </si>
  <si>
    <t>Lswitch</t>
  </si>
  <si>
    <t>LATCHING FOOTWITCH</t>
  </si>
  <si>
    <t>PatchIn</t>
  </si>
  <si>
    <t>PEDALBOARD PATCHBAY/INSERT</t>
  </si>
  <si>
    <t>Utilities</t>
  </si>
  <si>
    <t>CleanBoxPro</t>
  </si>
  <si>
    <t>TWO WAY STEREO CONVERTER</t>
  </si>
  <si>
    <t>CleanBox II</t>
  </si>
  <si>
    <t>HUM ELIMINATOR</t>
  </si>
  <si>
    <t>DTI</t>
  </si>
  <si>
    <t>HUM ELIMINATOR II</t>
  </si>
  <si>
    <t>SyncGen</t>
  </si>
  <si>
    <t>WordClock Sample Rate Generator</t>
  </si>
  <si>
    <t>T8-8</t>
  </si>
  <si>
    <t>Eight Channel Transformer Isolator</t>
  </si>
  <si>
    <t>Microphones and Accessories</t>
  </si>
  <si>
    <t>AR5</t>
  </si>
  <si>
    <t>ACTIVE RIBBON MICROPHONE</t>
  </si>
  <si>
    <t>$ 434.378,00</t>
  </si>
  <si>
    <t>$ 359.002,00</t>
  </si>
  <si>
    <t>C1</t>
  </si>
  <si>
    <t>Cardiod FET Condenser Microhone</t>
  </si>
  <si>
    <t>C1USB</t>
  </si>
  <si>
    <t>Cardiod FET Condenser Microhone w/USB and OnBoard Monitor</t>
  </si>
  <si>
    <t>$ 499.870,00</t>
  </si>
  <si>
    <t>C2</t>
  </si>
  <si>
    <t>Cardiod FET Condenser Microhone w/ pad and roll off</t>
  </si>
  <si>
    <t>$ 565.348,00</t>
  </si>
  <si>
    <t>$ 467.222,00</t>
  </si>
  <si>
    <t>C3</t>
  </si>
  <si>
    <t>Cardiod FET Condenser Microhone w/ 3 polar patterns, pad/roll-off</t>
  </si>
  <si>
    <t>D7</t>
  </si>
  <si>
    <t>Large Diaphragm Dynamic Mic w/ HPF and mid-boost</t>
  </si>
  <si>
    <t>$ 587.174,00</t>
  </si>
  <si>
    <t>M-OneU</t>
  </si>
  <si>
    <t>Side Address Cardiod Condenser Microhone w/USB and OnBoard Monitoring</t>
  </si>
  <si>
    <t>$ 303.422,00</t>
  </si>
  <si>
    <t>$ 250.768,00</t>
  </si>
  <si>
    <t>M-SixStereo</t>
  </si>
  <si>
    <t>Matched Pair M-Six Pencil Condenser Microphones</t>
  </si>
  <si>
    <t>$ 456.218,00</t>
  </si>
  <si>
    <t>T4</t>
  </si>
  <si>
    <t>Multi-Pattern High Performance Tube Microphone</t>
  </si>
  <si>
    <t>$ 1.809.486,00</t>
  </si>
  <si>
    <t>$ 1.495.438,00</t>
  </si>
  <si>
    <t>M-WS</t>
  </si>
  <si>
    <t>Deluxe Metal Wind Screen</t>
  </si>
  <si>
    <t>$ 89.726,00</t>
  </si>
  <si>
    <t>$ 81.200,00</t>
  </si>
  <si>
    <t>Phantom I</t>
  </si>
  <si>
    <t>PHANTOM POWER SUPPLY</t>
  </si>
  <si>
    <t>Phantom II</t>
  </si>
  <si>
    <t>$ 160.146,00</t>
  </si>
  <si>
    <t>$ 144.928,00</t>
  </si>
  <si>
    <t>Phantom II Pro</t>
  </si>
  <si>
    <t>DUAL PHANTOM POWER ADAPTER</t>
  </si>
  <si>
    <t>$ 661.822,00</t>
  </si>
  <si>
    <t>BOBINAS DE CABLE</t>
  </si>
  <si>
    <t>RAPCO-HORIZON</t>
  </si>
  <si>
    <t>MIC1.K</t>
  </si>
  <si>
    <r>
      <rPr>
        <rFont val="Calibri"/>
        <color theme="1"/>
      </rPr>
      <t xml:space="preserve">Cable Balanceado de 6mm, malla de Algodon Para microfono o audio, rollo de 305 mts. MADE IN USA </t>
    </r>
    <r>
      <rPr>
        <rFont val="Calibri"/>
        <color rgb="FFFF0000"/>
      </rPr>
      <t>Precio por BOBINA.</t>
    </r>
  </si>
  <si>
    <t>$ 970.732,00</t>
  </si>
  <si>
    <t>$ 802.256,00</t>
  </si>
  <si>
    <t>MIC2.K</t>
  </si>
  <si>
    <r>
      <rPr>
        <rFont val="Calibri"/>
        <color theme="1"/>
      </rPr>
      <t xml:space="preserve">Cable Balanceado de 3,5mm, para instalación de  audio, rollo de 305 mts. Foil de Aluminio. MADE IN USA </t>
    </r>
    <r>
      <rPr>
        <rFont val="Calibri"/>
        <color rgb="FFFF0000"/>
      </rPr>
      <t>Precio por BOBINA.</t>
    </r>
  </si>
  <si>
    <t>$ 647.150,00</t>
  </si>
  <si>
    <t>$ 534.842,00</t>
  </si>
  <si>
    <t>MIC4.K</t>
  </si>
  <si>
    <r>
      <rPr>
        <rFont val="Calibri"/>
        <color theme="1"/>
      </rPr>
      <t xml:space="preserve">Cable Balanceado doble  ( 4 conductores ) de 6mm, malla de Algodon Para microfono o audio, rollo de 305 mts. MADE IN USA </t>
    </r>
    <r>
      <rPr>
        <rFont val="Calibri"/>
        <color rgb="FFFF0000"/>
      </rPr>
      <t>Precio por metro</t>
    </r>
  </si>
  <si>
    <t>$ 7.252,00</t>
  </si>
  <si>
    <t>$ 5.992,00</t>
  </si>
  <si>
    <t>INST1.K</t>
  </si>
  <si>
    <r>
      <rPr>
        <rFont val="Calibri"/>
        <color theme="1"/>
      </rPr>
      <t xml:space="preserve">Cable de instrumento de 6mm, rollo de 305 mts. MADE IN USA </t>
    </r>
    <r>
      <rPr>
        <rFont val="Calibri"/>
        <color rgb="FFFF0000"/>
      </rPr>
      <t>Precio por metro</t>
    </r>
  </si>
  <si>
    <t>CABLE MULTIPAR POR METRO</t>
  </si>
  <si>
    <t>4-PR-SNAKE</t>
  </si>
  <si>
    <r>
      <rPr>
        <rFont val="Calibri"/>
        <color theme="1"/>
      </rPr>
      <t xml:space="preserve">Manguera Multipar 4 pares Foil de aluminio por Metro. MADE IN USA </t>
    </r>
    <r>
      <rPr>
        <rFont val="Calibri"/>
        <color rgb="FFFF0000"/>
      </rPr>
      <t>Precio por metro</t>
    </r>
  </si>
  <si>
    <t>$ 16.450,00</t>
  </si>
  <si>
    <t>$ 13.594,00</t>
  </si>
  <si>
    <t>6-PR-SNAKE</t>
  </si>
  <si>
    <r>
      <rPr>
        <rFont val="Calibri"/>
        <color theme="1"/>
      </rPr>
      <t xml:space="preserve">Manguera Multipar 6 pares Foil de aluminio por Metro. MADE IN USA </t>
    </r>
    <r>
      <rPr>
        <rFont val="Calibri"/>
        <color rgb="FFFF0000"/>
      </rPr>
      <t>Precio por metro</t>
    </r>
  </si>
  <si>
    <t>9-PR-SNAKE</t>
  </si>
  <si>
    <r>
      <rPr>
        <rFont val="Calibri"/>
        <color theme="1"/>
      </rPr>
      <t xml:space="preserve">Manguera Multipar 9 pares Foil de aluminio por Metro. MADE IN USA </t>
    </r>
    <r>
      <rPr>
        <rFont val="Calibri"/>
        <color rgb="FFFF0000"/>
      </rPr>
      <t>Precio por metro</t>
    </r>
  </si>
  <si>
    <t>$ 24.934,00</t>
  </si>
  <si>
    <t>$ 20.608,00</t>
  </si>
  <si>
    <t>12-PR-SNAKE</t>
  </si>
  <si>
    <r>
      <rPr>
        <rFont val="Calibri"/>
        <color theme="1"/>
      </rPr>
      <t xml:space="preserve">Manguera Multipar 12 pares Foil de aluminio Por Metro . MADE IN USA </t>
    </r>
    <r>
      <rPr>
        <rFont val="Calibri"/>
        <color rgb="FFFF0000"/>
      </rPr>
      <t>Precio por metro</t>
    </r>
  </si>
  <si>
    <t>$ 27.580,00</t>
  </si>
  <si>
    <t>$ 22.792,00</t>
  </si>
  <si>
    <t>16-PR-SNAKE</t>
  </si>
  <si>
    <r>
      <rPr>
        <rFont val="Calibri"/>
        <color theme="1"/>
      </rPr>
      <t xml:space="preserve">Manguera Multipar 16 pares Foil de aluminio Por Metro. MADE IN USA </t>
    </r>
    <r>
      <rPr>
        <rFont val="Calibri"/>
        <color rgb="FFFF0000"/>
      </rPr>
      <t>Precio por metro</t>
    </r>
  </si>
  <si>
    <t>$ 28.938,00</t>
  </si>
  <si>
    <t>20-PR-SNAKE</t>
  </si>
  <si>
    <r>
      <rPr>
        <rFont val="Calibri"/>
        <color theme="1"/>
      </rPr>
      <t xml:space="preserve">Manguera Multipar 20 pares Foil de aluminio Por Metro. MADE IN USA </t>
    </r>
    <r>
      <rPr>
        <rFont val="Calibri"/>
        <color rgb="FFFF0000"/>
      </rPr>
      <t>Precio por metro</t>
    </r>
  </si>
  <si>
    <t>28-PR-SNAKE</t>
  </si>
  <si>
    <r>
      <rPr>
        <rFont val="Calibri"/>
        <color theme="1"/>
      </rPr>
      <t xml:space="preserve">Manguera Multipar 28 pares Foil de aluminio Por Metro. MADE IN USA </t>
    </r>
    <r>
      <rPr>
        <rFont val="Calibri"/>
        <color rgb="FFFF0000"/>
      </rPr>
      <t>Precio por metro</t>
    </r>
  </si>
  <si>
    <t>32-PR-SNAKE</t>
  </si>
  <si>
    <r>
      <rPr>
        <rFont val="Calibri"/>
        <color theme="1"/>
      </rPr>
      <t xml:space="preserve">Manguera Multipar 32 pares Foil de aluminio Por Metro. MADE IN USA </t>
    </r>
    <r>
      <rPr>
        <rFont val="Calibri"/>
        <color rgb="FFFF0000"/>
      </rPr>
      <t>Precio por metro</t>
    </r>
  </si>
  <si>
    <t>CAJAS DIRECTAS</t>
  </si>
  <si>
    <t>DB-1</t>
  </si>
  <si>
    <t>RAPCOHORIZON PASSIVE DIRECT BOX</t>
  </si>
  <si>
    <t>$ 151.200,00</t>
  </si>
  <si>
    <t>$ 136.822,00</t>
  </si>
  <si>
    <t>DB-2</t>
  </si>
  <si>
    <t>RAPCOHORIZON STEREO PASSIVE DIRECT BOX</t>
  </si>
  <si>
    <t>$ 318.822,00</t>
  </si>
  <si>
    <t>$ 288.526,00</t>
  </si>
  <si>
    <t>CABLES ARMADOS XLR.</t>
  </si>
  <si>
    <t>WESTERN</t>
  </si>
  <si>
    <t>CNN06</t>
  </si>
  <si>
    <t>Cable para microfono XLR-XLR con conectores Neutrik 6mts.</t>
  </si>
  <si>
    <t>$ 101.696,00</t>
  </si>
  <si>
    <t>$ 84.042,00</t>
  </si>
  <si>
    <t>CNN09</t>
  </si>
  <si>
    <t>Cable para microfono XLR-XLR con conectores Neutrik 9mts.</t>
  </si>
  <si>
    <t>$ 113.512,00</t>
  </si>
  <si>
    <t>$ 93.814,00</t>
  </si>
  <si>
    <t>Micrófonos para vivo</t>
  </si>
  <si>
    <t>RODE</t>
  </si>
  <si>
    <t>M1</t>
  </si>
  <si>
    <t>Live performance cardioid dynamic microphone with lifetime warranty</t>
  </si>
  <si>
    <t>$ 258.314,00</t>
  </si>
  <si>
    <t>$ 213.486,00</t>
  </si>
  <si>
    <t>M1S</t>
  </si>
  <si>
    <t>Switchable live performance cardioid dynamic microphone. Fully lockable low-noise switch.</t>
  </si>
  <si>
    <t>$ 320.348,00</t>
  </si>
  <si>
    <t>$ 264.754,00</t>
  </si>
  <si>
    <t>M2</t>
  </si>
  <si>
    <t>Live performance super cardioid condenser microphone. Locking on/off switch.</t>
  </si>
  <si>
    <t>$ 288.596,00</t>
  </si>
  <si>
    <t>$ 238.518,00</t>
  </si>
  <si>
    <t>M3</t>
  </si>
  <si>
    <t>Studio and location multi-powered cardioid condenser microphone with switchable HPF and PAD.</t>
  </si>
  <si>
    <t>Micrófonos de estudio</t>
  </si>
  <si>
    <t>AI1</t>
  </si>
  <si>
    <t>Ai-1 Single channel Audio interface with combo XLR/instrument input, High quality headphone amp and Balanced 1/4" outputs</t>
  </si>
  <si>
    <t>$ 332.066,00</t>
  </si>
  <si>
    <t>$ 300.510,00</t>
  </si>
  <si>
    <t>K2</t>
  </si>
  <si>
    <t>Seamlessly variable dual 1" condenser valve microphone featuring continually variable polar pattern (omni through cardioid to figure-8).</t>
  </si>
  <si>
    <t>$ 2.064.944,00</t>
  </si>
  <si>
    <t>$ 1.706.558,00</t>
  </si>
  <si>
    <t>M5MP</t>
  </si>
  <si>
    <t>Matched pair of compact 1/2" cardioid condenser microphones. Includes 2 x RM5 mic clips and 2 x WS5 windshields</t>
  </si>
  <si>
    <t>$ 519.484,00</t>
  </si>
  <si>
    <t>$ 429.324,00</t>
  </si>
  <si>
    <t>NT1000</t>
  </si>
  <si>
    <t>Versatile 1" cardioid condenser microphone</t>
  </si>
  <si>
    <t>$ 933.604,00</t>
  </si>
  <si>
    <t>$ 771.568,00</t>
  </si>
  <si>
    <t>NT1A</t>
  </si>
  <si>
    <t>Studio Condenser Microphone</t>
  </si>
  <si>
    <t>$ 670.138,00</t>
  </si>
  <si>
    <t>$ 553.826,00</t>
  </si>
  <si>
    <t>NT1 KIT</t>
  </si>
  <si>
    <t>$ 744.604,00</t>
  </si>
  <si>
    <t>$ 615.370,00</t>
  </si>
  <si>
    <t>NT1/AI1KIT</t>
  </si>
  <si>
    <t>$ 1.077.874,00</t>
  </si>
  <si>
    <t>$ 890.806,00</t>
  </si>
  <si>
    <t>NT1GEN5</t>
  </si>
  <si>
    <t>NT1 5th Generation Studio Condenser Microphone</t>
  </si>
  <si>
    <t>NT1GEN5B</t>
  </si>
  <si>
    <t>NT1SIGNATUREBLACK</t>
  </si>
  <si>
    <t>$ 490.602,00</t>
  </si>
  <si>
    <t>$ 405.454,00</t>
  </si>
  <si>
    <t>NT1SIGNATURERED</t>
  </si>
  <si>
    <t>NT1SIGNATUREPINK</t>
  </si>
  <si>
    <t>NT1SIGNATUREPURPLE</t>
  </si>
  <si>
    <t>NT1SIGNATUREBLUE</t>
  </si>
  <si>
    <t>NT1SIGNATUREGREEN</t>
  </si>
  <si>
    <t>NT2000</t>
  </si>
  <si>
    <t>Seamlessly variable dual 1" condenser microphone featuring continually variable polar pattern (omni through cardioid to figure-8), HPF and PAD.</t>
  </si>
  <si>
    <t>$ 1.520.932,00</t>
  </si>
  <si>
    <t>$ 1.256.976,00</t>
  </si>
  <si>
    <t>NT2A</t>
  </si>
  <si>
    <t>Multi pattern 1" dual condenser microphone, featuring switchable omni, cardioid and figure 8 polar patterns, HPF and PAD.</t>
  </si>
  <si>
    <t>$ 1.070.706,00</t>
  </si>
  <si>
    <t>$ 884.884,00</t>
  </si>
  <si>
    <t>NT3</t>
  </si>
  <si>
    <t>Multi-powered 3/4" cardioid condenser microphone. P48 and 9V battery powered.</t>
  </si>
  <si>
    <t>$ 683.970,00</t>
  </si>
  <si>
    <t>$ 565.264,00</t>
  </si>
  <si>
    <t>NT4</t>
  </si>
  <si>
    <t>Fixed X/Y stereo 1/2" condenser microphone with 3.5mm minijack and dual XLR connectivity. P48 and 9V battery powered.</t>
  </si>
  <si>
    <t>NT5</t>
  </si>
  <si>
    <t>Compact 1/2" cardioid condenser microphone.</t>
  </si>
  <si>
    <t>$ 582.974,00</t>
  </si>
  <si>
    <t>$ 481.796,00</t>
  </si>
  <si>
    <t>NT55</t>
  </si>
  <si>
    <t>Compact 1/2" cardioid and omni condenser microphone. Features three position variable HPF and PAD.</t>
  </si>
  <si>
    <t>NT55MP</t>
  </si>
  <si>
    <t>Pair of acoustically matched NT55 1/2" cardioid condenser microphones.</t>
  </si>
  <si>
    <t>$ 2.040.416,00</t>
  </si>
  <si>
    <t>$ 1.686.300,00</t>
  </si>
  <si>
    <t>NT5MP</t>
  </si>
  <si>
    <t>Pair of acoustically matched NT5 1/2" cardioid condenser microphones.</t>
  </si>
  <si>
    <t>$ 1.015.896,00</t>
  </si>
  <si>
    <t>$ 839.580,00</t>
  </si>
  <si>
    <t>NT6</t>
  </si>
  <si>
    <t>Compact 1/2" condenser microphone with 3m (10") Kevlar® reinforced cable to detachable capsule head. Also features HPF and PAD.</t>
  </si>
  <si>
    <t>$ 1.101.002,00</t>
  </si>
  <si>
    <t>$ 909.916,00</t>
  </si>
  <si>
    <t>NTK</t>
  </si>
  <si>
    <t>Versatile class A valve 1" cardioid condenser microphone</t>
  </si>
  <si>
    <t>$ 1.715.714,00</t>
  </si>
  <si>
    <t>$ 1.417.948,00</t>
  </si>
  <si>
    <t>NTR</t>
  </si>
  <si>
    <t>Premium Ribbon microphone with bespoke transformer. P48 powered</t>
  </si>
  <si>
    <t>$ 1.727.292,00</t>
  </si>
  <si>
    <t>$ 1.427.524,00</t>
  </si>
  <si>
    <t>NTUSB</t>
  </si>
  <si>
    <t>Versatile USB condenser microphone with zero latency monitoring and plug &amp; play operation. Compatible with PC, Mac, iPad and most Android tablets. Pop Shield, Stand Mount, Tripod, 6m USB cable and Protective Zip Case included.</t>
  </si>
  <si>
    <t>$ 561.414,00</t>
  </si>
  <si>
    <t>$ 463.974,00</t>
  </si>
  <si>
    <t>NTUSB+</t>
  </si>
  <si>
    <t>Versatile USB Condenser Plus</t>
  </si>
  <si>
    <t>$ 511.994,00</t>
  </si>
  <si>
    <t>$ 423.136,00</t>
  </si>
  <si>
    <t>NTUSBMINI</t>
  </si>
  <si>
    <t>NT-USB MINI, Studio-Quality USB Microphone</t>
  </si>
  <si>
    <t>$ 316.036,00</t>
  </si>
  <si>
    <t>$ 261.184,00</t>
  </si>
  <si>
    <t>TF5MP</t>
  </si>
  <si>
    <t>Premium Matched Pair of 1/2" True Condenser Cardioid Microphones, Including SB20 Stereo Bar</t>
  </si>
  <si>
    <t>$ 4.067.854,00</t>
  </si>
  <si>
    <t>$ 3.361.862,00</t>
  </si>
  <si>
    <t>Micrófonos shotgun</t>
  </si>
  <si>
    <t>NTG1</t>
  </si>
  <si>
    <t>Directional super cardioid condenser shotgun microphone with switchable HPF</t>
  </si>
  <si>
    <t>$ 657.986,00</t>
  </si>
  <si>
    <t>$ 543.788,00</t>
  </si>
  <si>
    <t>NTG2</t>
  </si>
  <si>
    <t>Directional super cardioid condenser shotgun microphone with switchable HPF. P48 or AA battery powered.</t>
  </si>
  <si>
    <t>$ 727.300,00</t>
  </si>
  <si>
    <t>$ 601.076,00</t>
  </si>
  <si>
    <t>NTG3</t>
  </si>
  <si>
    <t>Precision broadcast-grade super cardioid shotgun mic. Withstands adverse environmental conditions. Satin nickel finish.</t>
  </si>
  <si>
    <t>$ 1.920.674,00</t>
  </si>
  <si>
    <t>$ 1.587.334,00</t>
  </si>
  <si>
    <t>NTG3B</t>
  </si>
  <si>
    <t>Precision broadcast-grade super cardioid shotgun mic. Withstands adverse environmental conditions. Matte black finish</t>
  </si>
  <si>
    <t>NTG4</t>
  </si>
  <si>
    <t>Premium shotgun microphone with digital switching, -10dB Pad, HPF and HF Boost. P48 powered</t>
  </si>
  <si>
    <t>$ 746.046,00</t>
  </si>
  <si>
    <t>$ 616.574,00</t>
  </si>
  <si>
    <t>NTG4+</t>
  </si>
  <si>
    <t>Premium shotgun microphone with rechargeable lithium battery, digital switching, -10dB Pad, HPF and HF Boost. P48 or self powered. USB charge</t>
  </si>
  <si>
    <t>$ 808.080,00</t>
  </si>
  <si>
    <t>$ 667.842,00</t>
  </si>
  <si>
    <t>NTG5KIT</t>
  </si>
  <si>
    <t>RF-Bias Shotgun Microphone with Pistol Grip, Windshield, Cable and More</t>
  </si>
  <si>
    <t>$ 1.565.676,00</t>
  </si>
  <si>
    <t>$ 1.293.936,00</t>
  </si>
  <si>
    <t>NTG8</t>
  </si>
  <si>
    <t>Precision broadcast-grade highly directional super cardioid shotgun mic. Withstands adverse environmental conditions.</t>
  </si>
  <si>
    <t>$ 2.891.784,00</t>
  </si>
  <si>
    <t>$ 2.389.898,00</t>
  </si>
  <si>
    <t>Micrófonos de broadcast</t>
  </si>
  <si>
    <t>BROADCASTER</t>
  </si>
  <si>
    <t>Precision 1" broadcast cardioid end-address condenser microphone. Features unique 'on air' indicator.</t>
  </si>
  <si>
    <t>PODCASTER MKII</t>
  </si>
  <si>
    <t>Broadcast quality cardioid end-address dynamic USB microphone. Features 18-bit resolution and 8-48kHz sampling. Windows and Mac compatible.</t>
  </si>
  <si>
    <t>$ 626.304,00</t>
  </si>
  <si>
    <t>$ 517.608,00</t>
  </si>
  <si>
    <t>PODMIC</t>
  </si>
  <si>
    <t>PodMic - Dynamic Podcasting Microphone</t>
  </si>
  <si>
    <t>PODMICUSB</t>
  </si>
  <si>
    <t>Broadcast-quality dynamic microphone -Analog XLR and digital USB-C connectivity</t>
  </si>
  <si>
    <t>$ 646.450,00</t>
  </si>
  <si>
    <t>$ 534.268,00</t>
  </si>
  <si>
    <t>PROCASTER</t>
  </si>
  <si>
    <t>Broadcast quality cardioid end-address dynamic microphone</t>
  </si>
  <si>
    <t>REPORTER</t>
  </si>
  <si>
    <t>Omnidirectional cardioid interview microphone</t>
  </si>
  <si>
    <t>$ 462.406,00</t>
  </si>
  <si>
    <t>$ 382.158,00</t>
  </si>
  <si>
    <t>Micrófonos AMBISIONIC</t>
  </si>
  <si>
    <t>NTSF1</t>
  </si>
  <si>
    <t>True Condenser Ambisonic Microphone kit with Windshield, Furry, Shockmount and Custom Mogami Cable</t>
  </si>
  <si>
    <t>$ 3.128.426,00</t>
  </si>
  <si>
    <t>$ 2.585.478,00</t>
  </si>
  <si>
    <t>Wearables</t>
  </si>
  <si>
    <t>HS2BL</t>
  </si>
  <si>
    <t>HS2 Headset Microphone, Black color, Large (adult) size</t>
  </si>
  <si>
    <t>HS2PL</t>
  </si>
  <si>
    <t>HS2 Headset Microphone, Pink color, Large (adult) size</t>
  </si>
  <si>
    <t>LAVALIER</t>
  </si>
  <si>
    <t>Omnidirectional lavalier/lapel microphone</t>
  </si>
  <si>
    <t>LAVALIERII</t>
  </si>
  <si>
    <t>The Lavalier II is a premium lavalier microphone with a unique low-profile design ​that is ideal for the most demanding audio and video applications.</t>
  </si>
  <si>
    <t>LAVRL</t>
  </si>
  <si>
    <t>Professional-grade Lavalier microphone with Locking 3.5mm TRS connector. Compatible with the RØDELink Series wireless system.</t>
  </si>
  <si>
    <t>$ 264.082,00</t>
  </si>
  <si>
    <t>$ 218.246,00</t>
  </si>
  <si>
    <t>LAVGO</t>
  </si>
  <si>
    <t>Professional-grade Lavalier microphone with 3.5mm TRS connector. Compatible with the RØDE Wireless GO transmitter.</t>
  </si>
  <si>
    <t>$ 187.600,00</t>
  </si>
  <si>
    <t>$ 155.050,00</t>
  </si>
  <si>
    <t>LAVGOW</t>
  </si>
  <si>
    <t>The Lavalier GO is a professional-grade wearable microphone designed for a wide range of applications. TRS connector is fully compatible with the RØDE Wireless GO transmitter.</t>
  </si>
  <si>
    <t>Micrófonos para cámaras</t>
  </si>
  <si>
    <t>SVMPR</t>
  </si>
  <si>
    <t>Stereo VideoMic Pro with Rycote Lyre Suspension Mount</t>
  </si>
  <si>
    <t>$ 652.218,00</t>
  </si>
  <si>
    <t>$ 539.028,00</t>
  </si>
  <si>
    <t>SVMX</t>
  </si>
  <si>
    <t>Broadcast-grade stereo on-camera microphone with all metal construction. 1/2" true condenser capsules, digital switching, 3 step level control, HPF and HF boost. 3.5mm or dual mini XLR output.</t>
  </si>
  <si>
    <t>$ 1.740.284,00</t>
  </si>
  <si>
    <t>$ 1.438.248,00</t>
  </si>
  <si>
    <t>VMGO</t>
  </si>
  <si>
    <t>Veratile, Light-weight On-Camera Microphone</t>
  </si>
  <si>
    <t>$ 217.896,00</t>
  </si>
  <si>
    <t>$ 180.082,00</t>
  </si>
  <si>
    <t>VMGOII</t>
  </si>
  <si>
    <t>Lightweight Directional Microphone</t>
  </si>
  <si>
    <t>VMICRO</t>
  </si>
  <si>
    <t>Compact Cardioid Light-weight On-Camera Microphone</t>
  </si>
  <si>
    <t>$ 167.398,00</t>
  </si>
  <si>
    <t>$ 138.348,00</t>
  </si>
  <si>
    <t>VMICROII</t>
  </si>
  <si>
    <t>$ 225.120,00</t>
  </si>
  <si>
    <t>$ 186.046,00</t>
  </si>
  <si>
    <t>VMNTG</t>
  </si>
  <si>
    <t>On-camera shotgun microphone with Auto-Switching output and USB connectivity.</t>
  </si>
  <si>
    <t>VMP+</t>
  </si>
  <si>
    <t>VideoMic Pro+ on-camera shotgun microphone with LB1 Rechargeable battery, digital switching, 3-stage HPF &amp; level, safety track and HF boost.</t>
  </si>
  <si>
    <t>$ 888.874,00</t>
  </si>
  <si>
    <t>$ 734.608,00</t>
  </si>
  <si>
    <t>VMPR</t>
  </si>
  <si>
    <t>The New VideMic Pro featuring Rycote suspension, a high volume windhsield and an imporved capsule. Directional super cardioid condenser microphone with integrated Rycote shockmount, HPF and level control. Designed to connect directly to consumer video cameras and DSLRs.</t>
  </si>
  <si>
    <t>VMR</t>
  </si>
  <si>
    <t>This updated VideoMic incorporates all the features that made the original microphone the world's most popular after-market on-camera microphone, updated to include the innovative and hard-wearing Rycote Lyre suspension system.</t>
  </si>
  <si>
    <t>$ 347.186,00</t>
  </si>
  <si>
    <t>$ 286.930,00</t>
  </si>
  <si>
    <t>Micrófonos para móviles</t>
  </si>
  <si>
    <t>AIMICRO</t>
  </si>
  <si>
    <t>The AI-Micro is an ultra-compact dual-channel audio interface that can connect almost any microphone with a 3.5mm connector to computers and mobile devices.</t>
  </si>
  <si>
    <t>$ 219.352,00</t>
  </si>
  <si>
    <t>$ 181.286,00</t>
  </si>
  <si>
    <t>SMARTLAVP</t>
  </si>
  <si>
    <t>The SmartLav+ is a broadcast-grade wearable microphone designed for use with smartplones and other 3.5mm TRRS devices.</t>
  </si>
  <si>
    <t>VIDEOMICME</t>
  </si>
  <si>
    <t>Compact TRRS cardioid microphone designed for iOS devices and smartphones. 3.5mm headphone output.</t>
  </si>
  <si>
    <t>$ 176.078,00</t>
  </si>
  <si>
    <t>$ 145.516,00</t>
  </si>
  <si>
    <t>VMMC</t>
  </si>
  <si>
    <t>Directional Microphone and Headphone Output for smart devices with USB-C Connectivity.</t>
  </si>
  <si>
    <t>VMML</t>
  </si>
  <si>
    <t>Directional Microphone and Headphone Output for iPhone and iPad with Lightning Connectivity</t>
  </si>
  <si>
    <t>VLOGVMICRO</t>
  </si>
  <si>
    <t>Vlogger Kit for Mobile phones with 3.5mm compatibility.</t>
  </si>
  <si>
    <t>$ 447.314,00</t>
  </si>
  <si>
    <t>$ 369.684,00</t>
  </si>
  <si>
    <t>VLOGVMML</t>
  </si>
  <si>
    <t>Vlogger Kit for iOS devices</t>
  </si>
  <si>
    <t>VLOGVMMC</t>
  </si>
  <si>
    <t>Vlogger Kit for USB-C compatible phones</t>
  </si>
  <si>
    <t>Micrófonos inalámbricos</t>
  </si>
  <si>
    <t>WIGO 3</t>
  </si>
  <si>
    <t>The Wireless GO II is a compact wireless microphone system that operates in the 2.4GHz spectrum. The kit includes two transmitters with an internal microphone and a receiver with 3.5mm TRS output. Both Transmitter (TX) and Receiver (RX) include a USB Type-C port used for charging purposes and to be able to connect to a computer for future firmware updates. The receiver can also be used as an interface by connecting it to any computer and recording the audio. They are also compatible with USB-C for Android and Apple products.</t>
  </si>
  <si>
    <t>$ 939.428,00</t>
  </si>
  <si>
    <t>$ 776.384,00</t>
  </si>
  <si>
    <t>WIGOIITX</t>
  </si>
  <si>
    <t>Standalone Wireless GO II transmitter unit</t>
  </si>
  <si>
    <t>$ 346.318,00</t>
  </si>
  <si>
    <t>$ 286.216,00</t>
  </si>
  <si>
    <t>WIGOIICHARGINGCASE</t>
  </si>
  <si>
    <t>Custom charging case for the Wireless GO II</t>
  </si>
  <si>
    <t>$ 207.816,00</t>
  </si>
  <si>
    <t>$ 171.752,00</t>
  </si>
  <si>
    <t>WIGOIISINGLE</t>
  </si>
  <si>
    <t>The Wireless GO II is a versatile and ultra-compact wireless microphone system. This set consists of a dual-channel receiver and a single transmitter.</t>
  </si>
  <si>
    <t>$ 666.666,00</t>
  </si>
  <si>
    <t>$ 550.970,00</t>
  </si>
  <si>
    <t>WIME</t>
  </si>
  <si>
    <t>Compact Wireless Microphone System</t>
  </si>
  <si>
    <t>$ 432.936,00</t>
  </si>
  <si>
    <t>$ 357.798,00</t>
  </si>
  <si>
    <t>WIMETX</t>
  </si>
  <si>
    <t>Standalone Wireless ME transmitter unit</t>
  </si>
  <si>
    <t>$ 259.770,00</t>
  </si>
  <si>
    <t>WIPRO</t>
  </si>
  <si>
    <t>The Wireless PRO is a dual-channel compact wireless microphone system for capturing pristine audio for your content. It boasts a range innovative features including intelligent GainAssist technology, 32-bit float on-board recording, over 32GB of internal memory, Series IV 2.4GHz digital transmission delivering best-in class range, a locking connector on the TX, a convenient robust charging case and more.</t>
  </si>
  <si>
    <t>$ 1.269.842,00</t>
  </si>
  <si>
    <t>$ 1.049.454,00</t>
  </si>
  <si>
    <t>RODELINKPF</t>
  </si>
  <si>
    <t>RØDELink Performer Kit - Wireless handheld transmitter and desk-mount receiver</t>
  </si>
  <si>
    <t>$ 1.440.096,00</t>
  </si>
  <si>
    <t>$ 1.190.168,00</t>
  </si>
  <si>
    <t>X Series</t>
  </si>
  <si>
    <t>XDM100</t>
  </si>
  <si>
    <t>Cardioid end-address dynamic with advanced DSP</t>
  </si>
  <si>
    <t>$ 721.532,00</t>
  </si>
  <si>
    <t>$ 596.302,00</t>
  </si>
  <si>
    <t>XCM50</t>
  </si>
  <si>
    <t>Compact Condenser USB Microphone for Streaming</t>
  </si>
  <si>
    <t>Consolas</t>
  </si>
  <si>
    <t>RCDUO</t>
  </si>
  <si>
    <t>Fully integrated audio production studio for podcasters, streamers, musicians and content creators. (Plug Type: B - USA, MEX,CAN &amp; JPN)</t>
  </si>
  <si>
    <t>$ 1.616.174,00</t>
  </si>
  <si>
    <t>$ 1.335.670,00</t>
  </si>
  <si>
    <t>RCP</t>
  </si>
  <si>
    <t>RØDECaster Pro Integrated Podcast Production Console</t>
  </si>
  <si>
    <t>$ 1.877.344,00</t>
  </si>
  <si>
    <t>$ 1.551.522,00</t>
  </si>
  <si>
    <t>RCPII</t>
  </si>
  <si>
    <t>RØDECaster Pro II, Integrated audio production studio. (Plug Type: B - USA, MEX,CAN &amp; JPN)</t>
  </si>
  <si>
    <t>$ 1.923.992,00</t>
  </si>
  <si>
    <t>$ 1.741.166,00</t>
  </si>
  <si>
    <t>RCV-B</t>
  </si>
  <si>
    <t>RODECaster Video (USA, MEX, CAN &amp; JPN)</t>
  </si>
  <si>
    <t>STREAMERX</t>
  </si>
  <si>
    <t>Professional video capture card, audio interface and control surface integrated in one compact, easy-to-use device. (Plug Type: B - USA, MEX,CAN &amp; JPN)</t>
  </si>
  <si>
    <t>$ 1.010.128,00</t>
  </si>
  <si>
    <t>$ 834.820,00</t>
  </si>
  <si>
    <t>NTH100</t>
  </si>
  <si>
    <t>Professional Over-Ear Headphones. Includes: 1x NTH-100 headphones, 1x storage pouch, 1x 2.4m cable, 1x set of coloured ID rings</t>
  </si>
  <si>
    <t>$ 455.728,00</t>
  </si>
  <si>
    <t>$ 376.628,00</t>
  </si>
  <si>
    <t>NTH100M</t>
  </si>
  <si>
    <t>Precision Closed Back Headphones - NTH100M</t>
  </si>
  <si>
    <t>$ 548.366,00</t>
  </si>
  <si>
    <t>$ 453.194,00</t>
  </si>
  <si>
    <t>NTHMIC</t>
  </si>
  <si>
    <t>NTH100-Boomarm Mic</t>
  </si>
  <si>
    <t>Accesorios para auriculares</t>
  </si>
  <si>
    <t>NTH-CABLE12</t>
  </si>
  <si>
    <t>1.2m headphone cable in black: 1x NTH-Cable12 headphone cable, 1x 3.5mm to 1/4" adaptor, 1x COLORS ID set, 1x rubber set</t>
  </si>
  <si>
    <t>$ 79.002,00</t>
  </si>
  <si>
    <t>$ 65.296,00</t>
  </si>
  <si>
    <t>NTH-CABLE12O</t>
  </si>
  <si>
    <t>1.2m headphone cable in orange: 1x NTH-Cable12 headphone cable, 1x 3.5mm to 1/4" adaptor, 1x COLORS ID set, 1x rubber set</t>
  </si>
  <si>
    <t>NTH-CABLE12G</t>
  </si>
  <si>
    <t>1.2m headphone cable in green: 1x NTH-Cable12 headphone cable, 1x 3.5mm to 1/4" adaptor, 1x COLORS ID set, 1x rubber set</t>
  </si>
  <si>
    <t>NTH-CABLE12P</t>
  </si>
  <si>
    <t>1.2m headphone cable in pink: 1x NTH-Cable12 headphone cable, 1x 3.5mm to 1/4" adaptor, 1x COLORS ID set, 1x rubber set</t>
  </si>
  <si>
    <t>NTH-CABLE12B</t>
  </si>
  <si>
    <t>1.2m headphone cable in blue: 1x NTH-Cable12 headphone cable, 1x 3.5mm to 1/4" adaptor, 1x COLORS ID set, 1x rubber set</t>
  </si>
  <si>
    <t>NTH-CABLE24</t>
  </si>
  <si>
    <t>2.4m headphone cable in black: 1x NTH-Cable24 headphone cable, 1x 3.5mm to 1/4" adaptor, 1x COLORS ID set, 1x rubber set</t>
  </si>
  <si>
    <t>$ 85.904,00</t>
  </si>
  <si>
    <t>$ 70.994,00</t>
  </si>
  <si>
    <t>NTH-CABLE24O</t>
  </si>
  <si>
    <t>2.4m headphone cable in orange: 1x NTH-Cable24 headphone cable, 1x 3.5mm to 1/4" adaptor, 1x COLORS ID set, 1x rubber set</t>
  </si>
  <si>
    <t>NTH-CABLE24G</t>
  </si>
  <si>
    <t>2.4m headphone cable in green: 1x NTH-Cable24 headphone cable, 1x 3.5mm to 1/4" adaptor, 1x COLORS ID set, 1x rubber set</t>
  </si>
  <si>
    <t>NTH-CABLE24P</t>
  </si>
  <si>
    <t>2.4m headphone cable in pink: 1x NTH-Cable24 headphone cable, 1x 3.5mm to 1/4" adaptor, 1x COLORS ID set, 1x rubber set</t>
  </si>
  <si>
    <t>NTH-CABLE24B</t>
  </si>
  <si>
    <t>2.4m headphone cable in blue: 1x NTH-Cable24 headphone cable, 1x 3.5mm to 1/4" adaptor, 1x COLORS ID set, 1x rubber set</t>
  </si>
  <si>
    <t>Adaptadores</t>
  </si>
  <si>
    <t>HJA-4</t>
  </si>
  <si>
    <t>3.5mm to 9.3mm TRS headphone adapters, 4 pack</t>
  </si>
  <si>
    <t>$ 30.996,00</t>
  </si>
  <si>
    <t>SC1</t>
  </si>
  <si>
    <t>6m (20') TRRS extension cable for smartLav+.</t>
  </si>
  <si>
    <t>$ 60.144,00</t>
  </si>
  <si>
    <t>$ 49.714,00</t>
  </si>
  <si>
    <t>SC2</t>
  </si>
  <si>
    <t>3.5mm TRS patch cable for iPhone</t>
  </si>
  <si>
    <t>$ 37.786,00</t>
  </si>
  <si>
    <t>$ 31.220,00</t>
  </si>
  <si>
    <t>SC3</t>
  </si>
  <si>
    <t>3.5mm TRRS to TRS adaptor for smartLav. The SC3 is a high-quality shielded adaptor, designed to allow the smartLav to connect to 3.5mm TRS devices such as cameras and audio recorders</t>
  </si>
  <si>
    <t>SC4</t>
  </si>
  <si>
    <t>3.5mm TRS to TRRS adaptor. Designed to allow microphones with a 3.5mm output to connect to TRRS smartphones and tablets.</t>
  </si>
  <si>
    <t>SC6</t>
  </si>
  <si>
    <t>Dual TRRS input and headphone output for smartphones</t>
  </si>
  <si>
    <t>$ 44.674,00</t>
  </si>
  <si>
    <t>$ 36.918,00</t>
  </si>
  <si>
    <t>SC6-L</t>
  </si>
  <si>
    <t>Lightning input and headphone output for smartphones</t>
  </si>
  <si>
    <t>$ 57.666,00</t>
  </si>
  <si>
    <t>$ 47.656,00</t>
  </si>
  <si>
    <t>SC7</t>
  </si>
  <si>
    <t>3.5mm TRS to TRRS patch cable. Allows the VideoMic GO to connect to TRRS compatible devices such as the iPhone or iPad.</t>
  </si>
  <si>
    <t>SC8</t>
  </si>
  <si>
    <t>6 metre 3.5mm TRS to 3.5mm TRS Male to male cable designed for Boompole use with TRS socket microphones such as the VideoMicro or VideoMic GO.</t>
  </si>
  <si>
    <t>$ 104.776,00</t>
  </si>
  <si>
    <t>SC9</t>
  </si>
  <si>
    <t>3.5mm TRRS to TRRS patch 1.6m cable</t>
  </si>
  <si>
    <t>$ 75.026,00</t>
  </si>
  <si>
    <t>$ 62.006,00</t>
  </si>
  <si>
    <t>SC10</t>
  </si>
  <si>
    <t>300mm TRRS patch cable with cable management</t>
  </si>
  <si>
    <t>$ 73.892,00</t>
  </si>
  <si>
    <t>$ 61.068,00</t>
  </si>
  <si>
    <t>SC11</t>
  </si>
  <si>
    <t>Splitter Cable for Wireless GO - Dual TRS 3.5mm to TRS 3.5mm</t>
  </si>
  <si>
    <t>$ 53.620,00</t>
  </si>
  <si>
    <t>$ 44.324,00</t>
  </si>
  <si>
    <t>VXLR</t>
  </si>
  <si>
    <t>3.5mm mini jack to 3-pin XLR input connector.</t>
  </si>
  <si>
    <t>$ 30.940,00</t>
  </si>
  <si>
    <t>$ 25.564,00</t>
  </si>
  <si>
    <t>VXLR+</t>
  </si>
  <si>
    <t>3.5mm locking TRS Female to XLR Male adapter with 48V Phantom power &gt; Plugin Power conversion</t>
  </si>
  <si>
    <t>$ 82.460,00</t>
  </si>
  <si>
    <t>$ 68.152,00</t>
  </si>
  <si>
    <t>VXLRPRO</t>
  </si>
  <si>
    <t>Transformer-balanced 3.5mm TRS to XLR adaptor with phantiom power to plugin-power step-down.</t>
  </si>
  <si>
    <t>$ 140.882,00</t>
  </si>
  <si>
    <t>$ 116.424,00</t>
  </si>
  <si>
    <t>Boompole</t>
  </si>
  <si>
    <t>BOOMPOLE</t>
  </si>
  <si>
    <t>A high grade professional boom pole for location recording. Machined from high-grade aluminium. Extends from 0.85m (33½") to 3.3m (127½").</t>
  </si>
  <si>
    <t>$ 401.996,00</t>
  </si>
  <si>
    <t>$ 332.220,00</t>
  </si>
  <si>
    <t>BOOMPOLECLIPS</t>
  </si>
  <si>
    <t>The RØDE Boompole Clips are designed to quickly and easily mount onto any RØDE boompole to secure the microphone lead and minimise any movement. Pack of 5.</t>
  </si>
  <si>
    <t>BOOMPOLEMICRO</t>
  </si>
  <si>
    <t>Intuitive twist locks allow the Micro Boompole?s three sections to smoothly extend to 2063mm (6¾"), while the ergonomic grip provides comfort during use.</t>
  </si>
  <si>
    <t>$ 156.352,00</t>
  </si>
  <si>
    <t>$ 129.206,00</t>
  </si>
  <si>
    <t>BOOMPOLEMICROP</t>
  </si>
  <si>
    <t>Ultra-lightweight modular boom pole</t>
  </si>
  <si>
    <t>$ 343.574,00</t>
  </si>
  <si>
    <t>$ 283.948,00</t>
  </si>
  <si>
    <t>BOOMPOLEMINI</t>
  </si>
  <si>
    <t>A lightweight, high grade professional boom pole machined from high-grade aluminium. Extends from 0.84m (33") to 2.1m (83").</t>
  </si>
  <si>
    <t>BOOMPOLEPRO</t>
  </si>
  <si>
    <t>Carbon Fibre five-section professional boom pole</t>
  </si>
  <si>
    <t>$ 776.496,00</t>
  </si>
  <si>
    <t>$ 641.732,00</t>
  </si>
  <si>
    <t>XLR Cable</t>
  </si>
  <si>
    <t>XLR3M</t>
  </si>
  <si>
    <t>Premium Black 3m XLR cable for connecting microphones to audio equipment</t>
  </si>
  <si>
    <t>XLR3M-B</t>
  </si>
  <si>
    <t>Premium Blue 3m XLR cable for connecting microphones to audio equipment</t>
  </si>
  <si>
    <t>XLR3M-G</t>
  </si>
  <si>
    <t>Premium Green 3m XLR cable for connecting microphones to audio equipment</t>
  </si>
  <si>
    <t>XLR3M-O</t>
  </si>
  <si>
    <t>Premium Orange 3m XLR cable for connecting microphones to audio equipment</t>
  </si>
  <si>
    <t>XLR3M-P</t>
  </si>
  <si>
    <t>Premium Pink 3m XLR cable for connecting microphones to audio equipment</t>
  </si>
  <si>
    <t>XLR3M-PU</t>
  </si>
  <si>
    <t>Premium Purple 3m XLR cable for connecting microphones to audio equipment</t>
  </si>
  <si>
    <t>XLR3M-R</t>
  </si>
  <si>
    <t>Premium Red 3m XLR cable for connecting microphones to audio equipment</t>
  </si>
  <si>
    <t>XLR6M</t>
  </si>
  <si>
    <t>Premium Black 6m XLR cable for connecting microphones to audio equipment</t>
  </si>
  <si>
    <t>$ 148.428,00</t>
  </si>
  <si>
    <t>XLR6M-B</t>
  </si>
  <si>
    <t>Premium Blue 6m XLR cable for connecting microphones to audio equipment</t>
  </si>
  <si>
    <t>XLR6M-G</t>
  </si>
  <si>
    <t>Premium Green 6m XLR cable for connecting microphones to audio equipment</t>
  </si>
  <si>
    <t>XLR6M-O</t>
  </si>
  <si>
    <t>Premium Orange 6m XLR cable for connecting microphones to audio equipment</t>
  </si>
  <si>
    <t>XLR6M-P</t>
  </si>
  <si>
    <t>Premium Pink 6m XLR cable for connecting microphones to audio equipment</t>
  </si>
  <si>
    <t>XLR6M-PU</t>
  </si>
  <si>
    <t>Premium Purple 6m XLR cable for connecting microphones to audio equipment</t>
  </si>
  <si>
    <t>XLR6M-R</t>
  </si>
  <si>
    <t>Premium Red 6m XLR cable for connecting microphones to audio equipment</t>
  </si>
  <si>
    <t>Cable</t>
  </si>
  <si>
    <t>COLORS1</t>
  </si>
  <si>
    <t>COLOR SET 1 FOR NT-USB MINI</t>
  </si>
  <si>
    <t>COLORS2</t>
  </si>
  <si>
    <t>A set of four coloured windshields, cable identification rings and tags and a sticker set for the RØDE Wireless GO, Wireless GO II, Lavalier GO and smartlav+.</t>
  </si>
  <si>
    <t>$ 49.798,00</t>
  </si>
  <si>
    <t>$ 41.160,00</t>
  </si>
  <si>
    <t>COLORS3</t>
  </si>
  <si>
    <t>A set of four coloured windshields, cable identification rings, tags and a sticker set for the RODE Wireless GO, Wireless GO II and Lavalier II that make it easy to identify channels in multi-microphone setups.</t>
  </si>
  <si>
    <t>$ 61.866,00</t>
  </si>
  <si>
    <t>$ 51.128,00</t>
  </si>
  <si>
    <t>DC-USB1</t>
  </si>
  <si>
    <t>USB TO DC power cable</t>
  </si>
  <si>
    <t>$ 50.498,00</t>
  </si>
  <si>
    <t>$ 41.734,00</t>
  </si>
  <si>
    <t>PG2RCABLE</t>
  </si>
  <si>
    <t>Pro Cable for PG2-R Pistol Grip and SM series shockmounts</t>
  </si>
  <si>
    <t>$ 207.872,00</t>
  </si>
  <si>
    <t>$ 171.794,00</t>
  </si>
  <si>
    <t>VC1</t>
  </si>
  <si>
    <t>3m (10') stereo mini jack (3.5mm) extension cable featuring two core shielding and a gold plated jack and socket.</t>
  </si>
  <si>
    <t>$ 53.242,00</t>
  </si>
  <si>
    <t>$ 44.002,00</t>
  </si>
  <si>
    <t>XLR-ID</t>
  </si>
  <si>
    <t>Colored XLR rings, bag of 8</t>
  </si>
  <si>
    <t>$ 25.970,00</t>
  </si>
  <si>
    <t>$ 21.462,00</t>
  </si>
  <si>
    <t>Cables USB</t>
  </si>
  <si>
    <t>SC15</t>
  </si>
  <si>
    <t>300mm USB-C TO Lightning accessory cable (MFI Accessory Cable) with cable management.</t>
  </si>
  <si>
    <t>SC16</t>
  </si>
  <si>
    <t>300mm USB-C to USB-C Cable to connect on-camera microphones to smartphones and tablets.</t>
  </si>
  <si>
    <t>SC17</t>
  </si>
  <si>
    <t>High quality 1.5m USB-C TO USB-C cable, to connect USB-C devices to computers and tablets.</t>
  </si>
  <si>
    <t>SC18</t>
  </si>
  <si>
    <t>High quality 1.5m USB-C TO USB-A cable, designed to connect USB-C microphones to computers and tablets.</t>
  </si>
  <si>
    <t>SC21</t>
  </si>
  <si>
    <t>300mm Lightning to USB-C Cable, MFi certified USB-C microphones to apple devices.</t>
  </si>
  <si>
    <t>SC22</t>
  </si>
  <si>
    <t>300mm USB-C to USB-C Cable, to connect USB-C devices to computers and tablets.</t>
  </si>
  <si>
    <t>SC19</t>
  </si>
  <si>
    <t>1.5m USB-C TO lightning accessory cable (MFI Accessory Cable) designed to connect USBC Microphones to iOS devices.</t>
  </si>
  <si>
    <t>$ 89.362,00</t>
  </si>
  <si>
    <t>$ 73.850,00</t>
  </si>
  <si>
    <t>Lav Clips</t>
  </si>
  <si>
    <t>CLIP1</t>
  </si>
  <si>
    <t>The CLIP1 is a cable management clip, designed to allow optimal mounting of MiCon cables on the microphone user. Supplied in a pack of three.</t>
  </si>
  <si>
    <t>$ 66.990,00</t>
  </si>
  <si>
    <t>$ 55.370,00</t>
  </si>
  <si>
    <t>LAVCLIP</t>
  </si>
  <si>
    <t>The LAV-CLIP is an ergonomic and discreet clip mount for the RØDE Lavalier microphone. The LAV-CLIP is supplied in a pack of three.</t>
  </si>
  <si>
    <t>VAMPIRECLIP</t>
  </si>
  <si>
    <t>The RØDE Vampire Clip is a double-toothed clothing pin that conveniently fastens the RØDE Lavalier microphone onto a wide range of fabric and clothing for complete mounting versatility.</t>
  </si>
  <si>
    <t>Micon</t>
  </si>
  <si>
    <t>MICON1</t>
  </si>
  <si>
    <t>MiCon adaptor for RØDE HS1, PinMic and Lavalier. Compatible with Sennheiser SK 500 G3, SK 300 G3,SK 100 G3, SK 500 G2 SK 300 G2, SK 2 Freeport</t>
  </si>
  <si>
    <t>$ 44.730,00</t>
  </si>
  <si>
    <t>$ 36.974,00</t>
  </si>
  <si>
    <t>MICON10</t>
  </si>
  <si>
    <t>MiCon adaptor cable for RØDE HS1, PinMic and Lavalier. Compatible with MIPRO 4-pin mini XLR devices</t>
  </si>
  <si>
    <t>$ 56.266,00</t>
  </si>
  <si>
    <t>$ 46.494,00</t>
  </si>
  <si>
    <t>MICON11</t>
  </si>
  <si>
    <t>MiCon adaptor for RØDE HS1, PinMic and Lavalier. Compatible with TRRS devices and smartphones.</t>
  </si>
  <si>
    <t>MICON2</t>
  </si>
  <si>
    <t>MiCon adaptor for RØDE HS1, Pinmic and Lavalier. 3.5 Stereo Mini Jack (1V Minimum power suppl")</t>
  </si>
  <si>
    <t>MICON3</t>
  </si>
  <si>
    <t>MiCon adaptor for RØDE HS1, PinMic and Lavalier. Compatible with Shure UR1, UR1M, ULX1, SLX1, PGX1, PG1</t>
  </si>
  <si>
    <t>MICON4</t>
  </si>
  <si>
    <t>MiCon adaptor for RØDE HS1, PinMic and Lavalier. Compatible with Audio Technica UniPak? Body-Pack Series 1800, 2000, 3000</t>
  </si>
  <si>
    <t>$ 80.780,00</t>
  </si>
  <si>
    <t>$ 66.766,00</t>
  </si>
  <si>
    <t>MICON5</t>
  </si>
  <si>
    <t>MiCon adaptor for RØDE HS1, Pinmic and Lavalier. 48 Phantom Power (3 pin XL")</t>
  </si>
  <si>
    <t>MICON6</t>
  </si>
  <si>
    <t>MiCon adaptor for RØDE HS1, PinMic and Lavalier. Compatible with AKG PT40, PT60, PT61, PT80, PT400, PT2000, PT4000 and Audix RAD-360.</t>
  </si>
  <si>
    <t>MICON7</t>
  </si>
  <si>
    <t>MiCon adaptor for RØDE HS1, PinMic and Lavalier. Compatible with Lectrosonics SM Series, UMa Series, LMa Series and UM450</t>
  </si>
  <si>
    <t>MICON8</t>
  </si>
  <si>
    <t>MiCon adaptor for RØDE HS1, PinMic and Lavalier Compatible with Sony UWP series</t>
  </si>
  <si>
    <t>MICON9</t>
  </si>
  <si>
    <t>MiCon adaptor cable for RØDE HS1, PinMic and Lavalier. Compatible with Sennheiser SK 500, SK 2000 and SK 5000</t>
  </si>
  <si>
    <t>$ 200.592,00</t>
  </si>
  <si>
    <t>$ 165.774,00</t>
  </si>
  <si>
    <t>MICONCABLE3M</t>
  </si>
  <si>
    <t>Like all MiConTM cables, this 3m (10") length is shielded and Kevlar reinforced. Includes male to female adaptor. Black in colour.</t>
  </si>
  <si>
    <t>$ 133.980,00</t>
  </si>
  <si>
    <t>$ 110.726,00</t>
  </si>
  <si>
    <t>MICONCABLEB</t>
  </si>
  <si>
    <t>Like all MiConTM cables, this 1.2m (4") length is shielded and Kevlar reinforced. Includes male to female adaptor. Black in colour.</t>
  </si>
  <si>
    <t>$ 111.664,00</t>
  </si>
  <si>
    <t>$ 92.288,00</t>
  </si>
  <si>
    <t>MICONCABLEP</t>
  </si>
  <si>
    <t>Like all MiConTM cables, this 1.2m (4") length is shielded and Kevlar reinforced. Includes male to female adaptor. Pink in colour.</t>
  </si>
  <si>
    <t>Mic Clip</t>
  </si>
  <si>
    <t>RM1</t>
  </si>
  <si>
    <t>The RM1 mic clip effectively secures your microphone to its stand without interfering with its polarity or frequency response. Includes 3/8-5/8" adaptor.</t>
  </si>
  <si>
    <t>RM2</t>
  </si>
  <si>
    <t>The RM2 is a low profile professional stand mount for most RØDE large condenser microphones. Includes 3/8-5/8" adaptor.</t>
  </si>
  <si>
    <t>RM3</t>
  </si>
  <si>
    <t>The RM3 mic clip effectively secures your microphone to its stand without interfering with its polarity or frequency response. Includes 3/8-5/8" adaptor.</t>
  </si>
  <si>
    <t>Lightweight stand mount effectively secures your microphone to the stand without interfering with its polarity or frequency response. Includes 3/8-5/8" adaptor.</t>
  </si>
  <si>
    <t>Montajes</t>
  </si>
  <si>
    <t>ADAPTERPIVOT</t>
  </si>
  <si>
    <t>A durable machined-aluminium, brass, and high grade polymer adapter for mounting on booms and stands, allowing for 210 degrees of pivot. Inc.uding a 3/8 - 5/8" thread adapter,</t>
  </si>
  <si>
    <t>$ 106.498,00</t>
  </si>
  <si>
    <t>$ 88.018,00</t>
  </si>
  <si>
    <t>BLIMPMOUNT</t>
  </si>
  <si>
    <t>The RØDE Universal Blimp Mount is an interchangeable mounting adaptor for the RØDE Blimp windshield shock mounting system that allows simple and lightweight mounting onto a boom pole, boom stand or any other 3/8" thread mounting device.</t>
  </si>
  <si>
    <t>DCS-1</t>
  </si>
  <si>
    <t>Dual Cold Shoe Mount for Wireless GO</t>
  </si>
  <si>
    <t>$ 56.700,00</t>
  </si>
  <si>
    <t>$ 46.858,00</t>
  </si>
  <si>
    <t>GN1</t>
  </si>
  <si>
    <t>Miniature (85m") flexible goose neck for NT6. By using the GN1 with NT6 microphone stand you get an added height that allows you to have total control over the placement of the NT6.</t>
  </si>
  <si>
    <t>INTERVIEWGO</t>
  </si>
  <si>
    <t>Handle and pop filter attachment for Wireless GO. Allows for the transmitter to be used as an interview style microphone</t>
  </si>
  <si>
    <t>INVISI10PK</t>
  </si>
  <si>
    <t>Discreet skinsafe mount for lavalier microphones. Supports RODE Lavalier and smartLav. Pack of 10.</t>
  </si>
  <si>
    <t>INVISI3PK</t>
  </si>
  <si>
    <t>Discreet skinsafe mount for lavalier microphones. Supports RODE Lavalier and smartLav. Pack of 3.</t>
  </si>
  <si>
    <t>LAVHSJR</t>
  </si>
  <si>
    <t>Headset mount for Lavalier Microphones. Compatible with RØDE Lavalier and smartLav+. Junior size.</t>
  </si>
  <si>
    <t>LAVHSLG</t>
  </si>
  <si>
    <t>Headset mount for Lavalier Microphones. Compatible with RØDE Lavalier and smartLav+. Large size.</t>
  </si>
  <si>
    <t>LAVHSMED</t>
  </si>
  <si>
    <t>Headset mount for Lavalier Microphones. Compatible with RØDE Lavalier and smartLav+. Medium size.</t>
  </si>
  <si>
    <t>FLEXCLIPGOB</t>
  </si>
  <si>
    <t>The FlexClip GO is a set of three clips for maximum versatility when mounting the Wireless GO transmitter onto talent or other objects.</t>
  </si>
  <si>
    <t>$ 91.028,00</t>
  </si>
  <si>
    <t>$ 75.222,00</t>
  </si>
  <si>
    <t>MAGCLIPGO</t>
  </si>
  <si>
    <t>Magnetic clip attachment for Wireless GO</t>
  </si>
  <si>
    <t>PG1</t>
  </si>
  <si>
    <t>The PG1 Cold Shoe Pistol Grip is a convenient and ergonomic way to operate your RØDE VideoMic, Stereo VideoMic, or any other cold-shoe device independently of your video camera.</t>
  </si>
  <si>
    <t>PG2R</t>
  </si>
  <si>
    <t>Updated Pistol Grip mount with Rycote Lyre Suspension Mount</t>
  </si>
  <si>
    <t>$ 212.128,00</t>
  </si>
  <si>
    <t>$ 175.308,00</t>
  </si>
  <si>
    <t>STEREOBAR</t>
  </si>
  <si>
    <t>High-quality stereo bar designed for mounting multiple microphones in stereo arrays of up to 20cm distance (capsule to capsule).</t>
  </si>
  <si>
    <t>$ 118.510,00</t>
  </si>
  <si>
    <t>$ 97.944,00</t>
  </si>
  <si>
    <t>Shockmount</t>
  </si>
  <si>
    <t>PSM1</t>
  </si>
  <si>
    <t>The perfect suspension shock mount, the PSM-1 removes the ability for external vibrations to manipulate the microphones positioning.</t>
  </si>
  <si>
    <t>SM2</t>
  </si>
  <si>
    <t>Provides isolation from external physical factors that may cause unwanted rumble and vibrations in the microphone.</t>
  </si>
  <si>
    <t>$ 171.808,00</t>
  </si>
  <si>
    <t>$ 141.988,00</t>
  </si>
  <si>
    <t>SM3R</t>
  </si>
  <si>
    <t>Updated Camera shoe mount with Rycote Lyre Suspension Mount</t>
  </si>
  <si>
    <t>$ 144.326,00</t>
  </si>
  <si>
    <t>$ 119.280,00</t>
  </si>
  <si>
    <t>SM4R</t>
  </si>
  <si>
    <t>Updated 3/8" or 5/8" Thread mount with Rycote Lyre Suspension Mount</t>
  </si>
  <si>
    <t>SM5</t>
  </si>
  <si>
    <t>The SM5 is a suspension shock mount with ring clamp adaptor that allows the use of RØDE Microphones to be used with professional video cameras.</t>
  </si>
  <si>
    <t>SM6</t>
  </si>
  <si>
    <t>Professional shock mount with integrated pop shield.</t>
  </si>
  <si>
    <t>$ 200.970,00</t>
  </si>
  <si>
    <t>$ 166.096,00</t>
  </si>
  <si>
    <t>SM8</t>
  </si>
  <si>
    <t>The SM8 suspension shock mount is designed to support the NTG8 on any standard mic stand or boompole. Includes 3/8-5/8? thread adaptor.</t>
  </si>
  <si>
    <t>SMR</t>
  </si>
  <si>
    <t>Advanced shock mount featuring integrated Rycote Lyre suspension and all-metal pop shield. Suits all RØDE large diaphragm condenser microphones.</t>
  </si>
  <si>
    <t>$ 238.798,00</t>
  </si>
  <si>
    <t>Stand</t>
  </si>
  <si>
    <t>DS1</t>
  </si>
  <si>
    <t>The DS1 is a weighted table top microphone stand.</t>
  </si>
  <si>
    <t>DS2</t>
  </si>
  <si>
    <t>The DS2 is a compact desktop studio arm for mounting microphones, cameras, smartphones, lights and other accessories on a desktop</t>
  </si>
  <si>
    <t>$ 259.714,00</t>
  </si>
  <si>
    <t>$ 214.634,00</t>
  </si>
  <si>
    <t>PSA1</t>
  </si>
  <si>
    <t>Designed for the RØDE Procaster and Podcaster, the PSA1 is a professional studio boom arm with a horizontal reach of 820mm, and a vertical reach of 840mm.</t>
  </si>
  <si>
    <t>$ 282.184,00</t>
  </si>
  <si>
    <t>$ 233.212,00</t>
  </si>
  <si>
    <t>PSA1+</t>
  </si>
  <si>
    <t>Studio Boom arm for radio, broadcast, studio and home use.</t>
  </si>
  <si>
    <t>$ 395.962,00</t>
  </si>
  <si>
    <t>$ 327.236,00</t>
  </si>
  <si>
    <t>TRIPOD</t>
  </si>
  <si>
    <t>A collapsible mini tripod, 360 degree rotation and a wide angle of vertical adjustment. Includes 1/4 to 3/8 adaptor.</t>
  </si>
  <si>
    <t>$ 96.194,00</t>
  </si>
  <si>
    <t>$ 79.506,00</t>
  </si>
  <si>
    <t>TRIPOD2</t>
  </si>
  <si>
    <t>Three-position tripod for mounting cameras, microphones and accessories</t>
  </si>
  <si>
    <t>$ 137.424,00</t>
  </si>
  <si>
    <t>$ 113.582,00</t>
  </si>
  <si>
    <t>Windshield</t>
  </si>
  <si>
    <t>BLIMP</t>
  </si>
  <si>
    <t>A complete windshield and shock mounting accessory for the NTG1, NTG2 and NTG3 microphones, as well as any third party shotgun microphone up to 325mm (12 ¾”) in length. Now featuring the Rycote® Lyre suspension system, the Blimp provides the ultimate in microphone suspension and isolation.</t>
  </si>
  <si>
    <t>$ 865.802,00</t>
  </si>
  <si>
    <t>$ 715.540,00</t>
  </si>
  <si>
    <t>BLIMPEXT</t>
  </si>
  <si>
    <t>The Blimp Extension is an add-on component kit for the RØDE Blimp windshield system that allows the use of long shotgun microphones, including the RØDE NTG8 and any shotgun with barrel length of up to 600mm.</t>
  </si>
  <si>
    <t>DEADCAT</t>
  </si>
  <si>
    <t>Artificial fur is specially designed so as to minimise wind noise in high wind conditions, while remaining acoustically transparent.</t>
  </si>
  <si>
    <t>$ 127.134,00</t>
  </si>
  <si>
    <t>$ 105.070,00</t>
  </si>
  <si>
    <t>DEADCATGO</t>
  </si>
  <si>
    <t>The DeadCat GO is a furry wind cover for the VideoMic GO, designed for use in windy environments.</t>
  </si>
  <si>
    <t>DEADCATVMP</t>
  </si>
  <si>
    <t>The DeadCat VMP is a furry wind cover for the VideoMic Pro, designed for use in windy environments.</t>
  </si>
  <si>
    <t>DEADCATVMP+</t>
  </si>
  <si>
    <t>Artifical Furry Windshield with rear seal designed for the VideoMic Pro Plus microphone. Designed for use in windy environments</t>
  </si>
  <si>
    <t>$ 141.582,00</t>
  </si>
  <si>
    <t>$ 117.012,00</t>
  </si>
  <si>
    <t>DEADCATVMPR</t>
  </si>
  <si>
    <t>DEADKITTEN</t>
  </si>
  <si>
    <t>Designed for minimising any wind noise when using the microphone in high wind conditions.</t>
  </si>
  <si>
    <t>DEADMOUSE</t>
  </si>
  <si>
    <t>The DeadMouse-Pin is a professional grade windshield, designed to minimise wind noise to ensure quality recordings in adverse environments with the RØDE PinMic.</t>
  </si>
  <si>
    <t>DEADWOMBAT</t>
  </si>
  <si>
    <t>The DeadWombat windshield is designed for minimising wind noise when recording in high wind conditions using the RØDE Blimp.</t>
  </si>
  <si>
    <t>MINIFURHS1</t>
  </si>
  <si>
    <t>The MINIFUR-HS1 is an artificial fur wind shield designed for us on the HS1 headset microphone in outdoor or high wind conditions. The MINIFUR-HS1 is supplied in a pack of three.</t>
  </si>
  <si>
    <t>MINIFURLAV</t>
  </si>
  <si>
    <t>The MINIFUR-LAV is a synthetic fur cover for the Lavalier microphone, designed for use in outdoor or high-wind conditions. The MINIFUR-LAV is supplied in a pack of three.</t>
  </si>
  <si>
    <t>WS2</t>
  </si>
  <si>
    <t>Provides additional protection for the microphone capsule against any wind noise or plosives.</t>
  </si>
  <si>
    <t>WS3</t>
  </si>
  <si>
    <t>WS4</t>
  </si>
  <si>
    <t>Provides additional protection for the microphone capsule against any wind noise or plosives. Suits NT4</t>
  </si>
  <si>
    <t>WS5</t>
  </si>
  <si>
    <t>WS6</t>
  </si>
  <si>
    <t>Deluxe Windshield comprised of open cell foam and fur sleeve. Suits NTG1, NTG2,NTG4, NTG4+, VideoMic and shotguns with a maximum slot length of 160.5mm (6 1/4") and a diameter of 21-22.5mm</t>
  </si>
  <si>
    <t>$ 163.184,00</t>
  </si>
  <si>
    <t>$ 134.862,00</t>
  </si>
  <si>
    <t>WS7</t>
  </si>
  <si>
    <t>Deluxe Windshield comprised of open cell foam and fur sleeve. Sutis NTG3 and shotguns with a maximum slot length of 186.5mm (7 1/4") and a diameter of 19-20mm</t>
  </si>
  <si>
    <t>WS8</t>
  </si>
  <si>
    <t>Deluxe Windshield comprised of open cell foam and fur sleeve. Suits M5, NT5, NT55 and NT6.</t>
  </si>
  <si>
    <t>WS9</t>
  </si>
  <si>
    <t>Deluxe Windshield comprised of open cell foam and fur sleeve. Suits VideoMicro and VideoMic ME</t>
  </si>
  <si>
    <t>WS9-B</t>
  </si>
  <si>
    <t>A deluxe furry windshield for the VideoMicro and VideoMic Me range in Blue.</t>
  </si>
  <si>
    <t>$ 72.170,00</t>
  </si>
  <si>
    <t>$ 59.640,00</t>
  </si>
  <si>
    <t>WS9-G</t>
  </si>
  <si>
    <t>A deluxe furry windshield for the VideoMicro and VideoMic Me range in Green.</t>
  </si>
  <si>
    <t>WS9-O</t>
  </si>
  <si>
    <t>A deluxe furry windshield for the VideoMicro and VideoMic Me range in Orange.</t>
  </si>
  <si>
    <t>WS9-P</t>
  </si>
  <si>
    <t>A deluxe furry windshield for the VideoMicro and VideoMic Me range in Pink.</t>
  </si>
  <si>
    <t>WS11</t>
  </si>
  <si>
    <t>Deluxe Windshield comprised of open cell foam and fur sleeve. Suits VideoMic NTG</t>
  </si>
  <si>
    <t>WS12</t>
  </si>
  <si>
    <t>Deluxe windshield for VideoMic GO II</t>
  </si>
  <si>
    <t>WSCHROMA</t>
  </si>
  <si>
    <t>A set of two foam windshields for the VideoMic NTG in blue and green to suit chroma keying</t>
  </si>
  <si>
    <t>WSHS1B</t>
  </si>
  <si>
    <t>The WS-HS1-B is a high quality pop filter, designed to fit the black HS1-B headset. A pop filter should be fitted in the majority of applications to prevent any hard plosive sounds overloading the microphone capsule. The WS-HS1-B is supplied as a pack of three.</t>
  </si>
  <si>
    <t>WSHS1P</t>
  </si>
  <si>
    <t>The WS-HS1-P is a high quality pop filter, designed to fit the pink HS1-P headset. A pop filter should be fitted in the majority of applications to prevent any hard plosive sounds overloading the microphone capsule. The WS-HS1-P is supplied as a pack of three.</t>
  </si>
  <si>
    <t>WSLAV</t>
  </si>
  <si>
    <t>The WS-LAV is a high quality pop filter, designed to fit the Lavelier microphone. A pop filter should be fitted in the majority of applications to prevent any hard plosive sounds overloading the microphone capsule. The WS-LAV is supplied as a pack of three.</t>
  </si>
  <si>
    <t>WSVM</t>
  </si>
  <si>
    <t>Provides additional protection for the microphone capsule against wind noise or plosives.</t>
  </si>
  <si>
    <t>WS14</t>
  </si>
  <si>
    <t>Podmic Popfilter (Black)</t>
  </si>
  <si>
    <t>$ 68.936,00</t>
  </si>
  <si>
    <t>$ 56.966,00</t>
  </si>
  <si>
    <t>WS14B</t>
  </si>
  <si>
    <t>Podmic Popfilter (Blue)</t>
  </si>
  <si>
    <t>WS14G</t>
  </si>
  <si>
    <t>Podmic Popfilter (Green)</t>
  </si>
  <si>
    <t>WS14O</t>
  </si>
  <si>
    <t>Podmic Popfilter (Orange)</t>
  </si>
  <si>
    <t>WS14P</t>
  </si>
  <si>
    <t>Podmic Popfilter (Pink)</t>
  </si>
  <si>
    <t>WS14PU</t>
  </si>
  <si>
    <t>Podmic Popfilter (Purple)</t>
  </si>
  <si>
    <t>WS14R</t>
  </si>
  <si>
    <t>Podmic Popfilter (Red)</t>
  </si>
  <si>
    <t>WS14W</t>
  </si>
  <si>
    <t>Podmic Popfilter (White)</t>
  </si>
  <si>
    <t>I-XLR</t>
  </si>
  <si>
    <t>$ 107.786,00</t>
  </si>
  <si>
    <t>$ 89.082,00</t>
  </si>
  <si>
    <t>IXY</t>
  </si>
  <si>
    <t>PinMic</t>
  </si>
  <si>
    <t>SVM</t>
  </si>
  <si>
    <t>$ 538.944,00</t>
  </si>
  <si>
    <t>$ 445.410,00</t>
  </si>
  <si>
    <t>HI-FI y Audio HOME</t>
  </si>
  <si>
    <t>LÍNEA COUNTOUR</t>
  </si>
  <si>
    <t>Dynaudio</t>
  </si>
  <si>
    <t>CONTOUR-S1.4</t>
  </si>
  <si>
    <t>Bafle 2 Vias Compacto  Mid/Bass 17 cm , Tweeter softdome  2,8 cm. Amp.recomendado 100w a 200w. Color Maple . Cada Uno.</t>
  </si>
  <si>
    <t>$ 4.372.144,00</t>
  </si>
  <si>
    <t>$ 3.613.344,00</t>
  </si>
  <si>
    <t>CONTOUR-SC</t>
  </si>
  <si>
    <t>Bafle Central  con doble mid / bass de 15 cm , tweeter sofdome  . Amp recomendado  100 w a 200 w . Color Maple. Cada uno.</t>
  </si>
  <si>
    <t>$ 4.653.740,00</t>
  </si>
  <si>
    <t>$ 3.846.066,00</t>
  </si>
  <si>
    <t>CONTOUR-S3.4</t>
  </si>
  <si>
    <t>Columna  con doble mid / bass de 17 cm , tweeter sofdome 2,8 cm . Amp recomendado  200 w a 300 w . Color Maple. Cada uno.</t>
  </si>
  <si>
    <t>$ 7.780.920,00</t>
  </si>
  <si>
    <t>$ 6.430.522,00</t>
  </si>
  <si>
    <t>LÍNEA EMIT</t>
  </si>
  <si>
    <t>EMIT-M10</t>
  </si>
  <si>
    <t>Bass-Reflex de 2 Vias, potencia &gt;150W RMS, impedancia 6 Ohms, sensibilidad 86dB (2.83V/1 m) rta de frecuencia 50Hz - 23kHz +/-3dB respuesta cruce de filtros 1800Hz tweeter 28mm con cupula laminada, Woofer de medio grave 140mm MSP Medidas: Alto 292mm x Ancho 170mm x Fondo 240mm. En negro satinado. PRECIO POR PAR</t>
  </si>
  <si>
    <t>$ 1.617.252,00</t>
  </si>
  <si>
    <t>$ 1.336.566,00</t>
  </si>
  <si>
    <t>EMIT-M30</t>
  </si>
  <si>
    <t>Columnra Bass-Reflex de 2 Vias potencia &gt;200W RMS impedancia nominal 4 Ohms, sensibilidad 86dB (2.83V/1 m), respuesta de frecuencia 40Hz - 20kHz +/-3dB, frecuencia de cruce de filtro 1800Hz, tweeter de 28mm cupula laminada, Woofer x 2 cono de 170mm con diafragma MSP Medidas: Alto 960mm x Ancho 204mm x Fondo 275mm. En negro satinado. PRECIO POR UNIDAD</t>
  </si>
  <si>
    <t>$ 3.912.692,00</t>
  </si>
  <si>
    <t>LÍNEA FOCUS</t>
  </si>
  <si>
    <t>FOCUS-210C</t>
  </si>
  <si>
    <t>Bafle Central  con doble mid / bass de 15 cm , tweeter sofdome  . Amp recomendado  100 w a 200 w . Color laqueado Negro. Cada uno.</t>
  </si>
  <si>
    <t>$ 3.023.440,00</t>
  </si>
  <si>
    <t>$ 2.498.720,00</t>
  </si>
  <si>
    <t>FOCUS-260</t>
  </si>
  <si>
    <t>$ 5.039.076,00</t>
  </si>
  <si>
    <t>$ 4.164.524,00</t>
  </si>
  <si>
    <t>LÍNEA DM</t>
  </si>
  <si>
    <t>DM-3/7</t>
  </si>
  <si>
    <t>Bafle columna 2 vias, woofer 6.7 " + tweeter 1.1" , amp recomendado  100w a 200w. Negro (por unidad).</t>
  </si>
  <si>
    <t>$ 2.149.014,00</t>
  </si>
  <si>
    <t>$ 1.776.054,00</t>
  </si>
  <si>
    <t>LÍNEA XEO</t>
  </si>
  <si>
    <t>XEO-5</t>
  </si>
  <si>
    <t>Columna  con doble mid / bass + 1 tweeter .  Autoamplificado Inalámbrico. Negro. Cada uno.</t>
  </si>
  <si>
    <t>$ 4.600.372,00</t>
  </si>
  <si>
    <t>$ 3.801.966,00</t>
  </si>
  <si>
    <t>XEO-TRANS</t>
  </si>
  <si>
    <t>Transmisor Digital de 3 entradas Stereo (analógica, digital , USB)</t>
  </si>
  <si>
    <t>$ 1.067.094,00</t>
  </si>
  <si>
    <t>$ 881.902,00</t>
  </si>
  <si>
    <t>MONITORES DE ESTUDIO</t>
  </si>
  <si>
    <t>LÍNEA BM (pro auido)</t>
  </si>
  <si>
    <t>BM6-A BLACK</t>
  </si>
  <si>
    <t>Nearfield Monitor. 2 Vias  7'', Tweeter softdome 1'', Dual Ampli.100w MOSFET.C/Uno.</t>
  </si>
  <si>
    <t>$ 3.272.430,00</t>
  </si>
  <si>
    <t>$ 2.704.492,00</t>
  </si>
  <si>
    <t>BM15A</t>
  </si>
  <si>
    <t>Nearfield Monitor. 2 Vias  10'', Tweeter softdome  1'', Dual Ampli.200w LF MOSFET, 100w HF MOSFET.C/Uno</t>
  </si>
  <si>
    <t>$ 4.668.552,00</t>
  </si>
  <si>
    <t>$ 3.858.316,00</t>
  </si>
  <si>
    <t>LÍNEA LYD (enter level)</t>
  </si>
  <si>
    <t>LYD-5</t>
  </si>
  <si>
    <t>Nearfield Monitor. 2 Vias  5'', Tweeter softdome  1'', amp. 2 x 50w. Cada Uno</t>
  </si>
  <si>
    <t>$ 1.482.082,00</t>
  </si>
  <si>
    <t>$ 1.224.860,00</t>
  </si>
  <si>
    <t>LYD-8</t>
  </si>
  <si>
    <t>Nearfield Monitor. 2 Vias  8'', Tweeter softdome  1'', amp. 1 x 50w 1 x 80w. Cada Uno</t>
  </si>
  <si>
    <t>SISTEMAS DE SONIDO</t>
  </si>
  <si>
    <t>LINEA HOME</t>
  </si>
  <si>
    <t>K-ARRAY</t>
  </si>
  <si>
    <t>K1</t>
  </si>
  <si>
    <t>Home System 4" active sub + 2 x KZ1 with BT</t>
  </si>
  <si>
    <t>$ 1.465.912,00</t>
  </si>
  <si>
    <t>$ 1.211.504,00</t>
  </si>
  <si>
    <t>LÍNEA AZIMUT</t>
  </si>
  <si>
    <t>KAMUT2L1</t>
  </si>
  <si>
    <t>Sistema de sonido profesional compuesto por 2 KZ1-AZ + 1 KTR24 + 1 KA02-AZ + 1 K-AUDIOCTRL - NEGRO</t>
  </si>
  <si>
    <t>$ 6.775.426,00</t>
  </si>
  <si>
    <t>$ 5.599.524,00</t>
  </si>
  <si>
    <t>KAMUT2L14</t>
  </si>
  <si>
    <t>Sistema de sonido profesional compuesto por 2 KZ14-AZ + 1 KTR25 + 1 KA02-AZ + 1 K-AUDIOCTRL - NEGRO</t>
  </si>
  <si>
    <t>$ 7.522.116,00</t>
  </si>
  <si>
    <t>$ 6.216.616,00</t>
  </si>
  <si>
    <t>KAMUT2V25</t>
  </si>
  <si>
    <t>Sistema de sonido profesional compuesto por 2 KV25-AZ + 1 KTR26 + 1 KA02-AZ + 1 K-AUDIOCTRL - NEGRO</t>
  </si>
  <si>
    <t>$ 9.209.060,00</t>
  </si>
  <si>
    <t>$ 7.610.792,00</t>
  </si>
  <si>
    <t>KAMUT2V25 II</t>
  </si>
  <si>
    <t>Azimut-KAMUT2V25 II, Professional sound system composed of 
 2 KV25 II + 1 KTR26 + 1 KA02 I + 1 K-REMUCTRL</t>
  </si>
  <si>
    <t>$ 10.785.376,00</t>
  </si>
  <si>
    <t>$ 8.913.534,00</t>
  </si>
  <si>
    <t>LÍNEA PINNACLE</t>
  </si>
  <si>
    <t>KR102 II</t>
  </si>
  <si>
    <t>Pinnacle-KR102 II, High tech, small-format powered stereo system
 1 KS1 I Thunder-KS1I, Ultra-light, Self-Powered single 12" subwoofer with 1 DSP and power outputs
 1 KS1P I Thunder-KS1PI, Ultra-light Passive 8ohm single 12" subwoofer 2 
 2 KK102 I Kobra-KK102 I, 100cm-long, variable beam stainless steel line array 3 element with 16x2in cones - BLACK (connecting hardware NOT included) - EN54-24 compliant(*)
 4 K-JOINT3 Joining hardware to connect, fly 4 
 2 K-KKPOLE Fake Kobra 100cm pole support - BLACK 5 
 1 K-SPKCABLE15 15mt 4wires speakon cable 6 
 2 K-SPKCABLE2 2mt 4wires speakon cable</t>
  </si>
  <si>
    <t>$ 36.227.814,00</t>
  </si>
  <si>
    <t>$ 29.940.344,00</t>
  </si>
  <si>
    <t>KR202 II</t>
  </si>
  <si>
    <t>Pinnacle-KR202 II, High-tech, lightweight portable system COMPUESTO POR
 1 KS2 I Thunder-KS2I, Ultra-light, Self-Powered single 18"
 subwoofer with DSP and power outputs BLACK
 1 KS2P I Thunder-KS2PI, Ultra-light Passive 8ohm single 18" 2 
 subwoofer BLACK
 4 KK102 I Kobra-KK102 I, 100cm-long, variable beam stainless steel 3 
 line array element with 16x2in cones - BLACK
 (connecting hardware NOT included) - EN54-24
 compliant(*)
 4 K-JOINT3 Joining hardware to connect, fly 4 
 2 K-FOOT3 Adapter for standing 5 
 1 K-SPKCABLE15 15mt 4wires speakon cable 6 
 2 K-SPKCABLE2 2mt 4wires speakon cable 7 
 2 K-SPKCABLE235 22.5 cm 2wires speakon cable</t>
  </si>
  <si>
    <t>$ 50.608.320,00</t>
  </si>
  <si>
    <t>$ 41.825.056,00</t>
  </si>
  <si>
    <t>KR402 I</t>
  </si>
  <si>
    <t>Powered stereo system composed of 2 KMT21 I, 4 KP102I
  and mounting hardware and cases for KP102I – NEGRO</t>
  </si>
  <si>
    <t>$ 59.596.138,00</t>
  </si>
  <si>
    <t>$ 49.253.008,00</t>
  </si>
  <si>
    <t>KR802 II</t>
  </si>
  <si>
    <t>Pinnacle KR802 II, Powered stereo system composed of 1 KS4 I + 1 KS4P I + 4 KY102 + mounting hardware</t>
  </si>
  <si>
    <t>$ 78.263.136,00</t>
  </si>
  <si>
    <t>$ 64.680.280,00</t>
  </si>
  <si>
    <t>PARLANTES</t>
  </si>
  <si>
    <t>LÍNEA LIZARD</t>
  </si>
  <si>
    <t>KZ1</t>
  </si>
  <si>
    <t>Parlante point source ultra-compacto de aluminio, 3,5W, LF 0,5", 16Ω - NEGRO</t>
  </si>
  <si>
    <t>$ 857.304,00</t>
  </si>
  <si>
    <t>$ 708.512,00</t>
  </si>
  <si>
    <t>KZ14</t>
  </si>
  <si>
    <t>Array ultra-compacto de aluminio, 15W, LF 4 x 0,5", 16Ω - NEGRO</t>
  </si>
  <si>
    <t>$ 1.078.532,00</t>
  </si>
  <si>
    <t>$ 891.352,00</t>
  </si>
  <si>
    <t>LÍNEA VYPER</t>
  </si>
  <si>
    <t>KV25</t>
  </si>
  <si>
    <t>Array ultra-plano de aluminio, 75W, Drivers 4 x 1", 8Ω / 32Ω - NEGRO</t>
  </si>
  <si>
    <t>$ 2.184.728,00</t>
  </si>
  <si>
    <t>$ 1.805.566,00</t>
  </si>
  <si>
    <t>KV52 I</t>
  </si>
  <si>
    <t>Array ultra-plano de aluminio, 75W, Drivers 8 x 1", 8Ω / 32Ω - NEGRO</t>
  </si>
  <si>
    <t>$ 2.654.862,00</t>
  </si>
  <si>
    <t>$ 2.194.108,00</t>
  </si>
  <si>
    <t>KV52 II</t>
  </si>
  <si>
    <t>Vyper-KV52 II, Ultra-flat, 50cm-long, aluminum line array element with 8x1" cones NEGRO</t>
  </si>
  <si>
    <t>$ 3.042.032,00</t>
  </si>
  <si>
    <t>$ 2.514.078,00</t>
  </si>
  <si>
    <t>LÍNEA KOBRA</t>
  </si>
  <si>
    <t>KK52 I</t>
  </si>
  <si>
    <t>Array de acero inoxidable, 200W, Drivers 8 x 2", 16Ω / 64Ω - NEGRO</t>
  </si>
  <si>
    <t>$ 4.009.950,00</t>
  </si>
  <si>
    <t>$ 3.314.010,00</t>
  </si>
  <si>
    <t>KK102</t>
  </si>
  <si>
    <t>Array de acero inoxidable, 400W, Drivers 16 x 2", 8Ω / 32Ω - NEGRO</t>
  </si>
  <si>
    <t>$ 6.637.162,00</t>
  </si>
  <si>
    <t>$ 5.485.256,00</t>
  </si>
  <si>
    <t>LÍNEA PYTHON</t>
  </si>
  <si>
    <t>KP52</t>
  </si>
  <si>
    <t>Array de acero inoxidable, 360W, Drivers 6 x 3,15", 8Ω / 32Ω - NEGRO</t>
  </si>
  <si>
    <t>$ 5.254.410,00</t>
  </si>
  <si>
    <t>$ 4.342.492,00</t>
  </si>
  <si>
    <t>KP102</t>
  </si>
  <si>
    <t>Array de acero inoxidable, 720W, Drivers 12 x 2", 4Ω / 16Ω - NEGRO</t>
  </si>
  <si>
    <t>$ 7.770.770,00</t>
  </si>
  <si>
    <t>LÍNEA KAYMAN</t>
  </si>
  <si>
    <t>KY102</t>
  </si>
  <si>
    <t>Array de acero inoxidable, 1200W, Drivers 8 x 4", 8Ω / 32Ω - NEGRO</t>
  </si>
  <si>
    <t>$ 12.721.212,00</t>
  </si>
  <si>
    <t>$ 10.513.398,00</t>
  </si>
  <si>
    <t>LÍNEA ANAKONDA</t>
  </si>
  <si>
    <t>KAN200+</t>
  </si>
  <si>
    <t>Array tipo manguera de neopreno, 300W, Drivers 8 x 1", 32Ω, conector SpeakON NL4 - NEGRO</t>
  </si>
  <si>
    <t>$ 3.567.466,00</t>
  </si>
  <si>
    <t>$ 2.948.330,00</t>
  </si>
  <si>
    <t>LÍNEA DOMINO</t>
  </si>
  <si>
    <t>KF26</t>
  </si>
  <si>
    <t>Parlante full-range pasivo acero inoxidable, 160W, 8Ω / 32Ω - NEGRO</t>
  </si>
  <si>
    <t>$ 3.871.672,00</t>
  </si>
  <si>
    <t>$ 3.199.728,00</t>
  </si>
  <si>
    <t>KF210</t>
  </si>
  <si>
    <t>Parlante full-range pasivo acero inoxidable, 320W, 4Ω / 16Ω - NEGRO</t>
  </si>
  <si>
    <t>$ 6.001.100,00</t>
  </si>
  <si>
    <t>$ 4.959.584,00</t>
  </si>
  <si>
    <t>KF212</t>
  </si>
  <si>
    <t>Parlante full-range pasivo acero inoxidable, 700W, 8Ω / 16Ω - NEGRO</t>
  </si>
  <si>
    <t>$ 7.190.260,00</t>
  </si>
  <si>
    <t>$ 5.942.356,00</t>
  </si>
  <si>
    <t>LÍNEA DRAGON</t>
  </si>
  <si>
    <t>KX12</t>
  </si>
  <si>
    <t>Parlante coaxial LF 12", HF 2,4", 1200W, 8Ω - SpeakON NL4 - NEGRO</t>
  </si>
  <si>
    <t>LÍNEA MUGELLO</t>
  </si>
  <si>
    <t>KH2 I</t>
  </si>
  <si>
    <t>Mugello-KH2, Ultra-thin self-powered 2x8in digitally steerable line array.</t>
  </si>
  <si>
    <t>$ 22.676.948,00</t>
  </si>
  <si>
    <t>$ 18.741.282,00</t>
  </si>
  <si>
    <t>KH2P I</t>
  </si>
  <si>
    <t>$ 16.869.440,00</t>
  </si>
  <si>
    <t>$ 13.941.690,00</t>
  </si>
  <si>
    <t>KH3P I</t>
  </si>
  <si>
    <t>Compact self-powered 2x12” electronic beam steerable line array with Slim Array Technology – NEGRO</t>
  </si>
  <si>
    <t>$ 24.336.242,00</t>
  </si>
  <si>
    <t>$ 20.112.596,00</t>
  </si>
  <si>
    <t>KH5P I</t>
  </si>
  <si>
    <t>Compact self-powered 2x15” electronic beam
 steerable line array with Slim Array Technology – NEGRO</t>
  </si>
  <si>
    <t>$ 36.504.356,00</t>
  </si>
  <si>
    <t>$ 30.168.894,00</t>
  </si>
  <si>
    <t>LÍNEA FIRENZE</t>
  </si>
  <si>
    <t>KH7P I</t>
  </si>
  <si>
    <t>Electronic beam steerable, self-powered line array with Slim Array Technology – NEGRO</t>
  </si>
  <si>
    <t>$ 44.800.812,00</t>
  </si>
  <si>
    <t>$ 37.025.464,00</t>
  </si>
  <si>
    <t>SUB WOOFER</t>
  </si>
  <si>
    <t>LÍNEA TRUFFLE</t>
  </si>
  <si>
    <t>KTR24</t>
  </si>
  <si>
    <t>Subwoofer pasivo 4" woofer + passive radiator, 60W, 4Ω - NEGRO</t>
  </si>
  <si>
    <t>$ 1.299.774,00</t>
  </si>
  <si>
    <t>$ 1.074.192,00</t>
  </si>
  <si>
    <t>KTR25</t>
  </si>
  <si>
    <t>Subwoofer pasivo 5,25" woofer + passive radiator, 80W, 4Ω - NEGRO</t>
  </si>
  <si>
    <t>$ 1.742.258,00</t>
  </si>
  <si>
    <t>$ 1.439.886,00</t>
  </si>
  <si>
    <t>KTR26</t>
  </si>
  <si>
    <t>Subwoofer pasivo 6,50" woofer + passive radiator, 100W, 2Ω - NEGRO</t>
  </si>
  <si>
    <t>$ 2.157.078,00</t>
  </si>
  <si>
    <t>$ 1.782.704,00</t>
  </si>
  <si>
    <t>LÍNEA RUMBLE</t>
  </si>
  <si>
    <t>KU44 I</t>
  </si>
  <si>
    <t>Subwoofer pasivo, 2 x 4" neodymium magnet woofers passive radiators, 120W 8Ω / 32Ω - NEGRO</t>
  </si>
  <si>
    <t>$ 2.710.176,00</t>
  </si>
  <si>
    <t>$ 2.239.818,00</t>
  </si>
  <si>
    <t>KU26</t>
  </si>
  <si>
    <t>Subwoofer pasivo, 6" neodymium magnet woofers / 6" passive radiator, 160W 8Ω / 32Ω - NEGRO</t>
  </si>
  <si>
    <t>KU210</t>
  </si>
  <si>
    <t>Subwoofer pasivo, 10" neodymium magnet woofer / 10" passive radiator, 160W 8Ω / 32Ω - NEGRO</t>
  </si>
  <si>
    <t>KU212</t>
  </si>
  <si>
    <t>Subwoofer pasivo, 12" neodymium magnet woofer / 12" passive radiator, 160W 8Ω / 32Ω - NEGRO</t>
  </si>
  <si>
    <t>$ 6.360.606,00</t>
  </si>
  <si>
    <t>$ 5.256.706,00</t>
  </si>
  <si>
    <t>LÍNEA THUNDER</t>
  </si>
  <si>
    <t>KS3 I</t>
  </si>
  <si>
    <t>Thunder-KS3I, Ultra-light, Self-Powered single 21" subwoofer with DSP and power outputs NEGRO</t>
  </si>
  <si>
    <t>$ 22.400.406,00</t>
  </si>
  <si>
    <t>$ 18.512.732,00</t>
  </si>
  <si>
    <t>KS3P I</t>
  </si>
  <si>
    <t>Thunder-KS3PI, Ultra-light Passive 4ohm single 21" subwoofer NEGRO</t>
  </si>
  <si>
    <t>KS5 I</t>
  </si>
  <si>
    <t>Dual 21” self-powered subwoofer – NEGRO</t>
  </si>
  <si>
    <t>$ 21.570.766,00</t>
  </si>
  <si>
    <t>$ 17.827.068,00</t>
  </si>
  <si>
    <t>KS7P I</t>
  </si>
  <si>
    <t>Self-powered 2x21” subwoofer with 6” voice coils – NEGRO</t>
  </si>
  <si>
    <t>$ 26.548.620,00</t>
  </si>
  <si>
    <t>$ 21.941.010,00</t>
  </si>
  <si>
    <t>KMT12 I</t>
  </si>
  <si>
    <t>Subwoofer activo 12" neodymium magnet driver, 2 ch. switch-mode, class D, 2 x 1000 W @ 8 Ω - NEGRO</t>
  </si>
  <si>
    <t>$ 7.936.936,00</t>
  </si>
  <si>
    <t>$ 6.559.448,00</t>
  </si>
  <si>
    <t>K-HCFLY2 I</t>
  </si>
  <si>
    <t>Fly bar for KH2l and KS3l.</t>
  </si>
  <si>
    <t>MONITORES DE PISO</t>
  </si>
  <si>
    <t>LÍNEA TURTLE</t>
  </si>
  <si>
    <t>KRM33</t>
  </si>
  <si>
    <t>Parlante point source 3 x 3.15" woofer 1 x 6" active radiator, 2 ch. switch-mode, class D, 2 x 125 W @ 4 Ω - NEGRO</t>
  </si>
  <si>
    <t>$ 5.530.966,00</t>
  </si>
  <si>
    <t>$ 4.571.042,00</t>
  </si>
  <si>
    <t>KRM33 P</t>
  </si>
  <si>
    <t>Parlante point source 3 x 3.15" woofer 1 x 6" passive radiator, 2 ch. switch-mode, class D, 2 x 125 W @ 4 Ω - NEGRO</t>
  </si>
  <si>
    <t>LÍNEA MASTIFF</t>
  </si>
  <si>
    <t>KM112</t>
  </si>
  <si>
    <t>12” coaxial self-powered stage monitor – NEGRO</t>
  </si>
  <si>
    <t>KM112 P</t>
  </si>
  <si>
    <t>8Ω 12” passive stage monitor – NEGRO</t>
  </si>
  <si>
    <t>$ 11.891.572,00</t>
  </si>
  <si>
    <t>$ 9.827.748,00</t>
  </si>
  <si>
    <t>KM312</t>
  </si>
  <si>
    <t>3x12” self-powered stage monitor – NEGRO</t>
  </si>
  <si>
    <t>KM312P</t>
  </si>
  <si>
    <t>3x12” passive stage monitor – NEGRO</t>
  </si>
  <si>
    <t>POTENCIAS Y AMPLIFICADORES</t>
  </si>
  <si>
    <t>LÍNEA KOMMANDER</t>
  </si>
  <si>
    <t>KA02 I</t>
  </si>
  <si>
    <t>4-channel class D audio amplifier, Max Output @ 4Ω4 x 50 W,</t>
  </si>
  <si>
    <t>KA14 I</t>
  </si>
  <si>
    <t>Kommander-KA14 I, Class D, 2U rack amplifier with DSP and remote control (4x300W @ 4ohm)</t>
  </si>
  <si>
    <t>$ 7.688.044,00</t>
  </si>
  <si>
    <t>$ 6.353.746,00</t>
  </si>
  <si>
    <t>KA24</t>
  </si>
  <si>
    <t>4ch switching mode, Class D Amplifier, Output Power 4x 500 W @ 4 Ω</t>
  </si>
  <si>
    <t>$ 8.600.648,00</t>
  </si>
  <si>
    <t>$ 7.107.968,00</t>
  </si>
  <si>
    <t>KA34</t>
  </si>
  <si>
    <t>Kommander-KA34, Class D, 2U rack amplifier with DSP and remote control (4x750W @ 4 OHM)</t>
  </si>
  <si>
    <t>Linea GP</t>
  </si>
  <si>
    <t>K-GEAR</t>
  </si>
  <si>
    <t>GP12</t>
  </si>
  <si>
    <t>Passive System 12" Subwoofer + 16x2" Modular Array
Column System Black Color
(1)GSC12 Passive 12" Sub
(1)GC52 COLUMN GP12/GP12A</t>
  </si>
  <si>
    <t>$ 3.928.694,00</t>
  </si>
  <si>
    <t>$ 3.246.866,00</t>
  </si>
  <si>
    <t>GP12A</t>
  </si>
  <si>
    <t>Active System 12" Subwoofer + 16x2" Modular Array
Column 4x750W Amp Black Color
(1) A Active 12" Subwoofer For GP12A Systems 4x750W Amp Black Colo
(1)GC52 COLUMN GP12/GP12A</t>
  </si>
  <si>
    <t>GPX</t>
  </si>
  <si>
    <t>(1)GSC12 Passive 12" Sub</t>
  </si>
  <si>
    <t>$ 17.726.744,00</t>
  </si>
  <si>
    <t>$ 14.650.202,00</t>
  </si>
  <si>
    <t>GPXA</t>
  </si>
  <si>
    <t>(1)GC52 COLUMN GP12/GP12A</t>
  </si>
  <si>
    <t>$ 26.714.562,00</t>
  </si>
  <si>
    <t>$ 22.078.140,00</t>
  </si>
  <si>
    <t>Linea GH</t>
  </si>
  <si>
    <t>GH4</t>
  </si>
  <si>
    <t>Ultra-compact point source satellite speaker that delivers exceptional sound quality and coverage in a small and versatile package. Featuring a 4" full-range driver with a dual-coil neodymium magnet and variable impedance (4Ω – 16Ω), GH4 is capable of delivering powerful and clear sound even in challenging acoustic environments.</t>
  </si>
  <si>
    <t>$ 1.092.364,00</t>
  </si>
  <si>
    <t>$ 902.776,00</t>
  </si>
  <si>
    <t>GH12</t>
  </si>
  <si>
    <t>Passive coaxial array element that delivers exceptional sound quality and coverage in a compact and weather-resistant package. Featuring a 12" driver and slim array technology, GH12 provides a cardioid dispersion pattern that limits the loss of energy in unwanted directions, ensuring precise and even sound coverage.</t>
  </si>
  <si>
    <t>$ 4.687.494,00</t>
  </si>
  <si>
    <t>$ 3.873.954,00</t>
  </si>
  <si>
    <t>GH4-FLY</t>
  </si>
  <si>
    <t>Fly Bar for GH4 Speakers stainless steel - BLACK</t>
  </si>
  <si>
    <t>$ 345.688,00</t>
  </si>
  <si>
    <t>$ 285.684,00</t>
  </si>
  <si>
    <t>GH4-JOINT</t>
  </si>
  <si>
    <t>Adjustable Hardware Kit.To Join GH4 Speakers stainless steel - BLACK</t>
  </si>
  <si>
    <t>$ 235.060,00</t>
  </si>
  <si>
    <t>$ 194.264,00</t>
  </si>
  <si>
    <t>GH4-WALL</t>
  </si>
  <si>
    <t>Array Wall Mount Bracket for GH4-FLY stainless steel - BLACK</t>
  </si>
  <si>
    <t>$ 483.966,00</t>
  </si>
  <si>
    <t>$ 399.966,00</t>
  </si>
  <si>
    <t>GH-FLY</t>
  </si>
  <si>
    <t>Fly Bar For GH12 / GH412 stainless steel BLACK</t>
  </si>
  <si>
    <t>$ 1.341.256,00</t>
  </si>
  <si>
    <t>$ 1.108.478,00</t>
  </si>
  <si>
    <t>GH-JOINT</t>
  </si>
  <si>
    <t>Adjustable Hardware Kit To Join GH12 / GH412 Speakers 2 Lugs 8 Pins Stainless Steel BLACK</t>
  </si>
  <si>
    <t>$ 1.023.232,00</t>
  </si>
  <si>
    <t>$ 845.642,00</t>
  </si>
  <si>
    <t>Linea GF</t>
  </si>
  <si>
    <t>GF22</t>
  </si>
  <si>
    <t>Passive 2x2" Full Range Point Source Column Speaker 25W RMS 16ohm Recycled ABS Negro IP54</t>
  </si>
  <si>
    <t>$ 414.820,00</t>
  </si>
  <si>
    <t>$ 342.832,00</t>
  </si>
  <si>
    <t>GF22W</t>
  </si>
  <si>
    <t>Passive 2x2" Full Range Point Source Column Speaker 25W RMS 16ohm Recycled ABS Blanco IP54</t>
  </si>
  <si>
    <t>GF42</t>
  </si>
  <si>
    <t>Passive 4x2" Line Array Column Speaker 50WRMS 8-32</t>
  </si>
  <si>
    <t>$ 565.292,00</t>
  </si>
  <si>
    <t>$ 467.180,00</t>
  </si>
  <si>
    <t>GF42W I</t>
  </si>
  <si>
    <t>GF82</t>
  </si>
  <si>
    <t>Passive 8x2" Line Array Column Speaker 100W RMS 16-64? Recycled ABS Negro Color IP56</t>
  </si>
  <si>
    <t>$ 760.508,00</t>
  </si>
  <si>
    <t>$ 628.516,00</t>
  </si>
  <si>
    <t>GF82W</t>
  </si>
  <si>
    <t>Passive 8x2" Line Array Column Speaker 100W RMS 16-64? Recycled ABS Blanco Color IP56</t>
  </si>
  <si>
    <t>GF82A I</t>
  </si>
  <si>
    <t xml:space="preserve"> Active 8x2" Line Array Column Speaker 15WRMS</t>
  </si>
  <si>
    <t>$ 1.102.290,00</t>
  </si>
  <si>
    <t>$ 910.980,00</t>
  </si>
  <si>
    <t>GF-WALL</t>
  </si>
  <si>
    <r>
      <rPr>
        <rFont val="Calibri"/>
        <color rgb="FF000000"/>
      </rPr>
      <t xml:space="preserve">Wall Mount Bracket For GF22 / GF82 / GH4 ABS / Stee. </t>
    </r>
    <r>
      <rPr>
        <rFont val="Calibri"/>
        <b/>
        <color rgb="FF000000"/>
      </rPr>
      <t>COLOR NEGRO</t>
    </r>
  </si>
  <si>
    <t>$ 98.952,00</t>
  </si>
  <si>
    <t>$ 81.774,00</t>
  </si>
  <si>
    <t>GF-WALLW</t>
  </si>
  <si>
    <r>
      <rPr>
        <rFont val="Calibri"/>
        <color rgb="FF000000"/>
      </rPr>
      <t xml:space="preserve">Wall Mount Bracket For GF22 / GF82 / GH4 ABS / Stee. </t>
    </r>
    <r>
      <rPr>
        <rFont val="Calibri"/>
        <b/>
        <color rgb="FF000000"/>
      </rPr>
      <t>COLOR BLANCO</t>
    </r>
  </si>
  <si>
    <t>Linea GS</t>
  </si>
  <si>
    <t>GS6</t>
  </si>
  <si>
    <t>Passive 6" Subwoofer 60W RMS 4ohm Built-In Low-Pass Filter</t>
  </si>
  <si>
    <t>$ 497.784,00</t>
  </si>
  <si>
    <t>$ 411.390,00</t>
  </si>
  <si>
    <t>GS12</t>
  </si>
  <si>
    <t>Passive 12" Subwoofer 600W RMS 8ohm Plywood Negro IP43</t>
  </si>
  <si>
    <t>$ 2.350.656,00</t>
  </si>
  <si>
    <t>$ 1.942.696,00</t>
  </si>
  <si>
    <t>GS218</t>
  </si>
  <si>
    <t>Passive 2x18" Subwoofer 1600W RMS 4ohm Plywood Negro IP43</t>
  </si>
  <si>
    <t>$ 6.014.918,00</t>
  </si>
  <si>
    <t>$ 4.971.008,00</t>
  </si>
  <si>
    <t>POTENCIA Y AMPLIFICADORES</t>
  </si>
  <si>
    <t>Linea GA</t>
  </si>
  <si>
    <t>GA201</t>
  </si>
  <si>
    <t>Class-D Mini Amplifier 2x125W RMS @2ohm 1/6 1 Rack Unit</t>
  </si>
  <si>
    <t>$ 649.894,00</t>
  </si>
  <si>
    <t>$ 537.096,00</t>
  </si>
  <si>
    <t>GA41L</t>
  </si>
  <si>
    <t>Class-D Power Amplifier 4x150W RMS @4ohm 4IN-4OUT 1/3 2 Rack Unit</t>
  </si>
  <si>
    <t>$ 3.346.238,00</t>
  </si>
  <si>
    <t>$ 2.765.476,00</t>
  </si>
  <si>
    <t>GA43</t>
  </si>
  <si>
    <t>Networked Class-D Power Amplifier With Dsp 4x750W RMS @4ohm 2IN-4OUT 1/3 2 Rack Unit</t>
  </si>
  <si>
    <t>$ 5.876.654,00</t>
  </si>
  <si>
    <t>$ 4.856.740,00</t>
  </si>
  <si>
    <t>GA46</t>
  </si>
  <si>
    <t>Networked Class-D Power Amplifier With Dsp 4x1500W RMS @4ohm Or 100V 2IN-4OUT 1/3 2 Rack Unit</t>
  </si>
  <si>
    <t>$ 7.701.862,00</t>
  </si>
  <si>
    <t>$ 6.365.184,00</t>
  </si>
  <si>
    <t>INSTALACIONES COMERCIALES</t>
  </si>
  <si>
    <t>Linea GC (Embutir)</t>
  </si>
  <si>
    <t>GC5-GSQW</t>
  </si>
  <si>
    <t>$ 42.420,00</t>
  </si>
  <si>
    <t>$ 35.056,00</t>
  </si>
  <si>
    <t>GC5T-RNW</t>
  </si>
  <si>
    <t>$ 325.038,00</t>
  </si>
  <si>
    <t>$ 268.618,00</t>
  </si>
  <si>
    <t>GC6-GSQW</t>
  </si>
  <si>
    <t>$ 45.220,00</t>
  </si>
  <si>
    <t>$ 37.366,00</t>
  </si>
  <si>
    <t>GC6T-RNW</t>
  </si>
  <si>
    <t>$ 423.976,00</t>
  </si>
  <si>
    <t>$ 350.406,00</t>
  </si>
  <si>
    <t>GC8-GSQW</t>
  </si>
  <si>
    <t>$ 56.532,00</t>
  </si>
  <si>
    <t>$ 46.718,00</t>
  </si>
  <si>
    <t>Linea GG (de pared)</t>
  </si>
  <si>
    <t>GG6</t>
  </si>
  <si>
    <t>$ 449.414,00</t>
  </si>
  <si>
    <t>$ 371.420,00</t>
  </si>
  <si>
    <t>GG6W</t>
  </si>
  <si>
    <t xml:space="preserve">¡Los importes en esta pestaña son ofertas exclusivas por compra en cantidad! </t>
  </si>
  <si>
    <t>Unidades</t>
  </si>
  <si>
    <t>SENNHEISER</t>
  </si>
  <si>
    <t>MX80</t>
  </si>
  <si>
    <t>Auricular Liviano tipo Walkman, Impedancia : 32Ω, Rta. en frec: 50-15,000 Hz</t>
  </si>
  <si>
    <t>HD407</t>
  </si>
  <si>
    <t>Auricular uso general, abierto, Impedancia : 32Ω, Rta. en frec: 25-21,000 Hz . Negro</t>
  </si>
  <si>
    <t>HD206</t>
  </si>
  <si>
    <t>JBL-Harman</t>
  </si>
  <si>
    <t>iXY</t>
  </si>
  <si>
    <t>Microfono estereo de alta calidad, para iPhone 4S, Ipad  3 generacion.</t>
  </si>
  <si>
    <t>interfaz digital XLR para dispositivos iOS. Compatible con micrófonos dinámicos. CONECTOR LIGHTNING</t>
  </si>
  <si>
    <t>S1</t>
  </si>
  <si>
    <t>Microfono condensador de mano supercardioide, ideal Para vivo con calidad de estudio, incluye soporte de mic y cartuchera de transporte.</t>
  </si>
  <si>
    <t>PODCASTER</t>
  </si>
  <si>
    <t>K&amp;M</t>
  </si>
  <si>
    <r>
      <rPr>
        <rFont val="Calibri"/>
        <b/>
        <color rgb="FFFF0000"/>
      </rPr>
      <t xml:space="preserve">Nuevo! </t>
    </r>
    <r>
      <rPr>
        <rFont val="Calibri"/>
        <color rgb="FF000000"/>
      </rPr>
      <t>Cast-iron round base, with anti-vibration rubber insert for noise filtration.</t>
    </r>
  </si>
  <si>
    <t>$ 413.676,73</t>
  </si>
  <si>
    <t>$ 341.881,60</t>
  </si>
  <si>
    <t>$ 476.022,35</t>
  </si>
  <si>
    <t>$ 393.406,90</t>
  </si>
  <si>
    <t>$ 538.382,53</t>
  </si>
  <si>
    <t>$ 444.944,24</t>
  </si>
  <si>
    <t>$ 621.534,29</t>
  </si>
  <si>
    <t>$ 513.664,70</t>
  </si>
  <si>
    <t>$ 559.174,11</t>
  </si>
  <si>
    <t>$ 462.127,37</t>
  </si>
  <si>
    <t>$ 288.956,37</t>
  </si>
  <si>
    <t>$ 238.806,92</t>
  </si>
  <si>
    <t>STOCK 14-10-2025</t>
  </si>
  <si>
    <t>SENNHEISER, Antena omnidireccional.</t>
  </si>
  <si>
    <t>SENNHEISER, Antena de polarización.</t>
  </si>
  <si>
    <t>SENNHEISER, Booster para antenas.</t>
  </si>
  <si>
    <t>SENNHEISER, Booster para antenas. Freq. Range. Aw+ 470-558 MHz. Art. No.: 508538</t>
  </si>
  <si>
    <t>SENNHEISER, Booster para antenas. Freq. Range. BW 626-698 MHz. Art. No.: 508541</t>
  </si>
  <si>
    <t>A&amp;H, Stage Box.</t>
  </si>
  <si>
    <t>AB1608-RK19X</t>
  </si>
  <si>
    <t>A&amp;H, RACK EAR KIT.</t>
  </si>
  <si>
    <t>AB3-A (NO USAR)</t>
  </si>
  <si>
    <t>AB3-A1 (NO USAR)</t>
  </si>
  <si>
    <t>AB3-C (NO USAR)</t>
  </si>
  <si>
    <t>AB3-G</t>
  </si>
  <si>
    <t>AB9000-A1</t>
  </si>
  <si>
    <t>AC 31 (1.8 M)</t>
  </si>
  <si>
    <t>SENNHEISER, MCM CABLE MINI JACK 1.8 M</t>
  </si>
  <si>
    <t>SENNHEISER, Combinador de Antena.</t>
  </si>
  <si>
    <t>ACC-0606</t>
  </si>
  <si>
    <t>ARS, Caja adaptadora para parlante LHM0606 color negro.</t>
  </si>
  <si>
    <t>ACE</t>
  </si>
  <si>
    <t>A&amp;H, Placa de expansión.</t>
  </si>
  <si>
    <t>JBL, Control de volumen.</t>
  </si>
  <si>
    <t>ACV-5100BL</t>
  </si>
  <si>
    <t>AMX, Parlante SOUNDBAR.</t>
  </si>
  <si>
    <t>ACV-5100GR</t>
  </si>
  <si>
    <t>AC3/NT2 (NO USAR)</t>
  </si>
  <si>
    <t>AC3000</t>
  </si>
  <si>
    <t>SENNHEISER, Antena direccional.</t>
  </si>
  <si>
    <t>ADAM-MP</t>
  </si>
  <si>
    <t>TELEX, FUENTE DE ALIMENTACION P / ADAM-M.</t>
  </si>
  <si>
    <t>EPOS, Auricular c/micrófono.</t>
  </si>
  <si>
    <t>ADAPT 160T USB II</t>
  </si>
  <si>
    <t>ADAPT 160T USB-C II</t>
  </si>
  <si>
    <t>ADAPT 165T USB II</t>
  </si>
  <si>
    <t>ADAPT 165T USB-C II</t>
  </si>
  <si>
    <t>EPOS, Auricular c/micrófono Bluetooth</t>
  </si>
  <si>
    <t>SENNHEISER, Horus/Hapi 8 channel Mic/Line A/D &amp; DA module</t>
  </si>
  <si>
    <t>ADN-CU1 (NO USAR)</t>
  </si>
  <si>
    <t>SENNHEISER, Unidad Central ADN.</t>
  </si>
  <si>
    <t>ADN-C1 (NO USAR)</t>
  </si>
  <si>
    <t>SENNHEISER, Unidad de Presidente ADN.</t>
  </si>
  <si>
    <t>ADN-D1 (NO USAR)</t>
  </si>
  <si>
    <t>SENNHEISER, Unidad de Delegado ADN.</t>
  </si>
  <si>
    <t>ADN-IK1</t>
  </si>
  <si>
    <t>ADN-WC1</t>
  </si>
  <si>
    <t>SENNHEISER, Directional antenna</t>
  </si>
  <si>
    <t>AD9000</t>
  </si>
  <si>
    <t>AES-RS2422SP</t>
  </si>
  <si>
    <t>SOUNDCRAFT, Vi Option Card</t>
  </si>
  <si>
    <t>AES-8</t>
  </si>
  <si>
    <t>TC ELECTRONIC, Expansion card.</t>
  </si>
  <si>
    <t>A&amp;H, Matrix Processor</t>
  </si>
  <si>
    <t>RODE, MULTI INTERFACE FEAT. 2x TRRS IP AND STEREO HO</t>
  </si>
  <si>
    <t>TELEX/RTS, MDR BACK CARD.</t>
  </si>
  <si>
    <t>AIO-FC-16</t>
  </si>
  <si>
    <t>TELEX/RTS, FRONT CARD.</t>
  </si>
  <si>
    <t>AI-1</t>
  </si>
  <si>
    <t>RODE, Interface</t>
  </si>
  <si>
    <t>AJUSTE</t>
  </si>
  <si>
    <t>AJUSTE DE CUENTA DE CLIENTE</t>
  </si>
  <si>
    <t>Ajuste de Cuenta de Cliente</t>
  </si>
  <si>
    <t>AJUSTE DE PRECIO</t>
  </si>
  <si>
    <t>AK70MKII</t>
  </si>
  <si>
    <t>ASTELL&amp;KERN, Reproductor de CD.</t>
  </si>
  <si>
    <t>ALP-450</t>
  </si>
  <si>
    <t>TELEX-RTS, LOG PERIODIC UHF.</t>
  </si>
  <si>
    <t>SENNHEISER, Antena.</t>
  </si>
  <si>
    <t>SENNHEISER, Micrófono VR.</t>
  </si>
  <si>
    <t>BOSCH, Amplificador de potencia.</t>
  </si>
  <si>
    <t>AM-200</t>
  </si>
  <si>
    <t>CRESTRON, Ppresentation System 200.</t>
  </si>
  <si>
    <t>ANTICIPO DE CLIENTE</t>
  </si>
  <si>
    <t>ANUBIS PRO SPS</t>
  </si>
  <si>
    <t>SENNHEISER, Anubis Pro network converter</t>
  </si>
  <si>
    <t>AOD-FAN3-2XM</t>
  </si>
  <si>
    <t>RAPCO-HORIZON, Interfaz</t>
  </si>
  <si>
    <t>AO-1</t>
  </si>
  <si>
    <t>EV, Tarjeta analógica de salida</t>
  </si>
  <si>
    <t>UNIVERSAL AUDIO, Procesador.</t>
  </si>
  <si>
    <t>APLS (NO USAR)</t>
  </si>
  <si>
    <t>UNIVERSAL AUDIO, interfaz de audio solo core Thunderbolt</t>
  </si>
  <si>
    <t>APLSU (NO USAR)</t>
  </si>
  <si>
    <t>UNIVERSAL AUDIO, interfaz de audio solo core USB</t>
  </si>
  <si>
    <t>UNIVERSAL AUDIO, Placa externa.</t>
  </si>
  <si>
    <t>APLTWXD (NO USAR)</t>
  </si>
  <si>
    <t>UNIVERSAL AUDIO, Apollo Twin X w/ DUO Processing</t>
  </si>
  <si>
    <t>APLTWXQ (NO USAR)</t>
  </si>
  <si>
    <t>UNIVERSAL AUDIO, Apollo Twin X w/ QUAD Processing</t>
  </si>
  <si>
    <t>APOLLO TWIN USB (NO USAR)</t>
  </si>
  <si>
    <t>APOLLO X4 (NO USAR)</t>
  </si>
  <si>
    <t>APOLLO 16 MKII EU</t>
  </si>
  <si>
    <t>APOLLO-FW (NO USAR)</t>
  </si>
  <si>
    <t>APOLLO-TWIN-S NO USAR NO EXISTE</t>
  </si>
  <si>
    <t>APOLLOX16 (NO USAR)</t>
  </si>
  <si>
    <t>APOLLO8-QUAD</t>
  </si>
  <si>
    <t>APO-TW2T-DUO (NO USAR)</t>
  </si>
  <si>
    <t>APO-TW2T-QUAD (NO USAR)</t>
  </si>
  <si>
    <t>APO-TW2T-QUAD-HE (NO USAR)</t>
  </si>
  <si>
    <t>APO-TW2T-SOLO (NO USAR)</t>
  </si>
  <si>
    <t>APO-TW2U-DUO (NO USAR)</t>
  </si>
  <si>
    <t>TELEX-RTS, Puesto de Intercom inal.</t>
  </si>
  <si>
    <t>ARROW (NO USAR)</t>
  </si>
  <si>
    <t>ARS0-XX3-M0-030</t>
  </si>
  <si>
    <t>ARS, Microphone cable R-YME220-3</t>
  </si>
  <si>
    <t>ARS0-XX3-M0-060</t>
  </si>
  <si>
    <t>ARS, Microphone cable R-YME220-6</t>
  </si>
  <si>
    <t>ARS0-XX3-M0-090</t>
  </si>
  <si>
    <t>ARS, Microphone cable R-YME220-9</t>
  </si>
  <si>
    <t>ARS0-XX3-M0-120</t>
  </si>
  <si>
    <t>ARS, Microphone cable R-YME220-12</t>
  </si>
  <si>
    <t>ARS1-XX3-M0-030</t>
  </si>
  <si>
    <t>ARS, Microphone cable N-YME220-3</t>
  </si>
  <si>
    <t>ARS1-XX3-M0-060</t>
  </si>
  <si>
    <t>ARS, Microphone cable N-YME220-6</t>
  </si>
  <si>
    <t>ARS1-XX3-M0-090</t>
  </si>
  <si>
    <t>ARS, Microphone cable N-YME220-9</t>
  </si>
  <si>
    <t>ARS1-XX3-M0-120</t>
  </si>
  <si>
    <t>ARS, Microphone cable N-YME220-12</t>
  </si>
  <si>
    <t>ART, Split de micrófonos.</t>
  </si>
  <si>
    <t>ARTT8</t>
  </si>
  <si>
    <t>ART, ART-8CH HUM ELIMINATOR</t>
  </si>
  <si>
    <t>AR1608 (NO USAR)</t>
  </si>
  <si>
    <t>ART, Micrófono</t>
  </si>
  <si>
    <t>SENNHEISER, Splitter de antena s3000.</t>
  </si>
  <si>
    <t>ASA214 (NO USAR)</t>
  </si>
  <si>
    <t>SENNHEISER, Splitter de antena.</t>
  </si>
  <si>
    <t>ASF20023</t>
  </si>
  <si>
    <t>MARTIN AUDIO, ASSEMBLY O-LINE FLYING</t>
  </si>
  <si>
    <t>SENNHEISER, Splitter.</t>
  </si>
  <si>
    <t>EV, ACCESORIO.BAFLE.</t>
  </si>
  <si>
    <t>AVANTIS/ARX</t>
  </si>
  <si>
    <t>A&amp;H, Consola.</t>
  </si>
  <si>
    <t>AVANTIS/22X (NO USAR)</t>
  </si>
  <si>
    <t>AVN-CU2-DANTE</t>
  </si>
  <si>
    <t>SONIFEX, AVN Dante Commentator unit</t>
  </si>
  <si>
    <t>SENNHEISER, Micrófono inal.</t>
  </si>
  <si>
    <t>AVX-ME2 (NO USAR)</t>
  </si>
  <si>
    <t>SENNHEISER, Handheld Set</t>
  </si>
  <si>
    <t>AVX-835 SET-4-US</t>
  </si>
  <si>
    <t>A2003-U (NO USAR)</t>
  </si>
  <si>
    <t>A55</t>
  </si>
  <si>
    <t>MARTIN AUDIO, Parlante</t>
  </si>
  <si>
    <t>A943.036025</t>
  </si>
  <si>
    <t>STUDER, Score Live DSP Board</t>
  </si>
  <si>
    <t>A947.007020</t>
  </si>
  <si>
    <t>SOUNDCRAFT, membrana plástica</t>
  </si>
  <si>
    <t>SENNHEISER, Batterypack for SKM 9000</t>
  </si>
  <si>
    <t>BA 10</t>
  </si>
  <si>
    <t>SENNHEISER, Batería recargable.</t>
  </si>
  <si>
    <t>BA 20</t>
  </si>
  <si>
    <t>BA 30</t>
  </si>
  <si>
    <t>SENNHEISER, Pack recargable.</t>
  </si>
  <si>
    <t>BANNER</t>
  </si>
  <si>
    <t>.</t>
  </si>
  <si>
    <t>BA300</t>
  </si>
  <si>
    <t>SENNHEISER, CABLE</t>
  </si>
  <si>
    <t>SENNHEISER, Cable.</t>
  </si>
  <si>
    <t>RODE, Susp. elástica, zeppelin y piel.</t>
  </si>
  <si>
    <t>RODE, Extensión p/blimp.</t>
  </si>
  <si>
    <t>BM15</t>
  </si>
  <si>
    <t>TC ELECTRONIC, Monitor. El PAR.</t>
  </si>
  <si>
    <t>TC ELECTRONIC, Monitor.</t>
  </si>
  <si>
    <t>DYNAUDIO, Parlante.</t>
  </si>
  <si>
    <t>BM9S-II</t>
  </si>
  <si>
    <t>DYNAUDIO, Subwoofer activo .</t>
  </si>
  <si>
    <t>RODE, Caña de aluminio.</t>
  </si>
  <si>
    <t>boomPOLEMICP (NO USAR)</t>
  </si>
  <si>
    <t>RODE, Micro pro ultra light boompole.</t>
  </si>
  <si>
    <t>RODE, Boompole carbon 3M.</t>
  </si>
  <si>
    <t>BPA-2</t>
  </si>
  <si>
    <t>TELEX/RTS, Flex Antenna.</t>
  </si>
  <si>
    <t>TELEX-RTS, Belt-Pack.</t>
  </si>
  <si>
    <t>BP-240</t>
  </si>
  <si>
    <t>TELEX-RTS, Battery pack, rechargeable</t>
  </si>
  <si>
    <t>TELEX-RTS, Beltpack 4 pin .</t>
  </si>
  <si>
    <t>BP800NM</t>
  </si>
  <si>
    <t>TELEX-RTS, Battery Pack.</t>
  </si>
  <si>
    <t>RODE, micrófono condesador.</t>
  </si>
  <si>
    <t>BSSBLUCARDIN-M</t>
  </si>
  <si>
    <t>BSS, Placa</t>
  </si>
  <si>
    <t>BSSBLUCARDOUT-M</t>
  </si>
  <si>
    <t>BSSBLU160M-EK</t>
  </si>
  <si>
    <t>BSS, Procesador</t>
  </si>
  <si>
    <t>NEUTRIK, RED BUSH &gt; X-SERIES</t>
  </si>
  <si>
    <t>NEUTRIK, ORANGE BUSH &gt; X-SERIES</t>
  </si>
  <si>
    <t>NEUTRIK, GREY BUSH &gt; X-SERIES</t>
  </si>
  <si>
    <t>BS-634</t>
  </si>
  <si>
    <t>TOA, Parlante.</t>
  </si>
  <si>
    <t>BTR700-C6</t>
  </si>
  <si>
    <t>TELEX-RTS, Intercom inalámbrico.</t>
  </si>
  <si>
    <t>BTR800</t>
  </si>
  <si>
    <t>TELEX/RTS, EARCONES FOR ET4</t>
  </si>
  <si>
    <t>B10</t>
  </si>
  <si>
    <t>SENNHEISER, Batería</t>
  </si>
  <si>
    <t>B426</t>
  </si>
  <si>
    <t>BOSCH, Módulos de comunicación Ethernet Conettix.</t>
  </si>
  <si>
    <t>B61</t>
  </si>
  <si>
    <t>CABLE</t>
  </si>
  <si>
    <t>CAINST</t>
  </si>
  <si>
    <t>ARS, Cable balanceado.</t>
  </si>
  <si>
    <t>CAPACITACION</t>
  </si>
  <si>
    <t>CARDINAL</t>
  </si>
  <si>
    <t>EV, Cardioid Condenser Microphone</t>
  </si>
  <si>
    <t>CA2</t>
  </si>
  <si>
    <t>SENNHEISER, Adaptador para receptor.</t>
  </si>
  <si>
    <t>CBL-HD-12</t>
  </si>
  <si>
    <t>CRESTRON,Interface cable 18gbps.</t>
  </si>
  <si>
    <t>CBLRA-INS-B-L</t>
  </si>
  <si>
    <t>CRESTRON, Cable retractor mounting brack.</t>
  </si>
  <si>
    <t>CBLR2-CAT5E</t>
  </si>
  <si>
    <t>CRESTRON, Cable retractor FOR FLIP,CAT5E.</t>
  </si>
  <si>
    <t>CBLR2-DP-V</t>
  </si>
  <si>
    <t>CRESTRON, Cable retractor for fliptops, DP.</t>
  </si>
  <si>
    <t>CBLR2-HD</t>
  </si>
  <si>
    <t>CRESTRON, Cable retractor FOR FLIP, HDMI.</t>
  </si>
  <si>
    <t>CBLR2-USB</t>
  </si>
  <si>
    <t>CRESTRON, Cable retractor FOR FLIP,USB.</t>
  </si>
  <si>
    <t>CBLR2-VGA-AUD</t>
  </si>
  <si>
    <t>CRESTRON, Cable retractor for fliptops.</t>
  </si>
  <si>
    <t>CBL-VGA-AUD12</t>
  </si>
  <si>
    <t>CRESTRON, VGA interface cable.</t>
  </si>
  <si>
    <t>CBL1015</t>
  </si>
  <si>
    <t>JBL, Bafle.</t>
  </si>
  <si>
    <t>JBL, Parlante</t>
  </si>
  <si>
    <t>JBL, Accesorio para parlante</t>
  </si>
  <si>
    <t>A&amp;H,CC-7/10 TABLET WALL/GLASS MOUNT BRA15</t>
  </si>
  <si>
    <t>CCSD-CURD</t>
  </si>
  <si>
    <t>BOSCH, Unidad Central.</t>
  </si>
  <si>
    <t>CCSD-DL</t>
  </si>
  <si>
    <t>BOSCH, Base de Sistema de Conferencia..</t>
  </si>
  <si>
    <t>CCSD-DS</t>
  </si>
  <si>
    <t>A&amp;H, CC-7/10 TABLET DESKSTAND</t>
  </si>
  <si>
    <t>CCS-UC-1-AV-K</t>
  </si>
  <si>
    <t>CRESTRON, Tabletop Conference System.</t>
  </si>
  <si>
    <t>A&amp;H, CC-10 10" ANDROID TABLET FOR CUSTOM</t>
  </si>
  <si>
    <t>CC520-IP</t>
  </si>
  <si>
    <t>SENNHEISER, Auricular c/micrófono.</t>
  </si>
  <si>
    <t>A&amp;H, CC-7 7" ANDROID TABLET FOR CUSTOM</t>
  </si>
  <si>
    <t>CDi2X300</t>
  </si>
  <si>
    <t>CROWN, Amplificador</t>
  </si>
  <si>
    <t>CEN-SW-POE-5</t>
  </si>
  <si>
    <t>CRESTRON,5-Port PoE Switch .</t>
  </si>
  <si>
    <t>CES-1</t>
  </si>
  <si>
    <t>TELEX, Parte de auricular.</t>
  </si>
  <si>
    <t>TELEX/RTS, Complete Earset.</t>
  </si>
  <si>
    <t>CHEQUES RECHAZADOS</t>
  </si>
  <si>
    <t>SENNHEISER, 2 Bay charging.</t>
  </si>
  <si>
    <t>SENNHEISER, CHARGING BASE</t>
  </si>
  <si>
    <t>CHG-240</t>
  </si>
  <si>
    <t>TELEX/RTS, Cargador.</t>
  </si>
  <si>
    <t>CHV-TSTATEXWT</t>
  </si>
  <si>
    <t>CRESTRON, infiNET EX Thermostat, White.</t>
  </si>
  <si>
    <t>SENNHEISER, Cable de línea.</t>
  </si>
  <si>
    <t>SENNHEISER, Antena 5M.</t>
  </si>
  <si>
    <t>CLA-1</t>
  </si>
  <si>
    <t>TELEX/RTS, Antenna UHF.</t>
  </si>
  <si>
    <t>CLA-12</t>
  </si>
  <si>
    <t>CLA-2</t>
  </si>
  <si>
    <t>CLA-4</t>
  </si>
  <si>
    <t>CLA-5</t>
  </si>
  <si>
    <t>CLEANBOX II</t>
  </si>
  <si>
    <t>ART, Convertidor.</t>
  </si>
  <si>
    <t>CLW-DIMEX-230</t>
  </si>
  <si>
    <t>CRESTRON,Express Wireless In-Wall Dimmer.B.</t>
  </si>
  <si>
    <t>CL100</t>
  </si>
  <si>
    <t>ARS, Cable de línea.</t>
  </si>
  <si>
    <t>CM-BH4WX</t>
  </si>
  <si>
    <t>SONIFEX, CONSOLA.</t>
  </si>
  <si>
    <t>CM-CU21</t>
  </si>
  <si>
    <t>SONIFEX, unidad de comentarista portátil</t>
  </si>
  <si>
    <t>CMT-2</t>
  </si>
  <si>
    <t>CMT-92</t>
  </si>
  <si>
    <t>CM6SN</t>
  </si>
  <si>
    <t>NEUTRIK, Cable para micrófono XLR-XLR con conectores Neutrik 6 mts</t>
  </si>
  <si>
    <t>NEUTRIK, Cable para micrófono XLR-XLR con conectores Neutrik 9 mts</t>
  </si>
  <si>
    <t>CNX-B6-W-T</t>
  </si>
  <si>
    <t>CRESTRON, Designer Keypad, 6-Buttons.</t>
  </si>
  <si>
    <t>RODE, Accesorio</t>
  </si>
  <si>
    <t>COMBO-H2/H3</t>
  </si>
  <si>
    <t>HOLOPHONE, Kit paravientos.</t>
  </si>
  <si>
    <t>COMBO-H4/PMIC</t>
  </si>
  <si>
    <t>COMISIONES</t>
  </si>
  <si>
    <t>DYNAUDIO, Bafle central LA UNIDAD.</t>
  </si>
  <si>
    <t>DYNAUDIO, Bafle 2 vías LA UNIDAD.</t>
  </si>
  <si>
    <t>DYNAUDIO, Columna LA UNIDAD.</t>
  </si>
  <si>
    <t>CONTROL HST-WH</t>
  </si>
  <si>
    <t>CONTROL SB2210</t>
  </si>
  <si>
    <t>JBL, Subwoofer</t>
  </si>
  <si>
    <t>CONTROL SB2210-WH</t>
  </si>
  <si>
    <t>CONTROL 23-1</t>
  </si>
  <si>
    <t>CONTROL 23-1L</t>
  </si>
  <si>
    <t>CONTROL 23-1L-WH</t>
  </si>
  <si>
    <t>CONTROL 23-1-WH</t>
  </si>
  <si>
    <t>CONTROL 25-1L</t>
  </si>
  <si>
    <t>CONTROL 25-1L-WH</t>
  </si>
  <si>
    <t>CONTROL 25-1-WH</t>
  </si>
  <si>
    <t>CONTROLCRV</t>
  </si>
  <si>
    <t>CONTROLCRV-WH</t>
  </si>
  <si>
    <t>CONTROL1PRO</t>
  </si>
  <si>
    <t>JBL, Bafle pasivo (EL PAR).</t>
  </si>
  <si>
    <t>CONTROL2PST</t>
  </si>
  <si>
    <t>JBL, Par de Bafles activos (EL PAR).</t>
  </si>
  <si>
    <t>JBL, Bafle 2 vías de techo. EL PAR.</t>
  </si>
  <si>
    <t>CONTROL5</t>
  </si>
  <si>
    <t>ART, Llave.</t>
  </si>
  <si>
    <t>CO-PRO-300</t>
  </si>
  <si>
    <t>CLEARONE, Sist ind. conf.</t>
  </si>
  <si>
    <t>CP3</t>
  </si>
  <si>
    <t>CRESTRON, Procesador.</t>
  </si>
  <si>
    <t>CP52S</t>
  </si>
  <si>
    <t>RANE, Procesador universal.</t>
  </si>
  <si>
    <t>CP950</t>
  </si>
  <si>
    <t>BARCO, Procesador de audio Dolby</t>
  </si>
  <si>
    <t>A&amp;H, Consola</t>
  </si>
  <si>
    <t>CQ12T-RK19/X</t>
  </si>
  <si>
    <t>A&amp;H, RACK MOUNT KIT</t>
  </si>
  <si>
    <t>CQ18T-RK19/X</t>
  </si>
  <si>
    <t>CQ20B-RK19/X</t>
  </si>
  <si>
    <t>CQ20T (NO USAR)</t>
  </si>
  <si>
    <t>JBL, Consola.</t>
  </si>
  <si>
    <t>JBL, Wall controller with vol control.</t>
  </si>
  <si>
    <t>CSS-TR4/8X12</t>
  </si>
  <si>
    <t>JBL, TILE RAILFOR 8IN4IN</t>
  </si>
  <si>
    <t>JBL, Parlante 4", 5W</t>
  </si>
  <si>
    <t>CS-154</t>
  </si>
  <si>
    <t>CT4150A</t>
  </si>
  <si>
    <t>CROWN, AMPLIFICADOR</t>
  </si>
  <si>
    <t>CT8150A</t>
  </si>
  <si>
    <t>CT875A</t>
  </si>
  <si>
    <t>CXPLUSTW1 BLACK</t>
  </si>
  <si>
    <t>SENNHEISER, Auricular.</t>
  </si>
  <si>
    <t>CXPLUSTW1 WHITE</t>
  </si>
  <si>
    <t>CXSPORT</t>
  </si>
  <si>
    <t>SENNHEISER, Auricular IN-EAR inalámbrico</t>
  </si>
  <si>
    <t>CX120BT</t>
  </si>
  <si>
    <t>SENNHEISER, Auricular inalámbrico</t>
  </si>
  <si>
    <t>CX150BT Black</t>
  </si>
  <si>
    <t>CX150BT White</t>
  </si>
  <si>
    <t>CX200TW1 BLACK</t>
  </si>
  <si>
    <t>SENNHEISER, Auricular</t>
  </si>
  <si>
    <t>CX200TW1 SPORT</t>
  </si>
  <si>
    <t>CX200TW1 WHITE</t>
  </si>
  <si>
    <t>CX300-II-B</t>
  </si>
  <si>
    <t>SENNHEISER, Auricular cerrado. CX300-II-B</t>
  </si>
  <si>
    <t>CX310-ORIG</t>
  </si>
  <si>
    <t>CX350BT Black</t>
  </si>
  <si>
    <t>CX350BT White</t>
  </si>
  <si>
    <t>CX400TW1 BLACK</t>
  </si>
  <si>
    <t>CX400TW1 WHITE</t>
  </si>
  <si>
    <t>CX6.00BT</t>
  </si>
  <si>
    <t>SENNHEISER, Auricular .</t>
  </si>
  <si>
    <t>CX685</t>
  </si>
  <si>
    <t>SENNHEISER/ADIDAS, Auricular portable.</t>
  </si>
  <si>
    <t>CX7.00BT</t>
  </si>
  <si>
    <t>CX80</t>
  </si>
  <si>
    <t>C1300FDI-EU</t>
  </si>
  <si>
    <t>C1800FDI-EU</t>
  </si>
  <si>
    <t>C214</t>
  </si>
  <si>
    <t>AKG, Micrófono condenser</t>
  </si>
  <si>
    <t>C2800FDI-EU</t>
  </si>
  <si>
    <t>BOSCH, DSP POWER.</t>
  </si>
  <si>
    <t>C3600FDI-EU</t>
  </si>
  <si>
    <t>C414 XLS</t>
  </si>
  <si>
    <t>AKG, micrófono con USB</t>
  </si>
  <si>
    <t>C65P/T-WH</t>
  </si>
  <si>
    <t>TELEX-RTS, Ear Cushion</t>
  </si>
  <si>
    <t>DANTE (NO USAR)</t>
  </si>
  <si>
    <t>DBP4M</t>
  </si>
  <si>
    <t>TELEX-RTS, Beltpack 4 M.</t>
  </si>
  <si>
    <t>DBXCT3</t>
  </si>
  <si>
    <t>DBX, 2x6 PA Management System .</t>
  </si>
  <si>
    <t>DBXVENU360-V</t>
  </si>
  <si>
    <t>DBX, VENU360,SYSTEM PROC,EU</t>
  </si>
  <si>
    <t>DBX166XSV/220</t>
  </si>
  <si>
    <t>DBX,Dual Compressor Limiter Gate.</t>
  </si>
  <si>
    <t>DBX260V</t>
  </si>
  <si>
    <t>DBX, Procesador.</t>
  </si>
  <si>
    <t>DBX266XSV/220</t>
  </si>
  <si>
    <t>DBX, Dual Compressor Gate .</t>
  </si>
  <si>
    <t>DBX286S</t>
  </si>
  <si>
    <t>RAPCO-HORIZON, Caja directa pasiva.</t>
  </si>
  <si>
    <t>DB2</t>
  </si>
  <si>
    <t>DCI2X2400N-U-EKFX</t>
  </si>
  <si>
    <t>CROWN, Amplificador de potencia</t>
  </si>
  <si>
    <t>DCI4X1250N-U-EKFX</t>
  </si>
  <si>
    <t>DCN-CCUB2</t>
  </si>
  <si>
    <t>BOSCH, Central Control Unit Basi</t>
  </si>
  <si>
    <t>DCN-DISBCM</t>
  </si>
  <si>
    <t>BOSCH, Botones de presidente.</t>
  </si>
  <si>
    <t>DCN-DISR-SR</t>
  </si>
  <si>
    <t>BOSCH, Aros p/unidades de debate.</t>
  </si>
  <si>
    <t>DCNM-APS2</t>
  </si>
  <si>
    <t>BOSCH, DICENTIS Audio processor and powering switch</t>
  </si>
  <si>
    <t>DCNM-CB 1,5-I</t>
  </si>
  <si>
    <t>BOSCH/ARS, DICENTIS Cable 1,5 m for system, installation cable</t>
  </si>
  <si>
    <t>DCNM-CBCON</t>
  </si>
  <si>
    <t>BOSCH, DICENTIS Connector for system, installation cable</t>
  </si>
  <si>
    <t>DCNM-CB02-I</t>
  </si>
  <si>
    <t>BOSCH, DICENTIS System cable assembly 2m</t>
  </si>
  <si>
    <t>DCNM-CB05-I</t>
  </si>
  <si>
    <t>BOSCH, DICENTIS System cable assembly 5m</t>
  </si>
  <si>
    <t>DCNM-CB10-I</t>
  </si>
  <si>
    <t>BOSCH, DICENTIS System cable assembly 10m</t>
  </si>
  <si>
    <t>DCNM-CB20-I</t>
  </si>
  <si>
    <t>BOSCH/ARS, DICENTIS Cable 20 m for system, installation cable</t>
  </si>
  <si>
    <t>DCNM-CB25B</t>
  </si>
  <si>
    <t>BOSCH, System cable assembly</t>
  </si>
  <si>
    <t>DCNM-CB250-I</t>
  </si>
  <si>
    <t>BOSCH, DICENTIS System installation cable 250m</t>
  </si>
  <si>
    <t>DCNM-D</t>
  </si>
  <si>
    <t>BOSCH, DICENTIS Discussion device</t>
  </si>
  <si>
    <t>DCNM-DE</t>
  </si>
  <si>
    <t>BOSCH, DICENTIS Discussion device with touchscreen</t>
  </si>
  <si>
    <t>DCNM-FAI</t>
  </si>
  <si>
    <t>BOSCH, DICENTIS Flush audio interface</t>
  </si>
  <si>
    <t>DCNM-FBD2</t>
  </si>
  <si>
    <t>BOSCH, DICENTIS Flush base device 2</t>
  </si>
  <si>
    <t>DCN-MICL</t>
  </si>
  <si>
    <t>BOSCH, Pluggable Long Microphone.</t>
  </si>
  <si>
    <t>DCNM-LDANTE</t>
  </si>
  <si>
    <t>BOSCH, DICENTIS License for 1 Dante stream</t>
  </si>
  <si>
    <t>DCNM-LPU-PE</t>
  </si>
  <si>
    <t>DCNM-MICL</t>
  </si>
  <si>
    <t>DCNM-PS2</t>
  </si>
  <si>
    <t>BOSCH, DICENTIS Powering switch</t>
  </si>
  <si>
    <t>DCN-MR</t>
  </si>
  <si>
    <t>BOSCH, Lic.SW Grav. Debate</t>
  </si>
  <si>
    <t>DCNM-SERVER3</t>
  </si>
  <si>
    <t>BOSCH, DICENTIS System server</t>
  </si>
  <si>
    <t>DCNM-WAP</t>
  </si>
  <si>
    <t>BOSCH, wireless access point</t>
  </si>
  <si>
    <t>DCNM-WCH05 DICENTIS</t>
  </si>
  <si>
    <t>DCNM-WD DICENTIS</t>
  </si>
  <si>
    <t>DCNM-WLIION DICENTIS</t>
  </si>
  <si>
    <t>BOSCH, DCNM-WLIION DICENTIS</t>
  </si>
  <si>
    <t>DCNM-WTCD maleta transp.sist.inal.</t>
  </si>
  <si>
    <t>BOSCH, MALETA System cable assembly</t>
  </si>
  <si>
    <t>DCN-SW</t>
  </si>
  <si>
    <t>BOSCH, Conference software</t>
  </si>
  <si>
    <t>DCN-SWAT</t>
  </si>
  <si>
    <t>BOSCH, Lic. de Softw.</t>
  </si>
  <si>
    <t>DCN-SWDB</t>
  </si>
  <si>
    <t>DCN-SWMM</t>
  </si>
  <si>
    <t>DCN-SWMPC</t>
  </si>
  <si>
    <t>DCN-SWPV</t>
  </si>
  <si>
    <t>DCN-SWSMD</t>
  </si>
  <si>
    <t>BOSCH, Lic. SW Distribuicao</t>
  </si>
  <si>
    <t>DC-ONE</t>
  </si>
  <si>
    <t>EV, Procesador digital.</t>
  </si>
  <si>
    <t>DC-ONE-NA</t>
  </si>
  <si>
    <t>EV, Procesador de Señal Digital de 2 entradas y 6 salidas para el Manejo y Optimización de Altavoces</t>
  </si>
  <si>
    <t>RODE, Paraviento de piel.</t>
  </si>
  <si>
    <t>RODE, Paraviento.</t>
  </si>
  <si>
    <t>RODE, Piel para zeppelin.</t>
  </si>
  <si>
    <t>DEVOLUCIÓN DE PRODUCTOS</t>
  </si>
  <si>
    <t>DH2000</t>
  </si>
  <si>
    <t>TELEX/RTS, Single-sided dispatch headset</t>
  </si>
  <si>
    <t>DIN-1DIM4</t>
  </si>
  <si>
    <t>CRESTRON, DIN Rail Dimmer, 1 feed, 4 channels.</t>
  </si>
  <si>
    <t>DI-1</t>
  </si>
  <si>
    <t>EV, Tarjeta digital de entrada</t>
  </si>
  <si>
    <t>Di5DC-WHITE</t>
  </si>
  <si>
    <t>TANNOY, Bafle pasivo. LA UNIDAD.</t>
  </si>
  <si>
    <t>DJPRE-2CE</t>
  </si>
  <si>
    <t>ART, Preamplificador.</t>
  </si>
  <si>
    <t>DKP-3016</t>
  </si>
  <si>
    <t>TELEX-RTS, Key Pannel.</t>
  </si>
  <si>
    <t>DLIVE-CDM32</t>
  </si>
  <si>
    <t>A&amp;H, Consola digital.</t>
  </si>
  <si>
    <t>DLIVE-CDM32U</t>
  </si>
  <si>
    <t>A&amp;H, Consola digital INCLUYE PLACA ULTRA FX</t>
  </si>
  <si>
    <t>DLIVE-CDM48</t>
  </si>
  <si>
    <t>DLIVE-CDM48U</t>
  </si>
  <si>
    <t>DLIVE-CDM64</t>
  </si>
  <si>
    <t>DLIVE-CDM64U</t>
  </si>
  <si>
    <t>A&amp;H, UTRAFX AUDIO RACK</t>
  </si>
  <si>
    <t>DLIVE-DM0</t>
  </si>
  <si>
    <t>DLIVE-DM0U</t>
  </si>
  <si>
    <t>A&amp;H, ULTRAFX AUDIO RACK</t>
  </si>
  <si>
    <t>DLIVE-DM32</t>
  </si>
  <si>
    <t>DLIVE-DM48</t>
  </si>
  <si>
    <t>DLIVE-DM48U</t>
  </si>
  <si>
    <t>DLIVE-DM64U</t>
  </si>
  <si>
    <t>DLIVE-S7000</t>
  </si>
  <si>
    <t>DM-CENTER</t>
  </si>
  <si>
    <t>DM-NVX-350</t>
  </si>
  <si>
    <t>CRESTRON, Network AV En</t>
  </si>
  <si>
    <t>DM-2/6</t>
  </si>
  <si>
    <t>DYNAUDIO, Bafle LA UNIDAD..</t>
  </si>
  <si>
    <t>DNC640</t>
  </si>
  <si>
    <t>DENON, Reproductor de CD.</t>
  </si>
  <si>
    <t>DN-700C</t>
  </si>
  <si>
    <t>DENON, Compactera.</t>
  </si>
  <si>
    <t>DRC-2</t>
  </si>
  <si>
    <t>EV, Drum rim clamp for ND44, ND46, ND66</t>
  </si>
  <si>
    <t>RODE, Pie de micrófono.</t>
  </si>
  <si>
    <t>DT 270 PRO</t>
  </si>
  <si>
    <t>BEYERDYNAMIC, Auricular cerrado.</t>
  </si>
  <si>
    <t>DT 770 PRO X</t>
  </si>
  <si>
    <t>BEYERDYNAMIC, Studio headphones for recording &amp; monitoring (closed-back)</t>
  </si>
  <si>
    <t>BEYERDYNAMIC, Reference headphones for control and monitoring purpose (closed)</t>
  </si>
  <si>
    <t>DT 990 PRO X</t>
  </si>
  <si>
    <t>BEYERDYNAMIC, Studio headphones for critical listening and editing (open-back)</t>
  </si>
  <si>
    <t>ART, Reductor de ruido.</t>
  </si>
  <si>
    <t>DTO. DEL ITEM</t>
  </si>
  <si>
    <t>DT-RK19</t>
  </si>
  <si>
    <t>A&amp;H, DT02/20/22 19" RACK MOUNT KIT</t>
  </si>
  <si>
    <t>DT02</t>
  </si>
  <si>
    <t>A&amp;H, DT02 INSTALL</t>
  </si>
  <si>
    <t>DT02-M</t>
  </si>
  <si>
    <t>A&amp;H, DT02-M FIXED INSTALL</t>
  </si>
  <si>
    <t>A&amp;H, WALL AUDIO RACK</t>
  </si>
  <si>
    <t>DT20</t>
  </si>
  <si>
    <t>A&amp;H, DT20 INSTALL</t>
  </si>
  <si>
    <t>DT20-M</t>
  </si>
  <si>
    <t>A&amp;H, DT20-M FIXED INSTALL</t>
  </si>
  <si>
    <t>DT22-M</t>
  </si>
  <si>
    <t>A&amp;H, DT22-M FIXED INSTALL</t>
  </si>
  <si>
    <t>ART, Caja directa.</t>
  </si>
  <si>
    <t>DURACAT5 E-STRANDED</t>
  </si>
  <si>
    <t>RAPCO-HORIZON, Cable</t>
  </si>
  <si>
    <t>DURACAT6-SOLID</t>
  </si>
  <si>
    <t>DW-4-US (NO USAR)</t>
  </si>
  <si>
    <t>SENNHEISER, Transmisor de bolsillo.</t>
  </si>
  <si>
    <t>A&amp;H, Rack.</t>
  </si>
  <si>
    <t>DX0.5</t>
  </si>
  <si>
    <t>MARTIN AUDIO, Amplificador.</t>
  </si>
  <si>
    <t>DX-46</t>
  </si>
  <si>
    <t>A&amp;H, AUDIO RACK -NO PSU</t>
  </si>
  <si>
    <t>D0-1</t>
  </si>
  <si>
    <t>EV, Tarjeta digital de salida</t>
  </si>
  <si>
    <t>D10-PHONE</t>
  </si>
  <si>
    <t>SENNHEISER COMMUNICATIONS, Auricular.</t>
  </si>
  <si>
    <t>D10-USB</t>
  </si>
  <si>
    <t>E 600 SERIES DRUM CASE</t>
  </si>
  <si>
    <t>SENNHEISER, Includes 1x e602-II, 4x e604, 2x e614 in a plastic case with die-cut foam to protect your investment.</t>
  </si>
  <si>
    <t>SENNHEISER, Set de 7 mics.para batería.</t>
  </si>
  <si>
    <t>SENNHEISER, mic. cardioide dinámico.</t>
  </si>
  <si>
    <t>SENNHEISER, mic.supercardioide dinámico.</t>
  </si>
  <si>
    <t>SENNHEISER, mic.a condensador.</t>
  </si>
  <si>
    <t>SENNHEISER, micrófono cardioide.</t>
  </si>
  <si>
    <t>SENNHEISER, micrófono supercardioide.</t>
  </si>
  <si>
    <t>SENNHEISER, mic.supercardioide.</t>
  </si>
  <si>
    <t>SENNHEISER, Micrófono cardioide.</t>
  </si>
  <si>
    <t>E 905</t>
  </si>
  <si>
    <t>SENNHEISER, Micrófono.</t>
  </si>
  <si>
    <t>SENNHEISER, Micrófono supercardioide.</t>
  </si>
  <si>
    <t>EARSET1-4-3</t>
  </si>
  <si>
    <t>SENNHEISER, micrófono Ear Set.</t>
  </si>
  <si>
    <t>EA1</t>
  </si>
  <si>
    <t>NEUMANN, Suspensión elástica.</t>
  </si>
  <si>
    <t>EA4</t>
  </si>
  <si>
    <t>EA-87</t>
  </si>
  <si>
    <t>EBK1-M10-3P</t>
  </si>
  <si>
    <t>EPOS, Auricular.</t>
  </si>
  <si>
    <t>EDU-10 foam earpads</t>
  </si>
  <si>
    <t>EPOS, foam earpads for EDU 10</t>
  </si>
  <si>
    <t>SENNHEISER, Receptor in-ear. Freq. Range: A1 470-516 MHz. Art. No.: 509621</t>
  </si>
  <si>
    <t>SENNHEISER, Receptor in-ear. Freq. Range: B 626-668 MHz Art. No.: 509624</t>
  </si>
  <si>
    <t>EK IEM G4-C</t>
  </si>
  <si>
    <t>SENNHEISER, Receptor de cámara Freq. Range: C 734-776 MHz Art. No.: 509625</t>
  </si>
  <si>
    <t>EK IEM G4-G</t>
  </si>
  <si>
    <t>SENNHEISER, Receptor in-ear. Freq. Range: G 566-608 MHz Art. No.: 509623</t>
  </si>
  <si>
    <t>EK 100 G3-A</t>
  </si>
  <si>
    <t>SENNHEISER, Receptor de cámara.</t>
  </si>
  <si>
    <t>EK 100 G3-A1</t>
  </si>
  <si>
    <t>SENNHEISER, Receptor de cámara Freq. Range: A1 470-516 MHz Art.</t>
  </si>
  <si>
    <t>EK 100 G3-B</t>
  </si>
  <si>
    <t>SENNHEISER, Receptor de cámara Freq. Range: B 626-668 MHz Art.</t>
  </si>
  <si>
    <t>EK 100 G3-C</t>
  </si>
  <si>
    <t>SENNHEISER, Receptor de cámara. Freq. Range: A1 470-516 MHz. Art.: 509518</t>
  </si>
  <si>
    <t>SENNHEISER, Receptor.</t>
  </si>
  <si>
    <t>EK 500 G4-Aw+</t>
  </si>
  <si>
    <t>SENNHEISER, Receptor de cámara Freq. Range: Aw+ 470-558 MHz Art. No.: 509546</t>
  </si>
  <si>
    <t>EK 500 G4-Bw</t>
  </si>
  <si>
    <t>SENNHEISER, Receptor de cámara Freq. Range: Bw 626-698 MHz Art. No.: 509539</t>
  </si>
  <si>
    <t>EKP4016</t>
  </si>
  <si>
    <t>TELEX-RTS, Expansion Pannel.</t>
  </si>
  <si>
    <t>EV, Wall mount bracket for EKX-15/15p.</t>
  </si>
  <si>
    <t>EV, Bafle activo.</t>
  </si>
  <si>
    <t>EK-100G4</t>
  </si>
  <si>
    <t>EK2000-A</t>
  </si>
  <si>
    <t>EK2000-B</t>
  </si>
  <si>
    <t>EK2000-C</t>
  </si>
  <si>
    <t>EK2000-G</t>
  </si>
  <si>
    <t>EK-2000IEM</t>
  </si>
  <si>
    <t>EK2000IEM-A</t>
  </si>
  <si>
    <t>EK-300IEMG3</t>
  </si>
  <si>
    <t>SENNHEISER, Receptor portátil.</t>
  </si>
  <si>
    <t>EK300IEMG3-A</t>
  </si>
  <si>
    <t>EK300IEMG3-B</t>
  </si>
  <si>
    <t>EK300IEMG3-C</t>
  </si>
  <si>
    <t>EK300IEMG3-G</t>
  </si>
  <si>
    <t>EK300IEMG4-A1 (NO USAR)</t>
  </si>
  <si>
    <t>EK300IEMG4-B (NO USAR)</t>
  </si>
  <si>
    <t>EK500G4-GW1</t>
  </si>
  <si>
    <t>EK6042</t>
  </si>
  <si>
    <t>ELX112P</t>
  </si>
  <si>
    <t>ELX118P-230V</t>
  </si>
  <si>
    <t>EV, Subwoofer 18", Activo</t>
  </si>
  <si>
    <t>EV, Bafle pasivo.</t>
  </si>
  <si>
    <t>ELX200-18S</t>
  </si>
  <si>
    <t>EV, subwoofer pasivo de 18" 1600 W (pico)</t>
  </si>
  <si>
    <t>EM 100 G3-C</t>
  </si>
  <si>
    <t>SENNHEISER, Receptor inalámbrico.</t>
  </si>
  <si>
    <t>SENNHEISER, Receptor inalámbrico. Freq. Range: B 626-668 MHz Art. No.: 509692</t>
  </si>
  <si>
    <t>EM 100 G4-C</t>
  </si>
  <si>
    <t>SENNHEISER, Receptor inalámbrico. Freq. Range: Bw 626-698 MHz Art. No.: 509664</t>
  </si>
  <si>
    <t>EM 300-500 G4-CW</t>
  </si>
  <si>
    <t>DYNAUDIO, Bafle 2 vías. EL PAR</t>
  </si>
  <si>
    <t>EMIT-M20</t>
  </si>
  <si>
    <t>EMS-4001</t>
  </si>
  <si>
    <t>EMS-4001 TELEX-RTS, Intercom.</t>
  </si>
  <si>
    <t>EM100G3-B</t>
  </si>
  <si>
    <t>EM2050-A</t>
  </si>
  <si>
    <t>EM2050-B</t>
  </si>
  <si>
    <t>EM2050-C</t>
  </si>
  <si>
    <t>EM2050-G</t>
  </si>
  <si>
    <t>EM3732-II</t>
  </si>
  <si>
    <t>EM9046</t>
  </si>
  <si>
    <t>EM9046-CC</t>
  </si>
  <si>
    <t>EON610</t>
  </si>
  <si>
    <t>JBL, Compact portable speaker system (UNIDAD).</t>
  </si>
  <si>
    <t>EON612</t>
  </si>
  <si>
    <t>EON615</t>
  </si>
  <si>
    <t>EPAP32</t>
  </si>
  <si>
    <t>TELEX-RTS, expasion panel</t>
  </si>
  <si>
    <t>Equipamiento Audio</t>
  </si>
  <si>
    <t>EQUIPAMIENTO AUDIOVISUAL</t>
  </si>
  <si>
    <t>EQUIPAMIENTO DE AUDIO</t>
  </si>
  <si>
    <t>EQUIPAMIENTO</t>
  </si>
  <si>
    <t>SENNHEISER, 5.1 SURROUND SYSTEM.</t>
  </si>
  <si>
    <t>ETX-10P</t>
  </si>
  <si>
    <t>ETX-12P</t>
  </si>
  <si>
    <t>ETX-15P</t>
  </si>
  <si>
    <t>ETX-18SP</t>
  </si>
  <si>
    <t>EV, Subwoofer activo.</t>
  </si>
  <si>
    <t>ETX-35P</t>
  </si>
  <si>
    <t>TELEX/RTS, EARTIP.</t>
  </si>
  <si>
    <t>TELEX/RTS, Coiled Acoustic Eartube.</t>
  </si>
  <si>
    <t>EVA-GXB-BLK</t>
  </si>
  <si>
    <t>EV, Barra central del Grid para suspender el array EVA</t>
  </si>
  <si>
    <t>EVA-SG2-BLK</t>
  </si>
  <si>
    <t>EV, Cuadrícula estándar</t>
  </si>
  <si>
    <t>EVA-2082S 1220-BLK</t>
  </si>
  <si>
    <t>EV, Módulo de matriz lineal de rango completo de 120° x 20° y dos elementos</t>
  </si>
  <si>
    <t>EVC-UB2-BLK</t>
  </si>
  <si>
    <t>EV, U-Bracket EVC 12",15" b</t>
  </si>
  <si>
    <t>EVC-1122-95PI</t>
  </si>
  <si>
    <t>EV, 12" speaker, 90x55</t>
  </si>
  <si>
    <t>EVC-1122-95PIB</t>
  </si>
  <si>
    <t>EV, 12" speaker, 90x55 w</t>
  </si>
  <si>
    <t>EVC-1122-95PIW</t>
  </si>
  <si>
    <t>EVERSE 12</t>
  </si>
  <si>
    <t>EVERSE 8</t>
  </si>
  <si>
    <t>EVERSE 8-W</t>
  </si>
  <si>
    <t>EVF-UB-BLK-LB</t>
  </si>
  <si>
    <t>EV, U-bracket for all EVF</t>
  </si>
  <si>
    <t>EVF-UB-WHT-LB</t>
  </si>
  <si>
    <t>EVF1122D126FBLB</t>
  </si>
  <si>
    <t>EV, 12" speaker 120x60</t>
  </si>
  <si>
    <t>EVF1122D126FWLB</t>
  </si>
  <si>
    <t>EVH-1152D/43-FGB</t>
  </si>
  <si>
    <t>EV, B, FIBERGLASS, 40 X</t>
  </si>
  <si>
    <t>EVH-1152D96</t>
  </si>
  <si>
    <t>EV, B, FWLB 15" spk 90x60 fiber</t>
  </si>
  <si>
    <t>EVH-1152S43</t>
  </si>
  <si>
    <t>EV, B, FWLB 15" spk 40x30 fiber</t>
  </si>
  <si>
    <t>EVID-C2.1</t>
  </si>
  <si>
    <t>EV, Bafle de techo. EL PAR.</t>
  </si>
  <si>
    <t>EVIDC4.2</t>
  </si>
  <si>
    <t>EV, Bafle 2 vías de techo. EL PAR.</t>
  </si>
  <si>
    <t>EVID-C44</t>
  </si>
  <si>
    <t>EV, Sist.de parlantes de techo.</t>
  </si>
  <si>
    <t>EVIDC6.2</t>
  </si>
  <si>
    <t>EV, Bafle. EL PAR.</t>
  </si>
  <si>
    <t>EVIDC8.2</t>
  </si>
  <si>
    <t>EVID-P6.2B</t>
  </si>
  <si>
    <t>EV, Bafle.</t>
  </si>
  <si>
    <t>EVID-P6.2W</t>
  </si>
  <si>
    <t>EVIDS10.1DB</t>
  </si>
  <si>
    <t>EVIDS12.1B</t>
  </si>
  <si>
    <t>EV, Subwoofer 12"</t>
  </si>
  <si>
    <t>EVIDS4.2B</t>
  </si>
  <si>
    <t>EV, Bafle pasivo. EL PAR.</t>
  </si>
  <si>
    <t>EVIDS4.2TB</t>
  </si>
  <si>
    <t>EVIDS4.2TW</t>
  </si>
  <si>
    <t>EVIDS4.2W</t>
  </si>
  <si>
    <t>EVID-S44</t>
  </si>
  <si>
    <t>EV, Sub Woofer and CN.</t>
  </si>
  <si>
    <t>EVID-S44W</t>
  </si>
  <si>
    <t>EV, Sub Woofer and CN White.</t>
  </si>
  <si>
    <t>EVIDS5.2B</t>
  </si>
  <si>
    <t>EVIDS5.2TB</t>
  </si>
  <si>
    <t>EVIDS5.2TW</t>
  </si>
  <si>
    <t>EVIDS5.2W</t>
  </si>
  <si>
    <t>EVID-S5.2XB</t>
  </si>
  <si>
    <t>EV, altavoz de montaje en superficie de 5,25" 70/100v ip65</t>
  </si>
  <si>
    <t>EVIDS5.2XB</t>
  </si>
  <si>
    <t>EVIDS5.2XW</t>
  </si>
  <si>
    <t>EVIDS8.2B</t>
  </si>
  <si>
    <t>EVIDS8.2TB</t>
  </si>
  <si>
    <t>EVIDS8.2TW</t>
  </si>
  <si>
    <t>EVIDS8.2W</t>
  </si>
  <si>
    <t>EVID-2.1</t>
  </si>
  <si>
    <t>EVID2.1W</t>
  </si>
  <si>
    <t>EV, Surface-mount CN white.</t>
  </si>
  <si>
    <t>EVID3.2</t>
  </si>
  <si>
    <t>EVID3.2T</t>
  </si>
  <si>
    <t>EVID3.2TW</t>
  </si>
  <si>
    <t>EVID3.2W</t>
  </si>
  <si>
    <t>EVID4.2</t>
  </si>
  <si>
    <t>EVID4.2T</t>
  </si>
  <si>
    <t>EVID4.2TW</t>
  </si>
  <si>
    <t>EVID4.2W</t>
  </si>
  <si>
    <t>EVID6.2</t>
  </si>
  <si>
    <t>EVID6.2T</t>
  </si>
  <si>
    <t>EVID6.2TW</t>
  </si>
  <si>
    <t>EVID6.2W</t>
  </si>
  <si>
    <t>EVIVA12P-NC</t>
  </si>
  <si>
    <t>EV, powered speaker</t>
  </si>
  <si>
    <t>EVIVA15P-NC</t>
  </si>
  <si>
    <t>EVIVA18SP-NC</t>
  </si>
  <si>
    <t>EV, powered subwoofer</t>
  </si>
  <si>
    <t>EVOKE10</t>
  </si>
  <si>
    <t>DYNAUDIO, Bafle . EL PAR</t>
  </si>
  <si>
    <t>EVOKE20</t>
  </si>
  <si>
    <t>EVOLVE50</t>
  </si>
  <si>
    <t>EV, Carcasa.</t>
  </si>
  <si>
    <t>EVOLVE50M-SB-US</t>
  </si>
  <si>
    <t>EVOLVE50PL-SB</t>
  </si>
  <si>
    <t>EVOLVE50SB-US</t>
  </si>
  <si>
    <t>EVOLVE50TB</t>
  </si>
  <si>
    <t>EV, Columna.Bafle activo.</t>
  </si>
  <si>
    <t>SENNHEISER, Sistema de monitoreo inalámbrico. Freq. Range: A1 470-516 MHz Art. No.: 509608</t>
  </si>
  <si>
    <t>SENNHEISER, Sistema de monitoreo inalámbrico. Freq. Range: B 626-668 MHz Art. No.: 509611</t>
  </si>
  <si>
    <t>EW IEM G4-C</t>
  </si>
  <si>
    <t>SENNHEISER, Sistema de monitoreo inalámbrico. Freq. Range: C 734-776 MHz Art. No.: 508172</t>
  </si>
  <si>
    <t>EW IEM G4-G</t>
  </si>
  <si>
    <t>SENNHEISER, Sistema de monitoreo inalámbrico. Freq. Range: G 566-608 MHz Art. No.: 509610</t>
  </si>
  <si>
    <t>SENNHEISER, Sistema de monitoreo inalámbrico doble. Freq. Range: A1 470-516 MHz Art. No.: 509613</t>
  </si>
  <si>
    <t>SENNHEISER, Sistema de monitoreo inalámbrico doble. Freq. Range: B 470-516 MHz Art. No.: 509616</t>
  </si>
  <si>
    <t>SENNHEISER, Micrófono inalámbrico de cámara. Freq. Range: A1 470-516 MHz Art. No.: 509514</t>
  </si>
  <si>
    <t>SENNHEISER, Micrófono inalámbrico de cámara. Freq. Range: B 626-668 MHz Art. No.: 507981</t>
  </si>
  <si>
    <t>SENNHEISER, Micrófono inalámbrico corbatero. Freq. Range: A1 470-516 MHz Art. No.: 509636</t>
  </si>
  <si>
    <t>SENNHEISER, Sistema inalámbrico. Freq. Range: A1 470-516 MHz Art. No.: 509745</t>
  </si>
  <si>
    <t>SENNHEISER, Sistema inalámbrico. Freq. Range: B 626-668 MHz Art. No.: 509748</t>
  </si>
  <si>
    <t>EW 100 G4-ME3-C</t>
  </si>
  <si>
    <t>EW 100 G4-835-A1</t>
  </si>
  <si>
    <t>EW 100 G4-835-B</t>
  </si>
  <si>
    <t>EW 100 G4-835-C</t>
  </si>
  <si>
    <t>SENNHEISER, Micrófono inalámbrico de mano. Freq. Range: B 626-668 MHz Art. No.: 509727 / 507890</t>
  </si>
  <si>
    <t>EW 100 G4-835-S-C</t>
  </si>
  <si>
    <t>ew 100 G4-835-S-G</t>
  </si>
  <si>
    <t>SENNHEISER, Micrófono inalámbrico de mano. Freq. Range: G 566-608 MHz Art. No.: 509726</t>
  </si>
  <si>
    <t>SENNHEISER, Micrófono inalámbrico corbatero de cámara. Freq. Range: A1 470-516 MHz Art. No.: 509506</t>
  </si>
  <si>
    <t>SENNHEISER, Micrófono inalámbrico de cámara. Freq. Range: B 626-668 MHz Art. No.: 509509</t>
  </si>
  <si>
    <t>SENNHEISER, Micrófono inalámbrico de mano de cámara. Freq. Range: A1 470-516 MHz Art. No.: 509753</t>
  </si>
  <si>
    <t>SENNHEISER, Micrófono inalámbrico de cámara. Freq. Range: B 626-668 MHz Art. No.: 509756</t>
  </si>
  <si>
    <t>EW 500 G4-HS2-AW</t>
  </si>
  <si>
    <t>SENNHEISER, micrófono inalámbrico.</t>
  </si>
  <si>
    <t>SENNHEISER, Micrófono inalámbrico de mano. Freq. Range: AW+ 470-558 MHz Art. No.: 509793</t>
  </si>
  <si>
    <t>EW 500 G4-ME2-AW+</t>
  </si>
  <si>
    <t>SENNHEISER, Micrófono inalámbrico corbatero</t>
  </si>
  <si>
    <t>EW 500 G4-ME2-BW</t>
  </si>
  <si>
    <t>EW 500 G4-ME2-CW</t>
  </si>
  <si>
    <t>EW 500 G4-ME2-GW</t>
  </si>
  <si>
    <t>EW 500 G4-ME3-AW+</t>
  </si>
  <si>
    <t>SENNHEISER, Micrófono inalámbrico</t>
  </si>
  <si>
    <t>EW 500 G4-ME3-BW</t>
  </si>
  <si>
    <t>EW 500 G4-ME3-CW</t>
  </si>
  <si>
    <t>EW 500 G4-ME3-GW</t>
  </si>
  <si>
    <t>EW 500 G4-MKE2-AW+</t>
  </si>
  <si>
    <t>SENNHEISER, Micrófono inalámbrico corbatero. Freq. Range: Aw+ 470-558 MHz Art. No.: 509668</t>
  </si>
  <si>
    <t>SENNHEISER, Micrófono inalámbrico corbatero. Freq. Range: BW 626-698 MHz Art. No.: 508078</t>
  </si>
  <si>
    <t>EW 500 G4-MKE2-CW</t>
  </si>
  <si>
    <t>SENNHEISER, Micrófono inalámbrico corbatero. Freq. Range: CW 718-790 MHz Art. No.: 508079</t>
  </si>
  <si>
    <t>EW 500 G4-835-AW+</t>
  </si>
  <si>
    <t>SENNHEISER, Micrófono inalámbrico de mano.</t>
  </si>
  <si>
    <t>EW 500 G4-835-BW</t>
  </si>
  <si>
    <t>EW 500 G4-835-CW</t>
  </si>
  <si>
    <t>EW 500 G4-835-GW</t>
  </si>
  <si>
    <t>EW 500 G4-845-AW+</t>
  </si>
  <si>
    <t>EW 500 G4-845-BW</t>
  </si>
  <si>
    <t>EW 500 G4-845-CW</t>
  </si>
  <si>
    <t>EW 500 G4-845-GW</t>
  </si>
  <si>
    <t>SENNHEISER, Micrófono inalámbrico de mano. Freq. Range: Aw+ 470-558 MHz Art. No.: 509781</t>
  </si>
  <si>
    <t>EW 500 G4-935-CW</t>
  </si>
  <si>
    <t>EW 500 G4-935-GW</t>
  </si>
  <si>
    <t>SENNHEISER, Micrófono inalámbrico corbatero de cámara. Freq. Range: AW+ 470-558 MHz Art. No.: 509543</t>
  </si>
  <si>
    <t>SENNHEISER, Micrófono inalámbrico corbatero de cámara. Freq. Range: BW 626-698 MHz Art. No.: 509535</t>
  </si>
  <si>
    <t>SENNHEISER, BODYPACK TRANSMITTER</t>
  </si>
  <si>
    <t>SENNHEISER, Sistema inalámbrico</t>
  </si>
  <si>
    <t>SENNHEISER, BATTERY CHARGING SET</t>
  </si>
  <si>
    <t>SENNHEISER, Sistema inalámbrico de instrumento. Freq. Range: Q1-6 470.2-526 MHz Art. No.: 508730</t>
  </si>
  <si>
    <t>SENNHEISER, Receptor</t>
  </si>
  <si>
    <t>SENNHEISER, Micrófono inalámbrico corbatero. Freq. Range: Q1-6 470.2-526 MHz Art. No.: 508700</t>
  </si>
  <si>
    <t>EW-D ME2 SET (S1-7)</t>
  </si>
  <si>
    <t>SENNHEISER, Micrófono inalámbrico. Freq. Range: Q1-6 470.2-526 MHz Art. No.: 508740</t>
  </si>
  <si>
    <t>SENNHEISER, Micrófono inalámbrico de mano. Freq. Range: Q1-6 470.2-526 MHz Art. No.: 508760</t>
  </si>
  <si>
    <t>SENNHEISER, Micrófono inalámbrico de mano. Freq. Range: Q1-6 470.2-526 MHz Art. No.: 508750</t>
  </si>
  <si>
    <t>EW-DX EM 2 DANTE</t>
  </si>
  <si>
    <t>EW-DX EM 4 DANTE</t>
  </si>
  <si>
    <t>SENNHEISER, Micrófono inalámbrico mano y corbatero. Freq. Range: Q1-9 470.2-550 MHz Art. No.: 509328</t>
  </si>
  <si>
    <t>SENNHEISER, Micrófono inalámbrico doble corbatero. Freq. Range: Q1-9 470.2-550 MHz Art. No.: 509314</t>
  </si>
  <si>
    <t>SENNHEISER, Bodypack transmitter with 3,5 mm jack.</t>
  </si>
  <si>
    <t>SENNHEISER, Micrófono inalámbrico corbatero conector LEMO 3-PIN. Freq. Range: Q1-9 470.2-550 MHz Art. No.: 509398</t>
  </si>
  <si>
    <t>SENNHEISER, Handheld transmitter without switch</t>
  </si>
  <si>
    <t>EW-DX TS 3-PIN</t>
  </si>
  <si>
    <t>EW-DX TS 5-PIN</t>
  </si>
  <si>
    <t>SENNHEISER, Wireless table stand transmitter with 5-pin XLR connector</t>
  </si>
  <si>
    <t>SENNHEISER, Micrófono inalámbrico doble mano. Freq. Range: Q1-9 470.2-550 MHz Art. No.: 509300</t>
  </si>
  <si>
    <t>EW-D1-ME2 (NO USAR)</t>
  </si>
  <si>
    <t>SENNHEISER, mic.inal.digital .</t>
  </si>
  <si>
    <t>EW-D1-ME3 (NO USAR)</t>
  </si>
  <si>
    <t>EW100 G4 ME2-835-A1 (NO USAR)</t>
  </si>
  <si>
    <t>SENNHEISER, Sistema inalámbrico.</t>
  </si>
  <si>
    <t>EW100 G4 ME2-835-B (NO USAR)</t>
  </si>
  <si>
    <t>EW100ENGG3-G (NO USAR)</t>
  </si>
  <si>
    <t>SENNHEISER, Sistema inalámbrico en UHF.</t>
  </si>
  <si>
    <t>EW100ENGG4-C</t>
  </si>
  <si>
    <t>EW100G4KIT-A1 (NO USAR)</t>
  </si>
  <si>
    <t>EW100G4ME2835 (NO USAR)</t>
  </si>
  <si>
    <t>EW100G4-ME3C (NO USAR)</t>
  </si>
  <si>
    <t>EW112PG3-A</t>
  </si>
  <si>
    <t>EW112PG3-A1</t>
  </si>
  <si>
    <t>EW112PG3-B</t>
  </si>
  <si>
    <t>EW112PG3-G</t>
  </si>
  <si>
    <t>EW122G3-B</t>
  </si>
  <si>
    <t>EW-135PG3</t>
  </si>
  <si>
    <t>EW135PG3-B</t>
  </si>
  <si>
    <t>EW135PG3-C</t>
  </si>
  <si>
    <t>EW300G4BASE-A</t>
  </si>
  <si>
    <t>EW300G4BASK-B</t>
  </si>
  <si>
    <t>EW300IEMG3-A</t>
  </si>
  <si>
    <t>SENNHEISER, Sistema de monitoreo inal.</t>
  </si>
  <si>
    <t>EW300IEMG3-A1</t>
  </si>
  <si>
    <t>EW300IEMG3-B</t>
  </si>
  <si>
    <t>EW300IEMG3-G</t>
  </si>
  <si>
    <t>EW300IEMG4T-B</t>
  </si>
  <si>
    <t>EW3002IEMG3-A</t>
  </si>
  <si>
    <t>EW3002IEMG3-B</t>
  </si>
  <si>
    <t>EW3002IEMG3-C</t>
  </si>
  <si>
    <t>EW500FILMG4AW</t>
  </si>
  <si>
    <t>EXCITE-X22C</t>
  </si>
  <si>
    <t>EPOS, Parlante</t>
  </si>
  <si>
    <t>EPOS, Expansión micrófono</t>
  </si>
  <si>
    <t>EXPAND-40T</t>
  </si>
  <si>
    <t>E-609 (NO USAR)</t>
  </si>
  <si>
    <t>FINALIZER-96k</t>
  </si>
  <si>
    <t>TC ELECTRONIC, Procesador.</t>
  </si>
  <si>
    <t>FinChrg</t>
  </si>
  <si>
    <t>Finance Charge on Overdue Balance</t>
  </si>
  <si>
    <t>FIREWIRE (NO USAR)</t>
  </si>
  <si>
    <t>FMX-DSRL</t>
  </si>
  <si>
    <t>AZDEN, Mixer</t>
  </si>
  <si>
    <t>FM4.2</t>
  </si>
  <si>
    <t>FM6.2</t>
  </si>
  <si>
    <t>FP10000Q</t>
  </si>
  <si>
    <t>LAB GRUPPEN, Amplificador</t>
  </si>
  <si>
    <t>FP4000</t>
  </si>
  <si>
    <t>LAB.GRUPPEN, Amplificador.</t>
  </si>
  <si>
    <t>FTA-CPRJ45102</t>
  </si>
  <si>
    <t>CRESTRON,FLIPTOP connector plate rj45.</t>
  </si>
  <si>
    <t>FTA-PWR-261</t>
  </si>
  <si>
    <t>CRESTRON,FLIPTOP AC power outlet module.</t>
  </si>
  <si>
    <t>FT-600B</t>
  </si>
  <si>
    <t>CRESTRON, FlipTop basic.</t>
  </si>
  <si>
    <t>FUR-LAV</t>
  </si>
  <si>
    <t>RODE, Paraviento</t>
  </si>
  <si>
    <t>SENNHEISER, Montaje Rack.</t>
  </si>
  <si>
    <t>SENNHEISER, Adaptador .</t>
  </si>
  <si>
    <t>SENNHEISER, Adaptador.</t>
  </si>
  <si>
    <t>GACE (NO USAR)</t>
  </si>
  <si>
    <t>GAME-ONE-B</t>
  </si>
  <si>
    <t>SENNHEISER, Auricular c/mic.</t>
  </si>
  <si>
    <t>GAME-ONE-W</t>
  </si>
  <si>
    <t>GAME-ZERO-B</t>
  </si>
  <si>
    <t>GAME-ZERO-W</t>
  </si>
  <si>
    <t>GAM1</t>
  </si>
  <si>
    <t>GASTOS DE ENVIO</t>
  </si>
  <si>
    <t>GAUGE</t>
  </si>
  <si>
    <t>THORENS, Calibrador brazo.</t>
  </si>
  <si>
    <t>K-ARRAY, Amplificador</t>
  </si>
  <si>
    <t>GA3</t>
  </si>
  <si>
    <t>GA3030-AM</t>
  </si>
  <si>
    <t>SENNHEISER, Montaje de antenas en Rack.</t>
  </si>
  <si>
    <t>GA41</t>
  </si>
  <si>
    <t>KGEAR, Amplificador</t>
  </si>
  <si>
    <t>GA46L</t>
  </si>
  <si>
    <t>GB0330</t>
  </si>
  <si>
    <t>GITZO, Caña de aluminio autoajustable.</t>
  </si>
  <si>
    <t>GC5-GSQB</t>
  </si>
  <si>
    <t>KGEAR, Parlante</t>
  </si>
  <si>
    <t>GC5-SQB</t>
  </si>
  <si>
    <t>GC8T-RNW</t>
  </si>
  <si>
    <t>KGEAR,8" In-Ceiling / In-Wall Round Speaker</t>
  </si>
  <si>
    <t>KGEAR Parlante</t>
  </si>
  <si>
    <t>GF42 I</t>
  </si>
  <si>
    <t>GF82 I</t>
  </si>
  <si>
    <t>GF82TW I</t>
  </si>
  <si>
    <t>GF82W I</t>
  </si>
  <si>
    <t>KGEAR, Montaje</t>
  </si>
  <si>
    <t>GH4A</t>
  </si>
  <si>
    <t>GH4W</t>
  </si>
  <si>
    <t>GH8</t>
  </si>
  <si>
    <t>XILICA, Interfaz de audio</t>
  </si>
  <si>
    <t>GLD-AB1608 (NO USAR), eliminar stock</t>
  </si>
  <si>
    <t>GLD-AR2412 (NO USAR)</t>
  </si>
  <si>
    <t>GLD-AR84 (NO USAR)</t>
  </si>
  <si>
    <t>GLOBAL</t>
  </si>
  <si>
    <t>GLZ9000-A20</t>
  </si>
  <si>
    <t>SENNHEISER, Cable 20M.</t>
  </si>
  <si>
    <t>NEUTRIK, Mic. Cuello de ganso.</t>
  </si>
  <si>
    <t>GPIO (NO USAR), mover stock a GPIO/X</t>
  </si>
  <si>
    <t>A&amp;H, Rack</t>
  </si>
  <si>
    <t>GPIO-16</t>
  </si>
  <si>
    <t>RTS, General purpose input/outpu</t>
  </si>
  <si>
    <t>UNIVERSAL AUDIO, Pedal</t>
  </si>
  <si>
    <t>GR05 (NO USAR)</t>
  </si>
  <si>
    <t>GR2</t>
  </si>
  <si>
    <t>GR3</t>
  </si>
  <si>
    <t>GR4</t>
  </si>
  <si>
    <t>JBL, PARLANTE DE EXTERIOR</t>
  </si>
  <si>
    <t>EPOS, Auricular Gaming</t>
  </si>
  <si>
    <t>EPOS, Auricular inalámbrico para Gaming</t>
  </si>
  <si>
    <t>GSP300</t>
  </si>
  <si>
    <t>GSP370</t>
  </si>
  <si>
    <t>GS18</t>
  </si>
  <si>
    <t>GU210</t>
  </si>
  <si>
    <t>GU210W</t>
  </si>
  <si>
    <t>GZL RG 58 - 10m</t>
  </si>
  <si>
    <t>GZL RG 58 - 5m</t>
  </si>
  <si>
    <t>GZL RG 8x - 10m</t>
  </si>
  <si>
    <t>GZL RG 8x - 20m</t>
  </si>
  <si>
    <t>GZL RG 8x - 5m</t>
  </si>
  <si>
    <t>GZL9000</t>
  </si>
  <si>
    <t>GZL9000-A10</t>
  </si>
  <si>
    <t>SENNHEISER, Cable 10M.</t>
  </si>
  <si>
    <t>GZL9000-A5</t>
  </si>
  <si>
    <t>SENNHEISER, Cable 5M.</t>
  </si>
  <si>
    <t>G1-10</t>
  </si>
  <si>
    <t>RAPCO-HORIZON, Cable para instrumento.</t>
  </si>
  <si>
    <t>JBL, Amplificador</t>
  </si>
  <si>
    <t>G-5</t>
  </si>
  <si>
    <t>RYCOTE, Caña de fibra de carbono.</t>
  </si>
  <si>
    <t>HAL1X</t>
  </si>
  <si>
    <t>RANE, Soporte Multipropósito.</t>
  </si>
  <si>
    <t>SENNHEISER, Hapi MKII network converter</t>
  </si>
  <si>
    <t>SENNHEISER, Auriculares cerrado.</t>
  </si>
  <si>
    <t>HD 25 - Coiled Cable (3m)</t>
  </si>
  <si>
    <t>SENNHEISER,Coiled cable</t>
  </si>
  <si>
    <t>HD 25 - Foam Disks</t>
  </si>
  <si>
    <t>SENNHEISER, 1 Pair of foam discs for ear pads HD 25</t>
  </si>
  <si>
    <t>HD 25 - Straight Cable (1.5m)</t>
  </si>
  <si>
    <t>SENNHEISER, Straight cable</t>
  </si>
  <si>
    <t>HD 490 PRO</t>
  </si>
  <si>
    <t>HDA280</t>
  </si>
  <si>
    <t>SENNHEISER, Auricular para audiología.</t>
  </si>
  <si>
    <t>HDI-830</t>
  </si>
  <si>
    <t>SENNHEISER, Receptor Infrarrojo.</t>
  </si>
  <si>
    <t>HD-MD-300CEB</t>
  </si>
  <si>
    <t>CRESTRON, Scaling auto-switcher &amp; extender.</t>
  </si>
  <si>
    <t>HD-MD4X1-4K-E</t>
  </si>
  <si>
    <t>CRESTRON, 4X1 4K HDMI Switcher.</t>
  </si>
  <si>
    <t>HD-RXC-101-CE</t>
  </si>
  <si>
    <t>CRESTRON, DM-hdmi over CATx receiver.</t>
  </si>
  <si>
    <t>HD-TXC-101-C1</t>
  </si>
  <si>
    <t>CRESTRON, HDMI over CATx transmitter.</t>
  </si>
  <si>
    <t>HDVD800</t>
  </si>
  <si>
    <t>SENNHEISER, Headphone Amplifier digital.</t>
  </si>
  <si>
    <t>HD1-FREE</t>
  </si>
  <si>
    <t>HD201</t>
  </si>
  <si>
    <t>SENNHEISER, Auricular cerrado.</t>
  </si>
  <si>
    <t>HD205</t>
  </si>
  <si>
    <t>HD220-ORIG</t>
  </si>
  <si>
    <t>SENNHEISER/ADIDAS, Auricular.</t>
  </si>
  <si>
    <t>HD2.20S</t>
  </si>
  <si>
    <t>HD231G</t>
  </si>
  <si>
    <t>HD25-ANIVERSARIO</t>
  </si>
  <si>
    <t>HD250-BT</t>
  </si>
  <si>
    <t>HD300</t>
  </si>
  <si>
    <t>HD350BT BLACK</t>
  </si>
  <si>
    <t>HD350BT WHITE</t>
  </si>
  <si>
    <t>HD400</t>
  </si>
  <si>
    <t>SENNHEISER, Auricular abierto.</t>
  </si>
  <si>
    <t>HD4.30G-B</t>
  </si>
  <si>
    <t>HD4.30G-W</t>
  </si>
  <si>
    <t>HD4.30I-B</t>
  </si>
  <si>
    <t>HD4.30I-W</t>
  </si>
  <si>
    <t>HD4.40BT</t>
  </si>
  <si>
    <t>HD4.50 SPECIAL EDITION</t>
  </si>
  <si>
    <t>HD4.50BT</t>
  </si>
  <si>
    <t>HD450BT BLACK</t>
  </si>
  <si>
    <t>HD450BT WHITE</t>
  </si>
  <si>
    <t>HD461I</t>
  </si>
  <si>
    <t>HD471I</t>
  </si>
  <si>
    <t>HD559</t>
  </si>
  <si>
    <t>HD560S</t>
  </si>
  <si>
    <t>HD569</t>
  </si>
  <si>
    <t>HD579</t>
  </si>
  <si>
    <t>HD598CS</t>
  </si>
  <si>
    <t>SENNHEISER, Auriculares con micrófono.</t>
  </si>
  <si>
    <t>HD598SR</t>
  </si>
  <si>
    <t>SENNHEISER, Auriculares abierto.</t>
  </si>
  <si>
    <t>HD599</t>
  </si>
  <si>
    <t>HD600</t>
  </si>
  <si>
    <t>HD630-VB</t>
  </si>
  <si>
    <t>HD650</t>
  </si>
  <si>
    <t>HD660S</t>
  </si>
  <si>
    <t>HD800S</t>
  </si>
  <si>
    <t>HD820</t>
  </si>
  <si>
    <t>ART, Amplificador de auriculares.</t>
  </si>
  <si>
    <t>HeadAmp4Pro</t>
  </si>
  <si>
    <t>ART, HEADPHONE TAP.</t>
  </si>
  <si>
    <t>HF1CAP</t>
  </si>
  <si>
    <t>RODE, REPUESTO.</t>
  </si>
  <si>
    <t>HMD 26</t>
  </si>
  <si>
    <t>HMD 27</t>
  </si>
  <si>
    <t>SENNHEISER, Auricular c/micrófono dinámico.</t>
  </si>
  <si>
    <t>HMD 300 XQ-2</t>
  </si>
  <si>
    <t>HMD26-II-100</t>
  </si>
  <si>
    <t>HMD26-600-S</t>
  </si>
  <si>
    <t>HMD280</t>
  </si>
  <si>
    <t>HME26</t>
  </si>
  <si>
    <t>HPD2520</t>
  </si>
  <si>
    <t>JBL, Bracket Quick Mount Surround Bracket</t>
  </si>
  <si>
    <t>HPD4641</t>
  </si>
  <si>
    <t>JBL, 8 ohm, Single 18" Bass Reflex Subwoofer System.</t>
  </si>
  <si>
    <t>JBL, LOW FREQUENCY 5739 SCREEN ARRAY</t>
  </si>
  <si>
    <t>HPD9350</t>
  </si>
  <si>
    <t>HP-1</t>
  </si>
  <si>
    <t>DATAVIDEO, Headset para una oreja para intercom itc</t>
  </si>
  <si>
    <t>HP1</t>
  </si>
  <si>
    <t>ART, HEADPHONE AMP</t>
  </si>
  <si>
    <t>HRK-3B-LB</t>
  </si>
  <si>
    <t>EV, Horizontal rig kit black</t>
  </si>
  <si>
    <t>HS 2 BE</t>
  </si>
  <si>
    <t>SENNHEISER, micrófono headset.</t>
  </si>
  <si>
    <t>HSP-BEIGE</t>
  </si>
  <si>
    <t>HS2 BE (NO USAR)</t>
  </si>
  <si>
    <t>RODE, Headset.</t>
  </si>
  <si>
    <t>HS2-1-5</t>
  </si>
  <si>
    <t>SENNHEISER, HEADSET OPEN-ENDED CABLE, BEI</t>
  </si>
  <si>
    <t>HVA1CE</t>
  </si>
  <si>
    <t>ART, Amplificador</t>
  </si>
  <si>
    <t>HVA4CE</t>
  </si>
  <si>
    <t>HY-03</t>
  </si>
  <si>
    <t>SONIFEX, Automatic Analogue TBU, Free Standing</t>
  </si>
  <si>
    <t>HZL26-3</t>
  </si>
  <si>
    <t>SENNHEISER, Pro headphonne cable.</t>
  </si>
  <si>
    <t>H2-PRO</t>
  </si>
  <si>
    <t>HOLOPHONE, Mic.Sorround.</t>
  </si>
  <si>
    <t>H3-D</t>
  </si>
  <si>
    <t>IE PRO MONO CABLE</t>
  </si>
  <si>
    <t>SENNHEISER, cable</t>
  </si>
  <si>
    <t>SENNHEISER, Auricular intraural.</t>
  </si>
  <si>
    <t>IE40-PRO</t>
  </si>
  <si>
    <t>IE40-PRO BLACK</t>
  </si>
  <si>
    <t>IE40-PRO CLEAR</t>
  </si>
  <si>
    <t>IE60</t>
  </si>
  <si>
    <t>IE80-S</t>
  </si>
  <si>
    <t>IE80-SBT</t>
  </si>
  <si>
    <t>IE800</t>
  </si>
  <si>
    <t>IK42-DANTE</t>
  </si>
  <si>
    <t>MARTIN AUDIO, Amplificador de potencia estereo.</t>
  </si>
  <si>
    <t>IMPUESTO A LOS DEBITOS Y CREDITOS</t>
  </si>
  <si>
    <t>IMP-35B</t>
  </si>
  <si>
    <t>TURBOSOUND, Línea p/inst. negro EL PAR.</t>
  </si>
  <si>
    <t>IMP-35TB</t>
  </si>
  <si>
    <t>INET-CBDEX230</t>
  </si>
  <si>
    <t>CRESTRON, Wireless Keypad,infiNET EX, B.</t>
  </si>
  <si>
    <t>Instalación</t>
  </si>
  <si>
    <t>RAPCO-HORIZON, Cable para instrumentos.</t>
  </si>
  <si>
    <t>RODE, Handle and pop filter attachment for Wireless GO</t>
  </si>
  <si>
    <t>INT-TX04</t>
  </si>
  <si>
    <t>BOSCH, Transmisor 4 idiomas</t>
  </si>
  <si>
    <t>IPAD PRO 11 2da Generación</t>
  </si>
  <si>
    <t>APPLE, iPad Pro 11 2da Generacion 256gb 2020 Wi Fi</t>
  </si>
  <si>
    <t>IPD1200</t>
  </si>
  <si>
    <t>LAB GRUPPEN, Amplificador de potencia.</t>
  </si>
  <si>
    <t>IPX10:8 DSP</t>
  </si>
  <si>
    <t>IPX5:4 DSP</t>
  </si>
  <si>
    <t>A&amp;H, Controlador.</t>
  </si>
  <si>
    <t>IP1-WH-US</t>
  </si>
  <si>
    <t>IP-10D-CB</t>
  </si>
  <si>
    <t>EV, CROSSOVER INPUT 10''</t>
  </si>
  <si>
    <t>IP-224</t>
  </si>
  <si>
    <t>TELEX/RTS , Dual IP remote adapter panel</t>
  </si>
  <si>
    <t>IT9000HD</t>
  </si>
  <si>
    <t>CROWN, Amplif. de potencia c/procesador.</t>
  </si>
  <si>
    <t>RODE, Mic. Stereo para IPHONE/IPAD.</t>
  </si>
  <si>
    <t>SENNHEISER, cápsula cardiode.</t>
  </si>
  <si>
    <t>I300-B</t>
  </si>
  <si>
    <t>JBL-COL600-BK</t>
  </si>
  <si>
    <t>JBL, SLIM COLUMN SPKR</t>
  </si>
  <si>
    <t>JBL-COL600-WH</t>
  </si>
  <si>
    <t>JBL-P3230MX</t>
  </si>
  <si>
    <t>JBL SRX906LA AF</t>
  </si>
  <si>
    <t>JBL-P3231MX</t>
  </si>
  <si>
    <t>JBL-P3233MX</t>
  </si>
  <si>
    <t>JBL SRX906LA BP</t>
  </si>
  <si>
    <t>JBL-P3239MX</t>
  </si>
  <si>
    <t>JBL-P3240MX</t>
  </si>
  <si>
    <t>JBL SRX900LA PB</t>
  </si>
  <si>
    <t>JBL-P3243MX</t>
  </si>
  <si>
    <t>JBL SRX928S</t>
  </si>
  <si>
    <t>JBL-P3246MXCN</t>
  </si>
  <si>
    <t>JBL SRX906LA</t>
  </si>
  <si>
    <t>JBL-P3311MX</t>
  </si>
  <si>
    <t>JBL-P3365MX</t>
  </si>
  <si>
    <t>JBL-P3366MX</t>
  </si>
  <si>
    <t>JBL-P3508MX</t>
  </si>
  <si>
    <t>JBL-P3607MX</t>
  </si>
  <si>
    <t>JBL-SLP12/T-BK</t>
  </si>
  <si>
    <t>JBL, SLEEK LOW-PROFILE ON-WALL</t>
  </si>
  <si>
    <t>JBL-SLP12/T-WH</t>
  </si>
  <si>
    <t>JBL-SLP14/T-BK</t>
  </si>
  <si>
    <t>JBL-SLP14/T-WH</t>
  </si>
  <si>
    <t>J104SET</t>
  </si>
  <si>
    <t>JBL, SPEAKER SET.</t>
  </si>
  <si>
    <t>K-ARRAY, Parlante</t>
  </si>
  <si>
    <t>KAMUT2L14 II</t>
  </si>
  <si>
    <t>KAMUT2L14W II</t>
  </si>
  <si>
    <t>KA02</t>
  </si>
  <si>
    <t>KA04</t>
  </si>
  <si>
    <t>KA100S-4</t>
  </si>
  <si>
    <t>SENNHEISER, Cable para mic.</t>
  </si>
  <si>
    <t>KA100S-5</t>
  </si>
  <si>
    <t>KA100-60</t>
  </si>
  <si>
    <t>SENNHEISER, Cable para mic ME 102/104.</t>
  </si>
  <si>
    <t>K-ARRAY, Kommander-KA14 I, Class D, 2U rack amplifier with DSP and remote contr</t>
  </si>
  <si>
    <t>KA18</t>
  </si>
  <si>
    <t>K-ARRAY, Kommander-KA18, Class D, 2U-rack amplifier</t>
  </si>
  <si>
    <t>K-ARRAY, Kommander-KA34</t>
  </si>
  <si>
    <t>K-CASE2L14 II</t>
  </si>
  <si>
    <t>K-ARRAY, Plastic Demo Case with Azimut-KAMUT2L14 II</t>
  </si>
  <si>
    <t>KEN1</t>
  </si>
  <si>
    <t>SENNHEISER, Identificador de mic.</t>
  </si>
  <si>
    <t>KEN2</t>
  </si>
  <si>
    <t>K-FLY2</t>
  </si>
  <si>
    <t>K-ARRAY, Soporte para montar</t>
  </si>
  <si>
    <t>K-FLY3</t>
  </si>
  <si>
    <t>NEUMANN, Monitor Activo.</t>
  </si>
  <si>
    <t>KH 310 ALG</t>
  </si>
  <si>
    <t>KH 310 ARG</t>
  </si>
  <si>
    <t>KH 310 DLG</t>
  </si>
  <si>
    <t>KH 310 DRG</t>
  </si>
  <si>
    <t>NEUMANN, 10+3+1" ACTIVE MONITOR</t>
  </si>
  <si>
    <t>NEUMANN, STUDIOSUBWOOFER IP</t>
  </si>
  <si>
    <t>NEUMANN, Monitor</t>
  </si>
  <si>
    <t>K-HCFLY2</t>
  </si>
  <si>
    <t>K-ARRAY, Fly bar for KH2</t>
  </si>
  <si>
    <t>K-ARRAY, Montaje</t>
  </si>
  <si>
    <t>KH2</t>
  </si>
  <si>
    <t>K-ARRAY, Mugello-KH2, Ultra-thin self-powered 2x8in digitally steerable line array</t>
  </si>
  <si>
    <t>K-ARRAY, Ultra-thin 8+16? passive double 8" line array element</t>
  </si>
  <si>
    <t>KH3I</t>
  </si>
  <si>
    <t>KH5I</t>
  </si>
  <si>
    <t>KH805AG</t>
  </si>
  <si>
    <t>KH870G (NO USAR)</t>
  </si>
  <si>
    <t>NEUMANN, Bafle</t>
  </si>
  <si>
    <t>K-IP65KITA</t>
  </si>
  <si>
    <t>KIT DEMO RADIO 301976000</t>
  </si>
  <si>
    <t>BOSCH, KIT DEMO RADIO</t>
  </si>
  <si>
    <t>KK204</t>
  </si>
  <si>
    <t>NEUMANN, Mic. inalámbrico.</t>
  </si>
  <si>
    <t>KK205</t>
  </si>
  <si>
    <t>KK52W I</t>
  </si>
  <si>
    <t>NEUMANN, mic. a condensador cardioide.</t>
  </si>
  <si>
    <t>KM 184 MT</t>
  </si>
  <si>
    <t>NEUMANN, Shotgun.</t>
  </si>
  <si>
    <t>KMS 104 BK</t>
  </si>
  <si>
    <t>NEUMANN, micrófono</t>
  </si>
  <si>
    <t>NEUMANN, micrófono (color NICKEL).</t>
  </si>
  <si>
    <t>NEUMANN, micrófono (color BLACK).</t>
  </si>
  <si>
    <t>KM112P</t>
  </si>
  <si>
    <t>KP12</t>
  </si>
  <si>
    <t>KP4016</t>
  </si>
  <si>
    <t>KP52 I</t>
  </si>
  <si>
    <t>KR202 I</t>
  </si>
  <si>
    <t>KR202W II</t>
  </si>
  <si>
    <t>KR402 II</t>
  </si>
  <si>
    <t>KS5I</t>
  </si>
  <si>
    <t>KT2</t>
  </si>
  <si>
    <t>K-ARRAY, PTornado-KT2, 2in point source 8/32ohm compact</t>
  </si>
  <si>
    <t>KT2CW</t>
  </si>
  <si>
    <t>K-ARRAY, Tornado-KT2CW, 2in point source 8/32ohm ceiling</t>
  </si>
  <si>
    <t>K-USB</t>
  </si>
  <si>
    <t>K-ARRAY, Cable</t>
  </si>
  <si>
    <t>KU210W</t>
  </si>
  <si>
    <t>KV25 II</t>
  </si>
  <si>
    <t>KV25R II</t>
  </si>
  <si>
    <t>K-ARRAY, Vyper-KV25R II, Ultra-flat, 25cm-long</t>
  </si>
  <si>
    <t>KV25W II</t>
  </si>
  <si>
    <t>KV52W II</t>
  </si>
  <si>
    <t>K-WALL2</t>
  </si>
  <si>
    <t>K-WALL2L</t>
  </si>
  <si>
    <t>K-WALL2W</t>
  </si>
  <si>
    <t>KWC-242</t>
  </si>
  <si>
    <t>KWC, Cable para mic. con conect. neutrik 6mt.</t>
  </si>
  <si>
    <t>KWC-243</t>
  </si>
  <si>
    <t>KWC, Cable para mic. con conect. neutrik 9mt.</t>
  </si>
  <si>
    <t>KY52</t>
  </si>
  <si>
    <t>KZ14R</t>
  </si>
  <si>
    <t>K-ARRAY, Home system</t>
  </si>
  <si>
    <t>K6</t>
  </si>
  <si>
    <t>SENNHEISER, Módulo.</t>
  </si>
  <si>
    <t>SENNHEISER, Cargador de baterías para BA60/BA61</t>
  </si>
  <si>
    <t>SENNHEISER, BUSB CHARGER FOR BA 70</t>
  </si>
  <si>
    <t>LAMBDA</t>
  </si>
  <si>
    <t>LEXICON,Desktop Recording Studio .</t>
  </si>
  <si>
    <t>RODE, micrófono corbatero.</t>
  </si>
  <si>
    <t>LA2</t>
  </si>
  <si>
    <t>SENNHEISER, Power Supply</t>
  </si>
  <si>
    <t>LA3-VARI-BH</t>
  </si>
  <si>
    <t>BOSCH, VARI Unidad Base .</t>
  </si>
  <si>
    <t>UNIVERSAL AUDIO, Preamplificador</t>
  </si>
  <si>
    <t>LBA500</t>
  </si>
  <si>
    <t>SENNHEISER, Battery Pack</t>
  </si>
  <si>
    <t>LBB1920/00</t>
  </si>
  <si>
    <t>BOSCH, UNIVERSAL PRE-AMPLIFIER</t>
  </si>
  <si>
    <t>LBB1925/10</t>
  </si>
  <si>
    <t>BOSCH, Estación de llamada 6 zonas</t>
  </si>
  <si>
    <t>LBB1930/20</t>
  </si>
  <si>
    <t>BOSCH, Amplificador potencia, 1x120W</t>
  </si>
  <si>
    <t>LBB1935/20</t>
  </si>
  <si>
    <t>BOSCH, Amplificador potencia, 1x240W</t>
  </si>
  <si>
    <t>LBB1956/00</t>
  </si>
  <si>
    <t>BOSCH, Estación de llamada de seis zonas para el Sistema de alarma por voz Plena</t>
  </si>
  <si>
    <t>LBB1957/00</t>
  </si>
  <si>
    <t>BOSCH, Teclado estación de llamada</t>
  </si>
  <si>
    <t>LBB1965/00</t>
  </si>
  <si>
    <t>BOSCH, Gestor de mensajes</t>
  </si>
  <si>
    <t>LBB1995/00</t>
  </si>
  <si>
    <t>BOSCH, Control remoto del Sistema de alarma por voz Plena</t>
  </si>
  <si>
    <t>LBB3222/04</t>
  </si>
  <si>
    <t>BOSCH, Pupitre de intérprete analógico con 6 canales</t>
  </si>
  <si>
    <t>LBB3316/00</t>
  </si>
  <si>
    <t>BOSCH, CCS installation cable.</t>
  </si>
  <si>
    <t>LBB3316/05</t>
  </si>
  <si>
    <t>BOSCH, Cable de prolongación.</t>
  </si>
  <si>
    <t>LBB4116/01</t>
  </si>
  <si>
    <t>BOSCH, Cable.</t>
  </si>
  <si>
    <t>LBB4116/02</t>
  </si>
  <si>
    <t>BOSCH, DCN Extension cable.</t>
  </si>
  <si>
    <t>LBB4116/05</t>
  </si>
  <si>
    <t>LBB4116/10</t>
  </si>
  <si>
    <t>LBB4117/00</t>
  </si>
  <si>
    <t>LBB4119/00</t>
  </si>
  <si>
    <t>BOSCH, DCN connectors.</t>
  </si>
  <si>
    <t>LBB4187</t>
  </si>
  <si>
    <t>BOSCH, Lic. de Softw. Open Int</t>
  </si>
  <si>
    <t>LBB4402/00</t>
  </si>
  <si>
    <t>BOSCH, Expansor de audio analógico</t>
  </si>
  <si>
    <t>LBB4416/01</t>
  </si>
  <si>
    <t>LBB4416/02</t>
  </si>
  <si>
    <t>BOSCH, CABLE DE RED POF 2M.</t>
  </si>
  <si>
    <t>LBB4416/05</t>
  </si>
  <si>
    <t>BOSCH, Cable fibra óptica, 5m</t>
  </si>
  <si>
    <t>LBB4416/20</t>
  </si>
  <si>
    <t>BOSCH, Cable fibra óptica, 20m</t>
  </si>
  <si>
    <t>LBB4419/00</t>
  </si>
  <si>
    <t>BOSCH, Connectors.</t>
  </si>
  <si>
    <t>LBB4428/00</t>
  </si>
  <si>
    <t>BOSCH, AMPLIFICADOR.</t>
  </si>
  <si>
    <t>LBB4430/00</t>
  </si>
  <si>
    <t>BOSCH, Estación de llamada</t>
  </si>
  <si>
    <t>LBB4432/00</t>
  </si>
  <si>
    <t>BOSCH, TECLADO DE ESTACION DE LLAMADA.</t>
  </si>
  <si>
    <t>LBB4433/00</t>
  </si>
  <si>
    <t>BOSCH, Kit de estación de llamada (Sistema PRAESIDEO)</t>
  </si>
  <si>
    <t>LBB4440/00</t>
  </si>
  <si>
    <t>BOSCH, Tablero de control de supervisión (Periféricos PRAESIDEO)</t>
  </si>
  <si>
    <t>LBB4441/00</t>
  </si>
  <si>
    <t>BOSCH, Tarjeta supervisión altavoz (Periféricos de PRAESIDEO)</t>
  </si>
  <si>
    <t>LBB4443/00</t>
  </si>
  <si>
    <t>BOSCH, Tarjetas de final de línea (Periféricos de PRAESIDEO)</t>
  </si>
  <si>
    <t>LBC3201/00</t>
  </si>
  <si>
    <t>BOSCH, Columna array, 60W</t>
  </si>
  <si>
    <t>LBC3482/00</t>
  </si>
  <si>
    <t>BOSCH, BOSCH, Altavoz de bocina, 25W</t>
  </si>
  <si>
    <t>LBC3484</t>
  </si>
  <si>
    <t>BOSCH, Bocina 50W, 20"</t>
  </si>
  <si>
    <t>LBC3491/12</t>
  </si>
  <si>
    <t>BOSCH, Altavoz de bocina, 10W, 6x10"</t>
  </si>
  <si>
    <t>LBC3492/12</t>
  </si>
  <si>
    <t>BOSCH, Bocina voz/musica 30W 70/100V .</t>
  </si>
  <si>
    <t>LBC3493/12</t>
  </si>
  <si>
    <t>BOSCH, Bocina voz/musica 45/30W</t>
  </si>
  <si>
    <t>LB1-UW06-FL1</t>
  </si>
  <si>
    <t>Cabinet loundspeake</t>
  </si>
  <si>
    <t>LB10-UC06</t>
  </si>
  <si>
    <t>BOSCH, Cabined speaker</t>
  </si>
  <si>
    <t>LB3316/05</t>
  </si>
  <si>
    <t>BOSCH, EXTENSION CABLE ASSY 5 M.</t>
  </si>
  <si>
    <t>JBL, Parlante (EL PAR)</t>
  </si>
  <si>
    <t>LC1-CBB</t>
  </si>
  <si>
    <t>BOSCH, Caja trasera para altavoz</t>
  </si>
  <si>
    <t>LC1-CMR</t>
  </si>
  <si>
    <t>BOSCH, Anillo de montaje para LC1</t>
  </si>
  <si>
    <t>LC1-MFD</t>
  </si>
  <si>
    <t>BOSCH, Cúpula metal incendios LC1, Conector con terminal cerámico</t>
  </si>
  <si>
    <t>LC1-WM06E8</t>
  </si>
  <si>
    <t>BOSCH, Bafle 2 vías de techo.</t>
  </si>
  <si>
    <t>LC1500</t>
  </si>
  <si>
    <t>BOSCH, Headset lower cord, 15ft with PTT</t>
  </si>
  <si>
    <t>LEDLAMP</t>
  </si>
  <si>
    <t>A&amp;H, Repuesto.</t>
  </si>
  <si>
    <t>LE100</t>
  </si>
  <si>
    <t>MARTIN AUDIO, Bafle pasivo.</t>
  </si>
  <si>
    <t>LE200</t>
  </si>
  <si>
    <t>LHM0606/10</t>
  </si>
  <si>
    <t>BOSCH, Bocina voz/musica</t>
  </si>
  <si>
    <t>LH1-UC30E</t>
  </si>
  <si>
    <t>LH-300-DM-A5M</t>
  </si>
  <si>
    <t>RTS, Auricular con Micrófono dinámico de un solo lado, A5M</t>
  </si>
  <si>
    <t>LICENCIA</t>
  </si>
  <si>
    <t>LM 6070</t>
  </si>
  <si>
    <t>LM2</t>
  </si>
  <si>
    <t>TC ELECTRONIC, Rack meter.</t>
  </si>
  <si>
    <t>LM26</t>
  </si>
  <si>
    <t>LAKE, Procesador.</t>
  </si>
  <si>
    <t>LP1-UC20E-1</t>
  </si>
  <si>
    <t>BOSCH, Bafle de instalación.</t>
  </si>
  <si>
    <t>LSP500PRO</t>
  </si>
  <si>
    <t>SENNHEISER, Parlante.</t>
  </si>
  <si>
    <t>LSR305 (NO USAR)</t>
  </si>
  <si>
    <t>JBL, Bi-amplified studio monitor (UNIDAD).</t>
  </si>
  <si>
    <t>LSR308 (NO USAR)</t>
  </si>
  <si>
    <t>JBL, Powered Subwoofer (UNIDAD).</t>
  </si>
  <si>
    <t>LSR708I</t>
  </si>
  <si>
    <t>JBL. Nearfield Monitor. 2 Vias 8''.</t>
  </si>
  <si>
    <t>LS1-OC100E</t>
  </si>
  <si>
    <t>BOSCH, Altavoz hemidireccional, 100W</t>
  </si>
  <si>
    <t>LUC1</t>
  </si>
  <si>
    <t>XILICA, controlador</t>
  </si>
  <si>
    <t>LYD-48</t>
  </si>
  <si>
    <t>LYD-7</t>
  </si>
  <si>
    <t>L2015</t>
  </si>
  <si>
    <t>SENNHEISER, Cargador de Baterías</t>
  </si>
  <si>
    <t>NEUMANN, Precision alignment microhone</t>
  </si>
  <si>
    <t>MADI (NO USAR)</t>
  </si>
  <si>
    <t>A&amp;H, Module</t>
  </si>
  <si>
    <t>MAS 1 B</t>
  </si>
  <si>
    <t>SENNHEISER, Microphone activation button</t>
  </si>
  <si>
    <t>MAS 1 W</t>
  </si>
  <si>
    <t>MAS 133</t>
  </si>
  <si>
    <t>SENNHEISER, Microphone control box</t>
  </si>
  <si>
    <t>SENNHEISER, Base para mic. gooseneck.</t>
  </si>
  <si>
    <t>MAT133S-B (NO USAR) mover stock MAT 133-S B BLACK XLR3 PTT</t>
  </si>
  <si>
    <t>MA2.0-CN</t>
  </si>
  <si>
    <t>MA5.0Q-CN</t>
  </si>
  <si>
    <t>MB PRO 1</t>
  </si>
  <si>
    <t>SENNHEISER, Headset.</t>
  </si>
  <si>
    <t>EPOS, SPEAKERPHONE.</t>
  </si>
  <si>
    <t>EPOS, Auricular</t>
  </si>
  <si>
    <t>MB PRO-2-UC-ML</t>
  </si>
  <si>
    <t>EPOS, Headset.</t>
  </si>
  <si>
    <t>MB660</t>
  </si>
  <si>
    <t>SENNHEISER, Auriculares inalámbrico.</t>
  </si>
  <si>
    <t>TELEX/RTS, CARD KIT.</t>
  </si>
  <si>
    <t>NEUMANN, sistema de micrófono</t>
  </si>
  <si>
    <t>MCM 114 SET WOODWINDS</t>
  </si>
  <si>
    <t>TELEX-RTS, Montaje Rack.</t>
  </si>
  <si>
    <t>MCP90-0</t>
  </si>
  <si>
    <t>TELEX-RTS, Micrófono gooseneck.</t>
  </si>
  <si>
    <t>MC-1</t>
  </si>
  <si>
    <t>RAPCO-HORIZON, Microphone combiner</t>
  </si>
  <si>
    <t>MC3</t>
  </si>
  <si>
    <t>CRESTRON, Series Control System.</t>
  </si>
  <si>
    <t>MD 421 KOMPAKT</t>
  </si>
  <si>
    <t>SENNHEISER, Multipurpose Dynamic Cardioid Microphone</t>
  </si>
  <si>
    <t>MD 421 KOMPAKT + DRUM CLAMP</t>
  </si>
  <si>
    <t>SENNHEISER, mic.cardioide dinámico.</t>
  </si>
  <si>
    <t>SENNHEISER, micrófono.</t>
  </si>
  <si>
    <t>M-DANTE-A (NO USAR)</t>
  </si>
  <si>
    <t>M-DL-AES10O</t>
  </si>
  <si>
    <t>ALLEN &amp; HEATH, Module DL AES 10 OUT</t>
  </si>
  <si>
    <t>M-DL-AES218O</t>
  </si>
  <si>
    <t>ALLEN &amp; HEATH, Module DL AES 2 IN 8OUT</t>
  </si>
  <si>
    <t>M-DL-AES4I6O-A</t>
  </si>
  <si>
    <t>ALLEN &amp; HEATH, Dlive Networking Cards</t>
  </si>
  <si>
    <t>M-DL-AES614O</t>
  </si>
  <si>
    <t>ALLEN &amp; HEATH, Module DL AES 6 IN 4OUT</t>
  </si>
  <si>
    <t>A&amp;H, Module SL SDANTE</t>
  </si>
  <si>
    <t>M-DL-DXLINK-A</t>
  </si>
  <si>
    <t>A&amp;H, Module DL SUPER MADI</t>
  </si>
  <si>
    <t>A&amp;H, Module DL GIG ACE</t>
  </si>
  <si>
    <t>M-DL-WAVES3-A</t>
  </si>
  <si>
    <t>A&amp;H,, Dlive Networking Cards</t>
  </si>
  <si>
    <t>M-DX32-INPR</t>
  </si>
  <si>
    <t>M-DX32-OUTPR</t>
  </si>
  <si>
    <t>MD9235</t>
  </si>
  <si>
    <t>SENNHEISER, Cápsula</t>
  </si>
  <si>
    <t>ME 102-ANT</t>
  </si>
  <si>
    <t>SENNHEISER, cápsula micrófono corbatero. Omni-direccional. Art. No.: 003876</t>
  </si>
  <si>
    <t>ME 104-ANT</t>
  </si>
  <si>
    <t>SENNHEISER, cápsula micrófono corbatero. Cardioide. Art. No.: 004227</t>
  </si>
  <si>
    <t>SENNHEISER, micrófono corbatero.</t>
  </si>
  <si>
    <t>SENNHEISER, Micrófono .</t>
  </si>
  <si>
    <t>MEB-102W</t>
  </si>
  <si>
    <t>MEB114-B</t>
  </si>
  <si>
    <t>MEB114-S</t>
  </si>
  <si>
    <t>SENNHEISER, Mic. Cuello de ganso.</t>
  </si>
  <si>
    <t>A&amp;H, Consola de monitoreo.</t>
  </si>
  <si>
    <t>ME2-2 (NO USAR)</t>
  </si>
  <si>
    <t>ME3</t>
  </si>
  <si>
    <t>SENNHEISER, micrófono tipo vincha.</t>
  </si>
  <si>
    <t>ME34</t>
  </si>
  <si>
    <t>ME35</t>
  </si>
  <si>
    <t>SENNHEISER, cápsula supercardiode.</t>
  </si>
  <si>
    <t>ME62</t>
  </si>
  <si>
    <t>SENNHEISER, cápsula micrófono condensador.</t>
  </si>
  <si>
    <t>ME64 (NO USAR)</t>
  </si>
  <si>
    <t>ME66 (NO USAR)</t>
  </si>
  <si>
    <t>SENNHEISER, micrófono a condensador.</t>
  </si>
  <si>
    <t>ME67</t>
  </si>
  <si>
    <t>MH-300-DM-A4F</t>
  </si>
  <si>
    <t>TELEX/RTS, Auric.c/mic.</t>
  </si>
  <si>
    <t>MH-302-DM-A4F</t>
  </si>
  <si>
    <t>MH-402-DM-A4F</t>
  </si>
  <si>
    <t>RODE, Adaptor for HS1 Black.</t>
  </si>
  <si>
    <t>RODE, Adaptor for HS1 Pink.</t>
  </si>
  <si>
    <t>RODE, Adaptador.</t>
  </si>
  <si>
    <t>MicroBoomPole</t>
  </si>
  <si>
    <t>MicroBoomPole-P</t>
  </si>
  <si>
    <t>MICRO-CORE</t>
  </si>
  <si>
    <t>STUDER, Consola digital.</t>
  </si>
  <si>
    <t>MICRO-FADER</t>
  </si>
  <si>
    <t>MIC-TLL22</t>
  </si>
  <si>
    <t>UNIVERSAL AUDIO, Sphere L22 Mic System</t>
  </si>
  <si>
    <t>UNIVERSAL AUDIO, Micrófono.</t>
  </si>
  <si>
    <t>RAPCO-HORIZON, Cable balanceado.</t>
  </si>
  <si>
    <t>MIGRACION INICIAL</t>
  </si>
  <si>
    <t>MINIboomPOLE</t>
  </si>
  <si>
    <t>SENNHEISER, Micrófono a condensador.</t>
  </si>
  <si>
    <t>SENNHEISER, Micrófono</t>
  </si>
  <si>
    <t>SENNHEISER, Micrófono KIT</t>
  </si>
  <si>
    <t>MKE2-EW-GOLD</t>
  </si>
  <si>
    <t>MKE2-5-CGOLD</t>
  </si>
  <si>
    <t>MKE2-5-3CGOLD</t>
  </si>
  <si>
    <t>SENNHEISER, mic. a condensador Shotgun.</t>
  </si>
  <si>
    <t>SENNHEISER, mic. a condensador.</t>
  </si>
  <si>
    <t>MKH60-P48</t>
  </si>
  <si>
    <t>MKH70-P48</t>
  </si>
  <si>
    <t>MKP12</t>
  </si>
  <si>
    <t>MKP4</t>
  </si>
  <si>
    <t>SENNHEISER, Soporte antivibratorio .</t>
  </si>
  <si>
    <t>MK4-DIGITAL</t>
  </si>
  <si>
    <t>SENNHEISER, Micrófono Digital.</t>
  </si>
  <si>
    <t>BEYERDYNAMIC, Condenser measurement microphone (omnidirectional)</t>
  </si>
  <si>
    <t>SENNHEISER, Cápsula dinámica.</t>
  </si>
  <si>
    <t>SENNHEISER, Cápsula dinámica. Art. No.: 502575</t>
  </si>
  <si>
    <t>SENNHEISER, Cápsula dinámica. Art. No.: 502576</t>
  </si>
  <si>
    <t>SENNHEISER, Cápsula dinámica. Art. No.: 502577</t>
  </si>
  <si>
    <t>SENNHEISER, Cápsula dinámica. Art. No.: 502579</t>
  </si>
  <si>
    <t>MMD945 (NO USAR)</t>
  </si>
  <si>
    <t>SENNHEISER, Cápsula condensador.</t>
  </si>
  <si>
    <t>MM30G-W</t>
  </si>
  <si>
    <t>SENNHEISER, Headset para Galaxy.</t>
  </si>
  <si>
    <t>SENNHEISER, AUDIO- STREAMING SERVER</t>
  </si>
  <si>
    <t>MOMEN-ON-M2-B</t>
  </si>
  <si>
    <t>MOMEN-ON-M2-I</t>
  </si>
  <si>
    <t>MOMENTUM</t>
  </si>
  <si>
    <t>MOMENTUM-ON-B</t>
  </si>
  <si>
    <t>MOMENTUM-ONbr</t>
  </si>
  <si>
    <t>MOMENTUM-ON-I</t>
  </si>
  <si>
    <t>MOMENTUM-ON-R</t>
  </si>
  <si>
    <t>MOMENTUM2-G-B</t>
  </si>
  <si>
    <t>MOMENTUM2G-IV</t>
  </si>
  <si>
    <t>MOMEN2-AEG-B</t>
  </si>
  <si>
    <t>MOMEN2-IEBT-B</t>
  </si>
  <si>
    <t>MOMEN2-OEG-B</t>
  </si>
  <si>
    <t>M-ONEU</t>
  </si>
  <si>
    <t>MPATCH2</t>
  </si>
  <si>
    <t>JBL, Passive Stereo Controller/Input/Outpu.</t>
  </si>
  <si>
    <t>A&amp;H, Fuente.</t>
  </si>
  <si>
    <t>M-SIXSTEREO</t>
  </si>
  <si>
    <t>M-SQ-DANT32</t>
  </si>
  <si>
    <t>M-SQ-DANT64 (NO USAR)</t>
  </si>
  <si>
    <t>A&amp;H, Module SQ .</t>
  </si>
  <si>
    <t>A&amp;H, Module SQ slink.</t>
  </si>
  <si>
    <t>MS2002</t>
  </si>
  <si>
    <t>TELEX-RTS, Intercom.</t>
  </si>
  <si>
    <t>NEUMANN, interfaz de audio.</t>
  </si>
  <si>
    <t>MTC-2P</t>
  </si>
  <si>
    <t>JBL, Montaje p/CONTROL2PS.</t>
  </si>
  <si>
    <t>MTRBI FOR IP224</t>
  </si>
  <si>
    <t>TELEX/RTS , IP224-MTRBI Radio</t>
  </si>
  <si>
    <t>MTW3 BLACK</t>
  </si>
  <si>
    <t>MTW3 GRAPHITE</t>
  </si>
  <si>
    <t>MTW3 WHITE</t>
  </si>
  <si>
    <t>MUSIC1</t>
  </si>
  <si>
    <t>DYNAUDIO, Parlante</t>
  </si>
  <si>
    <t>MUSIC3</t>
  </si>
  <si>
    <t>MUSIC5</t>
  </si>
  <si>
    <t>MUSIC7</t>
  </si>
  <si>
    <t>ART, suspensión elástica.</t>
  </si>
  <si>
    <t>MXE5 DSP</t>
  </si>
  <si>
    <t>DYNACORD, Bafle pasivo.</t>
  </si>
  <si>
    <t>ART, Multizona.</t>
  </si>
  <si>
    <t>MX400B</t>
  </si>
  <si>
    <t>SENNHEISER, Auricular liviano.</t>
  </si>
  <si>
    <t>MX400W</t>
  </si>
  <si>
    <t>MX524CE</t>
  </si>
  <si>
    <t>MX585</t>
  </si>
  <si>
    <t>MX622BT</t>
  </si>
  <si>
    <t>MYMONITOR</t>
  </si>
  <si>
    <t>ART, Mixer.</t>
  </si>
  <si>
    <t>SENNHEISER, Accesory set for MKE mic.</t>
  </si>
  <si>
    <t>SENNHEISER, Clip MKE2.</t>
  </si>
  <si>
    <t>MZC2-1B</t>
  </si>
  <si>
    <t>MZD8000</t>
  </si>
  <si>
    <t>SENNHEISER, Cuello de ganso 40 cm.</t>
  </si>
  <si>
    <t>SENNHEISER, Cuello de ganso 60 cm.</t>
  </si>
  <si>
    <t>SENNHEISER, Cuello de ganso 70 cm.</t>
  </si>
  <si>
    <t>SENNHEISER, Paraviento de piel.</t>
  </si>
  <si>
    <t>SENNHEISER, Clamp.</t>
  </si>
  <si>
    <t>MZH20-1</t>
  </si>
  <si>
    <t>SENNHEISER, Clip magnético.</t>
  </si>
  <si>
    <t>SENNHEISER, Soporte de pie de mic.</t>
  </si>
  <si>
    <t>MZQ222</t>
  </si>
  <si>
    <t>SENNHEISER, Clip co</t>
  </si>
  <si>
    <t>MZQ40</t>
  </si>
  <si>
    <t>MZQ608</t>
  </si>
  <si>
    <t>SENNHEISER, Shock Mount For MZH Goosenecks</t>
  </si>
  <si>
    <t>SENNHEISER, suspensión elástica.</t>
  </si>
  <si>
    <t>SENNHEISER, Mango pistola.</t>
  </si>
  <si>
    <t>SENNHEISER, Tablestand</t>
  </si>
  <si>
    <t>MZTX31</t>
  </si>
  <si>
    <t>SENNHEISER, Zeppelin p/ MKH-416.</t>
  </si>
  <si>
    <t>SENNHEISER, Zeppelin p/ MKH-70.</t>
  </si>
  <si>
    <t>SENNHEISER, Paraviento.</t>
  </si>
  <si>
    <t>MZW02</t>
  </si>
  <si>
    <t>SENNHEISER, Foam windshield p/ MKE 1.</t>
  </si>
  <si>
    <t>MZW1</t>
  </si>
  <si>
    <t>MZW102</t>
  </si>
  <si>
    <t>SENNHEISER, Paraviento para ME 102.</t>
  </si>
  <si>
    <t>MZW2-A</t>
  </si>
  <si>
    <t>MZW2-EW</t>
  </si>
  <si>
    <t>SENNHEISER, Paraviento para ME2.</t>
  </si>
  <si>
    <t>MZW3-EW</t>
  </si>
  <si>
    <t>SENNHEISER, Paraviento para ME3.</t>
  </si>
  <si>
    <t>MZW415</t>
  </si>
  <si>
    <t>SENNHEISER, Paraviento p/ MKH-416.</t>
  </si>
  <si>
    <t>MZW61</t>
  </si>
  <si>
    <t>SENNHEISER, Paraviento p/ MKH-60.</t>
  </si>
  <si>
    <t>MZW64</t>
  </si>
  <si>
    <t>SENNHEISER, Paraviento p/ ME-63.</t>
  </si>
  <si>
    <t>MZW64-PRO</t>
  </si>
  <si>
    <t>SENNHEISER, Paraviento p/ ME-64.</t>
  </si>
  <si>
    <t>MZW66</t>
  </si>
  <si>
    <t>SENNHEISER, Paraviento p/ ME-66.</t>
  </si>
  <si>
    <t>MZW67</t>
  </si>
  <si>
    <t>SENNHEISER, Paraviento p/ ME-67.</t>
  </si>
  <si>
    <t>MZW67-PRO</t>
  </si>
  <si>
    <t>M2-506244</t>
  </si>
  <si>
    <t>M2-507405</t>
  </si>
  <si>
    <t>M2-507406</t>
  </si>
  <si>
    <t>M2-507408</t>
  </si>
  <si>
    <t>M2-507409</t>
  </si>
  <si>
    <t>RODE, micrófono condensador.</t>
  </si>
  <si>
    <t>M3AEBTXL BLACK</t>
  </si>
  <si>
    <t>M3IETW BLACK</t>
  </si>
  <si>
    <t>SENNHEISER, auricular inalámbrico</t>
  </si>
  <si>
    <t>NEUTRIK, Conector a cable c/ traba.</t>
  </si>
  <si>
    <t>NEUTRIK, Powercon a chasis .</t>
  </si>
  <si>
    <t>NAC3FPX-TOP</t>
  </si>
  <si>
    <t>NEUTRIK, MAINS CHASSIS OUTLET CBC TOP</t>
  </si>
  <si>
    <t>NAC3F-TRUE1-S</t>
  </si>
  <si>
    <t>NEUTRIK, MAINS CABLE CON. OUTLET CBC TOP S</t>
  </si>
  <si>
    <t>NEUTRIK, Powercon a cable .</t>
  </si>
  <si>
    <t>NAC3FXXA-W-S</t>
  </si>
  <si>
    <t>NEUTRIK, CABLECON FXX</t>
  </si>
  <si>
    <t>NAC3FXXB-W-S</t>
  </si>
  <si>
    <t>NEUTRIK, 3-Contactos ; a cable.</t>
  </si>
  <si>
    <t>NEUTRIK, Adaptador.</t>
  </si>
  <si>
    <t>NEUTRIK, Conector a Chasis.</t>
  </si>
  <si>
    <t>NEUTRIK, Conector a chasis c/ traba.</t>
  </si>
  <si>
    <t>NAC3MPX-TOP</t>
  </si>
  <si>
    <t>NEUTRIK, MAINS CHASSIS INLET CBC TOP</t>
  </si>
  <si>
    <t>NAC3MPXXA</t>
  </si>
  <si>
    <t>NEUTRIK, MAINS CHASSIS CONNECTOR A</t>
  </si>
  <si>
    <t>NAC3MPXXB</t>
  </si>
  <si>
    <t>NAC3M-TRUE1-S</t>
  </si>
  <si>
    <t>NEUTRIK, MAINS CABLE CON. INLET CBC TOP S</t>
  </si>
  <si>
    <t>NEUTRIK, Interfase AES-EBU.</t>
  </si>
  <si>
    <t>NEUTRIK, Conector HDMI a Chasis.</t>
  </si>
  <si>
    <t>NEUTRIK, Conector USB a chasis.</t>
  </si>
  <si>
    <t>NEUTRIK, Conector Firewire a Chasis.</t>
  </si>
  <si>
    <t>NA2-IO-DLINE</t>
  </si>
  <si>
    <t>NEUTRIK, Dante adapter IO 2.</t>
  </si>
  <si>
    <t>NEUTRIK, Adaptador XLR H. a XLR H.</t>
  </si>
  <si>
    <t>NEUTRIK, Adaptador XLR H. a PLUG 1/4 S.</t>
  </si>
  <si>
    <t>NEUTRIK, Adaptador 1/4 JACK.</t>
  </si>
  <si>
    <t>NEUTRIK, Adaptador XLRM 3POLE.</t>
  </si>
  <si>
    <t>NEUTRIK, Adaptador XLR Macho a XLR Macho</t>
  </si>
  <si>
    <t>NEUTRIK, Adaptador XLR.</t>
  </si>
  <si>
    <t>NEUTRIK/REAN,CONECTOR</t>
  </si>
  <si>
    <t>NA4LJX</t>
  </si>
  <si>
    <t>NEUTRIK, Adaptador speakon a Jack 1/4.</t>
  </si>
  <si>
    <t>NEUTRIK, Conector BNC a chasis.</t>
  </si>
  <si>
    <t>NEUTRIK, Conector</t>
  </si>
  <si>
    <t>NEUTRIK, Conector BNC a cable.</t>
  </si>
  <si>
    <t>NCDI2X300-U</t>
  </si>
  <si>
    <t>CROWN, Drivecore 2x300.</t>
  </si>
  <si>
    <t>NCDI4X600-U</t>
  </si>
  <si>
    <t>CROWN, DCDI DRIVECORE 4X600</t>
  </si>
  <si>
    <t>NEUTRIK, XLR-3 Cont. Hemb. con Jack 1/4.</t>
  </si>
  <si>
    <t>NEUTRIK, XLR-3 COMBO XLR 1/4.</t>
  </si>
  <si>
    <t>NCSA140Z</t>
  </si>
  <si>
    <t>NCSA180Z</t>
  </si>
  <si>
    <t>NCSA2120Z</t>
  </si>
  <si>
    <t>CROWN, CSA 2X120W AMP.</t>
  </si>
  <si>
    <t>NEUTRIK, XLR-3 Cont Hembra.; Plástico.</t>
  </si>
  <si>
    <t>NEUTRIK, XLR-3 Cont. Hembra; Plástico.</t>
  </si>
  <si>
    <t>NEUTRIK, XLR-3 Cont. Hembra a chasis.</t>
  </si>
  <si>
    <t>NEUTRIK, XLR-3 Cont. Hembra.</t>
  </si>
  <si>
    <t>NEUTRIK, XLR-3 Cont Hembra/Macho a cable.</t>
  </si>
  <si>
    <t>NEUTRIK, XLR-3 Cont. Hembra compacto.</t>
  </si>
  <si>
    <t>NEUTRIK, XLR-3 Cont. Hembra a cable.</t>
  </si>
  <si>
    <t>NEUTRIK, XLR-3 CABLE CON. FEMALE 3POLE DIGITAL.</t>
  </si>
  <si>
    <t>NEUTRIK, CABLE CON. FEMALE 3POLE D</t>
  </si>
  <si>
    <t>NEUTRIK, XLR-3 Cont. Macho ; Plástico.</t>
  </si>
  <si>
    <t>NEUTRIK, XLR-3 Cont. Macho; Plástico.</t>
  </si>
  <si>
    <t>NEUTRIK, XLR-3 Cont. Macho a chasis.</t>
  </si>
  <si>
    <t>NEUTRIK, XLR-3 Cont. Macho.</t>
  </si>
  <si>
    <t>NEUTRIK, XLR-3 Cont. Macho compacto.</t>
  </si>
  <si>
    <t>NEUTRIK, XLR-3 Cont. Macho a cable.</t>
  </si>
  <si>
    <t>NEUTRIK, XLR-3 CABLE CON. MALE 3POLE DIGITAL</t>
  </si>
  <si>
    <t>NEUTRIK, CABLE CON. MALE 3POLE D</t>
  </si>
  <si>
    <t>NEUTRIK, XLR-4 Cont. Hembra a chasis.</t>
  </si>
  <si>
    <t>NEUTRIK, XLR-4 Cont. Hembra a cable.</t>
  </si>
  <si>
    <t>NEUTRIK, XLR-4 Cont. Macho a chasis.</t>
  </si>
  <si>
    <t>NEUTRIK, XLR-4 Cont. Macho a cable.</t>
  </si>
  <si>
    <t>NEUTRIK, XLR-5 Cont. Hembra a chasis.</t>
  </si>
  <si>
    <t>NEUTRIK, XLR-5 Cont. Hembra a cable.</t>
  </si>
  <si>
    <t>NEUTRIK, CABLE CON. FEMALE 5POLE</t>
  </si>
  <si>
    <t>NEUTRIK, XLR-5 Cont. Macho a chasis.</t>
  </si>
  <si>
    <t>NEUTRIK, XLR-5 Cont. Macho a cable.</t>
  </si>
  <si>
    <t>NEUTRIK, XLR-6 Cont. Hembra a cable.</t>
  </si>
  <si>
    <t>NEUTRIK, XLR-6 Cont. Macho a cable.</t>
  </si>
  <si>
    <t>NEUTRIK, XLR-7 Cont. hembra a chasis.</t>
  </si>
  <si>
    <t>NEUTRIK, XLR-7 Cont. Hembra a chasis.</t>
  </si>
  <si>
    <t>NEUTRIK, XLR-7 Cont. Hembra a cable.</t>
  </si>
  <si>
    <t>NEUTRIK, XLR-7 Cont. Macho a chasis.</t>
  </si>
  <si>
    <t>NEUTRIK, XLR-7 Cont. Macho a cable.</t>
  </si>
  <si>
    <t>NEUMANN, Auriculares cerrado.</t>
  </si>
  <si>
    <t>N/D267A</t>
  </si>
  <si>
    <t>EV, Premium dynamic vocal microphone</t>
  </si>
  <si>
    <t>EV, dynamic instrument microphone</t>
  </si>
  <si>
    <t>N/D468</t>
  </si>
  <si>
    <t>EV, Micrófono dinámico supercardioide para instrumentos</t>
  </si>
  <si>
    <t>N/D478</t>
  </si>
  <si>
    <t>EV, Dynamic cardioid instrument &amp; amplifier microphone</t>
  </si>
  <si>
    <t>EV, condenser instrument microphone</t>
  </si>
  <si>
    <t>EV, dynamic bass drum microphone</t>
  </si>
  <si>
    <t>EV, dynamic vocal microphone</t>
  </si>
  <si>
    <t>N/D767A</t>
  </si>
  <si>
    <t>NET1</t>
  </si>
  <si>
    <t>SENNHEISER, Controlador.</t>
  </si>
  <si>
    <t>NEUTRIK, Ethercon a Chasis.</t>
  </si>
  <si>
    <t>NE8FFX6-W</t>
  </si>
  <si>
    <t>NEUTRIK, Ethercon Feethrog.</t>
  </si>
  <si>
    <t>NEUTRIK, Ethercon a Cable.</t>
  </si>
  <si>
    <t>NE8MX-B-TOP</t>
  </si>
  <si>
    <t>NEUTRIK, ETHERCON CABLE HOUSING B TOP</t>
  </si>
  <si>
    <t>NEUTRIK, ETHERCON CABLE .</t>
  </si>
  <si>
    <t>NEUTRIK, Par de conectores RCA.</t>
  </si>
  <si>
    <t>NF2D-O</t>
  </si>
  <si>
    <t>NEUTRIK, RCA CHASSIS BLACK.</t>
  </si>
  <si>
    <t>NEUTRIK, RCA CHASSIS RED.</t>
  </si>
  <si>
    <t>NEUTRIK, Jack 1/4 stereo a cable.</t>
  </si>
  <si>
    <t>NEUTRIK, Jack 1/4 con traba.</t>
  </si>
  <si>
    <t>NEUTRIK, DISTANCE RING GT45</t>
  </si>
  <si>
    <t>NKO2M-A-2</t>
  </si>
  <si>
    <t>MAJOR CUSTOM, ADVANCED OPTICALCON DUO/DUO</t>
  </si>
  <si>
    <t>NKO2M3-FX-2</t>
  </si>
  <si>
    <t>NEUTRIK, Patch Cord plug telefónico.</t>
  </si>
  <si>
    <t>NKTT03-B</t>
  </si>
  <si>
    <t>NKTT05-B</t>
  </si>
  <si>
    <t>NKTT05BU/RD</t>
  </si>
  <si>
    <t>NEUTRIK, Patch Cord bantam 60cm.</t>
  </si>
  <si>
    <t>NKTT05-R</t>
  </si>
  <si>
    <t>NEUTRIK, USB 2.0 CABLE 1M .</t>
  </si>
  <si>
    <t>NEUTRIK, Speakon TX-LINE 4P.</t>
  </si>
  <si>
    <t>NEUTRIK, Speakon TX-PANEL 4.</t>
  </si>
  <si>
    <t>NEUTRIK, 4-Contactos ; a cable.</t>
  </si>
  <si>
    <t>NEUTRIK, Speakon TX-LINE 8P.</t>
  </si>
  <si>
    <t>NLT8FXX</t>
  </si>
  <si>
    <t>NEUTRIK, Speakon TX-PANEL 8.</t>
  </si>
  <si>
    <t>NL2FC</t>
  </si>
  <si>
    <t>NEUTRIK, 2-Contactos ; a cable.</t>
  </si>
  <si>
    <t>NEUTRIK, 4-Contactos ; a chasis.</t>
  </si>
  <si>
    <t>NEUTRIK, Adaptador (4-contactos).</t>
  </si>
  <si>
    <t>NEUTRIK, 4-Contactos ; a chasis (macho).</t>
  </si>
  <si>
    <t>NEUTRIK, 8-Contactos ; a cable.</t>
  </si>
  <si>
    <t>NEUTRIK, Adaptador (8-contactos).</t>
  </si>
  <si>
    <t>NEUTRIK, 8-Contactos a chasis.</t>
  </si>
  <si>
    <t>NEUTRIK, Cable con conector</t>
  </si>
  <si>
    <t>NM1-30</t>
  </si>
  <si>
    <t>RAPCO-HORIZON, Cable.</t>
  </si>
  <si>
    <t>*no usar EW300IEMG4TA1</t>
  </si>
  <si>
    <t>NEUTRIK, OPTICALCON SR S1 A</t>
  </si>
  <si>
    <t>NEUTRIK, OPTICALCON SR 2C L</t>
  </si>
  <si>
    <t>NEUTRIK, OPTICALCON SR 4C A</t>
  </si>
  <si>
    <t>NEUTRIK, OPTICALCON SR 4C L</t>
  </si>
  <si>
    <t>Nota</t>
  </si>
  <si>
    <t>NEUTRIK, OPT. CABLE CON. KI</t>
  </si>
  <si>
    <t>NEUTRIK, OPT. CABLE CONN. D</t>
  </si>
  <si>
    <t>NEUTRIK, Conector f.óptica a chasis.</t>
  </si>
  <si>
    <t>NEUTRIK, OPT. CABLE CONN. K</t>
  </si>
  <si>
    <t>NEUTRIK, QUAD FERRULE SM</t>
  </si>
  <si>
    <t>NEUTRIK, OPT. CABLE CONN. Q</t>
  </si>
  <si>
    <t>NEUTRIK, Pachera jack Bantam 2x48.</t>
  </si>
  <si>
    <t>NEUTRIK, Pachera jack Telef.</t>
  </si>
  <si>
    <t>NEUTRIK, Plug 1/4 mono (metal).</t>
  </si>
  <si>
    <t>NEUTRIK, Plug 1/4 Mono 90gr (metal).</t>
  </si>
  <si>
    <t>NP2RX-B</t>
  </si>
  <si>
    <t>NEUTRIK, Plug 1/4 plug 2 pole</t>
  </si>
  <si>
    <t>NEUTRIK, Plug 1/4 .</t>
  </si>
  <si>
    <t>NP3C</t>
  </si>
  <si>
    <t>NEUTRIK, Plug 1/4 Stereo (metal).</t>
  </si>
  <si>
    <t>NEUTRIK, Plug 1/4 Stereo 90gr (metal).</t>
  </si>
  <si>
    <t>NP3TB-B</t>
  </si>
  <si>
    <t>NEUTRIK, Plug telefonico BPO 316 Metal</t>
  </si>
  <si>
    <t>NEUTRIK, Plug Bantam.</t>
  </si>
  <si>
    <t>NEUTRIK, Plug 1/4 plug 3 pole</t>
  </si>
  <si>
    <t>NEUTRIK, RACK PANEL 1HE 2 C</t>
  </si>
  <si>
    <t>NEUTRIK/REAN, Caja de escenario.</t>
  </si>
  <si>
    <t>NEUTRIK, Transformador de audio.</t>
  </si>
  <si>
    <t>RODE, micrófono boom corto.</t>
  </si>
  <si>
    <t>RODE, micrófono boom largo.</t>
  </si>
  <si>
    <t>RODE, micrófono boom.</t>
  </si>
  <si>
    <t>RODE, presicion closed back headphones</t>
  </si>
  <si>
    <t>NTH100 II</t>
  </si>
  <si>
    <t>NEUTRIK, Line 1:1 ; montaje PCB.</t>
  </si>
  <si>
    <t>NEUTRIK, Mic 1:4 ; montaje PCB.</t>
  </si>
  <si>
    <t>NEUTRIK, Miniplug 1/8 Stereo.</t>
  </si>
  <si>
    <t>RODE, mic.condensador cardioide.</t>
  </si>
  <si>
    <t>NT-SF1</t>
  </si>
  <si>
    <t>RODE, Ambisonic MIC KIT with WS, SM and Cable</t>
  </si>
  <si>
    <t>RODE, micrófono</t>
  </si>
  <si>
    <t>RODE, NT1completed studio solution kit.</t>
  </si>
  <si>
    <t>NT1-KIT</t>
  </si>
  <si>
    <t>NT1-1</t>
  </si>
  <si>
    <t>RODE, micrófono condensador multipatrón.</t>
  </si>
  <si>
    <t>NT2APC350</t>
  </si>
  <si>
    <t>NT3-1</t>
  </si>
  <si>
    <t>NT5-MP</t>
  </si>
  <si>
    <t>RODE, Par estéreo de mic. condensador.</t>
  </si>
  <si>
    <t>NT5-S</t>
  </si>
  <si>
    <t>NT55-ParST</t>
  </si>
  <si>
    <t>NXFMR4CH</t>
  </si>
  <si>
    <t>NEUTRIK/REAN, Pachera Jack 1/4 2x24.</t>
  </si>
  <si>
    <t>NEUTRIK/REAN, Plug 1/4 Mono Metal.</t>
  </si>
  <si>
    <t>NEUTRIK/REAN, Plug 1/4 Stereo Metal.</t>
  </si>
  <si>
    <t>NYS202-U</t>
  </si>
  <si>
    <t>NEUTRIK/REAN, NYS 1/4'' PLUG 3POLE BULK</t>
  </si>
  <si>
    <t>NEUTRIK/REAN, Plug 1/4 Mono 90gr Metal.</t>
  </si>
  <si>
    <t>NEUTRIK/REAN, Plug 1/4 3 POLE R/A</t>
  </si>
  <si>
    <t>NEUTRIK/REAN, Jack 1/4 stereo plástico.</t>
  </si>
  <si>
    <t>NEUTRIK/REAN, Jack 1/4 mono plástico.</t>
  </si>
  <si>
    <t>NEUTRIK/REAN, Jack Mono 1/4¨ metálico.</t>
  </si>
  <si>
    <t>NEUTRIK/REAN, Jack Stereo 1/4¨ metálico.</t>
  </si>
  <si>
    <t>NEUTRIK/REAN, Miniplug 1/8 Stereo Metal.</t>
  </si>
  <si>
    <t>NEUTRIK/REAN, 3.5 MM 3POLE jack large OD</t>
  </si>
  <si>
    <t>NEUTRIK/REAN, Conector RCA Metal.</t>
  </si>
  <si>
    <t>NEUTRIK/REAN, NYS Phono socket gold/black</t>
  </si>
  <si>
    <t>NEUTRIK/REAN, NYS Phono socket gold/red</t>
  </si>
  <si>
    <t>NYS373</t>
  </si>
  <si>
    <t>NEUTRIK/REAN, Conector RCA Metal GOLD/BLACK .</t>
  </si>
  <si>
    <t>NEUTRIK/REAN, Conector RCA Metal GOLD/RED .</t>
  </si>
  <si>
    <t>NEUTRIK/REAN, Conector RCA Metal GOLD/GREEN .</t>
  </si>
  <si>
    <t>N8000</t>
  </si>
  <si>
    <t>EV, Sistema MAaricial</t>
  </si>
  <si>
    <t>TELEX, Matriz</t>
  </si>
  <si>
    <t>ODIN16PORTUPG</t>
  </si>
  <si>
    <t>BOSCH. ODIN16PORTUPG LICENCIA</t>
  </si>
  <si>
    <t>OEI-2</t>
  </si>
  <si>
    <t>BOSCH, Omneo External Interface</t>
  </si>
  <si>
    <t>O-LINE</t>
  </si>
  <si>
    <t>TELEX/RTS, Interface card.</t>
  </si>
  <si>
    <t>RTS, INTERMED 4F</t>
  </si>
  <si>
    <t>OMX680</t>
  </si>
  <si>
    <t>ONAIR1500</t>
  </si>
  <si>
    <t>PAGER1</t>
  </si>
  <si>
    <t>RANE, Disp.Audio a distancia.</t>
  </si>
  <si>
    <t>PAGER2</t>
  </si>
  <si>
    <t>PANTALLA RETRACTIL</t>
  </si>
  <si>
    <t>TELEX-RTS, program assign</t>
  </si>
  <si>
    <t>PB-8</t>
  </si>
  <si>
    <t>RAPCO-HORIZON, Accesorio.</t>
  </si>
  <si>
    <t>EPOS, Auricular analógico.</t>
  </si>
  <si>
    <t>EPOS, Auricular para PC.</t>
  </si>
  <si>
    <t>PC31</t>
  </si>
  <si>
    <t>PC36-USB</t>
  </si>
  <si>
    <t>PC-648R</t>
  </si>
  <si>
    <t>ART, 4 CHANNEL RACK MNT</t>
  </si>
  <si>
    <t>PERLUX 140</t>
  </si>
  <si>
    <t>HARKNESS, Pantalla</t>
  </si>
  <si>
    <t>PE-64</t>
  </si>
  <si>
    <t>RODE, Mango pistola para VM y SVM.</t>
  </si>
  <si>
    <t>RODE, Mango pistola c/susp. elástica.</t>
  </si>
  <si>
    <t>ART, Fuente Phantom.</t>
  </si>
  <si>
    <t>PHONECAGE</t>
  </si>
  <si>
    <t>RODE, Phone Cage Kit</t>
  </si>
  <si>
    <t>TELEX-RTS, Auriculares c/micrófono.</t>
  </si>
  <si>
    <t>PH88-R5</t>
  </si>
  <si>
    <t>PLE-1ME060</t>
  </si>
  <si>
    <t>BOSCH, Plena Economy 60 W .</t>
  </si>
  <si>
    <t>PLM-WCP</t>
  </si>
  <si>
    <t>BOSCH, Control remoto</t>
  </si>
  <si>
    <t>PLM-4P220</t>
  </si>
  <si>
    <t>PLM-8CS</t>
  </si>
  <si>
    <t>BOSCH, Micrófono.</t>
  </si>
  <si>
    <t>PLM-8M8</t>
  </si>
  <si>
    <t>BOSCH, Consola.</t>
  </si>
  <si>
    <t>PLN-DVDT</t>
  </si>
  <si>
    <t>BOSCH, PLena DVD/tuner/MP3 player</t>
  </si>
  <si>
    <t>PLN-6TMW</t>
  </si>
  <si>
    <t>BOSCH, Temporizador semanal</t>
  </si>
  <si>
    <t>PL-14</t>
  </si>
  <si>
    <t>A&amp;H, Wallplate GR3/4.</t>
  </si>
  <si>
    <t>EV, kick-drum mic</t>
  </si>
  <si>
    <t>EV, Tom/snare Mic Dynamic</t>
  </si>
  <si>
    <t>EV, Mic para pratos e instrumentos</t>
  </si>
  <si>
    <t>EV, vocal microphone</t>
  </si>
  <si>
    <t>RODE, micrófono de estudio.</t>
  </si>
  <si>
    <t>RODE, micrófono dinámico de diafragma.</t>
  </si>
  <si>
    <t>POWERMIX III</t>
  </si>
  <si>
    <t>PRA-AD608</t>
  </si>
  <si>
    <t>BOSCH, AMPLIFIER, 600W</t>
  </si>
  <si>
    <t>PRA-CSE</t>
  </si>
  <si>
    <t>PRA-CSLD</t>
  </si>
  <si>
    <t>PRA-EOL</t>
  </si>
  <si>
    <t>BOSCH, End-of-line device</t>
  </si>
  <si>
    <t>PRA-ES8P2S</t>
  </si>
  <si>
    <t>BOSCH, PRAESENSA Ethernet switch, 8xPoE, 2xSFP</t>
  </si>
  <si>
    <t>PRA-MPS3</t>
  </si>
  <si>
    <t>BOSCH, Multifunction power supply</t>
  </si>
  <si>
    <t>PRA-PSM24</t>
  </si>
  <si>
    <t>BOSCH, Power supply module 24V</t>
  </si>
  <si>
    <t>PRA-SCL</t>
  </si>
  <si>
    <t>PRA-SFPSX</t>
  </si>
  <si>
    <t>BOSCH, Fiber transceiver, multimode</t>
  </si>
  <si>
    <t>PRD000262000</t>
  </si>
  <si>
    <t>TELEX/RTS , ADHB-4 , Advanced digital headset box</t>
  </si>
  <si>
    <t>ART, PRO TUBE MIC PREAMP</t>
  </si>
  <si>
    <t>ART, 2 CHAN VACTROL/TUBE LEVEL</t>
  </si>
  <si>
    <t>SENNHEISER, USB-C MICROPHONE</t>
  </si>
  <si>
    <t>SENNHEISER, USB-C MICROPHONE STREAMING SET</t>
  </si>
  <si>
    <t>SENNHEISER, 2-channel all-in-one wireless system</t>
  </si>
  <si>
    <t>ART, Mixer Portatil.</t>
  </si>
  <si>
    <t>Proyector SP2K-15 Alchemy</t>
  </si>
  <si>
    <t>BARCO, Proyector laser incluye (1 Lente zoom ; 1 Pedestal rackeable; 1 Kit de instalación)</t>
  </si>
  <si>
    <t>PRS-CRF</t>
  </si>
  <si>
    <t>BOSCH, CALL STACKER (Apilador de llamadas - Sistema PRAESIDEO)</t>
  </si>
  <si>
    <t>PRS-CSC-E</t>
  </si>
  <si>
    <t>BOSCH, Cliente de Estación de Llamada de PC</t>
  </si>
  <si>
    <t>PRS-CSI</t>
  </si>
  <si>
    <t>BOSCH, INTERFAZ DE ESTACION DE LLAMADA.</t>
  </si>
  <si>
    <t>PRS-CSNKP</t>
  </si>
  <si>
    <t>BOSCH, TECLADO NUMERICO.</t>
  </si>
  <si>
    <t>PRS-CSR</t>
  </si>
  <si>
    <t>BOSCH, ESTACION DE LLAMADA REMOTA.</t>
  </si>
  <si>
    <t>PRS-CSRK</t>
  </si>
  <si>
    <t>BOSCH, Kit de estación de llamada remota (Sistema PRAESIDEO)</t>
  </si>
  <si>
    <t>PRS-NCO3</t>
  </si>
  <si>
    <t>BOSCH, Controlador</t>
  </si>
  <si>
    <t>PRS-SWCS</t>
  </si>
  <si>
    <t>BOSCH, Software Servidor de Llamadas</t>
  </si>
  <si>
    <t>PRS-SWCSL-E</t>
  </si>
  <si>
    <t>BOSCH, PC call server controll</t>
  </si>
  <si>
    <t>PRS-TIC-E</t>
  </si>
  <si>
    <t>BOSCH, Software Cliente de Interfaz Telefónico de PC</t>
  </si>
  <si>
    <t>PRS-1AIP1</t>
  </si>
  <si>
    <t>BOSCH, Preamplificador.</t>
  </si>
  <si>
    <t>PRS-16 MCI</t>
  </si>
  <si>
    <t>BOSCH, Interfaz multicanal con amplificadores básicos Praesideo</t>
  </si>
  <si>
    <t>PRS-2B250</t>
  </si>
  <si>
    <t>PRS-4AEX4</t>
  </si>
  <si>
    <t>PRS-8B060</t>
  </si>
  <si>
    <t>BOSCH, Amplificador básico, 8x60W</t>
  </si>
  <si>
    <t>RODE, Studio Arm</t>
  </si>
  <si>
    <t>JBL, Parlante SOUNDBAR.</t>
  </si>
  <si>
    <t>RODE, suspensión elástica.</t>
  </si>
  <si>
    <t>PS-20</t>
  </si>
  <si>
    <t>BOSCH, Power Suppl</t>
  </si>
  <si>
    <t>TELEX, Power Supply.</t>
  </si>
  <si>
    <t>PUESTA EN MARCHA</t>
  </si>
  <si>
    <t>PXC150</t>
  </si>
  <si>
    <t>PXC550</t>
  </si>
  <si>
    <t>SENNHEISER, Auricular activo.</t>
  </si>
  <si>
    <t>PXC550-II</t>
  </si>
  <si>
    <t>EV, Sistema Matricial</t>
  </si>
  <si>
    <t>P120</t>
  </si>
  <si>
    <t>AKG, Micrófono de estudio</t>
  </si>
  <si>
    <t>QU-SB-RK19X</t>
  </si>
  <si>
    <t>A&amp;H, Montaje de rack p/QU-16.</t>
  </si>
  <si>
    <t>QU-5-RK19/X</t>
  </si>
  <si>
    <t>A&amp;H, QU-5 19" RACK MOUNT KIT</t>
  </si>
  <si>
    <t>EV, Amplificador de potencia estéreo.</t>
  </si>
  <si>
    <t>RACK</t>
  </si>
  <si>
    <t>ARS,Rack 10U</t>
  </si>
  <si>
    <t>RAD1B</t>
  </si>
  <si>
    <t>RAD3W</t>
  </si>
  <si>
    <t>RAVEN</t>
  </si>
  <si>
    <t>EV, Cardioid Dynamic vocal and instrument microphone</t>
  </si>
  <si>
    <t>RB-HD1</t>
  </si>
  <si>
    <t>SONIFEX, CSTEREO HEADPHONE AMPLIFIER</t>
  </si>
  <si>
    <t>NEUTRIK/REAN, MAINS CABLE CON. OUTLET CBC REAN SB</t>
  </si>
  <si>
    <t>NEUTRIK/REAN, REAN POWER CON. IN BULK</t>
  </si>
  <si>
    <t>NEUTRIK/REAN, MAINS CABLE CON. INLET CBC REAN SB</t>
  </si>
  <si>
    <t>NEUTRIK/REAN, REAN POWER CON. OUT BULK</t>
  </si>
  <si>
    <t>RCDUO-B</t>
  </si>
  <si>
    <t>RODE, Rodecaster Duo US</t>
  </si>
  <si>
    <t>RCEF-Z-100S-0</t>
  </si>
  <si>
    <t>REAN, Conector</t>
  </si>
  <si>
    <t>RCEM-Z</t>
  </si>
  <si>
    <t>NEUTRIK/REAN, ETHERCON CON IP65.</t>
  </si>
  <si>
    <t>RCEM-Z-100S-0</t>
  </si>
  <si>
    <t>NEUTRIK/REAN, COMBO I XLR 1/4" H</t>
  </si>
  <si>
    <t>NEUTRIK/REAN, COMBO I XLR 1/4" V</t>
  </si>
  <si>
    <t>NEUTRIK/REAN, REAN LOUDSPEAKER PLUG</t>
  </si>
  <si>
    <t>NEUTRIK/REAN, REAN LOUDSPEAKER CONNECTOR 4POLE</t>
  </si>
  <si>
    <t>RCM-28</t>
  </si>
  <si>
    <t>EV, PLACA.</t>
  </si>
  <si>
    <t>RCP (NO USAR)</t>
  </si>
  <si>
    <t>RODE, RodeCaster Pro Integrated Podcast Production Console</t>
  </si>
  <si>
    <t>RODE, Rodecaster Pro II Type B US</t>
  </si>
  <si>
    <t>RCPII-B</t>
  </si>
  <si>
    <t>RCV</t>
  </si>
  <si>
    <t>RODE, Rodecaster Video</t>
  </si>
  <si>
    <t>NEUTRIK/REAN, XLR FEMALE 3POLE</t>
  </si>
  <si>
    <t>NEUTRIK/REAN, XLR FEMALE 3POLE BULK</t>
  </si>
  <si>
    <t>NEUTRIK/REAN, XLR CHASS CON FEMALE 3P</t>
  </si>
  <si>
    <t>NEUTRIK/REAN, XLR MALE 3POLE</t>
  </si>
  <si>
    <t>NEUTRIK/REAN, XLR MALE 3POLE BULK</t>
  </si>
  <si>
    <t>NEUTRIK/REAN, XLR MALE 3POLE BAG D</t>
  </si>
  <si>
    <t>NEUTRIK/REAN, XLR CHASS CON MALE 3P</t>
  </si>
  <si>
    <t>NEUTRIK/REAN, REAN XLR FEMALE 5POLE</t>
  </si>
  <si>
    <t>NEUTRIK/REAN, REAN XLR FEMALE 5POLE BULK</t>
  </si>
  <si>
    <t>NEUTRIK/REAN, XLR CHASS CON FEMALE 5P</t>
  </si>
  <si>
    <t>NEUTRIK/REAN,XLR MALE 5POLE</t>
  </si>
  <si>
    <t>NEUTRIK/REAN, XLR MALE 5POLE BULK</t>
  </si>
  <si>
    <t>NEUTRIK/REAN, XLR CHASS CON MALE 5P</t>
  </si>
  <si>
    <t>REALTIME-RACK</t>
  </si>
  <si>
    <t>SOUNDCRAFT, Procesador.</t>
  </si>
  <si>
    <t>REPAIR-PART</t>
  </si>
  <si>
    <t>RODE, NTG3 PCB warranty.</t>
  </si>
  <si>
    <t>Reparación</t>
  </si>
  <si>
    <t>REPARACION PARA DESPACHAR</t>
  </si>
  <si>
    <t>REPARACION</t>
  </si>
  <si>
    <t>REPUESTO (NO USAR)</t>
  </si>
  <si>
    <t>REPUESTO/REPARACION</t>
  </si>
  <si>
    <t>REPUESTO</t>
  </si>
  <si>
    <t>RETENCION IMP. A LAS GANANCIAS (No Retiene)</t>
  </si>
  <si>
    <t>RETENCION IMP. A LAS GANANCIAS (Ret. Ganancia Factura M)</t>
  </si>
  <si>
    <t>RETENCION IMP. A LAS GANANCIAS (Ret Ganancias Monotrib)</t>
  </si>
  <si>
    <t>RETENCION IMP. A LAS GANANCIAS (Ret Ganancias Reg Gral)</t>
  </si>
  <si>
    <t>RETENCION IMP. A LAS GANANCIAS (Ret Ganancias 4ta Cat)</t>
  </si>
  <si>
    <t>RETENCION IMP. A LAS GANANCIAS (Retención Benef del Exterior)</t>
  </si>
  <si>
    <t>RETENCION ING.BTOS CAP.FED. (Ret IIBB CABA)</t>
  </si>
  <si>
    <t>RETENCIONES DE GANANCIAS A TERCEROS (No Retiene)</t>
  </si>
  <si>
    <t>RETENCIONES DE GANANCIAS A TERCEROS (Ret. Ganancia Factura M)</t>
  </si>
  <si>
    <t>RETENCIONES DE GANANCIAS A TERCEROS (Ret Ganancias Monotrib)</t>
  </si>
  <si>
    <t>RETENCIONES DE GANANCIAS A TERCEROS (Ret Ganancias Reg Gral)</t>
  </si>
  <si>
    <t>RETENCIONES DE GANANCIAS A TERCEROS (Ret Ganancias 4ta Cat)</t>
  </si>
  <si>
    <t>RETENCIONES DE GANANCIAS A TERCEROS (Retención Benef del Exterior)</t>
  </si>
  <si>
    <t>RETENCIONES DE IIBB A TERCEROS (C.A.B.A.) (Ret IIBB CABA)</t>
  </si>
  <si>
    <t>ELECTRO VOICE, micrófono dinámico</t>
  </si>
  <si>
    <t>RE200</t>
  </si>
  <si>
    <t>ELECTRO VOICE, Probe Condenser Mic</t>
  </si>
  <si>
    <t>ELECTRO VOICE, micrófono estudio/vivo</t>
  </si>
  <si>
    <t>RE420</t>
  </si>
  <si>
    <t>EV, Condenser cardioid vocal microphone</t>
  </si>
  <si>
    <t>NEUTRIK/REAN, RJ45 Cable Connector</t>
  </si>
  <si>
    <t>NEUTRIK/REAN, RJ45 Cable Connector BULK</t>
  </si>
  <si>
    <t>EV, micrófono condensador cardioide.</t>
  </si>
  <si>
    <t>RE920TX</t>
  </si>
  <si>
    <t>EV, Cardioid Condenser Instrument Mic with TA4F connector wired</t>
  </si>
  <si>
    <t>RH450</t>
  </si>
  <si>
    <t>TC ELECTRONIC, Amplificador.</t>
  </si>
  <si>
    <t>RIFF-RECORDER</t>
  </si>
  <si>
    <t>TC ELECTRONIC, Pedal digital.</t>
  </si>
  <si>
    <t>NEUTRIK/REAN, LOUDSPEAKER CONNECTOR 4POLE</t>
  </si>
  <si>
    <t>RMC3</t>
  </si>
  <si>
    <t>CRESTRON, Room media controller.</t>
  </si>
  <si>
    <t>TELEX, Rack Mount.</t>
  </si>
  <si>
    <t>RODE, STAND MOUNT .</t>
  </si>
  <si>
    <t>RM-200M</t>
  </si>
  <si>
    <t>TOA, Microfono . MOD. RM-200M</t>
  </si>
  <si>
    <t>RODE, Clip para micrófono de mano.</t>
  </si>
  <si>
    <t>RODELINK</t>
  </si>
  <si>
    <t>RODE, Mic.Inal.</t>
  </si>
  <si>
    <t>RODELINK-F</t>
  </si>
  <si>
    <t>RODELINK-N</t>
  </si>
  <si>
    <t>RP-PSU</t>
  </si>
  <si>
    <t>TELEX-RTS, Fuente.</t>
  </si>
  <si>
    <t>RPS15/220V</t>
  </si>
  <si>
    <t>NEUTRIK/REAN, 1/4" PLUG 2POLE</t>
  </si>
  <si>
    <t>NEUTRIK/REAN, 1/4" PLUG 2POLE BULK</t>
  </si>
  <si>
    <t>NEUTRIK/REAN, R/A 1/4" PLUG 2POLE</t>
  </si>
  <si>
    <t>RP2RCF</t>
  </si>
  <si>
    <t>NEUTRIK/REAN, R/A 1/4" PLUG 2P</t>
  </si>
  <si>
    <t>NEUTRIK/REAN, 1/4" PLUG 3POLE</t>
  </si>
  <si>
    <t>NEUTRIK/REAN, 1/4" PLUG 3POLE BULK</t>
  </si>
  <si>
    <t>NEUTRIK/REAN, R/A 1/4" PLUG 3POLE</t>
  </si>
  <si>
    <t>NEUTRIK/REAN,MAINS CHASSIS OUTLET CBC REAN SB</t>
  </si>
  <si>
    <t>REAN G-SER. MAINS INLET BULK</t>
  </si>
  <si>
    <t>NEUTRIK/REAN, MAINS CHASSIS INLET CBC REAN SB</t>
  </si>
  <si>
    <t>REAN G-SER. MAINS OUTLET BULK</t>
  </si>
  <si>
    <t>RRE8F-Z</t>
  </si>
  <si>
    <t>NEUTRIK/REAN, ETHERCON CHASSIS IP65</t>
  </si>
  <si>
    <t>NEUTRIK/REAN, XLR CHASS. Z. 3POLE FEMALE</t>
  </si>
  <si>
    <t>RS120</t>
  </si>
  <si>
    <t>RS165</t>
  </si>
  <si>
    <t>RS175</t>
  </si>
  <si>
    <t>RS185</t>
  </si>
  <si>
    <t>RS195</t>
  </si>
  <si>
    <t>RS2401SP</t>
  </si>
  <si>
    <t>SOUNDCRAFT, S-CORE DSP</t>
  </si>
  <si>
    <t>RS2403SP</t>
  </si>
  <si>
    <t>SOUNDCRAFT, VI6 SCORE BRIDGE MODULE SPRS</t>
  </si>
  <si>
    <t>RS2442SP</t>
  </si>
  <si>
    <t>SOUNDCRAFT, VI6 S CORE PRO LEXICON FX SPRS</t>
  </si>
  <si>
    <t>NEUTRIK/REAN, 3.5MM PLUG 3POLE</t>
  </si>
  <si>
    <t>NEUTRIK/REAN, 3.5MM PLUG 3POLE BAG</t>
  </si>
  <si>
    <t>TELEX/RTS, EARPHONE</t>
  </si>
  <si>
    <t>RTW-04</t>
  </si>
  <si>
    <t>TELEX/RTS, Earphone.</t>
  </si>
  <si>
    <t>NEUTRIK/REAN, REAN TINY FEMALE 3POLE B D</t>
  </si>
  <si>
    <t>NEUTRIK/REAN, TINY MALE 3POLE B D</t>
  </si>
  <si>
    <t>NEUTRIK/REAN, TINY FEMALE 4POLE B D</t>
  </si>
  <si>
    <t>NEUTRIK/REAN, TINY FEMALE 4POLE B IP</t>
  </si>
  <si>
    <t>NEUTRIK/REAN, REAN TINY FEMALE 5POLE B D</t>
  </si>
  <si>
    <t>TELEX/RTS, 8-PORT VOIP VIA ETHERNET CARD.</t>
  </si>
  <si>
    <t>RVON-16</t>
  </si>
  <si>
    <t>RV2068</t>
  </si>
  <si>
    <t>SOUNDCRAFT, 10WY Psu Lead</t>
  </si>
  <si>
    <t>RW5786HU</t>
  </si>
  <si>
    <t>HARMAN, Vi Stagebox Cat5</t>
  </si>
  <si>
    <t>RW5786OHU</t>
  </si>
  <si>
    <t>SOUNDCRAFT, Stage Box.</t>
  </si>
  <si>
    <t>RX-V477B</t>
  </si>
  <si>
    <t>YAMAHA, Sintoamplificador.</t>
  </si>
  <si>
    <t>R120-DF-V-DL-W-AU</t>
  </si>
  <si>
    <t>R300-HD-A</t>
  </si>
  <si>
    <t>ELECTRO VOICE, Sistema de mano con micrófono dinámico</t>
  </si>
  <si>
    <t>R300-HD-B</t>
  </si>
  <si>
    <t>R300-L-A</t>
  </si>
  <si>
    <t>ELECTRO VOICE, Sistema de solapa con micrófono direccional</t>
  </si>
  <si>
    <t>R6U</t>
  </si>
  <si>
    <t>MAGIC EYE TECH, Rack plástico estanco</t>
  </si>
  <si>
    <t>SALDO</t>
  </si>
  <si>
    <t>SALDO INICIAL</t>
  </si>
  <si>
    <t>SATD-C</t>
  </si>
  <si>
    <t>SATQ-C</t>
  </si>
  <si>
    <t>SB01</t>
  </si>
  <si>
    <t>SENNHEISER, Ambeo Soundbar</t>
  </si>
  <si>
    <t>SB20 (NO USAR)</t>
  </si>
  <si>
    <t>RODE, Stereo bar 20</t>
  </si>
  <si>
    <t>SC 160 USB</t>
  </si>
  <si>
    <t>SCL2CE</t>
  </si>
  <si>
    <t>ART, COMPRESSOR 230 VOLT</t>
  </si>
  <si>
    <t>NEUTRIK, OPTICAL IP KIT SM DUO</t>
  </si>
  <si>
    <t>NEUTRIK, OPTICAL IP KIT SM QUAD</t>
  </si>
  <si>
    <t>RODE, Cable 6mts TRRS para Smartlav .</t>
  </si>
  <si>
    <t>SC-165-USB</t>
  </si>
  <si>
    <t>RODE, adaptador 3.5MM trs to trs for CABLE.</t>
  </si>
  <si>
    <t>SC-230</t>
  </si>
  <si>
    <t>SC230-USB</t>
  </si>
  <si>
    <t>SC260-ED</t>
  </si>
  <si>
    <t>RODE, adaptador 3.5MM trrs to trs for smartlav.</t>
  </si>
  <si>
    <t>SC30-USB</t>
  </si>
  <si>
    <t>SC45-USB</t>
  </si>
  <si>
    <t>SC-610M</t>
  </si>
  <si>
    <t>SC630-USB</t>
  </si>
  <si>
    <t>SDA1CE</t>
  </si>
  <si>
    <t>SD-OFFICE-ML</t>
  </si>
  <si>
    <t>SD-PRO1-ML</t>
  </si>
  <si>
    <t>SD-Pro-2-ML</t>
  </si>
  <si>
    <t>SD-30ML</t>
  </si>
  <si>
    <t>SEB1</t>
  </si>
  <si>
    <t>TELEX-RTS, Auricular de una oreja.</t>
  </si>
  <si>
    <t>K&amp;M, Pie de micrófono plegable.</t>
  </si>
  <si>
    <t>SERVICIO (TEST LANZAMIENTO NETSUITE)</t>
  </si>
  <si>
    <t>S-F01U311044 SPA PCBA</t>
  </si>
  <si>
    <t>EV, SPA PCBA AMP PWR</t>
  </si>
  <si>
    <t>S-F01U311048 SPA EKX</t>
  </si>
  <si>
    <t>EV, SPA EKX</t>
  </si>
  <si>
    <t>SG2</t>
  </si>
  <si>
    <t>NEUMANN, Soporte .</t>
  </si>
  <si>
    <t>SH230</t>
  </si>
  <si>
    <t>SIXTY-ONE</t>
  </si>
  <si>
    <t>RANE, Mixer de DJ.</t>
  </si>
  <si>
    <t>SK 100 G4-A (NO USAR)</t>
  </si>
  <si>
    <t>SENNHEISER, Transmisor de mano.</t>
  </si>
  <si>
    <t>SENNHEISER, Transmisor bodypack. Freq. Range: A1 470-516 MHz. Art. No. 509500</t>
  </si>
  <si>
    <t>SK 100 G4-C</t>
  </si>
  <si>
    <t>SENNHEISER, Transmisor.</t>
  </si>
  <si>
    <t>SK 500 G4-Aw+</t>
  </si>
  <si>
    <t>SENNHEISER, micrófono inalámbrico</t>
  </si>
  <si>
    <t>SK 500 G4-Bw</t>
  </si>
  <si>
    <t>SK 500 G4-CW</t>
  </si>
  <si>
    <t>SK 500 G4-GW</t>
  </si>
  <si>
    <t>SK 6000 BK A5-A8</t>
  </si>
  <si>
    <t>SK 6000 BK B1-B4</t>
  </si>
  <si>
    <t>SK 6000/9000 antenna A1 - A4</t>
  </si>
  <si>
    <t>SENNHEISER, Detachable antenna with threaded connector for use with SK 6000 and SK 9000</t>
  </si>
  <si>
    <t>SKM 100 G3-A1</t>
  </si>
  <si>
    <t>SKM 100 G3-B</t>
  </si>
  <si>
    <t>SENNHEISER, Transmisor de mano. Freq. Range: A1 470-516 MHz. Art. No.: 509757</t>
  </si>
  <si>
    <t>SKM 100 G4-C</t>
  </si>
  <si>
    <t>SENNHEISER, Transmisor de mano. Freq. Range: B 626-668 MHz. Art. No. 509752</t>
  </si>
  <si>
    <t>SKM 500 G4-Aw+</t>
  </si>
  <si>
    <t>SKM 500 G4-CW</t>
  </si>
  <si>
    <t>SKM 6000 BK A5-A8</t>
  </si>
  <si>
    <t>SKM135G3-B (NO USAR)</t>
  </si>
  <si>
    <t>SKM135G4-A1 (NO USAR)</t>
  </si>
  <si>
    <t>SKM2000-B</t>
  </si>
  <si>
    <t>SKM2000XP BK-Aw</t>
  </si>
  <si>
    <t>SKM500G3-A</t>
  </si>
  <si>
    <t>SKM6000 (NO USAR) mover stock a SKM 6000 BK A1-A4</t>
  </si>
  <si>
    <t>SKM6000-A1 (NO USAR) mover stock a SKM 6000 BK A1-A4</t>
  </si>
  <si>
    <t>SKM6000-A5 (NO USAR) mover stock a SKM 6000 BK A1-A4</t>
  </si>
  <si>
    <t>SKP 100 G4-G</t>
  </si>
  <si>
    <t>SKP 500 G4-Aw+</t>
  </si>
  <si>
    <t>SKP2000</t>
  </si>
  <si>
    <t>SK-XSW-A</t>
  </si>
  <si>
    <t>SK100G3-A1</t>
  </si>
  <si>
    <t>SK100G3-B</t>
  </si>
  <si>
    <t>SK100G3-C</t>
  </si>
  <si>
    <t>SK100G3-G</t>
  </si>
  <si>
    <t>SK2000-A</t>
  </si>
  <si>
    <t>SK2000-B</t>
  </si>
  <si>
    <t>SK2000-C</t>
  </si>
  <si>
    <t>SK2000-G</t>
  </si>
  <si>
    <t>SK2000XP-Aw</t>
  </si>
  <si>
    <t>SENNHEISER, Bodypack</t>
  </si>
  <si>
    <t>SK2000XP-Bw</t>
  </si>
  <si>
    <t>SK2000XP-G</t>
  </si>
  <si>
    <t>SK-500G3</t>
  </si>
  <si>
    <t>SENNHEISER, Trans. de bolsillo para micrófono corbatero.</t>
  </si>
  <si>
    <t>SK5212-II</t>
  </si>
  <si>
    <t>SK6000 BK A1-A4 (NO USAR) mover stock a SK 6000 BK A1-A4</t>
  </si>
  <si>
    <t>SK9000</t>
  </si>
  <si>
    <t>SENNHEISER, Digital bodypack transmitter</t>
  </si>
  <si>
    <t>SENNHEISER,BASE.C.GANSO.SIST.SPEECHLINE.</t>
  </si>
  <si>
    <t>ART, Amplificador de potencia.</t>
  </si>
  <si>
    <t>SLA1CE</t>
  </si>
  <si>
    <t>SLA2CE</t>
  </si>
  <si>
    <t>SLA4CE</t>
  </si>
  <si>
    <t>SL-HEADMIC1BE</t>
  </si>
  <si>
    <t>RODE, Smart Lavalier.</t>
  </si>
  <si>
    <t>SN12-IJIS</t>
  </si>
  <si>
    <t>RAPCO-HORIZON, Manguera multipar.</t>
  </si>
  <si>
    <t>SN16-IJIS</t>
  </si>
  <si>
    <t>SN4-IJIS</t>
  </si>
  <si>
    <t>SN6-IJIS</t>
  </si>
  <si>
    <t>SN9-IJIS</t>
  </si>
  <si>
    <t>SOLARO FR1-D</t>
  </si>
  <si>
    <t>XILICA, Matrix Processor</t>
  </si>
  <si>
    <t>XILICA, Matriz digital</t>
  </si>
  <si>
    <t>XILICA, AMPLIFICADOR</t>
  </si>
  <si>
    <t>XILICA, Bafle 2 vías de techo. EL PAR.</t>
  </si>
  <si>
    <t>SPA Mic + Goose</t>
  </si>
  <si>
    <t>BOSCH, Praesideo Call Stations</t>
  </si>
  <si>
    <t>SPECTERA BASE STATION</t>
  </si>
  <si>
    <t>SENNHEISER, 19'' STATIONARY DEVICE</t>
  </si>
  <si>
    <t>SPECTERA DAD (UHF)</t>
  </si>
  <si>
    <t>SENNHEISER, DIG. ANTENNA DIRECTIONAL (UHF)</t>
  </si>
  <si>
    <t>SPECTERA SEK (UHF)</t>
  </si>
  <si>
    <t>SENNHEISER, BODYPACK MIC/IEM (UHF)</t>
  </si>
  <si>
    <t>ART, Mic splitter combiner.</t>
  </si>
  <si>
    <t>SP-10-ML</t>
  </si>
  <si>
    <t>SP-30+</t>
  </si>
  <si>
    <t>SENNHEISER, SPEAKERPHONE.</t>
  </si>
  <si>
    <t>A&amp;H, TABLET BRACKETX.</t>
  </si>
  <si>
    <t>A&amp;H, Rack ear kit.</t>
  </si>
  <si>
    <t>SR IEM G4-C</t>
  </si>
  <si>
    <t>SENNHEISER, Base Transmisora.</t>
  </si>
  <si>
    <t>SR 2050 IEM-A</t>
  </si>
  <si>
    <t>SR 2050 IEM-G</t>
  </si>
  <si>
    <t>SR 2050XP IEM-CW</t>
  </si>
  <si>
    <t>SR 300 IEM G3-A</t>
  </si>
  <si>
    <t>SR 300 IEM G3-A1</t>
  </si>
  <si>
    <t>SR 300 IEM G3-C</t>
  </si>
  <si>
    <t>SR 300 IEM G3-G</t>
  </si>
  <si>
    <t>SR 300 IEM G4-C</t>
  </si>
  <si>
    <t>SRX828S</t>
  </si>
  <si>
    <t>SRX835</t>
  </si>
  <si>
    <t>SR2000</t>
  </si>
  <si>
    <t>SR2050</t>
  </si>
  <si>
    <t>SR50</t>
  </si>
  <si>
    <t>TELEX-RTS, Receptor de sistema inal.</t>
  </si>
  <si>
    <t>SSA324</t>
  </si>
  <si>
    <t>TELEX-RTS, Conversor.</t>
  </si>
  <si>
    <t>S-SERIES</t>
  </si>
  <si>
    <t>RYCOTE, Kit de montaje mediano.</t>
  </si>
  <si>
    <t>STABILIZER</t>
  </si>
  <si>
    <t>THORENS, Estabilizador cromado.</t>
  </si>
  <si>
    <t>RODE, SOPORTE .</t>
  </si>
  <si>
    <t>RODE, StreamerX B US</t>
  </si>
  <si>
    <t>SUB250SAT</t>
  </si>
  <si>
    <t>DYNAUDIO, Subwoofer LA UNIDAD.</t>
  </si>
  <si>
    <t>SVMP</t>
  </si>
  <si>
    <t>RODE, Stereo video mic pro .</t>
  </si>
  <si>
    <t>RODE, Stereo video mic pro R .</t>
  </si>
  <si>
    <t>SXP218</t>
  </si>
  <si>
    <t>SX218</t>
  </si>
  <si>
    <t>SYNCGEN</t>
  </si>
  <si>
    <t>ART, WORDCLOCK</t>
  </si>
  <si>
    <t>TAK</t>
  </si>
  <si>
    <t>RODE, Thread Adapter Kit Universal 1/4 3/8 5/16 Threads</t>
  </si>
  <si>
    <t>TC BAR M US</t>
  </si>
  <si>
    <t>SENNHEISER, Sist ind. conf.</t>
  </si>
  <si>
    <t>TC BAR S US</t>
  </si>
  <si>
    <t>SENNHEISER, Intelligent speaker</t>
  </si>
  <si>
    <t>SENNHEISER, Carcasa de micrófono de techo negra</t>
  </si>
  <si>
    <t>SENNHEISER, Ceiling Mic Housing White (carcasa)</t>
  </si>
  <si>
    <t>TC-WSETCASE (NO USAR)</t>
  </si>
  <si>
    <t>TC-WSETTRAY</t>
  </si>
  <si>
    <t>TD-158</t>
  </si>
  <si>
    <t>THORENS, Bandeja giradisco.</t>
  </si>
  <si>
    <t>TD-160</t>
  </si>
  <si>
    <t>TD-170-EV-B</t>
  </si>
  <si>
    <t>TD-190-B</t>
  </si>
  <si>
    <t>TeamConnect Ceiling 1</t>
  </si>
  <si>
    <t>SENNHEISER, Ceiling Mic Extension US 2FT</t>
  </si>
  <si>
    <t>TG DRUM SET PRO L</t>
  </si>
  <si>
    <t>BEYERDYNAMIC, Professional microphone drum set (1-TG D71, 2-TG D57, 2-TG D58 y 2-TG I53)</t>
  </si>
  <si>
    <t>TG DRUM SET PRO M</t>
  </si>
  <si>
    <t>BEYERDYNAMIC, Professional microphone drum set (1-TG D71, 4-TG D35 y 2-TG I53)</t>
  </si>
  <si>
    <t>TG V35 S</t>
  </si>
  <si>
    <t>BEYERDYNAMIC, Dynamic vocal microphone (supercardioid)</t>
  </si>
  <si>
    <t>BEYERDYNAMIC, Dynamic vocal microphone (cardioid)</t>
  </si>
  <si>
    <t>BEYERDYNAMIC, Dynamic vocal microphone (hypercardioid)</t>
  </si>
  <si>
    <t>TG2020-20BODY (NO USAR)</t>
  </si>
  <si>
    <t>SENNHEISER, TG2020-20 BODYPACK SYS.</t>
  </si>
  <si>
    <t>TG2020-20HAND (NO USAR)</t>
  </si>
  <si>
    <t>SENNHEISER, TG2020-20 HANDHELD SYS.</t>
  </si>
  <si>
    <t>TG5</t>
  </si>
  <si>
    <t>TG7</t>
  </si>
  <si>
    <t>TELEX, Híbrido Telefónico.</t>
  </si>
  <si>
    <t>TLM103D</t>
  </si>
  <si>
    <t>TR-240</t>
  </si>
  <si>
    <t>TELEX/RTS, Beltpack.</t>
  </si>
  <si>
    <t>TR700-C6</t>
  </si>
  <si>
    <t>TR800</t>
  </si>
  <si>
    <t>TSS-7-BSSSW-K</t>
  </si>
  <si>
    <t>CRESTRON, 7" ROOM SCHEDULING TOUCH SCREEN.</t>
  </si>
  <si>
    <t>TSS-770-B-S-LB KIT</t>
  </si>
  <si>
    <t>TSW750-TTK-BS</t>
  </si>
  <si>
    <t>CRESTRON,Kit de mesa para TSW-750 y TSW-75.</t>
  </si>
  <si>
    <t>TSW-752-B-S</t>
  </si>
  <si>
    <t>CRESTRON,7" Touch Screen.</t>
  </si>
  <si>
    <t>TSW-760-B-S</t>
  </si>
  <si>
    <t>CRESTRON, Pantalla táctil</t>
  </si>
  <si>
    <t>TSW-770-B-S</t>
  </si>
  <si>
    <t>CRESTRON, 7 in wall mount touch screen</t>
  </si>
  <si>
    <t>TSW-770-MSMK-B-S</t>
  </si>
  <si>
    <t>CRESTRON, Multisurface Mount Kit for TSW-770 Series</t>
  </si>
  <si>
    <t>TUBEMP/CU</t>
  </si>
  <si>
    <t>TUBEMPPSCE</t>
  </si>
  <si>
    <t>TUBEMPUSBCE</t>
  </si>
  <si>
    <t>TUBE-OPTO8</t>
  </si>
  <si>
    <t>TxA</t>
  </si>
  <si>
    <t>EV, TA4F to XLR adaptor</t>
  </si>
  <si>
    <t>T4CE</t>
  </si>
  <si>
    <t>T8 (NO USAR) MOVER STOCK A ARTT8</t>
  </si>
  <si>
    <t>NEUMANN, mic. a condensador multicurva.</t>
  </si>
  <si>
    <t>UAD-2 LIVE RACK</t>
  </si>
  <si>
    <t>UNIVERSAL AUDIO, Live rack</t>
  </si>
  <si>
    <t>UAD-2PCIOCORE</t>
  </si>
  <si>
    <t>UNIVERSAL AUDIO, Placa PCI.</t>
  </si>
  <si>
    <t>UAD-2PCIQCORE</t>
  </si>
  <si>
    <t>UAD-2TB-OCORE</t>
  </si>
  <si>
    <t>UAD-2TB-QCORE</t>
  </si>
  <si>
    <t>UAD-2U-OCORE</t>
  </si>
  <si>
    <t>UNIVERSAL AUDIO, Placa Externa.</t>
  </si>
  <si>
    <t>UAD-2U-QCORE</t>
  </si>
  <si>
    <t>URBANITE-BL</t>
  </si>
  <si>
    <t>URBANITE-DE</t>
  </si>
  <si>
    <t>URBANITE-G-DE</t>
  </si>
  <si>
    <t>URBANITE-PL</t>
  </si>
  <si>
    <t>URBAN-XL-BL</t>
  </si>
  <si>
    <t>URBAN-XL-DE</t>
  </si>
  <si>
    <t>URBAN-XL-G-BL</t>
  </si>
  <si>
    <t>URBAN-XL-G-DE</t>
  </si>
  <si>
    <t>URBAN-XL-W-BL</t>
  </si>
  <si>
    <t>SENNHEISER, Auricular inal, c/mic.</t>
  </si>
  <si>
    <t>ART, STEREO USB DI BOX</t>
  </si>
  <si>
    <t>USBDualPre</t>
  </si>
  <si>
    <t>USB-ED 01</t>
  </si>
  <si>
    <t>EPOS, Adapter cable USB to ED</t>
  </si>
  <si>
    <t>USBMIX6</t>
  </si>
  <si>
    <t>USBPHONOPLUS</t>
  </si>
  <si>
    <t>UW30</t>
  </si>
  <si>
    <t>TELEX-RTS, speaker</t>
  </si>
  <si>
    <t>U87-Aniversario</t>
  </si>
  <si>
    <t>VARIOS</t>
  </si>
  <si>
    <t>VA210</t>
  </si>
  <si>
    <t>VIA2004</t>
  </si>
  <si>
    <t>ViDanteCard</t>
  </si>
  <si>
    <t>SOUNDCRAFT, Dante card</t>
  </si>
  <si>
    <t>ViLocalRack</t>
  </si>
  <si>
    <t>SOUNDCRAFT, Rack-Configured 96k</t>
  </si>
  <si>
    <t>VIOLIN-CLIP</t>
  </si>
  <si>
    <t>RODE, Clip de goma.</t>
  </si>
  <si>
    <t>ViSDICard</t>
  </si>
  <si>
    <t>VI5000/7000</t>
  </si>
  <si>
    <t>SOUNDCRAFT, LOCAL RACK 48kHz 
 Optical</t>
  </si>
  <si>
    <t>Vi600</t>
  </si>
  <si>
    <t>SOUNDCRAFT, Control Module Upgrade</t>
  </si>
  <si>
    <t>Vi7000</t>
  </si>
  <si>
    <t>SOUNDCRAFT, Surface.</t>
  </si>
  <si>
    <t>RODE, Kith with video MIC ME C</t>
  </si>
  <si>
    <t>RODE, Kith with video MIC ME L</t>
  </si>
  <si>
    <t>VM</t>
  </si>
  <si>
    <t>RODE, mic. boom direccional para cámara.</t>
  </si>
  <si>
    <t>JBL, AMPLIFICADOR</t>
  </si>
  <si>
    <t>JBL, amplificador</t>
  </si>
  <si>
    <t>VMGOIIH</t>
  </si>
  <si>
    <t>RODE, video on camera ligth weight mkii</t>
  </si>
  <si>
    <t>RODE, videomicro on-camera hypercardioid microphone.</t>
  </si>
  <si>
    <t>RODE, Compact Cardioid Light-weight On-Camera Microphone</t>
  </si>
  <si>
    <t>RODE, Directionale microphone for usb</t>
  </si>
  <si>
    <t>VM-ME (VIDEOMICME)</t>
  </si>
  <si>
    <t>RODE, mic. direccional para iphone &amp; ipad.</t>
  </si>
  <si>
    <t>VMME-L</t>
  </si>
  <si>
    <t>VMP</t>
  </si>
  <si>
    <t>RODE, Video mic pro .</t>
  </si>
  <si>
    <t>RODE, Video mic pro w/Rycote .</t>
  </si>
  <si>
    <t>VM-R</t>
  </si>
  <si>
    <t>RODE, video mic Rycote</t>
  </si>
  <si>
    <t>RODE, Video mic Rycote</t>
  </si>
  <si>
    <t>VMRKIT</t>
  </si>
  <si>
    <t>RODE, Upgrade Kit for VM.</t>
  </si>
  <si>
    <t>VM-3240VA</t>
  </si>
  <si>
    <t>TOA, Amplif .</t>
  </si>
  <si>
    <t>UNIVERSAL AUDIO, Audio Interfaces</t>
  </si>
  <si>
    <t>VRX-AF</t>
  </si>
  <si>
    <t>JBL, Soporte</t>
  </si>
  <si>
    <t>VRX915M</t>
  </si>
  <si>
    <t>JBL, Monitor de escenario</t>
  </si>
  <si>
    <t>VRX932LAP/230</t>
  </si>
  <si>
    <t>WAVES2 (NO USAR)</t>
  </si>
  <si>
    <t>WAVES3 (NO USAR)</t>
  </si>
  <si>
    <t>WC-58B</t>
  </si>
  <si>
    <t>EV, TAPA INTEMPERIE</t>
  </si>
  <si>
    <t>WIGO (NO USAR)</t>
  </si>
  <si>
    <t>RODE, Wireless Go</t>
  </si>
  <si>
    <t>WIGOGEN3</t>
  </si>
  <si>
    <t>RODE, Wireless Go II .</t>
  </si>
  <si>
    <t>WIGOII</t>
  </si>
  <si>
    <t>RODE, Wireless Go II . 
 Dos transmisores, un receptor.</t>
  </si>
  <si>
    <t>WIGOII CHARGING CASE</t>
  </si>
  <si>
    <t>RODE, MICROFONO</t>
  </si>
  <si>
    <t>RODE, Wireless Go II SINGLE</t>
  </si>
  <si>
    <t>RODE, Wireless Me</t>
  </si>
  <si>
    <t>WINDSHIELD-K4</t>
  </si>
  <si>
    <t>WINDSHIELD-K6</t>
  </si>
  <si>
    <t>RYCOTE, Kit de montaje largo.</t>
  </si>
  <si>
    <t>WIRELESS GO (NO USAR)</t>
  </si>
  <si>
    <t>RODE, compact trasmitter/receiver</t>
  </si>
  <si>
    <t>WIRELESS GOII (NO USAR)</t>
  </si>
  <si>
    <t>RODE, Wireless Go II</t>
  </si>
  <si>
    <t>WKE81</t>
  </si>
  <si>
    <t>SENNHEISER, Accesorio.</t>
  </si>
  <si>
    <t>WM-2000</t>
  </si>
  <si>
    <t>WNS100-F</t>
  </si>
  <si>
    <t>SENNHEISER, Paraviento p/ KM100.</t>
  </si>
  <si>
    <t>WPC</t>
  </si>
  <si>
    <t>WPCGRIDT</t>
  </si>
  <si>
    <t>MARTIN AUDIO, FLYING FRAME GRID-T</t>
  </si>
  <si>
    <t>RODE, CHROMA KEY WINDSHIELD SET 1 – GREEN &amp; BLUE</t>
  </si>
  <si>
    <t>RODE, Paraviento de gomaespuma.</t>
  </si>
  <si>
    <t>WS-2B</t>
  </si>
  <si>
    <t>BOSCH/RTS, Paravientos.</t>
  </si>
  <si>
    <t>WS82</t>
  </si>
  <si>
    <t>SENNHEISER, Paraviento p/MKH-70.</t>
  </si>
  <si>
    <t>WS-87</t>
  </si>
  <si>
    <t>NEUMANN, Paravientos.</t>
  </si>
  <si>
    <t>RODE, DELUXE WINDSHIELD FOR VMICRO &amp; VM-ME.</t>
  </si>
  <si>
    <t>W41442</t>
  </si>
  <si>
    <t>A&amp;H, MIXWIZARD.</t>
  </si>
  <si>
    <t>XILICA, Procesador</t>
  </si>
  <si>
    <t>XC-SUB</t>
  </si>
  <si>
    <t>ART, Caja directa activa.</t>
  </si>
  <si>
    <t>DYNAUDIO, Transmisor digital.</t>
  </si>
  <si>
    <t>XE300</t>
  </si>
  <si>
    <t>XI-1082-BLK</t>
  </si>
  <si>
    <t>EV, Bafle .</t>
  </si>
  <si>
    <t>XI-1122A-85F</t>
  </si>
  <si>
    <t>CROWN, Amplif. de potencia stereo.</t>
  </si>
  <si>
    <t>XLI1500-2 NO USAR</t>
  </si>
  <si>
    <t>CROWN, XLI 1600W AMP 2CH .</t>
  </si>
  <si>
    <t>RODE, Set of Eight Colored XLR Rings</t>
  </si>
  <si>
    <t>CROWN, Amp XLS4 2500W AMP W/XOVER AND LIMTR</t>
  </si>
  <si>
    <t>XL-231</t>
  </si>
  <si>
    <t>ART, Ecualizador.</t>
  </si>
  <si>
    <t>XONE:DB4 (NO USAR)</t>
  </si>
  <si>
    <t>A&amp;H, Consola DJ.</t>
  </si>
  <si>
    <t>XONE:24C</t>
  </si>
  <si>
    <t>XONE:4D</t>
  </si>
  <si>
    <t>XONE:43C (NO USAR)</t>
  </si>
  <si>
    <t>SENNHEISER, Clip-on Microphone</t>
  </si>
  <si>
    <t>SENNHEISER, STEREO RECEIVER</t>
  </si>
  <si>
    <t>XSW IEM SET (NO USAR)</t>
  </si>
  <si>
    <t>SENNHEISER, Rackmount kit for em-xsw</t>
  </si>
  <si>
    <t>SENNHEISER, Micrófono inalámbrico corbatero. Freq. Range: A 548-572 MHz Art. No.: 506980</t>
  </si>
  <si>
    <t>SENNHEISER, Micrófono inalámbrico corbatero. Freq. Range: B 614-638 MHz Art. No.: 506981</t>
  </si>
  <si>
    <t>SENNHEISER, Micrófono inalámbrico doble de mano. Freq. Range: A 548-572 MHz Art. No.: 508263</t>
  </si>
  <si>
    <t>SENNHEISER, Micrófono inalámbrico de mano. Freq. Range: A 548-572 MHz Art. No.: 507108</t>
  </si>
  <si>
    <t>XSW 1-825-C</t>
  </si>
  <si>
    <t>SENNHEISER, Micrófono inalámbrico de mano. Freq. Range: C 766-790 MHz Art. No.: 507110</t>
  </si>
  <si>
    <t>SENNHEISER, Micrófono inalámbrico doble de mano. Freq. Range: A 548-572 MHz Art. No.: 508270</t>
  </si>
  <si>
    <t>SENNHEISER, Micrófono inalámbrico de mano. Freq. Range: A 548-572 MHz Art. No.: 507115</t>
  </si>
  <si>
    <t>SENNHEISER, Micrófono inalámbrico de mano. Freq. Range: B 614-638 MHz Art. No.: 507116</t>
  </si>
  <si>
    <t>XSW 1-835-C</t>
  </si>
  <si>
    <t>SENNHEISER, Micrófono inalámbrico de mano. Freq. Range: C 766-790 MHz Art. No.: 507117</t>
  </si>
  <si>
    <t>SENNHEISER, Micrófono inal.vincha.</t>
  </si>
  <si>
    <t>SENNHEISER, SET PORTABLE INT KIT.</t>
  </si>
  <si>
    <t>XSW-IEM-SET (NO USAR)</t>
  </si>
  <si>
    <t>XSW-1ME2 (NO USAR)</t>
  </si>
  <si>
    <t>NEUTRIK/REAN, RED CODING RING XX-SERIE NEON</t>
  </si>
  <si>
    <t>NEUTRIK/REAN, BLUE CODING RING XX-SERIE NEON</t>
  </si>
  <si>
    <t>X10B</t>
  </si>
  <si>
    <t>X12PU-BGK</t>
  </si>
  <si>
    <t>EV, Soporte</t>
  </si>
  <si>
    <t>X12TC-GRID</t>
  </si>
  <si>
    <t>EV, Soporte para Bafle.</t>
  </si>
  <si>
    <t>X12T-DOLLY</t>
  </si>
  <si>
    <t>EV, Soporte .</t>
  </si>
  <si>
    <t>X12TE-GRID</t>
  </si>
  <si>
    <t>X12-128</t>
  </si>
  <si>
    <t>EV, Sub woofer LINEARRAY.</t>
  </si>
  <si>
    <t>X12-128-DOLLY</t>
  </si>
  <si>
    <t>X1-212/90</t>
  </si>
  <si>
    <t>EV, Bafle LINEARRAY.</t>
  </si>
  <si>
    <t>X2-212/120</t>
  </si>
  <si>
    <t>X2-212/90</t>
  </si>
  <si>
    <t>X8B</t>
  </si>
  <si>
    <t>ART, Caja directa pasiva.</t>
  </si>
  <si>
    <t>ZEDP-1000 DE SERVICE</t>
  </si>
  <si>
    <t>ZEDP-1000 (NO USAR)</t>
  </si>
  <si>
    <t>ZED-R16</t>
  </si>
  <si>
    <t>ZED1002 (NO USAR)</t>
  </si>
  <si>
    <t>ZED1802 (NO USAR)</t>
  </si>
  <si>
    <t>ZED2402 (NO USAR)</t>
  </si>
  <si>
    <t>ZEUS-III</t>
  </si>
  <si>
    <t>TELEX-RTS, Matriz digital.</t>
  </si>
  <si>
    <t>EV, Soporte p/Montaje en Pared</t>
  </si>
  <si>
    <t>ZLX-12BT</t>
  </si>
  <si>
    <t>ZLX-12P</t>
  </si>
  <si>
    <t>ZLX-15</t>
  </si>
  <si>
    <t>ZLX-15BT</t>
  </si>
  <si>
    <t>ZLX-15P</t>
  </si>
  <si>
    <t>ZN4PD-272-S+</t>
  </si>
  <si>
    <t>MINI-CIRCUITS, pwr div / sma</t>
  </si>
  <si>
    <t>Z-WIREZU</t>
  </si>
  <si>
    <t>TOA, Cable balanceado.</t>
  </si>
  <si>
    <t>A&amp;H, Montaje de Rack</t>
  </si>
  <si>
    <t>1OM-1</t>
  </si>
  <si>
    <t>EV, Placa</t>
  </si>
  <si>
    <t>104SET-BT</t>
  </si>
  <si>
    <t>JBL, SPEAKER SET BT.</t>
  </si>
  <si>
    <t>K&amp;M, Sheet music / document holder</t>
  </si>
  <si>
    <t>K&amp;M, bag.</t>
  </si>
  <si>
    <t>K&amp;M, Pneumatic spring Stool. Black imitation leather.</t>
  </si>
  <si>
    <t>K&amp;M, Piano bench, black imitation leather.</t>
  </si>
  <si>
    <t>148-006-1</t>
  </si>
  <si>
    <t>149-002-1</t>
  </si>
  <si>
    <t>K&amp;M, Headphone table stand sand beige.</t>
  </si>
  <si>
    <t>K&amp;M, Headphone table stand gray</t>
  </si>
  <si>
    <t>K&amp;M, Holder.</t>
  </si>
  <si>
    <t>K&amp;M, Universal holder black</t>
  </si>
  <si>
    <t>K&amp;M, Cable clamp for »Omega« 
  black (pair).</t>
  </si>
  <si>
    <t>K&amp;M, stacker adjustable black</t>
  </si>
  <si>
    <t>K&amp;M, stacker adjustable white</t>
  </si>
  <si>
    <t>K&amp;M, stacker adjustable ruby red</t>
  </si>
  <si>
    <t>K&amp;M, Adapter black</t>
  </si>
  <si>
    <t>K&amp;M, Laptop holder black</t>
  </si>
  <si>
    <t>K&amp;M, universal holder f. omega + table-style stand; 3/8" + 5/8"</t>
  </si>
  <si>
    <t>K&amp;M, Table-style keyboard stand »Omega Pro« black</t>
  </si>
  <si>
    <t>K&amp;M, Table-style keyboard stand »Omega Pro« white</t>
  </si>
  <si>
    <t>K&amp;M, Table-style keyboard stand »Omega Pro« red</t>
  </si>
  <si>
    <t>K&amp;M, Stacker black</t>
  </si>
  <si>
    <t>K&amp;M, Stacker pure white</t>
  </si>
  <si>
    <t>K&amp;M, Stacker ruby red</t>
  </si>
  <si>
    <t>K&amp;M, table-style stand for digital pianos; black</t>
  </si>
  <si>
    <t>K&amp;M, clamping prism; 3/8";f. i-pad holder; black</t>
  </si>
  <si>
    <t>19745-015-55</t>
  </si>
  <si>
    <t>K&amp;M, Soporte para iphone.</t>
  </si>
  <si>
    <t>K&amp;M, Desktop smartphone stand black.</t>
  </si>
  <si>
    <t>K&amp;M, Smartphone holder. Black.</t>
  </si>
  <si>
    <t>K&amp;M, Desktop camera stand black.</t>
  </si>
  <si>
    <t>K&amp;M, tablet PC holder; 5/8". Black.</t>
  </si>
  <si>
    <t>K&amp;M, Pie de mic.</t>
  </si>
  <si>
    <t>K&amp;M, Mic. stand, black, 5/8".</t>
  </si>
  <si>
    <t>K&amp;M, Microphone stand XL; 5/8". Black.</t>
  </si>
  <si>
    <t>K&amp;M, Mic stand 208; black; 5/8".</t>
  </si>
  <si>
    <t>K&amp;M, Mic. stand, black, 5/8"</t>
  </si>
  <si>
    <t>K&amp;M, Mic stand 210/8; 5/8"; 5 chromed</t>
  </si>
  <si>
    <t>K&amp;M, Mic. boom stand, black, 5/8".</t>
  </si>
  <si>
    <t>K&amp;M, boom arm, black, 5/8"</t>
  </si>
  <si>
    <t>21110-500</t>
  </si>
  <si>
    <t>K&amp;M, Boom arm, black, 5/8".</t>
  </si>
  <si>
    <t>K&amp;M, Crossbar for lighting.</t>
  </si>
  <si>
    <t>K&amp;M, Crossbar, with 4 screw fitting.</t>
  </si>
  <si>
    <t>K&amp;M, Soporte de pie de mic.</t>
  </si>
  <si>
    <t>K&amp;M, Cable clamp black (pair).</t>
  </si>
  <si>
    <t>K&amp;M, Soporte de bafle de aluminio.</t>
  </si>
  <si>
    <t>K&amp;M, Reduction thread inside 1/2" u. 3/8",outside 5/8" zinc plat</t>
  </si>
  <si>
    <t>K&amp;M, reduction thread inside 3/8" outside 5/8" zinc plated</t>
  </si>
  <si>
    <t>K&amp;M, Thread adapter zinc-plated 1/4" - 3/8</t>
  </si>
  <si>
    <t>K&amp;M, reduction thread 218; zincked female 1/2", male 3/8"</t>
  </si>
  <si>
    <t>K&amp;M, reduction thread 219; female 3/8"; male 1/2"</t>
  </si>
  <si>
    <t>K&amp;M, reduction thread inside 3/8" outside 1/2" zinc plated</t>
  </si>
  <si>
    <t>K&amp;M, reduction thread inside 3/8" outside M8 x 12 zinc plated</t>
  </si>
  <si>
    <t>K&amp;M, reduction thread inside 3/8" outside 1/4" x 10 zinc plated</t>
  </si>
  <si>
    <t>K&amp;M, Thread adapter black, M10 - 1/4"</t>
  </si>
  <si>
    <t>K&amp;M, Thread adapter zinc-plated, M20x1,25 - 3/8"</t>
  </si>
  <si>
    <t>K&amp;M, reduction thread; black</t>
  </si>
  <si>
    <t>K&amp;M, reduction thread inside 3/8" outside M10x12 zinc plated</t>
  </si>
  <si>
    <t>224S-BLACK</t>
  </si>
  <si>
    <t>K&amp;M, Pie de micrófono de mesa.</t>
  </si>
  <si>
    <t>23200-300-55</t>
  </si>
  <si>
    <t>K&amp;M, Table mic. stand, black, 5/8".</t>
  </si>
  <si>
    <t>K&amp;M, SOPORTE .</t>
  </si>
  <si>
    <t>K&amp;M, Stereo bar; 5/8"; black</t>
  </si>
  <si>
    <t>K&amp;M, Table clamp.</t>
  </si>
  <si>
    <t>23785-500-55</t>
  </si>
  <si>
    <t>K&amp;M, Caña de fibracarbono.</t>
  </si>
  <si>
    <t>23790-500-55</t>
  </si>
  <si>
    <t>K&amp;M, Caña de fibra de carbono 5 tramos ajustable</t>
  </si>
  <si>
    <t>K&amp;M, Pie de micrófono.</t>
  </si>
  <si>
    <t>23956/00</t>
  </si>
  <si>
    <t>K&amp;M, Pop Shield.</t>
  </si>
  <si>
    <t>K&amp;M, Mic. clamp.</t>
  </si>
  <si>
    <t>K&amp;M, Mic holder 5/8" f. drum. Black.</t>
  </si>
  <si>
    <t>K&amp;M, Mic holder f. drums, 5/8". Black. "R.I.M.S." suitable</t>
  </si>
  <si>
    <t>K&amp;M, Speaker wall mount M.</t>
  </si>
  <si>
    <t>K&amp;M, Speaker wall mount L.</t>
  </si>
  <si>
    <t>K&amp;M, Speaker wall mount black; w. expanding mandrel</t>
  </si>
  <si>
    <t>K&amp;M, Universal wall mount. Black.</t>
  </si>
  <si>
    <t>K&amp;M, Cover for speaker wall mount. Black.</t>
  </si>
  <si>
    <t>K&amp;M, Cover for speaker wall mount. White.</t>
  </si>
  <si>
    <t>K&amp;M, Mic stand 254, 5/8", black</t>
  </si>
  <si>
    <t>25600-500-55 (NO USAR)</t>
  </si>
  <si>
    <t>K&amp;M, Pie de micrófono</t>
  </si>
  <si>
    <t>K&amp;M, mic. stand, black, 5/8"</t>
  </si>
  <si>
    <t>K&amp;M, Microphone stand, black 5/8".</t>
  </si>
  <si>
    <t>K&amp;M, Microphone stand</t>
  </si>
  <si>
    <t>K&amp;M, Accesorio</t>
  </si>
  <si>
    <t>K&amp;M, Rod combination black</t>
  </si>
  <si>
    <t>K&amp;M, Round base, Ø 300 mm structured black.</t>
  </si>
  <si>
    <t>260/1</t>
  </si>
  <si>
    <t>K&amp;M, Base plate; M20 / ø 450mm. Black.</t>
  </si>
  <si>
    <t>K&amp;M, Base de pie de mic.</t>
  </si>
  <si>
    <t>K&amp;M, Base plate structured black</t>
  </si>
  <si>
    <t>26734-000-55</t>
  </si>
  <si>
    <t>K&amp;M, Table monitor stand. Black</t>
  </si>
  <si>
    <t>K&amp;M, Tiltable desktop monitor stand.</t>
  </si>
  <si>
    <t>K&amp;M, Clamping desktop monitor stand. Black.</t>
  </si>
  <si>
    <t>K&amp;M, Tiltable clamping desktop monitor stand. Black.</t>
  </si>
  <si>
    <t>26792/00</t>
  </si>
  <si>
    <t>K&amp;M, bearing plate 240x5x200 mm black structured</t>
  </si>
  <si>
    <t>K&amp;M, Bearing plate 320x5x280 mm pieces 
 black structured.</t>
  </si>
  <si>
    <t>27395-528-55</t>
  </si>
  <si>
    <t>K&amp;M, Base para cuello de ganso.</t>
  </si>
  <si>
    <t>3-PACK E-835-S</t>
  </si>
  <si>
    <t>308P MKII</t>
  </si>
  <si>
    <t>EV, SUSPENSION SHOCK MOUNT</t>
  </si>
  <si>
    <t>3458X00050</t>
  </si>
  <si>
    <t>AKG, Micrófono</t>
  </si>
  <si>
    <t>K&amp;M, mixer stand, black</t>
  </si>
  <si>
    <t>422A SOPORTE</t>
  </si>
  <si>
    <t>EV, ACCESORIO</t>
  </si>
  <si>
    <t>5036922-03V</t>
  </si>
  <si>
    <t>5040027.V</t>
  </si>
  <si>
    <t>SOUNDCRAFT, Mechasy Vi3000, VST, Module</t>
  </si>
  <si>
    <t>5045044.V</t>
  </si>
  <si>
    <t>SOUNDCRAFT, ViO/D21 Dante Card AES67/96k</t>
  </si>
  <si>
    <t>5059729HU</t>
  </si>
  <si>
    <t>SOUNDCRAFT, ViLR-96FO - 96kHz Fully Multimode Optical local rack</t>
  </si>
  <si>
    <t>5064931.V</t>
  </si>
  <si>
    <t>SOUNDCRAFT, MECHASY,VI600 SYSTEM CONTROL MODULE,TSPR</t>
  </si>
  <si>
    <t>EVERTZ, D23m A-Link HD Card</t>
  </si>
  <si>
    <t>5100265-00</t>
  </si>
  <si>
    <t>SOUNDCRAFT, Vi4/6 to 5000/7000 Local Rack Upgrade Ki</t>
  </si>
  <si>
    <t>SENNHEISER, Antenna.</t>
  </si>
  <si>
    <t>SENNHEISER, REPUESTO.</t>
  </si>
  <si>
    <t>SENNHEISER, Repuesto.</t>
  </si>
  <si>
    <t>SENNHEISER, EK IEMG3, POT., PCB.</t>
  </si>
  <si>
    <t>SENNHEISER, REPUESTO .</t>
  </si>
  <si>
    <t>SENNHEISER, AF pcboard.</t>
  </si>
  <si>
    <t>JBL, MID HIGH SECTION 4-WAY 
 SCREEN ARRAY</t>
  </si>
  <si>
    <t>ARS, Intercom.</t>
  </si>
  <si>
    <t>THORENS, Accesorio.</t>
  </si>
  <si>
    <t>ARS, Híbrido analógico.</t>
  </si>
  <si>
    <t>K&amp;M, Soporte Parlante.</t>
  </si>
  <si>
    <t>8241.K</t>
  </si>
  <si>
    <t>K&amp;M, Mic clip - 3/8+5/8"- ø 17 mm.</t>
  </si>
  <si>
    <t>K&amp;M, Mic.clip - 3/8+5/8" - ø 28 mm.</t>
  </si>
  <si>
    <t>K&amp;M, Microphone clip XL ø 34 m.</t>
  </si>
  <si>
    <t>9913F7</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</si>
</sst>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 $ ]#,##0.00"/>
    <numFmt numFmtId="165" formatCode="[$USD ]#,##0.00"/>
    <numFmt numFmtId="166" formatCode="[$$ 1.0000]#,##0.00"/>
  </numFmts>
  <fonts count="59">
    <font>
      <sz val="10.0"/>
      <color rgb="FF000000"/>
      <name val="Arial"/>
      <scheme val="minor"/>
    </font>
    <font>
      <b/>
      <sz val="11.0"/>
      <color rgb="FFFF0000"/>
      <name val="Calibri"/>
    </font>
    <font/>
    <font>
      <sz val="11.0"/>
      <color rgb="FF000000"/>
      <name val="Calibri"/>
    </font>
    <font>
      <b/>
      <sz val="12.0"/>
      <color rgb="FFFFFFFF"/>
      <name val="Calibri"/>
    </font>
    <font>
      <b/>
      <sz val="11.0"/>
      <color rgb="FF000000"/>
      <name val="Calibri"/>
    </font>
    <font>
      <u/>
      <sz val="11.0"/>
      <color rgb="FF0088A7"/>
      <name val="Calibri"/>
    </font>
    <font>
      <u/>
      <sz val="11.0"/>
      <color rgb="FF0088A7"/>
      <name val="Calibri"/>
    </font>
    <font>
      <u/>
      <sz val="11.0"/>
      <color rgb="FF000000"/>
      <name val="Calibri"/>
    </font>
    <font>
      <color theme="1"/>
      <name val="Arial"/>
    </font>
    <font>
      <b/>
      <sz val="11.0"/>
      <color rgb="FFFFFFFF"/>
      <name val="Calibri"/>
    </font>
    <font>
      <color theme="1"/>
      <name val="Calibri"/>
    </font>
    <font>
      <color rgb="FF000000"/>
      <name val="Calibri"/>
    </font>
    <font>
      <b/>
      <color theme="1"/>
      <name val="Calibri"/>
    </font>
    <font>
      <u/>
      <color rgb="FF1155CC"/>
      <name val="Calibri"/>
    </font>
    <font>
      <b/>
      <color rgb="FF000000"/>
      <name val="Calibri"/>
    </font>
    <font>
      <u/>
      <color rgb="FF1155CC"/>
      <name val="Calibri"/>
    </font>
    <font>
      <b/>
      <color theme="1"/>
      <name val="Arial"/>
    </font>
    <font>
      <u/>
      <color rgb="FF0000FF"/>
      <name val="Calibri"/>
    </font>
    <font>
      <u/>
      <color rgb="FF0000FF"/>
      <name val="Calibri"/>
    </font>
    <font>
      <u/>
      <color rgb="FF467886"/>
      <name val="Calibri"/>
    </font>
    <font>
      <u/>
      <color rgb="FF1155CC"/>
      <name val="Calibri"/>
    </font>
    <font>
      <u/>
      <color rgb="FF1155CC"/>
      <name val="Calibri"/>
    </font>
    <font>
      <b/>
      <color rgb="FF1C4587"/>
      <name val="Calibri"/>
    </font>
    <font>
      <u/>
      <color rgb="FF0000FF"/>
      <name val="Calibri"/>
    </font>
    <font>
      <u/>
      <color rgb="FF0000FF"/>
      <name val="Calibri"/>
    </font>
    <font>
      <u/>
      <color rgb="FF000000"/>
      <name val="Calibri"/>
    </font>
    <font>
      <u/>
      <color rgb="FF1155CC"/>
      <name val="Calibri"/>
    </font>
    <font>
      <u/>
      <color rgb="FF1155CC"/>
      <name val="Calibri"/>
    </font>
    <font>
      <u/>
      <color rgb="FF1155CC"/>
      <name val="Calibri"/>
    </font>
    <font>
      <u/>
      <color rgb="FF1155CC"/>
      <name val="Calibri"/>
    </font>
    <font>
      <color theme="1"/>
      <name val="Arial"/>
      <scheme val="minor"/>
    </font>
    <font>
      <u/>
      <color rgb="FF1155CC"/>
      <name val="Calibri"/>
    </font>
    <font>
      <u/>
      <color rgb="FF1155CC"/>
      <name val="Calibri"/>
    </font>
    <font>
      <u/>
      <color rgb="FF0000FF"/>
      <name val="Calibri"/>
    </font>
    <font>
      <u/>
      <color rgb="FF0000FF"/>
      <name val="Calibri"/>
    </font>
    <font>
      <u/>
      <color rgb="FF1155CC"/>
      <name val="Calibri"/>
    </font>
    <font>
      <color rgb="FF467886"/>
      <name val="Calibri"/>
    </font>
    <font>
      <u/>
      <color rgb="FF1155CC"/>
      <name val="Calibri"/>
    </font>
    <font>
      <u/>
      <color rgb="FF0000FF"/>
      <name val="Calibri"/>
    </font>
    <font>
      <u/>
      <color rgb="FF1155CC"/>
      <name val="Calibri"/>
    </font>
    <font>
      <sz val="12.0"/>
      <color rgb="FFFFFFFF"/>
      <name val="Calibri"/>
    </font>
    <font>
      <b/>
      <color rgb="FFFF0000"/>
      <name val="Calibri"/>
    </font>
    <font>
      <u/>
      <color rgb="FF467886"/>
      <name val="Calibri"/>
    </font>
    <font>
      <u/>
      <sz val="10.0"/>
      <color rgb="FF0000FF"/>
      <name val="Calibri"/>
    </font>
    <font>
      <u/>
      <color rgb="FF1155CC"/>
      <name val="Calibri"/>
    </font>
    <font>
      <u/>
      <sz val="8.0"/>
      <color rgb="FF1155CC"/>
      <name val="Arial"/>
    </font>
    <font>
      <u/>
      <color rgb="FF1155CC"/>
      <name val="Calibri"/>
    </font>
    <font>
      <u/>
      <color rgb="FF1155CC"/>
      <name val="Calibri"/>
    </font>
    <font>
      <u/>
      <color rgb="FF1155CC"/>
      <name val="Calibri"/>
    </font>
    <font>
      <u/>
      <color rgb="FF0000FF"/>
      <name val="Calibri"/>
    </font>
    <font>
      <b/>
      <color rgb="FFFFFFFF"/>
      <name val="Calibri"/>
    </font>
    <font>
      <b/>
      <sz val="15.0"/>
      <color rgb="FF000000"/>
      <name val="Calibri"/>
    </font>
    <font>
      <b/>
      <sz val="15.0"/>
      <color theme="1"/>
      <name val="Calibri"/>
    </font>
    <font>
      <sz val="15.0"/>
      <color theme="1"/>
      <name val="Calibri"/>
    </font>
    <font>
      <b/>
      <sz val="15.0"/>
      <color rgb="FFEFEFEF"/>
      <name val="Calibri"/>
    </font>
    <font>
      <sz val="15.0"/>
      <color rgb="FFEFEFEF"/>
      <name val="Calibri"/>
    </font>
    <font>
      <sz val="15.0"/>
      <color rgb="FF000000"/>
      <name val="Calibri"/>
    </font>
    <font>
      <sz val="8.0"/>
      <color theme="1"/>
      <name val="Arial"/>
    </font>
  </fonts>
  <fills count="18">
    <fill>
      <patternFill patternType="none"/>
    </fill>
    <fill>
      <patternFill patternType="lightGray"/>
    </fill>
    <fill>
      <patternFill patternType="solid">
        <fgColor rgb="FFFFFFFF"/>
        <bgColor rgb="FFFFFFFF"/>
      </patternFill>
    </fill>
    <fill>
      <patternFill patternType="solid">
        <fgColor rgb="FF303030"/>
        <bgColor rgb="FF303030"/>
      </patternFill>
    </fill>
    <fill>
      <patternFill patternType="solid">
        <fgColor rgb="FF666666"/>
        <bgColor rgb="FF666666"/>
      </patternFill>
    </fill>
    <fill>
      <patternFill patternType="solid">
        <fgColor rgb="FFEFEFEF"/>
        <bgColor rgb="FFEFEFEF"/>
      </patternFill>
    </fill>
    <fill>
      <patternFill patternType="solid">
        <fgColor rgb="FFB7E1CD"/>
        <bgColor rgb="FFB7E1CD"/>
      </patternFill>
    </fill>
    <fill>
      <patternFill patternType="solid">
        <fgColor rgb="FFCCCCCC"/>
        <bgColor rgb="FFCCCCCC"/>
      </patternFill>
    </fill>
    <fill>
      <patternFill patternType="solid">
        <fgColor rgb="FFF4C7C3"/>
        <bgColor rgb="FFF4C7C3"/>
      </patternFill>
    </fill>
    <fill>
      <patternFill patternType="solid">
        <fgColor rgb="FFFCE8B2"/>
        <bgColor rgb="FFFCE8B2"/>
      </patternFill>
    </fill>
    <fill>
      <patternFill patternType="solid">
        <fgColor rgb="FFA4C2F4"/>
        <bgColor rgb="FFA4C2F4"/>
      </patternFill>
    </fill>
    <fill>
      <patternFill patternType="solid">
        <fgColor rgb="FF434343"/>
        <bgColor rgb="FF434343"/>
      </patternFill>
    </fill>
    <fill>
      <patternFill patternType="solid">
        <fgColor rgb="FFFFFF00"/>
        <bgColor rgb="FFFFFF00"/>
      </patternFill>
    </fill>
    <fill>
      <patternFill patternType="solid">
        <fgColor rgb="FFFAF9F9"/>
        <bgColor rgb="FFFAF9F9"/>
      </patternFill>
    </fill>
    <fill>
      <patternFill patternType="solid">
        <fgColor rgb="FF0088A7"/>
        <bgColor rgb="FF0088A7"/>
      </patternFill>
    </fill>
    <fill>
      <patternFill patternType="solid">
        <fgColor rgb="FFF1C232"/>
        <bgColor rgb="FFF1C232"/>
      </patternFill>
    </fill>
    <fill>
      <patternFill patternType="solid">
        <fgColor rgb="FF19635B"/>
        <bgColor rgb="FF19635B"/>
      </patternFill>
    </fill>
    <fill>
      <patternFill patternType="solid">
        <fgColor rgb="FF7D77B7"/>
        <bgColor rgb="FF7D77B7"/>
      </patternFill>
    </fill>
  </fills>
  <borders count="22">
    <border/>
    <border>
      <left/>
    </border>
    <border>
      <right/>
    </border>
    <border>
      <left/>
      <right/>
      <top/>
      <bottom/>
    </border>
    <border>
      <left/>
      <bottom/>
    </border>
    <border>
      <bottom/>
    </border>
    <border>
      <right/>
      <bottom/>
    </border>
    <border>
      <left/>
      <top/>
      <bottom/>
    </border>
    <border>
      <top/>
      <bottom/>
    </border>
    <border>
      <right/>
      <top/>
      <bottom/>
    </border>
    <border>
      <left/>
      <right/>
      <top/>
    </border>
    <border>
      <left style="thin">
        <color rgb="FF000000"/>
      </left>
      <top style="thin">
        <color rgb="FF000000"/>
      </top>
      <bottom/>
    </border>
    <border>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right/>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375">
    <xf borderId="0" fillId="0" fontId="0" numFmtId="0" xfId="0" applyAlignment="1" applyFont="1">
      <alignment readingOrder="0" shrinkToFit="0" vertical="bottom" wrapText="0"/>
    </xf>
    <xf borderId="1" fillId="2" fontId="1" numFmtId="0" xfId="0" applyAlignment="1" applyBorder="1" applyFill="1" applyFont="1">
      <alignment horizontal="left"/>
    </xf>
    <xf borderId="2" fillId="0" fontId="2" numFmtId="0" xfId="0" applyBorder="1" applyFont="1"/>
    <xf borderId="3" fillId="2" fontId="3" numFmtId="0" xfId="0" applyAlignment="1" applyBorder="1" applyFont="1">
      <alignment horizontal="left"/>
    </xf>
    <xf borderId="1" fillId="0" fontId="2" numFmtId="0" xfId="0" applyBorder="1" applyFont="1"/>
    <xf borderId="4" fillId="0" fontId="2" numFmtId="0" xfId="0" applyBorder="1" applyFont="1"/>
    <xf borderId="5" fillId="0" fontId="2" numFmtId="0" xfId="0" applyBorder="1" applyFont="1"/>
    <xf borderId="6" fillId="0" fontId="2" numFmtId="0" xfId="0" applyBorder="1" applyFont="1"/>
    <xf borderId="0" fillId="3" fontId="4" numFmtId="0" xfId="0" applyAlignment="1" applyFill="1" applyFont="1">
      <alignment horizontal="center" vertical="center"/>
    </xf>
    <xf borderId="3" fillId="3" fontId="3" numFmtId="0" xfId="0" applyAlignment="1" applyBorder="1" applyFont="1">
      <alignment horizontal="left"/>
    </xf>
    <xf borderId="7" fillId="2" fontId="5" numFmtId="0" xfId="0" applyAlignment="1" applyBorder="1" applyFont="1">
      <alignment horizontal="left"/>
    </xf>
    <xf borderId="8" fillId="0" fontId="2" numFmtId="0" xfId="0" applyBorder="1" applyFont="1"/>
    <xf borderId="9" fillId="0" fontId="2" numFmtId="0" xfId="0" applyBorder="1" applyFont="1"/>
    <xf borderId="3" fillId="2" fontId="5" numFmtId="0" xfId="0" applyAlignment="1" applyBorder="1" applyFont="1">
      <alignment horizontal="left"/>
    </xf>
    <xf borderId="7" fillId="2" fontId="6" numFmtId="0" xfId="0" applyAlignment="1" applyBorder="1" applyFont="1">
      <alignment horizontal="left"/>
    </xf>
    <xf borderId="3" fillId="2" fontId="7" numFmtId="0" xfId="0" applyAlignment="1" applyBorder="1" applyFont="1">
      <alignment horizontal="left"/>
    </xf>
    <xf borderId="3" fillId="2" fontId="5" numFmtId="0" xfId="0" applyAlignment="1" applyBorder="1" applyFont="1">
      <alignment horizontal="left" shrinkToFit="0" wrapText="1"/>
    </xf>
    <xf borderId="3" fillId="2" fontId="8" numFmtId="0" xfId="0" applyAlignment="1" applyBorder="1" applyFont="1">
      <alignment horizontal="left"/>
    </xf>
    <xf borderId="10" fillId="2" fontId="3" numFmtId="0" xfId="0" applyAlignment="1" applyBorder="1" applyFont="1">
      <alignment horizontal="left"/>
    </xf>
    <xf borderId="11" fillId="2" fontId="5" numFmtId="0" xfId="0" applyAlignment="1" applyBorder="1" applyFont="1">
      <alignment horizontal="center" readingOrder="0"/>
    </xf>
    <xf borderId="12" fillId="0" fontId="2" numFmtId="0" xfId="0" applyBorder="1" applyFont="1"/>
    <xf borderId="9" fillId="2" fontId="3" numFmtId="0" xfId="0" applyAlignment="1" applyBorder="1" applyFont="1">
      <alignment horizontal="left"/>
    </xf>
    <xf borderId="13" fillId="2" fontId="3" numFmtId="0" xfId="0" applyAlignment="1" applyBorder="1" applyFont="1">
      <alignment horizontal="center"/>
    </xf>
    <xf borderId="14" fillId="0" fontId="2" numFmtId="0" xfId="0" applyBorder="1" applyFont="1"/>
    <xf borderId="15" fillId="2" fontId="1" numFmtId="0" xfId="0" applyAlignment="1" applyBorder="1" applyFont="1">
      <alignment horizontal="left" readingOrder="0"/>
    </xf>
    <xf borderId="15" fillId="2" fontId="5" numFmtId="0" xfId="0" applyAlignment="1" applyBorder="1" applyFont="1">
      <alignment horizontal="left"/>
    </xf>
    <xf borderId="0" fillId="3" fontId="4" numFmtId="164" xfId="0" applyAlignment="1" applyFont="1" applyNumberFormat="1">
      <alignment horizontal="center" readingOrder="0" shrinkToFit="0" wrapText="1"/>
    </xf>
    <xf borderId="0" fillId="0" fontId="9" numFmtId="0" xfId="0" applyAlignment="1" applyFont="1">
      <alignment vertical="top"/>
    </xf>
    <xf borderId="0" fillId="4" fontId="10" numFmtId="0" xfId="0" applyAlignment="1" applyFill="1" applyFont="1">
      <alignment vertical="top"/>
    </xf>
    <xf borderId="0" fillId="4" fontId="9" numFmtId="0" xfId="0" applyAlignment="1" applyFont="1">
      <alignment vertical="top"/>
    </xf>
    <xf borderId="0" fillId="4" fontId="9" numFmtId="164" xfId="0" applyAlignment="1" applyFont="1" applyNumberFormat="1">
      <alignment vertical="top"/>
    </xf>
    <xf borderId="0" fillId="4" fontId="9" numFmtId="0" xfId="0" applyAlignment="1" applyFont="1">
      <alignment vertical="top"/>
    </xf>
    <xf borderId="0" fillId="0" fontId="9" numFmtId="0" xfId="0" applyAlignment="1" applyFont="1">
      <alignment readingOrder="0" vertical="top"/>
    </xf>
    <xf borderId="0" fillId="5" fontId="11" numFmtId="0" xfId="0" applyAlignment="1" applyFill="1" applyFont="1">
      <alignment vertical="top"/>
    </xf>
    <xf borderId="0" fillId="5" fontId="12" numFmtId="0" xfId="0" applyAlignment="1" applyFont="1">
      <alignment vertical="top"/>
    </xf>
    <xf borderId="0" fillId="5" fontId="12" numFmtId="164" xfId="0" applyAlignment="1" applyFont="1" applyNumberFormat="1">
      <alignment horizontal="right" readingOrder="0" vertical="top"/>
    </xf>
    <xf borderId="0" fillId="5" fontId="12" numFmtId="164" xfId="0" applyAlignment="1" applyFont="1" applyNumberFormat="1">
      <alignment horizontal="right" readingOrder="0" vertical="top"/>
    </xf>
    <xf borderId="0" fillId="5" fontId="13" numFmtId="10" xfId="0" applyAlignment="1" applyFont="1" applyNumberFormat="1">
      <alignment horizontal="right" vertical="top"/>
    </xf>
    <xf borderId="0" fillId="6" fontId="13" numFmtId="0" xfId="0" applyAlignment="1" applyFill="1" applyFont="1">
      <alignment horizontal="center" vertical="top"/>
    </xf>
    <xf borderId="0" fillId="0" fontId="9" numFmtId="1" xfId="0" applyAlignment="1" applyFont="1" applyNumberFormat="1">
      <alignment vertical="top"/>
    </xf>
    <xf borderId="0" fillId="7" fontId="11" numFmtId="0" xfId="0" applyAlignment="1" applyFill="1" applyFont="1">
      <alignment vertical="top"/>
    </xf>
    <xf borderId="0" fillId="7" fontId="14" numFmtId="0" xfId="0" applyAlignment="1" applyFont="1">
      <alignment vertical="top"/>
    </xf>
    <xf borderId="0" fillId="7" fontId="12" numFmtId="0" xfId="0" applyAlignment="1" applyFont="1">
      <alignment vertical="top"/>
    </xf>
    <xf borderId="0" fillId="7" fontId="12" numFmtId="164" xfId="0" applyAlignment="1" applyFont="1" applyNumberFormat="1">
      <alignment horizontal="right" readingOrder="0" vertical="top"/>
    </xf>
    <xf borderId="0" fillId="7" fontId="15" numFmtId="10" xfId="0" applyAlignment="1" applyFont="1" applyNumberFormat="1">
      <alignment horizontal="right" vertical="top"/>
    </xf>
    <xf borderId="0" fillId="5" fontId="16" numFmtId="0" xfId="0" applyAlignment="1" applyFont="1">
      <alignment vertical="top"/>
    </xf>
    <xf borderId="0" fillId="8" fontId="13" numFmtId="0" xfId="0" applyAlignment="1" applyFill="1" applyFont="1">
      <alignment horizontal="center" vertical="top"/>
    </xf>
    <xf borderId="0" fillId="0" fontId="17" numFmtId="0" xfId="0" applyAlignment="1" applyFont="1">
      <alignment vertical="top"/>
    </xf>
    <xf borderId="0" fillId="7" fontId="12" numFmtId="0" xfId="0" applyAlignment="1" applyFont="1">
      <alignment readingOrder="0" vertical="top"/>
    </xf>
    <xf borderId="0" fillId="9" fontId="13" numFmtId="0" xfId="0" applyAlignment="1" applyFill="1" applyFont="1">
      <alignment horizontal="center" vertical="top"/>
    </xf>
    <xf borderId="0" fillId="7" fontId="12" numFmtId="0" xfId="0" applyAlignment="1" applyFont="1">
      <alignment vertical="top"/>
    </xf>
    <xf borderId="0" fillId="4" fontId="9" numFmtId="164" xfId="0" applyAlignment="1" applyFont="1" applyNumberFormat="1">
      <alignment vertical="top"/>
    </xf>
    <xf borderId="0" fillId="7" fontId="18" numFmtId="0" xfId="0" applyAlignment="1" applyFont="1">
      <alignment readingOrder="0" vertical="top"/>
    </xf>
    <xf borderId="0" fillId="5" fontId="19" numFmtId="0" xfId="0" applyAlignment="1" applyFont="1">
      <alignment readingOrder="0" vertical="top"/>
    </xf>
    <xf borderId="0" fillId="4" fontId="10" numFmtId="0" xfId="0" applyAlignment="1" applyFont="1">
      <alignment shrinkToFit="0" vertical="top" wrapText="0"/>
    </xf>
    <xf borderId="0" fillId="7" fontId="20" numFmtId="0" xfId="0" applyAlignment="1" applyFont="1">
      <alignment readingOrder="0" vertical="top"/>
    </xf>
    <xf borderId="0" fillId="5" fontId="21" numFmtId="0" xfId="0" applyAlignment="1" applyFont="1">
      <alignment shrinkToFit="0" vertical="top" wrapText="0"/>
    </xf>
    <xf borderId="0" fillId="5" fontId="9" numFmtId="0" xfId="0" applyAlignment="1" applyFont="1">
      <alignment vertical="top"/>
    </xf>
    <xf borderId="0" fillId="5" fontId="9" numFmtId="164" xfId="0" applyAlignment="1" applyFont="1" applyNumberFormat="1">
      <alignment vertical="top"/>
    </xf>
    <xf borderId="0" fillId="5" fontId="22" numFmtId="0" xfId="0" applyAlignment="1" applyFont="1">
      <alignment vertical="top"/>
    </xf>
    <xf borderId="0" fillId="10" fontId="23" numFmtId="0" xfId="0" applyAlignment="1" applyFill="1" applyFont="1">
      <alignment horizontal="center" vertical="top"/>
    </xf>
    <xf borderId="0" fillId="5" fontId="12" numFmtId="0" xfId="0" applyAlignment="1" applyFont="1">
      <alignment vertical="top"/>
    </xf>
    <xf borderId="0" fillId="4" fontId="9" numFmtId="165" xfId="0" applyAlignment="1" applyFont="1" applyNumberFormat="1">
      <alignment vertical="top"/>
    </xf>
    <xf borderId="0" fillId="4" fontId="9" numFmtId="165" xfId="0" applyAlignment="1" applyFont="1" applyNumberFormat="1">
      <alignment vertical="top"/>
    </xf>
    <xf borderId="0" fillId="7" fontId="24" numFmtId="0" xfId="0" applyAlignment="1" applyFont="1">
      <alignment vertical="top"/>
    </xf>
    <xf borderId="0" fillId="5" fontId="25" numFmtId="0" xfId="0" applyAlignment="1" applyFont="1">
      <alignment vertical="top"/>
    </xf>
    <xf borderId="0" fillId="7" fontId="26" numFmtId="0" xfId="0" applyAlignment="1" applyFont="1">
      <alignment readingOrder="0" vertical="top"/>
    </xf>
    <xf borderId="0" fillId="7" fontId="12" numFmtId="4" xfId="0" applyAlignment="1" applyFont="1" applyNumberFormat="1">
      <alignment vertical="top"/>
    </xf>
    <xf borderId="0" fillId="5" fontId="12" numFmtId="4" xfId="0" applyAlignment="1" applyFont="1" applyNumberFormat="1">
      <alignment vertical="top"/>
    </xf>
    <xf borderId="0" fillId="4" fontId="9" numFmtId="4" xfId="0" applyAlignment="1" applyFont="1" applyNumberFormat="1">
      <alignment vertical="top"/>
    </xf>
    <xf borderId="0" fillId="5" fontId="9" numFmtId="4" xfId="0" applyAlignment="1" applyFont="1" applyNumberFormat="1">
      <alignment vertical="top"/>
    </xf>
    <xf borderId="0" fillId="7" fontId="12" numFmtId="4" xfId="0" applyAlignment="1" applyFont="1" applyNumberFormat="1">
      <alignment readingOrder="0" vertical="top"/>
    </xf>
    <xf borderId="0" fillId="3" fontId="4" numFmtId="0" xfId="0" applyAlignment="1" applyFont="1">
      <alignment horizontal="center" vertical="center"/>
    </xf>
    <xf borderId="0" fillId="3" fontId="4" numFmtId="164" xfId="0" applyAlignment="1" applyFont="1" applyNumberFormat="1">
      <alignment horizontal="center" readingOrder="0" shrinkToFit="0" vertical="center" wrapText="1"/>
    </xf>
    <xf borderId="0" fillId="4" fontId="10" numFmtId="0" xfId="0" applyAlignment="1" applyFont="1">
      <alignment vertical="top"/>
    </xf>
    <xf borderId="0" fillId="4" fontId="9" numFmtId="0" xfId="0" applyAlignment="1" applyFont="1">
      <alignment vertical="top"/>
    </xf>
    <xf borderId="0" fillId="7" fontId="11" numFmtId="0" xfId="0" applyAlignment="1" applyFont="1">
      <alignment vertical="top"/>
    </xf>
    <xf borderId="0" fillId="7" fontId="12" numFmtId="0" xfId="0" applyAlignment="1" applyFont="1">
      <alignment vertical="top"/>
    </xf>
    <xf borderId="0" fillId="8" fontId="13" numFmtId="0" xfId="0" applyAlignment="1" applyFont="1">
      <alignment horizontal="center" vertical="top"/>
    </xf>
    <xf borderId="0" fillId="5" fontId="11" numFmtId="0" xfId="0" applyAlignment="1" applyFont="1">
      <alignment vertical="top"/>
    </xf>
    <xf borderId="0" fillId="5" fontId="12" numFmtId="0" xfId="0" applyAlignment="1" applyFont="1">
      <alignment vertical="top"/>
    </xf>
    <xf borderId="0" fillId="0" fontId="9" numFmtId="0" xfId="0" applyAlignment="1" applyFont="1">
      <alignment vertical="bottom"/>
    </xf>
    <xf borderId="0" fillId="3" fontId="4" numFmtId="0" xfId="0" applyAlignment="1" applyFont="1">
      <alignment horizontal="center" vertical="center"/>
    </xf>
    <xf borderId="0" fillId="3" fontId="4" numFmtId="10" xfId="0" applyAlignment="1" applyFont="1" applyNumberFormat="1">
      <alignment horizontal="center" vertical="center"/>
    </xf>
    <xf borderId="0" fillId="3" fontId="4" numFmtId="10" xfId="0" applyAlignment="1" applyFont="1" applyNumberFormat="1">
      <alignment horizontal="center"/>
    </xf>
    <xf borderId="0" fillId="0" fontId="9" numFmtId="10" xfId="0" applyAlignment="1" applyFont="1" applyNumberFormat="1">
      <alignment vertical="center"/>
    </xf>
    <xf borderId="0" fillId="11" fontId="4" numFmtId="0" xfId="0" applyAlignment="1" applyFill="1" applyFont="1">
      <alignment vertical="bottom"/>
    </xf>
    <xf borderId="0" fillId="11" fontId="9" numFmtId="0" xfId="0" applyAlignment="1" applyFont="1">
      <alignment vertical="bottom"/>
    </xf>
    <xf borderId="0" fillId="11" fontId="9" numFmtId="164" xfId="0" applyFont="1" applyNumberFormat="1"/>
    <xf borderId="0" fillId="11" fontId="9" numFmtId="164" xfId="0" applyAlignment="1" applyFont="1" applyNumberFormat="1">
      <alignment vertical="bottom"/>
    </xf>
    <xf borderId="0" fillId="11" fontId="9" numFmtId="0" xfId="0" applyFont="1"/>
    <xf borderId="0" fillId="4" fontId="10" numFmtId="0" xfId="0" applyAlignment="1" applyFont="1">
      <alignment vertical="top"/>
    </xf>
    <xf borderId="0" fillId="4" fontId="9" numFmtId="0" xfId="0" applyAlignment="1" applyFont="1">
      <alignment vertical="top"/>
    </xf>
    <xf borderId="0" fillId="4" fontId="9" numFmtId="164" xfId="0" applyAlignment="1" applyFont="1" applyNumberFormat="1">
      <alignment vertical="top"/>
    </xf>
    <xf borderId="0" fillId="7" fontId="11" numFmtId="0" xfId="0" applyAlignment="1" applyFont="1">
      <alignment vertical="bottom"/>
    </xf>
    <xf borderId="0" fillId="7" fontId="27" numFmtId="0" xfId="0" applyAlignment="1" applyFont="1">
      <alignment vertical="bottom"/>
    </xf>
    <xf borderId="0" fillId="7" fontId="12" numFmtId="164" xfId="0" applyAlignment="1" applyFont="1" applyNumberFormat="1">
      <alignment horizontal="right" readingOrder="0" vertical="bottom"/>
    </xf>
    <xf borderId="0" fillId="7" fontId="13" numFmtId="10" xfId="0" applyAlignment="1" applyFont="1" applyNumberFormat="1">
      <alignment horizontal="right" vertical="bottom"/>
    </xf>
    <xf borderId="0" fillId="9" fontId="13" numFmtId="0" xfId="0" applyAlignment="1" applyFont="1">
      <alignment vertical="bottom"/>
    </xf>
    <xf borderId="0" fillId="5" fontId="11" numFmtId="0" xfId="0" applyAlignment="1" applyFont="1">
      <alignment vertical="bottom"/>
    </xf>
    <xf borderId="0" fillId="5" fontId="28" numFmtId="0" xfId="0" applyAlignment="1" applyFont="1">
      <alignment vertical="bottom"/>
    </xf>
    <xf borderId="0" fillId="5" fontId="12" numFmtId="164" xfId="0" applyAlignment="1" applyFont="1" applyNumberFormat="1">
      <alignment horizontal="right" readingOrder="0" vertical="bottom"/>
    </xf>
    <xf borderId="0" fillId="5" fontId="13" numFmtId="10" xfId="0" applyAlignment="1" applyFont="1" applyNumberFormat="1">
      <alignment horizontal="right" vertical="bottom"/>
    </xf>
    <xf borderId="0" fillId="6" fontId="13" numFmtId="0" xfId="0" applyAlignment="1" applyFont="1">
      <alignment vertical="bottom"/>
    </xf>
    <xf borderId="0" fillId="4" fontId="9" numFmtId="0" xfId="0" applyAlignment="1" applyFont="1">
      <alignment vertical="top"/>
    </xf>
    <xf borderId="0" fillId="4" fontId="9" numFmtId="0" xfId="0" applyAlignment="1" applyFont="1">
      <alignment vertical="top"/>
    </xf>
    <xf borderId="0" fillId="4" fontId="9" numFmtId="10" xfId="0" applyAlignment="1" applyFont="1" applyNumberFormat="1">
      <alignment vertical="top"/>
    </xf>
    <xf borderId="0" fillId="8" fontId="13" numFmtId="0" xfId="0" applyAlignment="1" applyFont="1">
      <alignment vertical="bottom"/>
    </xf>
    <xf borderId="0" fillId="0" fontId="13" numFmtId="0" xfId="0" applyAlignment="1" applyFont="1">
      <alignment horizontal="center" vertical="bottom"/>
    </xf>
    <xf borderId="0" fillId="11" fontId="9" numFmtId="10" xfId="0" applyAlignment="1" applyFont="1" applyNumberFormat="1">
      <alignment vertical="bottom"/>
    </xf>
    <xf borderId="0" fillId="6" fontId="13" numFmtId="10" xfId="0" applyAlignment="1" applyFont="1" applyNumberFormat="1">
      <alignment vertical="bottom"/>
    </xf>
    <xf borderId="0" fillId="5" fontId="13" numFmtId="0" xfId="0" applyAlignment="1" applyFont="1">
      <alignment vertical="bottom"/>
    </xf>
    <xf borderId="0" fillId="9" fontId="13" numFmtId="164" xfId="0" applyAlignment="1" applyFont="1" applyNumberFormat="1">
      <alignment vertical="bottom"/>
    </xf>
    <xf borderId="0" fillId="5" fontId="9" numFmtId="0" xfId="0" applyAlignment="1" applyFont="1">
      <alignment vertical="bottom"/>
    </xf>
    <xf borderId="0" fillId="0" fontId="9" numFmtId="0" xfId="0" applyAlignment="1" applyFont="1">
      <alignment vertical="bottom"/>
    </xf>
    <xf borderId="0" fillId="5" fontId="9" numFmtId="164" xfId="0" applyAlignment="1" applyFont="1" applyNumberFormat="1">
      <alignment vertical="bottom"/>
    </xf>
    <xf borderId="0" fillId="5" fontId="9" numFmtId="4" xfId="0" applyAlignment="1" applyFont="1" applyNumberFormat="1">
      <alignment vertical="bottom"/>
    </xf>
    <xf borderId="0" fillId="0" fontId="9" numFmtId="0" xfId="0" applyAlignment="1" applyFont="1">
      <alignment vertical="top"/>
    </xf>
    <xf borderId="0" fillId="0" fontId="9" numFmtId="0" xfId="0" applyAlignment="1" applyFont="1">
      <alignment vertical="bottom"/>
    </xf>
    <xf borderId="0" fillId="3" fontId="4" numFmtId="164" xfId="0" applyAlignment="1" applyFont="1" applyNumberFormat="1">
      <alignment horizontal="center" readingOrder="0" shrinkToFit="0" wrapText="1"/>
    </xf>
    <xf borderId="0" fillId="3" fontId="4" numFmtId="0" xfId="0" applyAlignment="1" applyFont="1">
      <alignment horizontal="center"/>
    </xf>
    <xf borderId="0" fillId="4" fontId="9" numFmtId="10" xfId="0" applyAlignment="1" applyFont="1" applyNumberFormat="1">
      <alignment vertical="top"/>
    </xf>
    <xf borderId="0" fillId="7" fontId="13" numFmtId="10" xfId="0" applyAlignment="1" applyFont="1" applyNumberFormat="1">
      <alignment horizontal="right" vertical="top"/>
    </xf>
    <xf borderId="0" fillId="6" fontId="13" numFmtId="0" xfId="0" applyAlignment="1" applyFont="1">
      <alignment horizontal="center" readingOrder="0" vertical="top"/>
    </xf>
    <xf borderId="0" fillId="10" fontId="23" numFmtId="0" xfId="0" applyAlignment="1" applyFont="1">
      <alignment horizontal="center" readingOrder="0" vertical="top"/>
    </xf>
    <xf borderId="0" fillId="8" fontId="13" numFmtId="0" xfId="0" applyAlignment="1" applyFont="1">
      <alignment horizontal="center" readingOrder="0" vertical="top"/>
    </xf>
    <xf borderId="0" fillId="9" fontId="13" numFmtId="0" xfId="0" applyAlignment="1" applyFont="1">
      <alignment horizontal="center" readingOrder="0" vertical="top"/>
    </xf>
    <xf borderId="0" fillId="5" fontId="12" numFmtId="165" xfId="0" applyAlignment="1" applyFont="1" applyNumberFormat="1">
      <alignment horizontal="right" readingOrder="0" vertical="bottom"/>
    </xf>
    <xf borderId="0" fillId="8" fontId="9" numFmtId="0" xfId="0" applyAlignment="1" applyFont="1">
      <alignment vertical="top"/>
    </xf>
    <xf borderId="0" fillId="5" fontId="15" numFmtId="10" xfId="0" applyAlignment="1" applyFont="1" applyNumberFormat="1">
      <alignment horizontal="right" vertical="top"/>
    </xf>
    <xf borderId="0" fillId="3" fontId="4" numFmtId="0" xfId="0" applyAlignment="1" applyFont="1">
      <alignment horizontal="center" shrinkToFit="0" vertical="center" wrapText="1"/>
    </xf>
    <xf borderId="0" fillId="0" fontId="9" numFmtId="0" xfId="0" applyAlignment="1" applyFont="1">
      <alignment vertical="bottom"/>
    </xf>
    <xf borderId="0" fillId="4" fontId="9" numFmtId="0" xfId="0" applyAlignment="1" applyFont="1">
      <alignment vertical="top"/>
    </xf>
    <xf borderId="0" fillId="0" fontId="9" numFmtId="0" xfId="0" applyAlignment="1" applyFont="1">
      <alignment vertical="top"/>
    </xf>
    <xf borderId="0" fillId="5" fontId="11" numFmtId="0" xfId="0" applyAlignment="1" applyFont="1">
      <alignment shrinkToFit="0" vertical="top" wrapText="1"/>
    </xf>
    <xf borderId="0" fillId="5" fontId="13" numFmtId="0" xfId="0" applyAlignment="1" applyFont="1">
      <alignment horizontal="right" vertical="top"/>
    </xf>
    <xf borderId="0" fillId="9" fontId="13" numFmtId="0" xfId="0" applyAlignment="1" applyFont="1">
      <alignment horizontal="center" vertical="top"/>
    </xf>
    <xf borderId="0" fillId="7" fontId="11" numFmtId="0" xfId="0" applyAlignment="1" applyFont="1">
      <alignment shrinkToFit="0" vertical="top" wrapText="1"/>
    </xf>
    <xf borderId="0" fillId="7" fontId="13" numFmtId="0" xfId="0" applyAlignment="1" applyFont="1">
      <alignment horizontal="right" vertical="top"/>
    </xf>
    <xf borderId="0" fillId="7" fontId="11" numFmtId="0" xfId="0" applyAlignment="1" applyFont="1">
      <alignment vertical="bottom"/>
    </xf>
    <xf borderId="0" fillId="7" fontId="29" numFmtId="0" xfId="0" applyAlignment="1" applyFont="1">
      <alignment vertical="bottom"/>
    </xf>
    <xf borderId="0" fillId="7" fontId="12" numFmtId="0" xfId="0" applyAlignment="1" applyFont="1">
      <alignment vertical="bottom"/>
    </xf>
    <xf borderId="0" fillId="7" fontId="15" numFmtId="10" xfId="0" applyAlignment="1" applyFont="1" applyNumberFormat="1">
      <alignment horizontal="right" vertical="bottom"/>
    </xf>
    <xf borderId="0" fillId="5" fontId="11" numFmtId="0" xfId="0" applyAlignment="1" applyFont="1">
      <alignment vertical="bottom"/>
    </xf>
    <xf borderId="0" fillId="5" fontId="30" numFmtId="0" xfId="0" applyAlignment="1" applyFont="1">
      <alignment vertical="bottom"/>
    </xf>
    <xf borderId="0" fillId="5" fontId="12" numFmtId="0" xfId="0" applyAlignment="1" applyFont="1">
      <alignment vertical="bottom"/>
    </xf>
    <xf borderId="0" fillId="0" fontId="31" numFmtId="0" xfId="0" applyAlignment="1" applyFont="1">
      <alignment readingOrder="0"/>
    </xf>
    <xf borderId="0" fillId="3" fontId="4" numFmtId="0" xfId="0" applyAlignment="1" applyFont="1">
      <alignment horizontal="center" readingOrder="0" vertical="center"/>
    </xf>
    <xf borderId="0" fillId="7" fontId="32" numFmtId="0" xfId="0" applyAlignment="1" applyFont="1">
      <alignment vertical="top"/>
    </xf>
    <xf borderId="0" fillId="4" fontId="9" numFmtId="165" xfId="0" applyAlignment="1" applyFont="1" applyNumberFormat="1">
      <alignment vertical="top"/>
    </xf>
    <xf borderId="0" fillId="7" fontId="15" numFmtId="10" xfId="0" applyAlignment="1" applyFont="1" applyNumberFormat="1">
      <alignment horizontal="right" readingOrder="0" vertical="top"/>
    </xf>
    <xf borderId="0" fillId="5" fontId="15" numFmtId="10" xfId="0" applyAlignment="1" applyFont="1" applyNumberFormat="1">
      <alignment horizontal="right" readingOrder="0" vertical="top"/>
    </xf>
    <xf borderId="0" fillId="5" fontId="9" numFmtId="0" xfId="0" applyAlignment="1" applyFont="1">
      <alignment vertical="top"/>
    </xf>
    <xf borderId="0" fillId="7" fontId="9" numFmtId="0" xfId="0" applyAlignment="1" applyFont="1">
      <alignment vertical="top"/>
    </xf>
    <xf borderId="0" fillId="6" fontId="9" numFmtId="0" xfId="0" applyAlignment="1" applyFont="1">
      <alignment vertical="top"/>
    </xf>
    <xf borderId="0" fillId="7" fontId="9" numFmtId="164" xfId="0" applyAlignment="1" applyFont="1" applyNumberFormat="1">
      <alignment vertical="top"/>
    </xf>
    <xf borderId="0" fillId="7" fontId="9" numFmtId="10" xfId="0" applyAlignment="1" applyFont="1" applyNumberFormat="1">
      <alignment vertical="top"/>
    </xf>
    <xf borderId="0" fillId="7" fontId="12" numFmtId="0" xfId="0" applyAlignment="1" applyFont="1">
      <alignment shrinkToFit="0" vertical="top" wrapText="0"/>
    </xf>
    <xf borderId="0" fillId="7" fontId="11" numFmtId="0" xfId="0" applyAlignment="1" applyFont="1">
      <alignment vertical="bottom"/>
    </xf>
    <xf borderId="0" fillId="7" fontId="11" numFmtId="4" xfId="0" applyAlignment="1" applyFont="1" applyNumberFormat="1">
      <alignment vertical="bottom"/>
    </xf>
    <xf borderId="0" fillId="9" fontId="13" numFmtId="164" xfId="0" applyAlignment="1" applyFont="1" applyNumberFormat="1">
      <alignment horizontal="center" vertical="top"/>
    </xf>
    <xf borderId="0" fillId="5" fontId="11" numFmtId="0" xfId="0" applyAlignment="1" applyFont="1">
      <alignment vertical="bottom"/>
    </xf>
    <xf borderId="0" fillId="5" fontId="33" numFmtId="0" xfId="0" applyAlignment="1" applyFont="1">
      <alignment vertical="bottom"/>
    </xf>
    <xf borderId="0" fillId="5" fontId="11" numFmtId="4" xfId="0" applyAlignment="1" applyFont="1" applyNumberFormat="1">
      <alignment vertical="bottom"/>
    </xf>
    <xf borderId="0" fillId="7" fontId="34" numFmtId="0" xfId="0" applyAlignment="1" applyFont="1">
      <alignment vertical="bottom"/>
    </xf>
    <xf borderId="0" fillId="5" fontId="35" numFmtId="0" xfId="0" applyAlignment="1" applyFont="1">
      <alignment vertical="bottom"/>
    </xf>
    <xf borderId="0" fillId="7" fontId="36" numFmtId="0" xfId="0" applyAlignment="1" applyFont="1">
      <alignment vertical="bottom"/>
    </xf>
    <xf borderId="0" fillId="4" fontId="9" numFmtId="4" xfId="0" applyAlignment="1" applyFont="1" applyNumberFormat="1">
      <alignment vertical="top"/>
    </xf>
    <xf borderId="0" fillId="8" fontId="13" numFmtId="2" xfId="0" applyAlignment="1" applyFont="1" applyNumberFormat="1">
      <alignment horizontal="center" vertical="top"/>
    </xf>
    <xf borderId="0" fillId="6" fontId="9" numFmtId="0" xfId="0" applyAlignment="1" applyFont="1">
      <alignment vertical="top"/>
    </xf>
    <xf borderId="0" fillId="8" fontId="13" numFmtId="164" xfId="0" applyAlignment="1" applyFont="1" applyNumberFormat="1">
      <alignment horizontal="center" vertical="top"/>
    </xf>
    <xf borderId="0" fillId="4" fontId="9" numFmtId="2" xfId="0" applyAlignment="1" applyFont="1" applyNumberFormat="1">
      <alignment vertical="top"/>
    </xf>
    <xf borderId="0" fillId="4" fontId="9" numFmtId="2" xfId="0" applyAlignment="1" applyFont="1" applyNumberFormat="1">
      <alignment vertical="top"/>
    </xf>
    <xf borderId="0" fillId="5" fontId="37" numFmtId="0" xfId="0" applyAlignment="1" applyFont="1">
      <alignment readingOrder="0" vertical="bottom"/>
    </xf>
    <xf borderId="0" fillId="9" fontId="13" numFmtId="2" xfId="0" applyAlignment="1" applyFont="1" applyNumberFormat="1">
      <alignment horizontal="center" vertical="top"/>
    </xf>
    <xf borderId="0" fillId="12" fontId="11" numFmtId="0" xfId="0" applyAlignment="1" applyFill="1" applyFont="1">
      <alignment vertical="bottom"/>
    </xf>
    <xf borderId="0" fillId="12" fontId="38" numFmtId="0" xfId="0" applyAlignment="1" applyFont="1">
      <alignment vertical="bottom"/>
    </xf>
    <xf borderId="0" fillId="12" fontId="11" numFmtId="4" xfId="0" applyAlignment="1" applyFont="1" applyNumberFormat="1">
      <alignment vertical="bottom"/>
    </xf>
    <xf borderId="0" fillId="12" fontId="9" numFmtId="164" xfId="0" applyAlignment="1" applyFont="1" applyNumberFormat="1">
      <alignment vertical="bottom"/>
    </xf>
    <xf borderId="0" fillId="12" fontId="13" numFmtId="10" xfId="0" applyAlignment="1" applyFont="1" applyNumberFormat="1">
      <alignment horizontal="right" vertical="bottom"/>
    </xf>
    <xf borderId="0" fillId="12" fontId="39" numFmtId="0" xfId="0" applyAlignment="1" applyFont="1">
      <alignment vertical="bottom"/>
    </xf>
    <xf borderId="0" fillId="5" fontId="40" numFmtId="0" xfId="0" applyAlignment="1" applyFont="1">
      <alignment horizontal="right" vertical="bottom"/>
    </xf>
    <xf borderId="0" fillId="0" fontId="9" numFmtId="4" xfId="0" applyAlignment="1" applyFont="1" applyNumberFormat="1">
      <alignment vertical="bottom"/>
    </xf>
    <xf borderId="0" fillId="0" fontId="9" numFmtId="2" xfId="0" applyAlignment="1" applyFont="1" applyNumberFormat="1">
      <alignment vertical="bottom"/>
    </xf>
    <xf borderId="0" fillId="0" fontId="9" numFmtId="164" xfId="0" applyAlignment="1" applyFont="1" applyNumberFormat="1">
      <alignment vertical="bottom"/>
    </xf>
    <xf borderId="0" fillId="0" fontId="9" numFmtId="10" xfId="0" applyAlignment="1" applyFont="1" applyNumberFormat="1">
      <alignment vertical="bottom"/>
    </xf>
    <xf borderId="0" fillId="7" fontId="9" numFmtId="0" xfId="0" applyAlignment="1" applyFont="1">
      <alignment vertical="bottom"/>
    </xf>
    <xf borderId="0" fillId="7" fontId="9" numFmtId="4" xfId="0" applyAlignment="1" applyFont="1" applyNumberFormat="1">
      <alignment vertical="bottom"/>
    </xf>
    <xf borderId="0" fillId="6" fontId="9" numFmtId="164" xfId="0" applyAlignment="1" applyFont="1" applyNumberFormat="1">
      <alignment vertical="top"/>
    </xf>
    <xf borderId="0" fillId="6" fontId="9" numFmtId="10" xfId="0" applyAlignment="1" applyFont="1" applyNumberFormat="1">
      <alignment vertical="top"/>
    </xf>
    <xf borderId="0" fillId="6" fontId="9" numFmtId="0" xfId="0" applyAlignment="1" applyFont="1">
      <alignment vertical="top"/>
    </xf>
    <xf borderId="0" fillId="3" fontId="41" numFmtId="0" xfId="0" applyAlignment="1" applyFont="1">
      <alignment horizontal="center" vertical="center"/>
    </xf>
    <xf borderId="0" fillId="11" fontId="4" numFmtId="0" xfId="0" applyFont="1"/>
    <xf borderId="0" fillId="11" fontId="9" numFmtId="0" xfId="0" applyFont="1"/>
    <xf borderId="0" fillId="3" fontId="4" numFmtId="164" xfId="0" applyAlignment="1" applyFont="1" applyNumberFormat="1">
      <alignment horizontal="center" shrinkToFit="0" vertical="center" wrapText="1"/>
    </xf>
    <xf borderId="0" fillId="4" fontId="9" numFmtId="10" xfId="0" applyAlignment="1" applyFont="1" applyNumberFormat="1">
      <alignment vertical="top"/>
    </xf>
    <xf borderId="0" fillId="7" fontId="42" numFmtId="0" xfId="0" applyAlignment="1" applyFont="1">
      <alignment shrinkToFit="0" vertical="top" wrapText="0"/>
    </xf>
    <xf borderId="0" fillId="5" fontId="42" numFmtId="0" xfId="0" applyAlignment="1" applyFont="1">
      <alignment shrinkToFit="0" vertical="top" wrapText="0"/>
    </xf>
    <xf borderId="0" fillId="5" fontId="11" numFmtId="0" xfId="0" applyAlignment="1" applyFont="1">
      <alignment shrinkToFit="0" vertical="top" wrapText="0"/>
    </xf>
    <xf borderId="0" fillId="7" fontId="42" numFmtId="0" xfId="0" applyAlignment="1" applyFont="1">
      <alignment readingOrder="0" shrinkToFit="0" vertical="top" wrapText="0"/>
    </xf>
    <xf borderId="0" fillId="5" fontId="43" numFmtId="0" xfId="0" applyAlignment="1" applyFont="1">
      <alignment readingOrder="0" vertical="top"/>
    </xf>
    <xf borderId="0" fillId="5" fontId="12" numFmtId="0" xfId="0" applyAlignment="1" applyFont="1">
      <alignment shrinkToFit="0" vertical="top" wrapText="0"/>
    </xf>
    <xf borderId="0" fillId="7" fontId="42" numFmtId="0" xfId="0" applyAlignment="1" applyFont="1">
      <alignment shrinkToFit="0" vertical="top" wrapText="0"/>
    </xf>
    <xf borderId="0" fillId="5" fontId="9" numFmtId="10" xfId="0" applyAlignment="1" applyFont="1" applyNumberFormat="1">
      <alignment vertical="top"/>
    </xf>
    <xf borderId="0" fillId="7" fontId="44" numFmtId="0" xfId="0" applyAlignment="1" applyFont="1">
      <alignment horizontal="left" readingOrder="0" shrinkToFit="0" vertical="top" wrapText="0"/>
    </xf>
    <xf borderId="0" fillId="7" fontId="9" numFmtId="0" xfId="0" applyAlignment="1" applyFont="1">
      <alignment vertical="top"/>
    </xf>
    <xf borderId="0" fillId="5" fontId="9" numFmtId="10" xfId="0" applyAlignment="1" applyFont="1" applyNumberFormat="1">
      <alignment horizontal="right" vertical="top"/>
    </xf>
    <xf borderId="0" fillId="5" fontId="11" numFmtId="4" xfId="0" applyAlignment="1" applyFont="1" applyNumberFormat="1">
      <alignment vertical="top"/>
    </xf>
    <xf borderId="0" fillId="7" fontId="12" numFmtId="0" xfId="0" applyAlignment="1" applyFont="1">
      <alignment shrinkToFit="0" vertical="top" wrapText="0"/>
    </xf>
    <xf borderId="0" fillId="5" fontId="42" numFmtId="0" xfId="0" applyAlignment="1" applyFont="1">
      <alignment shrinkToFit="0" vertical="top" wrapText="0"/>
    </xf>
    <xf borderId="0" fillId="5" fontId="42" numFmtId="0" xfId="0" applyAlignment="1" applyFont="1">
      <alignment vertical="top"/>
    </xf>
    <xf borderId="0" fillId="7" fontId="42" numFmtId="0" xfId="0" applyAlignment="1" applyFont="1">
      <alignment vertical="top"/>
    </xf>
    <xf borderId="0" fillId="7" fontId="9" numFmtId="10" xfId="0" applyAlignment="1" applyFont="1" applyNumberFormat="1">
      <alignment vertical="top"/>
    </xf>
    <xf borderId="0" fillId="7" fontId="42" numFmtId="0" xfId="0" applyAlignment="1" applyFont="1">
      <alignment vertical="top"/>
    </xf>
    <xf borderId="0" fillId="5" fontId="42" numFmtId="0" xfId="0" applyAlignment="1" applyFont="1">
      <alignment readingOrder="0" shrinkToFit="0" vertical="top" wrapText="0"/>
    </xf>
    <xf borderId="0" fillId="5" fontId="12" numFmtId="4" xfId="0" applyAlignment="1" applyFont="1" applyNumberFormat="1">
      <alignment shrinkToFit="0" vertical="top" wrapText="0"/>
    </xf>
    <xf borderId="0" fillId="3" fontId="9" numFmtId="0" xfId="0" applyAlignment="1" applyFont="1">
      <alignment vertical="bottom"/>
    </xf>
    <xf borderId="0" fillId="3" fontId="4" numFmtId="0" xfId="0" applyAlignment="1" applyFont="1">
      <alignment horizontal="center" vertical="bottom"/>
    </xf>
    <xf borderId="0" fillId="3" fontId="4" numFmtId="10" xfId="0" applyAlignment="1" applyFont="1" applyNumberFormat="1">
      <alignment horizontal="center" vertical="bottom"/>
    </xf>
    <xf borderId="0" fillId="11" fontId="4" numFmtId="0" xfId="0" applyAlignment="1" applyFont="1">
      <alignment vertical="bottom"/>
    </xf>
    <xf borderId="0" fillId="11" fontId="9" numFmtId="164" xfId="0" applyAlignment="1" applyFont="1" applyNumberFormat="1">
      <alignment vertical="bottom"/>
    </xf>
    <xf borderId="0" fillId="4" fontId="10" numFmtId="0" xfId="0" applyAlignment="1" applyFont="1">
      <alignment vertical="bottom"/>
    </xf>
    <xf borderId="0" fillId="4" fontId="9" numFmtId="0" xfId="0" applyAlignment="1" applyFont="1">
      <alignment vertical="bottom"/>
    </xf>
    <xf borderId="0" fillId="4" fontId="9" numFmtId="164" xfId="0" applyAlignment="1" applyFont="1" applyNumberFormat="1">
      <alignment vertical="bottom"/>
    </xf>
    <xf borderId="0" fillId="4" fontId="9" numFmtId="10" xfId="0" applyAlignment="1" applyFont="1" applyNumberFormat="1">
      <alignment vertical="bottom"/>
    </xf>
    <xf borderId="0" fillId="7" fontId="9" numFmtId="164" xfId="0" applyAlignment="1" applyFont="1" applyNumberFormat="1">
      <alignment vertical="bottom"/>
    </xf>
    <xf borderId="0" fillId="7" fontId="9" numFmtId="10" xfId="0" applyAlignment="1" applyFont="1" applyNumberFormat="1">
      <alignment vertical="bottom"/>
    </xf>
    <xf borderId="0" fillId="0" fontId="9" numFmtId="4" xfId="0" applyAlignment="1" applyFont="1" applyNumberFormat="1">
      <alignment vertical="bottom"/>
    </xf>
    <xf borderId="0" fillId="2" fontId="9" numFmtId="0" xfId="0" applyAlignment="1" applyFont="1">
      <alignment vertical="bottom"/>
    </xf>
    <xf borderId="0" fillId="2" fontId="9" numFmtId="10" xfId="0" applyAlignment="1" applyFont="1" applyNumberFormat="1">
      <alignment vertical="bottom"/>
    </xf>
    <xf borderId="16" fillId="11" fontId="4" numFmtId="0" xfId="0" applyAlignment="1" applyBorder="1" applyFont="1">
      <alignment vertical="top"/>
    </xf>
    <xf borderId="17" fillId="11" fontId="9" numFmtId="0" xfId="0" applyAlignment="1" applyBorder="1" applyFont="1">
      <alignment vertical="top"/>
    </xf>
    <xf borderId="17" fillId="11" fontId="9" numFmtId="164" xfId="0" applyBorder="1" applyFont="1" applyNumberFormat="1"/>
    <xf borderId="17" fillId="11" fontId="9" numFmtId="165" xfId="0" applyBorder="1" applyFont="1" applyNumberFormat="1"/>
    <xf borderId="17" fillId="11" fontId="9" numFmtId="10" xfId="0" applyAlignment="1" applyBorder="1" applyFont="1" applyNumberFormat="1">
      <alignment vertical="top"/>
    </xf>
    <xf borderId="18" fillId="11" fontId="9" numFmtId="0" xfId="0" applyAlignment="1" applyBorder="1" applyFont="1">
      <alignment vertical="top"/>
    </xf>
    <xf borderId="0" fillId="7" fontId="11" numFmtId="164" xfId="0" applyAlignment="1" applyFont="1" applyNumberFormat="1">
      <alignment horizontal="right" readingOrder="0" vertical="bottom"/>
    </xf>
    <xf borderId="0" fillId="6" fontId="13" numFmtId="0" xfId="0" applyAlignment="1" applyFont="1">
      <alignment horizontal="center" vertical="top"/>
    </xf>
    <xf borderId="0" fillId="5" fontId="11" numFmtId="164" xfId="0" applyAlignment="1" applyFont="1" applyNumberFormat="1">
      <alignment horizontal="right" readingOrder="0" vertical="bottom"/>
    </xf>
    <xf borderId="0" fillId="4" fontId="10" numFmtId="3" xfId="0" applyAlignment="1" applyFont="1" applyNumberFormat="1">
      <alignment vertical="top"/>
    </xf>
    <xf borderId="0" fillId="7" fontId="45" numFmtId="0" xfId="0" applyAlignment="1" applyFont="1">
      <alignment vertical="top"/>
    </xf>
    <xf borderId="0" fillId="7" fontId="11" numFmtId="0" xfId="0" applyAlignment="1" applyFont="1">
      <alignment vertical="top"/>
    </xf>
    <xf borderId="0" fillId="5" fontId="11" numFmtId="0" xfId="0" applyAlignment="1" applyFont="1">
      <alignment vertical="top"/>
    </xf>
    <xf borderId="0" fillId="11" fontId="4" numFmtId="0" xfId="0" applyAlignment="1" applyFont="1">
      <alignment vertical="top"/>
    </xf>
    <xf borderId="0" fillId="11" fontId="9" numFmtId="0" xfId="0" applyAlignment="1" applyFont="1">
      <alignment vertical="top"/>
    </xf>
    <xf borderId="0" fillId="11" fontId="9" numFmtId="10" xfId="0" applyFont="1" applyNumberFormat="1"/>
    <xf borderId="0" fillId="11" fontId="9" numFmtId="165" xfId="0" applyFont="1" applyNumberFormat="1"/>
    <xf borderId="0" fillId="11" fontId="9" numFmtId="10" xfId="0" applyAlignment="1" applyFont="1" applyNumberFormat="1">
      <alignment vertical="top"/>
    </xf>
    <xf borderId="18" fillId="11" fontId="9" numFmtId="2" xfId="0" applyAlignment="1" applyBorder="1" applyFont="1" applyNumberFormat="1">
      <alignment vertical="top"/>
    </xf>
    <xf borderId="0" fillId="7" fontId="11" numFmtId="164" xfId="0" applyAlignment="1" applyFont="1" applyNumberFormat="1">
      <alignment horizontal="right" readingOrder="0" vertical="top"/>
    </xf>
    <xf borderId="0" fillId="5" fontId="11" numFmtId="164" xfId="0" applyAlignment="1" applyFont="1" applyNumberFormat="1">
      <alignment horizontal="right" readingOrder="0" vertical="top"/>
    </xf>
    <xf borderId="0" fillId="6" fontId="13" numFmtId="2" xfId="0" applyAlignment="1" applyFont="1" applyNumberFormat="1">
      <alignment horizontal="center" vertical="top"/>
    </xf>
    <xf borderId="0" fillId="5" fontId="46" numFmtId="0" xfId="0" applyAlignment="1" applyFont="1">
      <alignment vertical="top"/>
    </xf>
    <xf borderId="17" fillId="11" fontId="9" numFmtId="2" xfId="0" applyAlignment="1" applyBorder="1" applyFont="1" applyNumberFormat="1">
      <alignment vertical="top"/>
    </xf>
    <xf borderId="0" fillId="7" fontId="11" numFmtId="164" xfId="0" applyAlignment="1" applyFont="1" applyNumberFormat="1">
      <alignment readingOrder="0" vertical="bottom"/>
    </xf>
    <xf borderId="0" fillId="5" fontId="13" numFmtId="0" xfId="0" applyAlignment="1" applyFont="1">
      <alignment horizontal="right" readingOrder="0" vertical="top"/>
    </xf>
    <xf borderId="0" fillId="0" fontId="9" numFmtId="0" xfId="0" applyAlignment="1" applyFont="1">
      <alignment vertical="top"/>
    </xf>
    <xf borderId="0" fillId="0" fontId="9" numFmtId="164" xfId="0" applyAlignment="1" applyFont="1" applyNumberFormat="1">
      <alignment vertical="bottom"/>
    </xf>
    <xf borderId="0" fillId="0" fontId="9" numFmtId="165" xfId="0" applyAlignment="1" applyFont="1" applyNumberFormat="1">
      <alignment vertical="bottom"/>
    </xf>
    <xf borderId="0" fillId="0" fontId="9" numFmtId="10" xfId="0" applyAlignment="1" applyFont="1" applyNumberFormat="1">
      <alignment vertical="top"/>
    </xf>
    <xf borderId="0" fillId="0" fontId="9" numFmtId="0" xfId="0" applyAlignment="1" applyFont="1">
      <alignment horizontal="center" vertical="top"/>
    </xf>
    <xf borderId="0" fillId="4" fontId="10" numFmtId="0" xfId="0" applyAlignment="1" applyFont="1">
      <alignment vertical="center"/>
    </xf>
    <xf borderId="0" fillId="4" fontId="9" numFmtId="0" xfId="0" applyAlignment="1" applyFont="1">
      <alignment vertical="center"/>
    </xf>
    <xf borderId="0" fillId="7" fontId="11" numFmtId="0" xfId="0" applyAlignment="1" applyFont="1">
      <alignment vertical="center"/>
    </xf>
    <xf borderId="0" fillId="7" fontId="47" numFmtId="0" xfId="0" applyAlignment="1" applyFont="1">
      <alignment vertical="center"/>
    </xf>
    <xf borderId="0" fillId="7" fontId="13" numFmtId="10" xfId="0" applyAlignment="1" applyFont="1" applyNumberFormat="1">
      <alignment horizontal="right" vertical="center"/>
    </xf>
    <xf borderId="0" fillId="5" fontId="11" numFmtId="0" xfId="0" applyAlignment="1" applyFont="1">
      <alignment vertical="center"/>
    </xf>
    <xf borderId="0" fillId="5" fontId="48" numFmtId="0" xfId="0" applyAlignment="1" applyFont="1">
      <alignment vertical="center"/>
    </xf>
    <xf borderId="0" fillId="5" fontId="13" numFmtId="10" xfId="0" applyAlignment="1" applyFont="1" applyNumberFormat="1">
      <alignment horizontal="right" vertical="center"/>
    </xf>
    <xf borderId="0" fillId="7" fontId="9" numFmtId="0" xfId="0" applyAlignment="1" applyFont="1">
      <alignment vertical="center"/>
    </xf>
    <xf borderId="0" fillId="5" fontId="9" numFmtId="10" xfId="0" applyAlignment="1" applyFont="1" applyNumberFormat="1">
      <alignment vertical="center"/>
    </xf>
    <xf borderId="0" fillId="7" fontId="49" numFmtId="0" xfId="0" applyAlignment="1" applyFont="1">
      <alignment vertical="center"/>
    </xf>
    <xf borderId="0" fillId="4" fontId="9" numFmtId="164" xfId="0" applyAlignment="1" applyFont="1" applyNumberFormat="1">
      <alignment vertical="center"/>
    </xf>
    <xf borderId="0" fillId="0" fontId="9" numFmtId="0" xfId="0" applyAlignment="1" applyFont="1">
      <alignment vertical="center"/>
    </xf>
    <xf borderId="0" fillId="0" fontId="9" numFmtId="2" xfId="0" applyAlignment="1" applyFont="1" applyNumberFormat="1">
      <alignment vertical="bottom"/>
    </xf>
    <xf borderId="0" fillId="0" fontId="9" numFmtId="2" xfId="0" applyAlignment="1" applyFont="1" applyNumberFormat="1">
      <alignment vertical="center"/>
    </xf>
    <xf borderId="0" fillId="0" fontId="9" numFmtId="164" xfId="0" applyAlignment="1" applyFont="1" applyNumberFormat="1">
      <alignment vertical="center"/>
    </xf>
    <xf borderId="0" fillId="0" fontId="9" numFmtId="4" xfId="0" applyAlignment="1" applyFont="1" applyNumberFormat="1">
      <alignment vertical="center"/>
    </xf>
    <xf borderId="0" fillId="7" fontId="9" numFmtId="4" xfId="0" applyAlignment="1" applyFont="1" applyNumberFormat="1">
      <alignment vertical="bottom"/>
    </xf>
    <xf borderId="0" fillId="7" fontId="11" numFmtId="4" xfId="0" applyAlignment="1" applyFont="1" applyNumberFormat="1">
      <alignment readingOrder="0" vertical="bottom"/>
    </xf>
    <xf borderId="0" fillId="5" fontId="12" numFmtId="4" xfId="0" applyAlignment="1" applyFont="1" applyNumberFormat="1">
      <alignment horizontal="right" vertical="bottom"/>
    </xf>
    <xf borderId="0" fillId="7" fontId="12" numFmtId="4" xfId="0" applyAlignment="1" applyFont="1" applyNumberFormat="1">
      <alignment horizontal="right" vertical="bottom"/>
    </xf>
    <xf borderId="0" fillId="4" fontId="9" numFmtId="4" xfId="0" applyAlignment="1" applyFont="1" applyNumberFormat="1">
      <alignment vertical="top"/>
    </xf>
    <xf borderId="0" fillId="0" fontId="13" numFmtId="0" xfId="0" applyAlignment="1" applyFont="1">
      <alignment horizontal="center" vertical="top"/>
    </xf>
    <xf borderId="0" fillId="4" fontId="9" numFmtId="0" xfId="0" applyAlignment="1" applyFont="1">
      <alignment readingOrder="0" vertical="top"/>
    </xf>
    <xf borderId="0" fillId="5" fontId="11" numFmtId="4" xfId="0" applyAlignment="1" applyFont="1" applyNumberFormat="1">
      <alignment readingOrder="0" vertical="bottom"/>
    </xf>
    <xf borderId="0" fillId="7" fontId="9" numFmtId="0" xfId="0" applyAlignment="1" applyFont="1">
      <alignment vertical="bottom"/>
    </xf>
    <xf borderId="0" fillId="5" fontId="13" numFmtId="10" xfId="0" applyAlignment="1" applyFont="1" applyNumberFormat="1">
      <alignment horizontal="right" readingOrder="0" vertical="bottom"/>
    </xf>
    <xf borderId="0" fillId="7" fontId="15" numFmtId="10" xfId="0" applyAlignment="1" applyFont="1" applyNumberFormat="1">
      <alignment horizontal="right" readingOrder="0" vertical="bottom"/>
    </xf>
    <xf borderId="0" fillId="5" fontId="12" numFmtId="4" xfId="0" applyAlignment="1" applyFont="1" applyNumberFormat="1">
      <alignment horizontal="right" vertical="top"/>
    </xf>
    <xf borderId="0" fillId="5" fontId="15" numFmtId="10" xfId="0" applyAlignment="1" applyFont="1" applyNumberFormat="1">
      <alignment horizontal="right" vertical="bottom"/>
    </xf>
    <xf borderId="0" fillId="5" fontId="13" numFmtId="10" xfId="0" applyAlignment="1" applyFont="1" applyNumberFormat="1">
      <alignment horizontal="center" vertical="bottom"/>
    </xf>
    <xf borderId="0" fillId="7" fontId="9" numFmtId="10" xfId="0" applyAlignment="1" applyFont="1" applyNumberFormat="1">
      <alignment vertical="bottom"/>
    </xf>
    <xf borderId="0" fillId="7" fontId="11" numFmtId="0" xfId="0" applyAlignment="1" applyFont="1">
      <alignment readingOrder="0" vertical="top"/>
    </xf>
    <xf borderId="0" fillId="5" fontId="11" numFmtId="0" xfId="0" applyAlignment="1" applyFont="1">
      <alignment readingOrder="0" vertical="top"/>
    </xf>
    <xf borderId="0" fillId="7" fontId="13" numFmtId="10" xfId="0" applyAlignment="1" applyFont="1" applyNumberFormat="1">
      <alignment horizontal="right" readingOrder="0" vertical="top"/>
    </xf>
    <xf borderId="0" fillId="5" fontId="13" numFmtId="10" xfId="0" applyAlignment="1" applyFont="1" applyNumberFormat="1">
      <alignment horizontal="right" readingOrder="0" vertical="top"/>
    </xf>
    <xf borderId="0" fillId="0" fontId="9" numFmtId="0" xfId="0" applyAlignment="1" applyFont="1">
      <alignment readingOrder="0" vertical="bottom"/>
    </xf>
    <xf borderId="0" fillId="3" fontId="4" numFmtId="4" xfId="0" applyAlignment="1" applyFont="1" applyNumberFormat="1">
      <alignment horizontal="center" vertical="bottom"/>
    </xf>
    <xf borderId="0" fillId="7" fontId="50" numFmtId="0" xfId="0" applyAlignment="1" applyFont="1">
      <alignment readingOrder="0" vertical="bottom"/>
    </xf>
    <xf borderId="0" fillId="5" fontId="9" numFmtId="4" xfId="0" applyAlignment="1" applyFont="1" applyNumberFormat="1">
      <alignment vertical="bottom"/>
    </xf>
    <xf borderId="0" fillId="7" fontId="9" numFmtId="164" xfId="0" applyAlignment="1" applyFont="1" applyNumberFormat="1">
      <alignment vertical="bottom"/>
    </xf>
    <xf borderId="0" fillId="11" fontId="9" numFmtId="0" xfId="0" applyAlignment="1" applyFont="1">
      <alignment vertical="top"/>
    </xf>
    <xf borderId="0" fillId="11" fontId="9" numFmtId="10" xfId="0" applyAlignment="1" applyFont="1" applyNumberFormat="1">
      <alignment vertical="top"/>
    </xf>
    <xf borderId="0" fillId="4" fontId="51" numFmtId="0" xfId="0" applyAlignment="1" applyFont="1">
      <alignment vertical="top"/>
    </xf>
    <xf borderId="0" fillId="7" fontId="11" numFmtId="4" xfId="0" applyAlignment="1" applyFont="1" applyNumberFormat="1">
      <alignment vertical="top"/>
    </xf>
    <xf borderId="0" fillId="5" fontId="9" numFmtId="4" xfId="0" applyAlignment="1" applyFont="1" applyNumberFormat="1">
      <alignment vertical="top"/>
    </xf>
    <xf borderId="0" fillId="5" fontId="9" numFmtId="0" xfId="0" applyAlignment="1" applyFont="1">
      <alignment vertical="top"/>
    </xf>
    <xf borderId="0" fillId="5" fontId="9" numFmtId="10" xfId="0" applyAlignment="1" applyFont="1" applyNumberFormat="1">
      <alignment vertical="top"/>
    </xf>
    <xf borderId="0" fillId="9" fontId="9" numFmtId="0" xfId="0" applyAlignment="1" applyFont="1">
      <alignment vertical="top"/>
    </xf>
    <xf borderId="0" fillId="9" fontId="9" numFmtId="164" xfId="0" applyAlignment="1" applyFont="1" applyNumberFormat="1">
      <alignment vertical="top"/>
    </xf>
    <xf borderId="0" fillId="9" fontId="9" numFmtId="2" xfId="0" applyAlignment="1" applyFont="1" applyNumberFormat="1">
      <alignment vertical="top"/>
    </xf>
    <xf borderId="0" fillId="0" fontId="9" numFmtId="0" xfId="0" applyAlignment="1" applyFont="1">
      <alignment vertical="center"/>
    </xf>
    <xf borderId="19" fillId="11" fontId="4" numFmtId="0" xfId="0" applyAlignment="1" applyBorder="1" applyFont="1">
      <alignment shrinkToFit="0" vertical="top" wrapText="0"/>
    </xf>
    <xf borderId="19" fillId="11" fontId="9" numFmtId="0" xfId="0" applyAlignment="1" applyBorder="1" applyFont="1">
      <alignment vertical="top"/>
    </xf>
    <xf borderId="0" fillId="0" fontId="9" numFmtId="166" xfId="0" applyAlignment="1" applyFont="1" applyNumberFormat="1">
      <alignment vertical="top"/>
    </xf>
    <xf borderId="16" fillId="4" fontId="10" numFmtId="0" xfId="0" applyAlignment="1" applyBorder="1" applyFont="1">
      <alignment vertical="top"/>
    </xf>
    <xf borderId="17" fillId="4" fontId="9" numFmtId="0" xfId="0" applyAlignment="1" applyBorder="1" applyFont="1">
      <alignment vertical="top"/>
    </xf>
    <xf borderId="17" fillId="4" fontId="9" numFmtId="0" xfId="0" applyAlignment="1" applyBorder="1" applyFont="1">
      <alignment vertical="top"/>
    </xf>
    <xf borderId="18" fillId="4" fontId="9" numFmtId="0" xfId="0" applyAlignment="1" applyBorder="1" applyFont="1">
      <alignment vertical="top"/>
    </xf>
    <xf borderId="0" fillId="7" fontId="12" numFmtId="0" xfId="0" applyAlignment="1" applyFont="1">
      <alignment vertical="bottom"/>
    </xf>
    <xf borderId="0" fillId="9" fontId="13" numFmtId="0" xfId="0" applyAlignment="1" applyFont="1">
      <alignment vertical="top"/>
    </xf>
    <xf borderId="20" fillId="4" fontId="10" numFmtId="0" xfId="0" applyAlignment="1" applyBorder="1" applyFont="1">
      <alignment vertical="top"/>
    </xf>
    <xf borderId="19" fillId="4" fontId="9" numFmtId="0" xfId="0" applyAlignment="1" applyBorder="1" applyFont="1">
      <alignment vertical="top"/>
    </xf>
    <xf borderId="21" fillId="4" fontId="9" numFmtId="0" xfId="0" applyAlignment="1" applyBorder="1" applyFont="1">
      <alignment vertical="top"/>
    </xf>
    <xf borderId="0" fillId="2" fontId="9" numFmtId="0" xfId="0" applyAlignment="1" applyFont="1">
      <alignment vertical="top"/>
    </xf>
    <xf borderId="0" fillId="2" fontId="9" numFmtId="166" xfId="0" applyAlignment="1" applyFont="1" applyNumberFormat="1">
      <alignment vertical="top"/>
    </xf>
    <xf borderId="0" fillId="8" fontId="13" numFmtId="0" xfId="0" applyAlignment="1" applyFont="1">
      <alignment vertical="top"/>
    </xf>
    <xf borderId="0" fillId="11" fontId="9" numFmtId="0" xfId="0" applyAlignment="1" applyFont="1">
      <alignment vertical="top"/>
    </xf>
    <xf borderId="0" fillId="4" fontId="10" numFmtId="0" xfId="0" applyAlignment="1" applyFont="1">
      <alignment readingOrder="0" vertical="top"/>
    </xf>
    <xf borderId="0" fillId="6" fontId="13" numFmtId="0" xfId="0" applyAlignment="1" applyFont="1">
      <alignment vertical="top"/>
    </xf>
    <xf borderId="0" fillId="11" fontId="4" numFmtId="0" xfId="0" applyAlignment="1" applyFont="1">
      <alignment shrinkToFit="0" vertical="top" wrapText="0"/>
    </xf>
    <xf borderId="0" fillId="13" fontId="9" numFmtId="0" xfId="0" applyAlignment="1" applyFill="1" applyFont="1">
      <alignment vertical="top"/>
    </xf>
    <xf borderId="0" fillId="3" fontId="4" numFmtId="164" xfId="0" applyAlignment="1" applyFont="1" applyNumberFormat="1">
      <alignment horizontal="center" shrinkToFit="0" vertical="center" wrapText="1"/>
    </xf>
    <xf borderId="16" fillId="12" fontId="52" numFmtId="0" xfId="0" applyAlignment="1" applyBorder="1" applyFont="1">
      <alignment horizontal="center"/>
    </xf>
    <xf borderId="17" fillId="0" fontId="2" numFmtId="0" xfId="0" applyBorder="1" applyFont="1"/>
    <xf borderId="18" fillId="0" fontId="2" numFmtId="0" xfId="0" applyBorder="1" applyFont="1"/>
    <xf borderId="0" fillId="3" fontId="4" numFmtId="165" xfId="0" applyAlignment="1" applyFont="1" applyNumberFormat="1">
      <alignment horizontal="center" shrinkToFit="0" vertical="center" wrapText="1"/>
    </xf>
    <xf borderId="16" fillId="10" fontId="53" numFmtId="0" xfId="0" applyAlignment="1" applyBorder="1" applyFont="1">
      <alignment horizontal="center" vertical="bottom"/>
    </xf>
    <xf borderId="17" fillId="10" fontId="54" numFmtId="0" xfId="0" applyAlignment="1" applyBorder="1" applyFont="1">
      <alignment horizontal="center" vertical="bottom"/>
    </xf>
    <xf borderId="17" fillId="10" fontId="53" numFmtId="0" xfId="0" applyAlignment="1" applyBorder="1" applyFont="1">
      <alignment horizontal="center" vertical="bottom"/>
    </xf>
    <xf borderId="18" fillId="10" fontId="53" numFmtId="0" xfId="0" applyAlignment="1" applyBorder="1" applyFont="1">
      <alignment horizontal="center" vertical="bottom"/>
    </xf>
    <xf borderId="0" fillId="7" fontId="12" numFmtId="164" xfId="0" applyAlignment="1" applyFont="1" applyNumberFormat="1">
      <alignment horizontal="right" vertical="bottom"/>
    </xf>
    <xf borderId="0" fillId="7" fontId="15" numFmtId="0" xfId="0" applyAlignment="1" applyFont="1">
      <alignment horizontal="center" vertical="bottom"/>
    </xf>
    <xf borderId="0" fillId="6" fontId="13" numFmtId="0" xfId="0" applyAlignment="1" applyFont="1">
      <alignment horizontal="center" vertical="top"/>
    </xf>
    <xf borderId="0" fillId="5" fontId="12" numFmtId="164" xfId="0" applyAlignment="1" applyFont="1" applyNumberFormat="1">
      <alignment horizontal="right" vertical="bottom"/>
    </xf>
    <xf borderId="0" fillId="5" fontId="15" numFmtId="0" xfId="0" applyAlignment="1" applyFont="1">
      <alignment horizontal="center" vertical="bottom"/>
    </xf>
    <xf borderId="16" fillId="14" fontId="55" numFmtId="0" xfId="0" applyAlignment="1" applyBorder="1" applyFill="1" applyFont="1">
      <alignment horizontal="center" vertical="bottom"/>
    </xf>
    <xf borderId="17" fillId="14" fontId="56" numFmtId="0" xfId="0" applyAlignment="1" applyBorder="1" applyFont="1">
      <alignment horizontal="center" vertical="bottom"/>
    </xf>
    <xf borderId="17" fillId="14" fontId="55" numFmtId="0" xfId="0" applyAlignment="1" applyBorder="1" applyFont="1">
      <alignment horizontal="center" vertical="bottom"/>
    </xf>
    <xf borderId="18" fillId="14" fontId="55" numFmtId="0" xfId="0" applyAlignment="1" applyBorder="1" applyFont="1">
      <alignment horizontal="center" vertical="bottom"/>
    </xf>
    <xf borderId="0" fillId="5" fontId="13" numFmtId="0" xfId="0" applyAlignment="1" applyFont="1">
      <alignment horizontal="center" vertical="bottom"/>
    </xf>
    <xf borderId="0" fillId="6" fontId="13" numFmtId="0" xfId="0" applyAlignment="1" applyFont="1">
      <alignment horizontal="center" vertical="bottom"/>
    </xf>
    <xf borderId="0" fillId="7" fontId="13" numFmtId="0" xfId="0" applyAlignment="1" applyFont="1">
      <alignment horizontal="center" vertical="bottom"/>
    </xf>
    <xf borderId="16" fillId="15" fontId="52" numFmtId="0" xfId="0" applyAlignment="1" applyBorder="1" applyFill="1" applyFont="1">
      <alignment horizontal="center" vertical="bottom"/>
    </xf>
    <xf borderId="17" fillId="15" fontId="57" numFmtId="0" xfId="0" applyAlignment="1" applyBorder="1" applyFont="1">
      <alignment horizontal="center" vertical="bottom"/>
    </xf>
    <xf borderId="17" fillId="15" fontId="52" numFmtId="0" xfId="0" applyAlignment="1" applyBorder="1" applyFont="1">
      <alignment horizontal="center" vertical="bottom"/>
    </xf>
    <xf borderId="18" fillId="15" fontId="52" numFmtId="0" xfId="0" applyAlignment="1" applyBorder="1" applyFont="1">
      <alignment horizontal="center" vertical="bottom"/>
    </xf>
    <xf borderId="0" fillId="7" fontId="12" numFmtId="4" xfId="0" applyAlignment="1" applyFont="1" applyNumberFormat="1">
      <alignment vertical="bottom"/>
    </xf>
    <xf borderId="0" fillId="5" fontId="12" numFmtId="4" xfId="0" applyAlignment="1" applyFont="1" applyNumberFormat="1">
      <alignment vertical="bottom"/>
    </xf>
    <xf borderId="16" fillId="16" fontId="55" numFmtId="0" xfId="0" applyAlignment="1" applyBorder="1" applyFill="1" applyFont="1">
      <alignment horizontal="center" vertical="bottom"/>
    </xf>
    <xf borderId="17" fillId="16" fontId="56" numFmtId="0" xfId="0" applyAlignment="1" applyBorder="1" applyFont="1">
      <alignment horizontal="center" vertical="bottom"/>
    </xf>
    <xf borderId="17" fillId="16" fontId="55" numFmtId="0" xfId="0" applyAlignment="1" applyBorder="1" applyFont="1">
      <alignment horizontal="center" vertical="bottom"/>
    </xf>
    <xf borderId="18" fillId="16" fontId="55" numFmtId="0" xfId="0" applyAlignment="1" applyBorder="1" applyFont="1">
      <alignment horizontal="center" vertical="bottom"/>
    </xf>
    <xf borderId="0" fillId="7" fontId="12" numFmtId="164" xfId="0" applyAlignment="1" applyFont="1" applyNumberFormat="1">
      <alignment horizontal="right" vertical="top"/>
    </xf>
    <xf borderId="16" fillId="17" fontId="55" numFmtId="0" xfId="0" applyAlignment="1" applyBorder="1" applyFill="1" applyFont="1">
      <alignment horizontal="center" vertical="bottom"/>
    </xf>
    <xf borderId="17" fillId="17" fontId="56" numFmtId="0" xfId="0" applyAlignment="1" applyBorder="1" applyFont="1">
      <alignment horizontal="center" vertical="bottom"/>
    </xf>
    <xf borderId="17" fillId="17" fontId="55" numFmtId="0" xfId="0" applyAlignment="1" applyBorder="1" applyFont="1">
      <alignment horizontal="center" vertical="bottom"/>
    </xf>
    <xf borderId="17" fillId="17" fontId="55" numFmtId="0" xfId="0" applyAlignment="1" applyBorder="1" applyFont="1">
      <alignment horizontal="center" readingOrder="0" vertical="bottom"/>
    </xf>
    <xf borderId="18" fillId="17" fontId="55" numFmtId="0" xfId="0" applyAlignment="1" applyBorder="1" applyFont="1">
      <alignment horizontal="center" vertical="bottom"/>
    </xf>
    <xf borderId="0" fillId="0" fontId="58" numFmtId="0" xfId="0" applyAlignment="1" applyFont="1">
      <alignment shrinkToFit="0" vertical="bottom" wrapText="0"/>
    </xf>
    <xf borderId="0" fillId="0" fontId="58" numFmtId="0" xfId="0" applyAlignment="1" applyFont="1">
      <alignment readingOrder="0" shrinkToFit="0" vertical="bottom" wrapText="0"/>
    </xf>
    <xf borderId="0" fillId="0" fontId="58" numFmtId="0" xfId="0" applyAlignment="1" applyFont="1">
      <alignment shrinkToFit="0" vertical="bottom" wrapText="0"/>
    </xf>
    <xf borderId="0" fillId="0" fontId="58" numFmtId="0" xfId="0" applyAlignment="1" applyFont="1">
      <alignment shrinkToFit="0" vertical="bottom" wrapText="0"/>
    </xf>
    <xf borderId="0" fillId="0" fontId="58" numFmtId="49" xfId="0" applyAlignment="1" applyFont="1" applyNumberFormat="1">
      <alignment readingOrder="0" shrinkToFit="0" vertical="bottom" wrapText="0"/>
    </xf>
  </cellXfs>
  <cellStyles count="1">
    <cellStyle xfId="0" name="Normal" builtinId="0"/>
  </cellStyles>
  <dxfs count="4">
    <dxf>
      <font>
        <color rgb="FF1C4587"/>
      </font>
      <fill>
        <patternFill patternType="solid">
          <fgColor rgb="FFA4C2F4"/>
          <bgColor rgb="FFA4C2F4"/>
        </patternFill>
      </fill>
      <border/>
    </dxf>
    <dxf>
      <font/>
      <fill>
        <patternFill patternType="solid">
          <fgColor rgb="FFB7E1CD"/>
          <bgColor rgb="FFB7E1CD"/>
        </patternFill>
      </fill>
      <border/>
    </dxf>
    <dxf>
      <font/>
      <fill>
        <patternFill patternType="solid">
          <fgColor rgb="FFFCE8B2"/>
          <bgColor rgb="FFFCE8B2"/>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7"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09625" cy="200025"/>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12</xdr:row>
      <xdr:rowOff>0</xdr:rowOff>
    </xdr:from>
    <xdr:ext cx="190500"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google.com.ar/maps/place/Tr%C3%ADpoli+4029,+C1419DSA+CABA/data=!4m2!3m1!1s0x95bcb6479a6a9abb:0x92657ef0b4343bf7?sa=X&amp;ved=0ahUKEwi-59713KPRAhXHIpAKHaRaCR4Q8gEILDAH" TargetMode="External"/><Relationship Id="rId2" Type="http://schemas.openxmlformats.org/officeDocument/2006/relationships/hyperlink" Target="https://wa.me/5491124091399" TargetMode="External"/><Relationship Id="rId3" Type="http://schemas.openxmlformats.org/officeDocument/2006/relationships/hyperlink" Target="http://www.arstech.com.ar/"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commerce.boschsecurity.com/es/es/Horn-loudspeaker-15W-long-throw-SIP/p/F.01U.389.835/" TargetMode="External"/><Relationship Id="rId2" Type="http://schemas.openxmlformats.org/officeDocument/2006/relationships/hyperlink" Target="https://commerce.boschsecurity.com/es/es/Horn-loudspeaker-15W-wide-angle-SIP/p/F.01U.389.865/" TargetMode="External"/><Relationship Id="rId3" Type="http://schemas.openxmlformats.org/officeDocument/2006/relationships/hyperlink" Target="https://commerce.boschsecurity.com/us/en/Amplifier-module-15W-SIP/p/F.01U.389.866/"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k-m.de/us/products/microphone-stands/boom-arms/211-boom-arm-black?c=3740" TargetMode="External"/><Relationship Id="rId2" Type="http://schemas.openxmlformats.org/officeDocument/2006/relationships/hyperlink" Target="https://www.k-m.de/us/products/microphone-stands/floor-stands/microphone-stands-with-boom/210-8-microphone-stand-chrome" TargetMode="External"/><Relationship Id="rId3" Type="http://schemas.openxmlformats.org/officeDocument/2006/relationships/hyperlink" Target="https://www.k-m.de/en/products/microphone-stands/floor-stands/microphone-stands-with-boom/21080-microphone-stand-soft-touch-gray" TargetMode="External"/><Relationship Id="rId4" Type="http://schemas.openxmlformats.org/officeDocument/2006/relationships/hyperlink" Target="https://www.k-m.de/en/products/microphone-stands/floor-stands/microphone-stands-with-boom/25400-microphone-stand-black" TargetMode="External"/><Relationship Id="rId9" Type="http://schemas.openxmlformats.org/officeDocument/2006/relationships/hyperlink" Target="https://www.k-m.de/en/products/speaker-lighting-monitor-stands-and-holders/speaker-stands/26735-speaker-stand-black" TargetMode="External"/><Relationship Id="rId5" Type="http://schemas.openxmlformats.org/officeDocument/2006/relationships/hyperlink" Target="https://www.k-m.de/us/products/microphone-stands/floor-stands/microphone-stands-with-boom/25600-microphone-stand-black" TargetMode="External"/><Relationship Id="rId6" Type="http://schemas.openxmlformats.org/officeDocument/2006/relationships/hyperlink" Target="https://www.k-m.de/us/products/microphone-stands/boom-arms/21140-boom-arm-black?c=3740" TargetMode="External"/><Relationship Id="rId7" Type="http://schemas.openxmlformats.org/officeDocument/2006/relationships/hyperlink" Target="https://www.k-m.de/us/products/microphone-stands/floor-stands/microphone-stands-with-boom/210-2-microphone-stand-black" TargetMode="External"/><Relationship Id="rId8" Type="http://schemas.openxmlformats.org/officeDocument/2006/relationships/hyperlink" Target="https://www.k-m.de/en/products/microphone-stands/boom-arms/21231-boom-arm-black" TargetMode="External"/><Relationship Id="rId40" Type="http://schemas.openxmlformats.org/officeDocument/2006/relationships/hyperlink" Target="https://www.k-m.de/en/products/microphone-stands/floor-stands/special-stands-with-boom/259-1-microphone-stand-black" TargetMode="External"/><Relationship Id="rId42" Type="http://schemas.openxmlformats.org/officeDocument/2006/relationships/hyperlink" Target="https://www.k-m.de/us/products/microphone-stands/floor-stands/microphone-stands-without-boom/260-microphone-stand-black" TargetMode="External"/><Relationship Id="rId41" Type="http://schemas.openxmlformats.org/officeDocument/2006/relationships/hyperlink" Target="https://www.k-m.de/en/products/microphone-stands/floor-stands/special-stands-with-boom/25950-microphone-stand-rien-black" TargetMode="External"/><Relationship Id="rId44" Type="http://schemas.openxmlformats.org/officeDocument/2006/relationships/hyperlink" Target="https://www.k-m.de/en/products/microphone-stands/floor-stands/special-stands-with-boom/25900-microphone-stand-soft-touch-gray" TargetMode="External"/><Relationship Id="rId43" Type="http://schemas.openxmlformats.org/officeDocument/2006/relationships/hyperlink" Target="https://www.k-m.de/us/products/microphone-stands/floor-stands/microphone-stands-without-boom/201-2-microphone-stand-black" TargetMode="External"/><Relationship Id="rId46" Type="http://schemas.openxmlformats.org/officeDocument/2006/relationships/hyperlink" Target="https://www.k-m.de/en/products/microphone-stands/floor-stands/microphone-stands-without-boom/260-1-microphone-stand-black" TargetMode="External"/><Relationship Id="rId45" Type="http://schemas.openxmlformats.org/officeDocument/2006/relationships/hyperlink" Target="https://www.k-m.de/en/products/microphone-stands/floor-stands/microphone-stands-without-boom/26007-microphone-stand-tube-combination-black" TargetMode="External"/><Relationship Id="rId48" Type="http://schemas.openxmlformats.org/officeDocument/2006/relationships/hyperlink" Target="https://www.k-m.de/en/products/microphone-stands/floor-stands/microphone-stands-with-boom/25400-microphone-stand-black" TargetMode="External"/><Relationship Id="rId47" Type="http://schemas.openxmlformats.org/officeDocument/2006/relationships/hyperlink" Target="https://www.k-m.de/en/products/microphone-stands/floor-stands/microphone-stands-with-boom/210-2-microphone-stand-black" TargetMode="External"/><Relationship Id="rId49" Type="http://schemas.openxmlformats.org/officeDocument/2006/relationships/hyperlink" Target="https://www.k-m.de/en/products/microphone-stands/floor-stands/microphone-stands-with-boom/25600-microphone-stand-black" TargetMode="External"/><Relationship Id="rId31" Type="http://schemas.openxmlformats.org/officeDocument/2006/relationships/hyperlink" Target="https://www.k-m.de/en/products/microphone-stands/accessories/microphone-clips/85060-microphone-clip-black-3-8-and-5-8" TargetMode="External"/><Relationship Id="rId30" Type="http://schemas.openxmlformats.org/officeDocument/2006/relationships/hyperlink" Target="https://www.k-m.de/en/products/microphone-stands/accessories/microphone-clips/85050-microphone-clip-black-3-8-and-5-8" TargetMode="External"/><Relationship Id="rId33" Type="http://schemas.openxmlformats.org/officeDocument/2006/relationships/hyperlink" Target="https://www.k-m.de/en/products/microphone-stands/microphone-desk-arms/23860-microphone-desk-arm-black" TargetMode="External"/><Relationship Id="rId32" Type="http://schemas.openxmlformats.org/officeDocument/2006/relationships/hyperlink" Target="https://www.k-m.de/en/products/microphone-stands/boom-arms/211-1-boom-arm-black" TargetMode="External"/><Relationship Id="rId35" Type="http://schemas.openxmlformats.org/officeDocument/2006/relationships/hyperlink" Target="https://www.k-m.de/en/products/microphone-stands/microphone-holders/24035-microphone-holder-for-drums-black" TargetMode="External"/><Relationship Id="rId34" Type="http://schemas.openxmlformats.org/officeDocument/2006/relationships/hyperlink" Target="https://www.k-m.de/us/products/microphone-stands/microphone-holders/24030-microphone-holder-for-drums-black" TargetMode="External"/><Relationship Id="rId37" Type="http://schemas.openxmlformats.org/officeDocument/2006/relationships/hyperlink" Target="https://www.k-m.de/us/products/microphone-stands/floor-stands/special-stands-with-boom/25993-microphone-stand-black" TargetMode="External"/><Relationship Id="rId36" Type="http://schemas.openxmlformats.org/officeDocument/2006/relationships/hyperlink" Target="https://www.k-m.de/us/products/microphone-stands/floor-stands/special-stands-with-boom/25950-microphone-stand-rien-black" TargetMode="External"/><Relationship Id="rId39" Type="http://schemas.openxmlformats.org/officeDocument/2006/relationships/hyperlink" Target="https://www.k-m.de/en/products/microphone-stands/microphone-holders/24035-microphone-holder-for-drums-black" TargetMode="External"/><Relationship Id="rId38" Type="http://schemas.openxmlformats.org/officeDocument/2006/relationships/hyperlink" Target="https://www.k-m.de/en/products/microphone-stands/microphone-holders/24030-microphone-holder-for-drums-black" TargetMode="External"/><Relationship Id="rId20" Type="http://schemas.openxmlformats.org/officeDocument/2006/relationships/hyperlink" Target="https://www.k-m.de/en/products/speaker-lighting-monitor-stands-and-holders/monitor-stands/26792-bearing-plate-structured-black-320-x-5-x-280-mm-3-63-kg" TargetMode="External"/><Relationship Id="rId22" Type="http://schemas.openxmlformats.org/officeDocument/2006/relationships/hyperlink" Target="https://www.k-m.de/en/products/accessories-for-stage-studio-and-home-recording/headphone-holders/16075-headphone-table-stand-sand-beige" TargetMode="External"/><Relationship Id="rId21" Type="http://schemas.openxmlformats.org/officeDocument/2006/relationships/hyperlink" Target="https://www.k-m.de/us/products/speaker-lighting-monitor-stands-and-holders/monitor-stands/26792-bearing-plate-structured-black-9-449-x-0-197-x-7-874-4-122-lbs" TargetMode="External"/><Relationship Id="rId24" Type="http://schemas.openxmlformats.org/officeDocument/2006/relationships/hyperlink" Target="https://www.k-m.de/en/products/accessories-for-stage-studio-and-home-recording/headphone-holders/16075-headphone-table-stand-gray" TargetMode="External"/><Relationship Id="rId23" Type="http://schemas.openxmlformats.org/officeDocument/2006/relationships/hyperlink" Target="https://www.k-m.de/en/products/accessories-for-stage-studio-and-home-recording/headphone-holders/16075-headphone-table-stand-structured-black" TargetMode="External"/><Relationship Id="rId26" Type="http://schemas.openxmlformats.org/officeDocument/2006/relationships/hyperlink" Target="https://www.k-m.de/en/products/microphone-stands/microphone-fishing-poles/23765-microphone-fishing-pole-black" TargetMode="External"/><Relationship Id="rId25" Type="http://schemas.openxmlformats.org/officeDocument/2006/relationships/hyperlink" Target="https://www.k-m.de/en/products/accessories-for-stage-studio-and-home-recording/headphone-holders/16090-headphone-holder-black" TargetMode="External"/><Relationship Id="rId28" Type="http://schemas.openxmlformats.org/officeDocument/2006/relationships/hyperlink" Target="https://www.k-m.de/en/products/microphone-stands/accessories/microphone-clips/85055-microphone-clip-black-3-8-and-5-8" TargetMode="External"/><Relationship Id="rId27" Type="http://schemas.openxmlformats.org/officeDocument/2006/relationships/hyperlink" Target="https://www.k-m.de/en/products/microphone-stands/microphone-fishing-poles/23783-microphone-fishing-pole-xl-black" TargetMode="External"/><Relationship Id="rId29" Type="http://schemas.openxmlformats.org/officeDocument/2006/relationships/hyperlink" Target="https://www.k-m.de/en/products/microphone-stands/accessories/microphone-clips/85035-microphone-clip-black-3-8-and-5-8" TargetMode="External"/><Relationship Id="rId11" Type="http://schemas.openxmlformats.org/officeDocument/2006/relationships/hyperlink" Target="https://www.k-m.de/en/products/speaker-lighting-monitor-stands-and-holders/monitor-stands/26774-table-monitor-stand-structured-black" TargetMode="External"/><Relationship Id="rId10" Type="http://schemas.openxmlformats.org/officeDocument/2006/relationships/hyperlink" Target="https://www.k-m.de/en/products/speaker-lighting-monitor-stands-and-holders/monitor-stands/26776-tiltable-desktop-monitor-stand-black" TargetMode="External"/><Relationship Id="rId13" Type="http://schemas.openxmlformats.org/officeDocument/2006/relationships/hyperlink" Target="https://www.k-m.de/en/products/speaker-lighting-monitor-stands-and-holders/monitor-stands/26778-tiltable-clamping-desktop-monitor-stand-black" TargetMode="External"/><Relationship Id="rId12" Type="http://schemas.openxmlformats.org/officeDocument/2006/relationships/hyperlink" Target="https://www.k-m.de/en/products/speaker-lighting-monitor-stands-and-holders/monitor-stands/26777-clamping-desktop-monitor-stand-black" TargetMode="External"/><Relationship Id="rId15" Type="http://schemas.openxmlformats.org/officeDocument/2006/relationships/hyperlink" Target="https://www.k-m.de/en/products/speaker-lighting-monitor-stands-and-holders/speaker-wall-mounts/24166-speaker-wall-mount-m-black" TargetMode="External"/><Relationship Id="rId14" Type="http://schemas.openxmlformats.org/officeDocument/2006/relationships/hyperlink" Target="https://www.k-m.de/en/products/speaker-lighting-monitor-stands-and-holders/speaker-wall-mounts/24167-speaker-wall-mount-l-black" TargetMode="External"/><Relationship Id="rId17" Type="http://schemas.openxmlformats.org/officeDocument/2006/relationships/hyperlink" Target="https://www.k-m.de/en/products/speaker-lighting-monitor-stands-and-holders/speaker-stands/21467-speaker-stand-ring-lock-black" TargetMode="External"/><Relationship Id="rId16" Type="http://schemas.openxmlformats.org/officeDocument/2006/relationships/hyperlink" Target="https://www.k-m.de/en/products/speaker-lighting-monitor-stands-and-holders/speaker-stands/21459-speaker-stand-package-black" TargetMode="External"/><Relationship Id="rId19" Type="http://schemas.openxmlformats.org/officeDocument/2006/relationships/hyperlink" Target="https://www.k-m.de/en/products/speaker-lighting-monitor-stands-and-holders/monitor-stands/26795-design-monitor-stand-structured-black" TargetMode="External"/><Relationship Id="rId18" Type="http://schemas.openxmlformats.org/officeDocument/2006/relationships/hyperlink" Target="https://www.k-m.de/en/products/speaker-lighting-monitor-stands-and-holders/speaker-stands/21436-speaker-stand-black" TargetMode="External"/><Relationship Id="rId84" Type="http://schemas.openxmlformats.org/officeDocument/2006/relationships/hyperlink" Target="https://www.k-m.de/en/products/keyboard-stands/keyboard-tables/18822-stacker-pure-white" TargetMode="External"/><Relationship Id="rId83" Type="http://schemas.openxmlformats.org/officeDocument/2006/relationships/hyperlink" Target="https://www.k-m.de/en/products/keyboard-stands/keyboard-tables/18811-stacker-pure-white" TargetMode="External"/><Relationship Id="rId86" Type="http://schemas.openxmlformats.org/officeDocument/2006/relationships/hyperlink" Target="https://www.k-m.de/en/products/keyboard-stands/keyboard-tables/18811-stacker-black" TargetMode="External"/><Relationship Id="rId85" Type="http://schemas.openxmlformats.org/officeDocument/2006/relationships/hyperlink" Target="https://www.k-m.de/en/products/keyboard-stands/keyboard-tables/18820-table-style-keyboard-stand-omega-pro-black?number=18820-019-55" TargetMode="External"/><Relationship Id="rId88" Type="http://schemas.openxmlformats.org/officeDocument/2006/relationships/hyperlink" Target="https://www.k-m.de/en/products/keyboard-stands/keyboard-tables/18814-adapter-black" TargetMode="External"/><Relationship Id="rId87" Type="http://schemas.openxmlformats.org/officeDocument/2006/relationships/hyperlink" Target="https://www.k-m.de/en/products/keyboard-stands/keyboard-tables/18822-stacker-black" TargetMode="External"/><Relationship Id="rId89" Type="http://schemas.openxmlformats.org/officeDocument/2006/relationships/hyperlink" Target="https://www.k-m.de/en/products/keyboard-stands/keyboard-tables/18817-universal-holder-black" TargetMode="External"/><Relationship Id="rId80" Type="http://schemas.openxmlformats.org/officeDocument/2006/relationships/hyperlink" Target="https://www.k-m.de/en/products/keyboard-stands/keyboard-tables/18811-stacker-ruby-red?number=18811-000-91" TargetMode="External"/><Relationship Id="rId82" Type="http://schemas.openxmlformats.org/officeDocument/2006/relationships/hyperlink" Target="https://www.k-m.de/en/products/keyboard-stands/keyboard-tables/18820-table-style-keyboard-stand-omega-pro-pure-white" TargetMode="External"/><Relationship Id="rId81" Type="http://schemas.openxmlformats.org/officeDocument/2006/relationships/hyperlink" Target="https://www.k-m.de/en/products/keyboard-stands/keyboard-tables/18822-stacker-ruby-red" TargetMode="External"/><Relationship Id="rId73" Type="http://schemas.openxmlformats.org/officeDocument/2006/relationships/hyperlink" Target="https://www.k-m.de/en/products/mic-stands/accessories/21927-thread-adapter-zinc-plated" TargetMode="External"/><Relationship Id="rId72" Type="http://schemas.openxmlformats.org/officeDocument/2006/relationships/hyperlink" Target="https://www.k-m.de/en/products/microphone-stands/accessories/thread-adapters/21922-thread-adapter-black-zinc-plated" TargetMode="External"/><Relationship Id="rId75" Type="http://schemas.openxmlformats.org/officeDocument/2006/relationships/hyperlink" Target="https://www.k-m.de/us/products/microphone-stands/accessories/thread-adapters/21980-thread-adapter-zinc-plated" TargetMode="External"/><Relationship Id="rId74" Type="http://schemas.openxmlformats.org/officeDocument/2006/relationships/hyperlink" Target="https://www.k-m.de/en/products/microphone-stands/accessories/thread-adapters/21950-thread-adapter-black-passivated" TargetMode="External"/><Relationship Id="rId77" Type="http://schemas.openxmlformats.org/officeDocument/2006/relationships/hyperlink" Target="https://www.k-m.de/en/products/drummer-s-thrones-benches-stools/stools/14046-pneumatic-stool-black-fabric" TargetMode="External"/><Relationship Id="rId76" Type="http://schemas.openxmlformats.org/officeDocument/2006/relationships/hyperlink" Target="https://www.k-m.de/en/products/microphone-stands/microphone-holders/23723-universal-clamp-black-3-8" TargetMode="External"/><Relationship Id="rId79" Type="http://schemas.openxmlformats.org/officeDocument/2006/relationships/hyperlink" Target="https://www.k-m.de/en/products/keyboard-stands/keyboard-tables/18820-table-style-keyboard-stand-omega-pro-ruby-red?number=18820-019-91" TargetMode="External"/><Relationship Id="rId78" Type="http://schemas.openxmlformats.org/officeDocument/2006/relationships/hyperlink" Target="https://www.k-m.de/en/products/drummer-s-thrones-benches-stools/accessories-for-thrones-and-stools/14041-carrying-case" TargetMode="External"/><Relationship Id="rId71" Type="http://schemas.openxmlformats.org/officeDocument/2006/relationships/hyperlink" Target="https://www.k-m.de/en/products/microphone-stands/accessories/thread-adapters/21920-thread-adapter-zinc-plated" TargetMode="External"/><Relationship Id="rId70" Type="http://schemas.openxmlformats.org/officeDocument/2006/relationships/hyperlink" Target="https://www.k-m.de/en/products/microphone-stands/accessories/thread-adapters/21918-thread-adapter-zinc-plated" TargetMode="External"/><Relationship Id="rId62" Type="http://schemas.openxmlformats.org/officeDocument/2006/relationships/hyperlink" Target="https://www.k-m.de/en/products/multimedia-equipment/holders/19790-tablet-pc-stand-holder-black-3-8" TargetMode="External"/><Relationship Id="rId61" Type="http://schemas.openxmlformats.org/officeDocument/2006/relationships/hyperlink" Target="https://www.k-m.de/en/products/multimedia-equipment/holders/19791-tablet-pc-holder-black" TargetMode="External"/><Relationship Id="rId64" Type="http://schemas.openxmlformats.org/officeDocument/2006/relationships/hyperlink" Target="https://www.k-m.de/en/products/microphone-stands/accessories/thread-adapters/215-thread-adapter-zinc-plated" TargetMode="External"/><Relationship Id="rId63" Type="http://schemas.openxmlformats.org/officeDocument/2006/relationships/hyperlink" Target="https://www.k-m.de/en/products/microphone-stands/accessories/thread-adapters/215-thread-adapter-zinc-plated" TargetMode="External"/><Relationship Id="rId66" Type="http://schemas.openxmlformats.org/officeDocument/2006/relationships/hyperlink" Target="http://n/" TargetMode="External"/><Relationship Id="rId65" Type="http://schemas.openxmlformats.org/officeDocument/2006/relationships/hyperlink" Target="https://www.k-m.de/en/products/mic-stands/accessories/217-thread-adapter-zinc-plated" TargetMode="External"/><Relationship Id="rId68" Type="http://schemas.openxmlformats.org/officeDocument/2006/relationships/hyperlink" Target="https://www.k-m.de/en/products/microphone-stands/accessories/thread-adapters/21770-thread-adapter-zinc-plated" TargetMode="External"/><Relationship Id="rId67" Type="http://schemas.openxmlformats.org/officeDocument/2006/relationships/hyperlink" Target="https://www.k-m.de/en/products/mic-stands/accessories/219-thread-adapter-zinc-plated" TargetMode="External"/><Relationship Id="rId60" Type="http://schemas.openxmlformats.org/officeDocument/2006/relationships/hyperlink" Target="https://www.k-m.de/en/products/mic-stands/table-stands-table-bases/23105-table-microphone-stand-black-3-8" TargetMode="External"/><Relationship Id="rId69" Type="http://schemas.openxmlformats.org/officeDocument/2006/relationships/hyperlink" Target="https://www.k-m.de/en/products/microphone-stands/accessories/thread-adapters/21900-thread-adapter-zinc-plated" TargetMode="External"/><Relationship Id="rId51" Type="http://schemas.openxmlformats.org/officeDocument/2006/relationships/hyperlink" Target="https://www.k-m.de/en/products/microphone-stands/table-stands-table-bases/29376-microphone-table-base-black" TargetMode="External"/><Relationship Id="rId50" Type="http://schemas.openxmlformats.org/officeDocument/2006/relationships/hyperlink" Target="https://www.k-m.de/en/products/microphone-stands/table-stands-table-bases/29375-microphone-table-base-black" TargetMode="External"/><Relationship Id="rId53" Type="http://schemas.openxmlformats.org/officeDocument/2006/relationships/hyperlink" Target="https://www.k-m.de/en/products/multimedia-equipment/stands/19783-desktop-camera-stand-black" TargetMode="External"/><Relationship Id="rId52" Type="http://schemas.openxmlformats.org/officeDocument/2006/relationships/hyperlink" Target="https://www.k-m.de/en/products/microphone-stands/popkiller/23956-popkiller-black" TargetMode="External"/><Relationship Id="rId55" Type="http://schemas.openxmlformats.org/officeDocument/2006/relationships/hyperlink" Target="https://www.k-m.de/en/products/multimedia-equipment/holders/19747-smartphone-holder-black" TargetMode="External"/><Relationship Id="rId54" Type="http://schemas.openxmlformats.org/officeDocument/2006/relationships/hyperlink" Target="https://www.k-m.de/us/products/multimedia-equipment/stands/19746-desktop-smartphone-stand-black" TargetMode="External"/><Relationship Id="rId57" Type="http://schemas.openxmlformats.org/officeDocument/2006/relationships/hyperlink" Target="https://www.k-m.de/en/products/microphone-stands/microphone-holders/23720-table-clamp-black-3-8" TargetMode="External"/><Relationship Id="rId56" Type="http://schemas.openxmlformats.org/officeDocument/2006/relationships/hyperlink" Target="https://www.k-m.de/en/products/multimedia-equipment/stands/19850-smartphone-stand-black" TargetMode="External"/><Relationship Id="rId59" Type="http://schemas.openxmlformats.org/officeDocument/2006/relationships/hyperlink" Target="https://www.k-m.de/en/products/microphone-stands/microphone-holders/258-table-microphone-clamp-black" TargetMode="External"/><Relationship Id="rId58" Type="http://schemas.openxmlformats.org/officeDocument/2006/relationships/hyperlink" Target="https://www.k-m.de/en/products/microphone-stands/table-stands-table-bases/232-table-microphone-stand-black" TargetMode="External"/><Relationship Id="rId107" Type="http://schemas.openxmlformats.org/officeDocument/2006/relationships/hyperlink" Target="https://www.k-m.de/en/products/microphone-stands/accessories/miscellaneous-accessories/26009-base-plate-structured-black" TargetMode="External"/><Relationship Id="rId106" Type="http://schemas.openxmlformats.org/officeDocument/2006/relationships/hyperlink" Target="https://www.k-m.de/en/products/speaker-lighting-monitor-stands-and-holders/distance-and-extension-rods/26700-base-plate-structured-black" TargetMode="External"/><Relationship Id="rId105" Type="http://schemas.openxmlformats.org/officeDocument/2006/relationships/hyperlink" Target="https://www.k-m.de/us/products/microphone-stands/floor-stands/microphone-stands-without-boom/26007-microphone-stand-tube-combination-black" TargetMode="External"/><Relationship Id="rId104" Type="http://schemas.openxmlformats.org/officeDocument/2006/relationships/hyperlink" Target="https://www.k-m.de/en/products/speaker-lighting-monitor-stands-and-holders/lighting-stands-accessories/crossbars/21394-screw-fitting-set-black-unit-4-pcs" TargetMode="External"/><Relationship Id="rId109" Type="http://schemas.openxmlformats.org/officeDocument/2006/relationships/hyperlink" Target="https://www.k-m.de/us/products/microphone-stands/accessories/microphone-bars/23560-microphone-bar-black" TargetMode="External"/><Relationship Id="rId108" Type="http://schemas.openxmlformats.org/officeDocument/2006/relationships/hyperlink" Target="https://www.k-m.de/en/products/speaker-lighting-and-monitor-stands-and-holders/distance-and-extension-rods/26706-base-plate-structured-black" TargetMode="External"/><Relationship Id="rId103" Type="http://schemas.openxmlformats.org/officeDocument/2006/relationships/hyperlink" Target="https://www.k-m.de/en/products/speaker-lighting-monitor-stands-and-holders/lighting-stands-accessories/crossbars/213-9-crossbar-black" TargetMode="External"/><Relationship Id="rId102" Type="http://schemas.openxmlformats.org/officeDocument/2006/relationships/hyperlink" Target="https://www.k-m.de/en/products/speaker-lighting-monitor-stands-and-holders/lighting-stands-accessories/crossbars/21393-crossbar-black" TargetMode="External"/><Relationship Id="rId101" Type="http://schemas.openxmlformats.org/officeDocument/2006/relationships/hyperlink" Target="https://www.k-m.de/en/products/speaker-lighting-and-monitor-stands-and-holders/speaker-wall-mounts/24463-cover-for-speaker-wall-mount-black?number=24463-000-55" TargetMode="External"/><Relationship Id="rId100" Type="http://schemas.openxmlformats.org/officeDocument/2006/relationships/hyperlink" Target="https://www.k-m.de/en/products/speaker-lighting-monitor-stands-and-holders/speaker-wall-mounts/24463-cover-for-speaker-wall-mount-white" TargetMode="External"/><Relationship Id="rId95" Type="http://schemas.openxmlformats.org/officeDocument/2006/relationships/hyperlink" Target="https://www.k-m.de/en/products/microphone-stands/floor-stands/microphone-stands-without-boom/20150-microphone-stand-xl-black" TargetMode="External"/><Relationship Id="rId94" Type="http://schemas.openxmlformats.org/officeDocument/2006/relationships/hyperlink" Target="https://www.k-m.de/en/products/speaker-lighting-monitor-stands-and-holders/accessories-for-speaker-stands/speaker-stands-miscellaneous/21406-cable-clamp-black" TargetMode="External"/><Relationship Id="rId97" Type="http://schemas.openxmlformats.org/officeDocument/2006/relationships/hyperlink" Target="https://www.k-m.de/en/products/microphone-stands/accessories/microphone-clips/85070-microphone-clip-black-3-8-and-5-8" TargetMode="External"/><Relationship Id="rId96" Type="http://schemas.openxmlformats.org/officeDocument/2006/relationships/hyperlink" Target="https://www.k-m.de/en/products/microphone-stands/wall-ceiling-mounts/24350-universal-wall-mount-black" TargetMode="External"/><Relationship Id="rId99" Type="http://schemas.openxmlformats.org/officeDocument/2006/relationships/hyperlink" Target="https://www.k-m.de/en/products/speaker-lighting-monitor-stands-and-holders/speaker-wall-mounts/24169-speaker-wall-mount-black" TargetMode="External"/><Relationship Id="rId98" Type="http://schemas.openxmlformats.org/officeDocument/2006/relationships/hyperlink" Target="https://www.k-m.de/us/products/microphone-stands/floor-stands/overhead-microphone-stands/20800-overhead-microphone-stand-black" TargetMode="External"/><Relationship Id="rId91" Type="http://schemas.openxmlformats.org/officeDocument/2006/relationships/hyperlink" Target="https://www.k-m.de/en/products/keyboard-stands/keyboard-tables/18815-laptop-holder-black" TargetMode="External"/><Relationship Id="rId90" Type="http://schemas.openxmlformats.org/officeDocument/2006/relationships/hyperlink" Target="https://www.k-m.de/en/products/keyboard-stands/keyboard-tables/18809-cable-clamp-for-omega-black" TargetMode="External"/><Relationship Id="rId93" Type="http://schemas.openxmlformats.org/officeDocument/2006/relationships/hyperlink" Target="https://www.k-m.de/en/products/microphone-stands/microphone-holders/19715-universal-clamping-holder-black" TargetMode="External"/><Relationship Id="rId92" Type="http://schemas.openxmlformats.org/officeDocument/2006/relationships/hyperlink" Target="https://www.k-m.de/en/products/keyboard-stands/keyboard-tables/18807-universal-holder-black" TargetMode="External"/><Relationship Id="rId110" Type="http://schemas.openxmlformats.org/officeDocument/2006/relationships/hyperlink" Target="https://www.k-m.de/en/products/microphone-stands/accessories/sheet-music-and-document-holders/11505-sheet-music-and-document-holder-black" TargetMode="External"/><Relationship Id="rId114" Type="http://schemas.openxmlformats.org/officeDocument/2006/relationships/drawing" Target="../drawings/drawing11.xml"/><Relationship Id="rId113" Type="http://schemas.openxmlformats.org/officeDocument/2006/relationships/hyperlink" Target="https://www.k-m.de/en/products/accessories-for-stage-studio-and-home-recording/amp-monitor-and-mixer-stands/42040-mixer-stand-black" TargetMode="External"/><Relationship Id="rId112" Type="http://schemas.openxmlformats.org/officeDocument/2006/relationships/hyperlink" Target="https://www.k-m.de/en/products/keyboard-stands/keyboard-tables/18953-table-style-stage-piano-stand-black" TargetMode="External"/><Relationship Id="rId111" Type="http://schemas.openxmlformats.org/officeDocument/2006/relationships/hyperlink" Target="https://www.k-m.de/en/products/drummer-s-thrones-benches-stools/piano-benches/14087-piano-bench-black-imitation-leather" TargetMode="External"/></Relationships>
</file>

<file path=xl/worksheets/_rels/sheet1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2.xml"/><Relationship Id="rId3"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crownaudio-com.translate.goog/en-US/products/135ma?_x_tr_sl=en&amp;_x_tr_tl=es&amp;_x_tr_hl=es&amp;_x_tr_pto=tc" TargetMode="External"/><Relationship Id="rId2" Type="http://schemas.openxmlformats.org/officeDocument/2006/relationships/hyperlink" Target="https://www.crownaudio.com/en/products/xli-800" TargetMode="External"/><Relationship Id="rId3" Type="http://schemas.openxmlformats.org/officeDocument/2006/relationships/hyperlink" Target="https://www.crownaudio.com/en/products/xli-1500" TargetMode="External"/><Relationship Id="rId4" Type="http://schemas.openxmlformats.org/officeDocument/2006/relationships/hyperlink" Target="https://www.crownaudio.com/en/products/xli-2500" TargetMode="External"/><Relationship Id="rId9" Type="http://schemas.openxmlformats.org/officeDocument/2006/relationships/hyperlink" Target="https://www.crownaudio.com/en/products/xti-4002" TargetMode="External"/><Relationship Id="rId5" Type="http://schemas.openxmlformats.org/officeDocument/2006/relationships/hyperlink" Target="https://www.crownaudio.com/en/products/xli-3500" TargetMode="External"/><Relationship Id="rId6" Type="http://schemas.openxmlformats.org/officeDocument/2006/relationships/hyperlink" Target="https://www.crownaudio.com/en/products/xls-1002" TargetMode="External"/><Relationship Id="rId7" Type="http://schemas.openxmlformats.org/officeDocument/2006/relationships/hyperlink" Target="https://www.crownaudio.com/en/products/xls-1502" TargetMode="External"/><Relationship Id="rId8" Type="http://schemas.openxmlformats.org/officeDocument/2006/relationships/hyperlink" Target="https://www.crownaudio.com/en/products/xls-2002" TargetMode="External"/><Relationship Id="rId40" Type="http://schemas.openxmlformats.org/officeDocument/2006/relationships/hyperlink" Target="https://jblpro.com/en/products/cbt-70j-1" TargetMode="External"/><Relationship Id="rId42" Type="http://schemas.openxmlformats.org/officeDocument/2006/relationships/hyperlink" Target="https://jblpro.com/en/products/control-88m" TargetMode="External"/><Relationship Id="rId41" Type="http://schemas.openxmlformats.org/officeDocument/2006/relationships/hyperlink" Target="https://jblpro.com/products/control-85m" TargetMode="External"/><Relationship Id="rId44" Type="http://schemas.openxmlformats.org/officeDocument/2006/relationships/hyperlink" Target="https://jblpro.com/en/products/gsb8" TargetMode="External"/><Relationship Id="rId43" Type="http://schemas.openxmlformats.org/officeDocument/2006/relationships/hyperlink" Target="https://jblpro.com/en/products/control-89ms" TargetMode="External"/><Relationship Id="rId46" Type="http://schemas.openxmlformats.org/officeDocument/2006/relationships/hyperlink" Target="https://jblpro.com/en/products/gsf3" TargetMode="External"/><Relationship Id="rId45" Type="http://schemas.openxmlformats.org/officeDocument/2006/relationships/hyperlink" Target="https://jblpro.com/en/products/gsb12" TargetMode="External"/><Relationship Id="rId48" Type="http://schemas.openxmlformats.org/officeDocument/2006/relationships/hyperlink" Target="https://jblpro.com/en/products/control-24c-micro" TargetMode="External"/><Relationship Id="rId47" Type="http://schemas.openxmlformats.org/officeDocument/2006/relationships/hyperlink" Target="https://jblpro.com/en/products/gsf6" TargetMode="External"/><Relationship Id="rId49" Type="http://schemas.openxmlformats.org/officeDocument/2006/relationships/hyperlink" Target="https://jblpro.com/en/products/control-24ct" TargetMode="External"/><Relationship Id="rId31" Type="http://schemas.openxmlformats.org/officeDocument/2006/relationships/hyperlink" Target="https://jblpro.com/en/products/708i" TargetMode="External"/><Relationship Id="rId30" Type="http://schemas.openxmlformats.org/officeDocument/2006/relationships/hyperlink" Target="https://jblpro.com/en/products/lsr310s" TargetMode="External"/><Relationship Id="rId33" Type="http://schemas.openxmlformats.org/officeDocument/2006/relationships/hyperlink" Target="https://jblpro.com/en/product_families/control-2p" TargetMode="External"/><Relationship Id="rId32" Type="http://schemas.openxmlformats.org/officeDocument/2006/relationships/hyperlink" Target="https://jblpro.com/en/products/control-1-pro-pair" TargetMode="External"/><Relationship Id="rId35" Type="http://schemas.openxmlformats.org/officeDocument/2006/relationships/hyperlink" Target="https://jblpro.com/en/products/cbt-50la-1" TargetMode="External"/><Relationship Id="rId34" Type="http://schemas.openxmlformats.org/officeDocument/2006/relationships/hyperlink" Target="https://jblpro.com/en/products/cbt-50la-1" TargetMode="External"/><Relationship Id="rId37" Type="http://schemas.openxmlformats.org/officeDocument/2006/relationships/hyperlink" Target="https://jblpro.com/products/control-85m" TargetMode="External"/><Relationship Id="rId36" Type="http://schemas.openxmlformats.org/officeDocument/2006/relationships/hyperlink" Target="https://jblpro.com/en/products/cbt-70j-1" TargetMode="External"/><Relationship Id="rId39" Type="http://schemas.openxmlformats.org/officeDocument/2006/relationships/hyperlink" Target="https://jblpro.com/en/products/cbt-50la-1" TargetMode="External"/><Relationship Id="rId38" Type="http://schemas.openxmlformats.org/officeDocument/2006/relationships/hyperlink" Target="https://jblpro.com/en/products/cbt-50la-1" TargetMode="External"/><Relationship Id="rId20" Type="http://schemas.openxmlformats.org/officeDocument/2006/relationships/hyperlink" Target="https://jblpro.com/en/products/vma-260-2120" TargetMode="External"/><Relationship Id="rId22" Type="http://schemas.openxmlformats.org/officeDocument/2006/relationships/hyperlink" Target="https://jblpro.com/en/products/csma-240-280-2120" TargetMode="External"/><Relationship Id="rId21" Type="http://schemas.openxmlformats.org/officeDocument/2006/relationships/hyperlink" Target="https://jblpro.com/en/products/csma-240-280-2120" TargetMode="External"/><Relationship Id="rId24" Type="http://schemas.openxmlformats.org/officeDocument/2006/relationships/hyperlink" Target="https://jblpro.com/en/products/csa-140z-180z-1120z" TargetMode="External"/><Relationship Id="rId23" Type="http://schemas.openxmlformats.org/officeDocument/2006/relationships/hyperlink" Target="https://jblpro.com/en/products/csr-v-us-blk" TargetMode="External"/><Relationship Id="rId26" Type="http://schemas.openxmlformats.org/officeDocument/2006/relationships/hyperlink" Target="https://jblpro.com/en/products/104-bt" TargetMode="External"/><Relationship Id="rId25" Type="http://schemas.openxmlformats.org/officeDocument/2006/relationships/hyperlink" Target="https://jblpro.com/en/products/csa-140z-180z-1120z" TargetMode="External"/><Relationship Id="rId28" Type="http://schemas.openxmlformats.org/officeDocument/2006/relationships/hyperlink" Target="https://jblpro.com/en/products/306p-mkii" TargetMode="External"/><Relationship Id="rId27" Type="http://schemas.openxmlformats.org/officeDocument/2006/relationships/hyperlink" Target="https://jblpro.com/en/products/305p-mkii" TargetMode="External"/><Relationship Id="rId29" Type="http://schemas.openxmlformats.org/officeDocument/2006/relationships/hyperlink" Target="https://jblpro.com/en/products/308p-mkii" TargetMode="External"/><Relationship Id="rId11" Type="http://schemas.openxmlformats.org/officeDocument/2006/relationships/hyperlink" Target="https://www.crownaudio.com/en/products/ct-4150" TargetMode="External"/><Relationship Id="rId10" Type="http://schemas.openxmlformats.org/officeDocument/2006/relationships/hyperlink" Target="https://www.crownaudio.com/en/products/ct-875" TargetMode="External"/><Relationship Id="rId13" Type="http://schemas.openxmlformats.org/officeDocument/2006/relationships/hyperlink" Target="https://jblpro.com/en/products/vma-160-1120-1240" TargetMode="External"/><Relationship Id="rId12" Type="http://schemas.openxmlformats.org/officeDocument/2006/relationships/hyperlink" Target="https://www.crownaudio.com/en/products/ct-8150" TargetMode="External"/><Relationship Id="rId15" Type="http://schemas.openxmlformats.org/officeDocument/2006/relationships/hyperlink" Target="https://jblpro.com/en/products/vma-260-2120" TargetMode="External"/><Relationship Id="rId14" Type="http://schemas.openxmlformats.org/officeDocument/2006/relationships/hyperlink" Target="https://jblpro.com/en/products/vma-160-1120-1240" TargetMode="External"/><Relationship Id="rId17" Type="http://schemas.openxmlformats.org/officeDocument/2006/relationships/hyperlink" Target="https://jblpro.com/en/products/vma-160-1120-1240" TargetMode="External"/><Relationship Id="rId16" Type="http://schemas.openxmlformats.org/officeDocument/2006/relationships/hyperlink" Target="https://jblpro.com/en/products/vma-160-1120-1240" TargetMode="External"/><Relationship Id="rId19" Type="http://schemas.openxmlformats.org/officeDocument/2006/relationships/hyperlink" Target="https://jblpro.com/en/products/vma-260-2120" TargetMode="External"/><Relationship Id="rId18" Type="http://schemas.openxmlformats.org/officeDocument/2006/relationships/hyperlink" Target="https://jblpro.com/en/products/vma-160-1120-1240" TargetMode="External"/><Relationship Id="rId51" Type="http://schemas.openxmlformats.org/officeDocument/2006/relationships/hyperlink" Target="https://jblpro.com/en/products/8128" TargetMode="External"/><Relationship Id="rId50" Type="http://schemas.openxmlformats.org/officeDocument/2006/relationships/hyperlink" Target="https://jblpro.com/en/products/8124" TargetMode="External"/><Relationship Id="rId53" Type="http://schemas.openxmlformats.org/officeDocument/2006/relationships/hyperlink" Target="https://jblpro.com/en/products/jbl-professional-css8008" TargetMode="External"/><Relationship Id="rId52" Type="http://schemas.openxmlformats.org/officeDocument/2006/relationships/hyperlink" Target="https://jblpro.com/en/products/jbl-professional-css8004" TargetMode="External"/><Relationship Id="rId55" Type="http://schemas.openxmlformats.org/officeDocument/2006/relationships/hyperlink" Target="https://jblpro.com/en/products/control-65-p-t" TargetMode="External"/><Relationship Id="rId54" Type="http://schemas.openxmlformats.org/officeDocument/2006/relationships/hyperlink" Target="https://jblpro.com/en/products/control-65-p-t" TargetMode="External"/><Relationship Id="rId57" Type="http://schemas.openxmlformats.org/officeDocument/2006/relationships/hyperlink" Target="https://jblpro.com/en/products/pro-soundbar-psb-1" TargetMode="External"/><Relationship Id="rId56" Type="http://schemas.openxmlformats.org/officeDocument/2006/relationships/hyperlink" Target="https://jblpro.com/en/products/jbl-lct-81c-tm" TargetMode="External"/><Relationship Id="rId59" Type="http://schemas.openxmlformats.org/officeDocument/2006/relationships/drawing" Target="../drawings/drawing13.xml"/><Relationship Id="rId58" Type="http://schemas.openxmlformats.org/officeDocument/2006/relationships/hyperlink" Target="https://jblpro.com/en/products/5732" TargetMode="External"/></Relationships>
</file>

<file path=xl/worksheets/_rels/sheet1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eposaudio.com/en/us/products/sp-20-ml-speakerphone-1000226" TargetMode="External"/><Relationship Id="rId3" Type="http://schemas.openxmlformats.org/officeDocument/2006/relationships/hyperlink" Target="https://www.eposaudio.com/en/us/products/expand-30" TargetMode="External"/><Relationship Id="rId4" Type="http://schemas.openxmlformats.org/officeDocument/2006/relationships/hyperlink" Target="https://www.eposaudio.com/en/us/products/expand-30" TargetMode="External"/><Relationship Id="rId9" Type="http://schemas.openxmlformats.org/officeDocument/2006/relationships/hyperlink" Target="https://www.eposaudio.com/en/ru/products/pc-3-chat-voice-over-ip-headset-1000430" TargetMode="External"/><Relationship Id="rId5" Type="http://schemas.openxmlformats.org/officeDocument/2006/relationships/hyperlink" Target="https://www.eposaudio.com/en/us/products/expand-30" TargetMode="External"/><Relationship Id="rId6" Type="http://schemas.openxmlformats.org/officeDocument/2006/relationships/hyperlink" Target="https://www.eposaudio.com/en/us/products/expand-80" TargetMode="External"/><Relationship Id="rId7" Type="http://schemas.openxmlformats.org/officeDocument/2006/relationships/hyperlink" Target="https://www.eposaudio.com/en/us/products/expand-80-mic-microphone-1000229" TargetMode="External"/><Relationship Id="rId8" Type="http://schemas.openxmlformats.org/officeDocument/2006/relationships/hyperlink" Target="https://www.eposaudio.com/en/dk/products/expand-vision-3t-collaboration-bar-1000927/support" TargetMode="External"/><Relationship Id="rId31" Type="http://schemas.openxmlformats.org/officeDocument/2006/relationships/hyperlink" Target="https://www.eposaudio.com/es/pe/gaming/products/gsp-500-gaming-headset-1000243/support" TargetMode="External"/><Relationship Id="rId30" Type="http://schemas.openxmlformats.org/officeDocument/2006/relationships/hyperlink" Target="https://www.eposaudio.com/es/gt/gaming/support/downloads/gsp-350%7D" TargetMode="External"/><Relationship Id="rId33" Type="http://schemas.openxmlformats.org/officeDocument/2006/relationships/hyperlink" Target="https://www.eposaudio.com/es/cr/gaming/products/gsp-600-gaming-headset-1000244/support" TargetMode="External"/><Relationship Id="rId32" Type="http://schemas.openxmlformats.org/officeDocument/2006/relationships/hyperlink" Target="https://www.eposaudio.com/en/hk/gaming/support/downloads/gsp-550" TargetMode="External"/><Relationship Id="rId35" Type="http://schemas.openxmlformats.org/officeDocument/2006/relationships/drawing" Target="../drawings/drawing14.xml"/><Relationship Id="rId34" Type="http://schemas.openxmlformats.org/officeDocument/2006/relationships/hyperlink" Target="https://www.eposaudio.com/es/ar/gaming/products/gsp-670-bluetooth-low-latency-connection-gaming-headset-1000233/support" TargetMode="External"/><Relationship Id="rId36" Type="http://schemas.openxmlformats.org/officeDocument/2006/relationships/vmlDrawing" Target="../drawings/vmlDrawing3.vml"/><Relationship Id="rId20" Type="http://schemas.openxmlformats.org/officeDocument/2006/relationships/hyperlink" Target="https://www.eposaudio.com/es/ar/support/knowledge-base/bluetooth-headsets/impact-mb-pro-series/epos-impact-mb-pro-package-content-1-uc-mlmb-pro-2-uc-ml" TargetMode="External"/><Relationship Id="rId22" Type="http://schemas.openxmlformats.org/officeDocument/2006/relationships/hyperlink" Target="https://www.eposaudio.com/es/es/products/edu-11-usb-headset-1001110/support" TargetMode="External"/><Relationship Id="rId21" Type="http://schemas.openxmlformats.org/officeDocument/2006/relationships/hyperlink" Target="https://www.eposaudio.com/es/co/products/edu-10-series" TargetMode="External"/><Relationship Id="rId24" Type="http://schemas.openxmlformats.org/officeDocument/2006/relationships/hyperlink" Target="https://www.eposaudio.com/es/es/products/presence-grey-uc-bluetooth-headset-1000660" TargetMode="External"/><Relationship Id="rId23" Type="http://schemas.openxmlformats.org/officeDocument/2006/relationships/hyperlink" Target="https://www.eposaudio.com/es/es/products/edu-12-usb-headset-1001111/support" TargetMode="External"/><Relationship Id="rId26" Type="http://schemas.openxmlformats.org/officeDocument/2006/relationships/hyperlink" Target="https://www.eposaudio.com/es/ar/gaming/products/game-one-black-gaming-headset-1001227/support" TargetMode="External"/><Relationship Id="rId25" Type="http://schemas.openxmlformats.org/officeDocument/2006/relationships/hyperlink" Target="https://www.eposaudio.com/es/ec/gaming/products/game-zero-black-gaming-headset-1000235/support" TargetMode="External"/><Relationship Id="rId28" Type="http://schemas.openxmlformats.org/officeDocument/2006/relationships/hyperlink" Target="https://www.eposaudio.com/en/in/gaming/products/gsp-301-gaming-headset-1000240/support" TargetMode="External"/><Relationship Id="rId27" Type="http://schemas.openxmlformats.org/officeDocument/2006/relationships/hyperlink" Target="https://www.eposaudio.com/en/ca/gaming/products/gsp-300-gaming-headset-1000238/support" TargetMode="External"/><Relationship Id="rId29" Type="http://schemas.openxmlformats.org/officeDocument/2006/relationships/hyperlink" Target="https://www.eposaudio.com/en/pl/gaming/products/gsp-302-gaming-headset-1000242/support" TargetMode="External"/><Relationship Id="rId11" Type="http://schemas.openxmlformats.org/officeDocument/2006/relationships/hyperlink" Target="https://www.eposaudio.com/en/us/products/pc-8-usb-voice-over-ip-headset-1000432" TargetMode="External"/><Relationship Id="rId10" Type="http://schemas.openxmlformats.org/officeDocument/2006/relationships/hyperlink" Target="https://www.eposaudio.com/en/no/gaming/products/pc-5-chat-voice-over-ip-headset-1000445" TargetMode="External"/><Relationship Id="rId13" Type="http://schemas.openxmlformats.org/officeDocument/2006/relationships/hyperlink" Target="https://www.eposaudio.com/en/no/products/adapt-160-anc-usb-c-headset-1000220/support" TargetMode="External"/><Relationship Id="rId12" Type="http://schemas.openxmlformats.org/officeDocument/2006/relationships/hyperlink" Target="https://www.eposaudio.com/en/us/products/adapt-160t-usb-ii-headset-1000901/support" TargetMode="External"/><Relationship Id="rId15" Type="http://schemas.openxmlformats.org/officeDocument/2006/relationships/hyperlink" Target="https://www.eposaudio.com/es/gt/products/adapt-165-usb-c-ii-headset-1000920/support" TargetMode="External"/><Relationship Id="rId14" Type="http://schemas.openxmlformats.org/officeDocument/2006/relationships/hyperlink" Target="https://www.eposaudio.com/en/ke/products/adapt-165-usb-ii-headset-1000916/support" TargetMode="External"/><Relationship Id="rId17" Type="http://schemas.openxmlformats.org/officeDocument/2006/relationships/hyperlink" Target="https://www.eposaudio.com/en/us/products/sc-30-usb-ml-headset-1000550/support" TargetMode="External"/><Relationship Id="rId16" Type="http://schemas.openxmlformats.org/officeDocument/2006/relationships/hyperlink" Target="https://www.eposaudio.com/en/us/products/adapt-260-bluetooth-headset-1000882/support" TargetMode="External"/><Relationship Id="rId19" Type="http://schemas.openxmlformats.org/officeDocument/2006/relationships/hyperlink" Target="https://www.eposaudio.com/es/ar/support/knowledge-base/bluetooth-headsets/impact-mb-pro-series/epos-impact-mb-pro-package-content-1-uc-mlmb-pro-2-uc-ml" TargetMode="External"/><Relationship Id="rId18" Type="http://schemas.openxmlformats.org/officeDocument/2006/relationships/hyperlink" Target="https://www.eposaudio.com/en/us/products/sc-60-usb-ml-headset-1000551/support" TargetMode="External"/></Relationships>
</file>

<file path=xl/worksheets/_rels/sheet15.xml.rels><?xml version="1.0" encoding="UTF-8" standalone="yes"?><Relationships xmlns="http://schemas.openxmlformats.org/package/2006/relationships"><Relationship Id="rId190" Type="http://schemas.openxmlformats.org/officeDocument/2006/relationships/hyperlink" Target="https://www.rean-connectors.com/en/product/rre8f-z" TargetMode="External"/><Relationship Id="rId194" Type="http://schemas.openxmlformats.org/officeDocument/2006/relationships/hyperlink" Target="https://www.rean-connectors.com/en/product/rc3m" TargetMode="External"/><Relationship Id="rId193" Type="http://schemas.openxmlformats.org/officeDocument/2006/relationships/hyperlink" Target="https://www.rean-connectors.com/en/product/rc3f" TargetMode="External"/><Relationship Id="rId192" Type="http://schemas.openxmlformats.org/officeDocument/2006/relationships/hyperlink" Target="https://www.rean-connectors.com/en/product/re8my-1" TargetMode="External"/><Relationship Id="rId191" Type="http://schemas.openxmlformats.org/officeDocument/2006/relationships/hyperlink" Target="https://www.rean-connectors.com/en/product/re8my-1" TargetMode="External"/><Relationship Id="rId187" Type="http://schemas.openxmlformats.org/officeDocument/2006/relationships/hyperlink" Target="https://www.rean-connectors.com/en/product/nys367-1" TargetMode="External"/><Relationship Id="rId186" Type="http://schemas.openxmlformats.org/officeDocument/2006/relationships/hyperlink" Target="https://www.rean-connectors.com/en/product/nys367-1" TargetMode="External"/><Relationship Id="rId185" Type="http://schemas.openxmlformats.org/officeDocument/2006/relationships/hyperlink" Target="https://www.neutrik.com/en/product/nf2c-b-2" TargetMode="External"/><Relationship Id="rId184" Type="http://schemas.openxmlformats.org/officeDocument/2006/relationships/hyperlink" Target="https://www.rean-connectors.com/en/product/nys373-1" TargetMode="External"/><Relationship Id="rId189" Type="http://schemas.openxmlformats.org/officeDocument/2006/relationships/hyperlink" Target="https://www.rean-connectors.com/en/product/rcem-z" TargetMode="External"/><Relationship Id="rId188" Type="http://schemas.openxmlformats.org/officeDocument/2006/relationships/hyperlink" Target="https://www.neutrik.com/en/product/nys-spp-l1" TargetMode="External"/><Relationship Id="rId183" Type="http://schemas.openxmlformats.org/officeDocument/2006/relationships/hyperlink" Target="https://www.rean-connectors.com/en/product/nys373-1" TargetMode="External"/><Relationship Id="rId182" Type="http://schemas.openxmlformats.org/officeDocument/2006/relationships/hyperlink" Target="https://www.rean-connectors.com/en/product/nys373-1" TargetMode="External"/><Relationship Id="rId181" Type="http://schemas.openxmlformats.org/officeDocument/2006/relationships/hyperlink" Target="https://www.rean-connectors.com/en/product/nys352-1" TargetMode="External"/><Relationship Id="rId180" Type="http://schemas.openxmlformats.org/officeDocument/2006/relationships/hyperlink" Target="https://www.neutrik.com/en/product/nmk-20u" TargetMode="External"/><Relationship Id="rId176" Type="http://schemas.openxmlformats.org/officeDocument/2006/relationships/hyperlink" Target="https://www.neutrik.com/en/product/np3tt-p-b" TargetMode="External"/><Relationship Id="rId175" Type="http://schemas.openxmlformats.org/officeDocument/2006/relationships/hyperlink" Target="https://www.neutrik.com/en/product/nktb" TargetMode="External"/><Relationship Id="rId174" Type="http://schemas.openxmlformats.org/officeDocument/2006/relationships/hyperlink" Target="https://www.neutrik.com/en/product/nktb" TargetMode="External"/><Relationship Id="rId173" Type="http://schemas.openxmlformats.org/officeDocument/2006/relationships/hyperlink" Target="https://www.neutrik.com/en/product/nktt" TargetMode="External"/><Relationship Id="rId179" Type="http://schemas.openxmlformats.org/officeDocument/2006/relationships/hyperlink" Target="https://www.neutrik.com/en/product/nmk-20u" TargetMode="External"/><Relationship Id="rId178" Type="http://schemas.openxmlformats.org/officeDocument/2006/relationships/hyperlink" Target="https://www.neutrik.com/en/product/gn18" TargetMode="External"/><Relationship Id="rId177" Type="http://schemas.openxmlformats.org/officeDocument/2006/relationships/hyperlink" Target="https://www.neutrik.com/en/product/np3tb-r" TargetMode="External"/><Relationship Id="rId198" Type="http://schemas.openxmlformats.org/officeDocument/2006/relationships/hyperlink" Target="https://www.rean-connectors.com/en/product/rp3rc" TargetMode="External"/><Relationship Id="rId197" Type="http://schemas.openxmlformats.org/officeDocument/2006/relationships/hyperlink" Target="https://www.rean-connectors.com/en/product/rp2rc" TargetMode="External"/><Relationship Id="rId196" Type="http://schemas.openxmlformats.org/officeDocument/2006/relationships/hyperlink" Target="https://www.rean-connectors.com/en/product/rc3m" TargetMode="External"/><Relationship Id="rId195" Type="http://schemas.openxmlformats.org/officeDocument/2006/relationships/hyperlink" Target="https://www.rean-connectors.com/en/product/rc3f" TargetMode="External"/><Relationship Id="rId199" Type="http://schemas.openxmlformats.org/officeDocument/2006/relationships/hyperlink" Target="https://www.rean-connectors.com/en/product/nys208-1" TargetMode="External"/><Relationship Id="rId150" Type="http://schemas.openxmlformats.org/officeDocument/2006/relationships/hyperlink" Target="https://www.neutrik.com/en/product/nausb3" TargetMode="External"/><Relationship Id="rId1" Type="http://schemas.openxmlformats.org/officeDocument/2006/relationships/hyperlink" Target="https://www.neutrik.com/en/product/nc3fx" TargetMode="External"/><Relationship Id="rId2" Type="http://schemas.openxmlformats.org/officeDocument/2006/relationships/hyperlink" Target="https://www.neutrik.com/en/product/nc3mx" TargetMode="External"/><Relationship Id="rId3" Type="http://schemas.openxmlformats.org/officeDocument/2006/relationships/hyperlink" Target="https://www.neutrik.com/en/product/nc3fx" TargetMode="External"/><Relationship Id="rId149" Type="http://schemas.openxmlformats.org/officeDocument/2006/relationships/hyperlink" Target="https://www.neutrik.com/en/product/nausb-w" TargetMode="External"/><Relationship Id="rId4" Type="http://schemas.openxmlformats.org/officeDocument/2006/relationships/hyperlink" Target="https://www.neutrik.com/en/product/nc3fxcc" TargetMode="External"/><Relationship Id="rId148" Type="http://schemas.openxmlformats.org/officeDocument/2006/relationships/hyperlink" Target="https://www.neutrik.com/en/product/nkusb" TargetMode="External"/><Relationship Id="rId9" Type="http://schemas.openxmlformats.org/officeDocument/2006/relationships/hyperlink" Target="https://www.neutrik.com/en/product/nc3fxcc" TargetMode="External"/><Relationship Id="rId143" Type="http://schemas.openxmlformats.org/officeDocument/2006/relationships/hyperlink" Target="https://www.neutrik.com/en/product/nbnc75buu11x" TargetMode="External"/><Relationship Id="rId142" Type="http://schemas.openxmlformats.org/officeDocument/2006/relationships/hyperlink" Target="https://www.neutrik.com/en/product/nbnc75bdd6x" TargetMode="External"/><Relationship Id="rId141" Type="http://schemas.openxmlformats.org/officeDocument/2006/relationships/hyperlink" Target="https://www.neutrik.com/en/product/nbnc75btu11" TargetMode="External"/><Relationship Id="rId140" Type="http://schemas.openxmlformats.org/officeDocument/2006/relationships/hyperlink" Target="https://www.neutrik.com/en/product/nbnc75blp9" TargetMode="External"/><Relationship Id="rId5" Type="http://schemas.openxmlformats.org/officeDocument/2006/relationships/hyperlink" Target="https://www.neutrik.com/en/product/nc3mx" TargetMode="External"/><Relationship Id="rId147" Type="http://schemas.openxmlformats.org/officeDocument/2006/relationships/hyperlink" Target="https://www.neutrik.com/en/product/nahdmi-w" TargetMode="External"/><Relationship Id="rId6" Type="http://schemas.openxmlformats.org/officeDocument/2006/relationships/hyperlink" Target="https://www.neutrik.com/en/product/nc3fx" TargetMode="External"/><Relationship Id="rId146" Type="http://schemas.openxmlformats.org/officeDocument/2006/relationships/hyperlink" Target="https://www.neutrik.com/en/product/nbb75dfg" TargetMode="External"/><Relationship Id="rId7" Type="http://schemas.openxmlformats.org/officeDocument/2006/relationships/hyperlink" Target="https://www.neutrik.com/en/product/nc3mx" TargetMode="External"/><Relationship Id="rId145" Type="http://schemas.openxmlformats.org/officeDocument/2006/relationships/hyperlink" Target="https://www.neutrik.com/en/product/nbb75dfi" TargetMode="External"/><Relationship Id="rId8" Type="http://schemas.openxmlformats.org/officeDocument/2006/relationships/hyperlink" Target="https://www.neutrik.com/en/product/nc3fx" TargetMode="External"/><Relationship Id="rId144" Type="http://schemas.openxmlformats.org/officeDocument/2006/relationships/hyperlink" Target="https://www.neutrik.com/en/product/nbb75fi" TargetMode="External"/><Relationship Id="rId139" Type="http://schemas.openxmlformats.org/officeDocument/2006/relationships/hyperlink" Target="https://www.neutrik.com/en/product/nbnc75blp7" TargetMode="External"/><Relationship Id="rId138" Type="http://schemas.openxmlformats.org/officeDocument/2006/relationships/hyperlink" Target="https://www.neutrik.com/en/product/nbb75dfi" TargetMode="External"/><Relationship Id="rId137" Type="http://schemas.openxmlformats.org/officeDocument/2006/relationships/hyperlink" Target="https://www.neutrik.com/en/product/nbb75fi" TargetMode="External"/><Relationship Id="rId132" Type="http://schemas.openxmlformats.org/officeDocument/2006/relationships/hyperlink" Target="https://www.neutrik.com/en/product/ne8fah" TargetMode="External"/><Relationship Id="rId131" Type="http://schemas.openxmlformats.org/officeDocument/2006/relationships/hyperlink" Target="https://www.neutrik.com/en/product/ne8fav" TargetMode="External"/><Relationship Id="rId130" Type="http://schemas.openxmlformats.org/officeDocument/2006/relationships/hyperlink" Target="https://www.neutrik.com/en/product/ne8mx-1" TargetMode="External"/><Relationship Id="rId136" Type="http://schemas.openxmlformats.org/officeDocument/2006/relationships/hyperlink" Target="https://www.neutrik.com/en/product/ne8ffx6-w" TargetMode="External"/><Relationship Id="rId135" Type="http://schemas.openxmlformats.org/officeDocument/2006/relationships/hyperlink" Target="https://www.neutrik.com/en/product/ne8mx6" TargetMode="External"/><Relationship Id="rId134" Type="http://schemas.openxmlformats.org/officeDocument/2006/relationships/hyperlink" Target="https://www.neutrik.com/en/product/ne8fdp" TargetMode="External"/><Relationship Id="rId133" Type="http://schemas.openxmlformats.org/officeDocument/2006/relationships/hyperlink" Target="https://www.neutrik.com/en/product/ne8fdv-yk" TargetMode="External"/><Relationship Id="rId172" Type="http://schemas.openxmlformats.org/officeDocument/2006/relationships/hyperlink" Target="https://www.neutrik.com/en/product/nktt" TargetMode="External"/><Relationship Id="rId171" Type="http://schemas.openxmlformats.org/officeDocument/2006/relationships/hyperlink" Target="https://www.neutrik.com/en/product/nktt" TargetMode="External"/><Relationship Id="rId170" Type="http://schemas.openxmlformats.org/officeDocument/2006/relationships/hyperlink" Target="https://www.neutrik.com/en/product/npp-tb-hn" TargetMode="External"/><Relationship Id="rId165" Type="http://schemas.openxmlformats.org/officeDocument/2006/relationships/hyperlink" Target="https://www.neutrik.com/en/product/nf2c-b-2" TargetMode="External"/><Relationship Id="rId164" Type="http://schemas.openxmlformats.org/officeDocument/2006/relationships/hyperlink" Target="https://www.neutrik.com/en/na2-io-dpro" TargetMode="External"/><Relationship Id="rId163" Type="http://schemas.openxmlformats.org/officeDocument/2006/relationships/hyperlink" Target="https://www.neutrik.com/en/product/nmk-20u" TargetMode="External"/><Relationship Id="rId162" Type="http://schemas.openxmlformats.org/officeDocument/2006/relationships/hyperlink" Target="https://www.neutrik.com/en/product/no4fdw-a" TargetMode="External"/><Relationship Id="rId169" Type="http://schemas.openxmlformats.org/officeDocument/2006/relationships/hyperlink" Target="https://www.neutrik.com/en/product/npp-tb" TargetMode="External"/><Relationship Id="rId168" Type="http://schemas.openxmlformats.org/officeDocument/2006/relationships/hyperlink" Target="https://www.neutrik.com/en/product/nppa-tt-pt" TargetMode="External"/><Relationship Id="rId167" Type="http://schemas.openxmlformats.org/officeDocument/2006/relationships/hyperlink" Target="https://www.neutrik.com/en/product/nppa-tt-s" TargetMode="External"/><Relationship Id="rId166" Type="http://schemas.openxmlformats.org/officeDocument/2006/relationships/hyperlink" Target="https://www.rean-connectors.com/en/product/nys367-1" TargetMode="External"/><Relationship Id="rId161" Type="http://schemas.openxmlformats.org/officeDocument/2006/relationships/hyperlink" Target="https://www.neutrik.com/en/product/no2-4fdw-a" TargetMode="External"/><Relationship Id="rId160" Type="http://schemas.openxmlformats.org/officeDocument/2006/relationships/hyperlink" Target="https://www.neutrik.com/en/product/gn18" TargetMode="External"/><Relationship Id="rId159" Type="http://schemas.openxmlformats.org/officeDocument/2006/relationships/hyperlink" Target="https://www.neutrik.com/en/product/np3tb-r" TargetMode="External"/><Relationship Id="rId154" Type="http://schemas.openxmlformats.org/officeDocument/2006/relationships/hyperlink" Target="https://www.neutrik.com/en/product/nktt" TargetMode="External"/><Relationship Id="rId153" Type="http://schemas.openxmlformats.org/officeDocument/2006/relationships/hyperlink" Target="https://www.neutrik.com/en/product/nktt" TargetMode="External"/><Relationship Id="rId152" Type="http://schemas.openxmlformats.org/officeDocument/2006/relationships/hyperlink" Target="https://www.neutrik.com/en/product/nmc-c-hr" TargetMode="External"/><Relationship Id="rId151" Type="http://schemas.openxmlformats.org/officeDocument/2006/relationships/hyperlink" Target="https://www.neutrik.com/en/product/nmc-c" TargetMode="External"/><Relationship Id="rId158" Type="http://schemas.openxmlformats.org/officeDocument/2006/relationships/hyperlink" Target="https://www.neutrik.com/en/product/np3tt-p-b" TargetMode="External"/><Relationship Id="rId157" Type="http://schemas.openxmlformats.org/officeDocument/2006/relationships/hyperlink" Target="https://www.neutrik.com/en/product/nktb" TargetMode="External"/><Relationship Id="rId156" Type="http://schemas.openxmlformats.org/officeDocument/2006/relationships/hyperlink" Target="https://www.neutrik.com/en/product/nktb" TargetMode="External"/><Relationship Id="rId155" Type="http://schemas.openxmlformats.org/officeDocument/2006/relationships/hyperlink" Target="https://www.neutrik.com/en/product/nktt" TargetMode="External"/><Relationship Id="rId40" Type="http://schemas.openxmlformats.org/officeDocument/2006/relationships/hyperlink" Target="https://www.neutrik.com/en/product/nc3fd-l-1" TargetMode="External"/><Relationship Id="rId42" Type="http://schemas.openxmlformats.org/officeDocument/2006/relationships/hyperlink" Target="https://www.neutrik.com/en/product/nc3fd-l-b-1" TargetMode="External"/><Relationship Id="rId41" Type="http://schemas.openxmlformats.org/officeDocument/2006/relationships/hyperlink" Target="https://www.neutrik.com/en/product/nc3md-l-1" TargetMode="External"/><Relationship Id="rId44" Type="http://schemas.openxmlformats.org/officeDocument/2006/relationships/hyperlink" Target="https://www.neutrik.com/en/product/nc4fp-1" TargetMode="External"/><Relationship Id="rId43" Type="http://schemas.openxmlformats.org/officeDocument/2006/relationships/hyperlink" Target="https://www.neutrik.com/en/product/nc3md-l-b-1" TargetMode="External"/><Relationship Id="rId46" Type="http://schemas.openxmlformats.org/officeDocument/2006/relationships/hyperlink" Target="https://www.neutrik.com/en/product/nc4fd-l-1" TargetMode="External"/><Relationship Id="rId45" Type="http://schemas.openxmlformats.org/officeDocument/2006/relationships/hyperlink" Target="https://www.neutrik.com/en/product/nc4mp" TargetMode="External"/><Relationship Id="rId48" Type="http://schemas.openxmlformats.org/officeDocument/2006/relationships/hyperlink" Target="https://www.neutrik.com/en/product/nc5fp-1" TargetMode="External"/><Relationship Id="rId47" Type="http://schemas.openxmlformats.org/officeDocument/2006/relationships/hyperlink" Target="https://www.neutrik.com/en/product/nc4md-l-1" TargetMode="External"/><Relationship Id="rId49" Type="http://schemas.openxmlformats.org/officeDocument/2006/relationships/hyperlink" Target="https://www.neutrik.com/en/product/nc5mp?c=audio" TargetMode="External"/><Relationship Id="rId31" Type="http://schemas.openxmlformats.org/officeDocument/2006/relationships/hyperlink" Target="https://www.neutrik.com/en/product/nc5fx" TargetMode="External"/><Relationship Id="rId30" Type="http://schemas.openxmlformats.org/officeDocument/2006/relationships/hyperlink" Target="https://www.neutrik.com/en/product/nc6fx" TargetMode="External"/><Relationship Id="rId33" Type="http://schemas.openxmlformats.org/officeDocument/2006/relationships/hyperlink" Target="https://www.neutrik.com/en/product/nc6fx" TargetMode="External"/><Relationship Id="rId32" Type="http://schemas.openxmlformats.org/officeDocument/2006/relationships/hyperlink" Target="https://www.neutrik.com/en/product/nc5mx" TargetMode="External"/><Relationship Id="rId35" Type="http://schemas.openxmlformats.org/officeDocument/2006/relationships/hyperlink" Target="https://www.neutrik.com/en/product/nc3mp" TargetMode="External"/><Relationship Id="rId34" Type="http://schemas.openxmlformats.org/officeDocument/2006/relationships/hyperlink" Target="https://www.neutrik.com/en/product/nc6mx" TargetMode="External"/><Relationship Id="rId37" Type="http://schemas.openxmlformats.org/officeDocument/2006/relationships/hyperlink" Target="https://www.neutrik.com/en/product/nc7mx" TargetMode="External"/><Relationship Id="rId36" Type="http://schemas.openxmlformats.org/officeDocument/2006/relationships/hyperlink" Target="https://www.neutrik.com/en/product/nc7fx" TargetMode="External"/><Relationship Id="rId39" Type="http://schemas.openxmlformats.org/officeDocument/2006/relationships/hyperlink" Target="https://www.neutrik.com/en/product/nc3mp" TargetMode="External"/><Relationship Id="rId38" Type="http://schemas.openxmlformats.org/officeDocument/2006/relationships/hyperlink" Target="https://www.neutrik.com/en/product/nc3fp-1" TargetMode="External"/><Relationship Id="rId20" Type="http://schemas.openxmlformats.org/officeDocument/2006/relationships/hyperlink" Target="https://www.neutrik.com/en/product/nc3mrx" TargetMode="External"/><Relationship Id="rId22" Type="http://schemas.openxmlformats.org/officeDocument/2006/relationships/hyperlink" Target="https://www.neutrik.com/en/product/bsx" TargetMode="External"/><Relationship Id="rId21" Type="http://schemas.openxmlformats.org/officeDocument/2006/relationships/hyperlink" Target="https://www.neutrik.com/en/product/nc3fm-c" TargetMode="External"/><Relationship Id="rId24" Type="http://schemas.openxmlformats.org/officeDocument/2006/relationships/hyperlink" Target="https://www.neutrik.com/en/product/bsx" TargetMode="External"/><Relationship Id="rId23" Type="http://schemas.openxmlformats.org/officeDocument/2006/relationships/hyperlink" Target="https://www.neutrik.com/en/product/bsx" TargetMode="External"/><Relationship Id="rId26" Type="http://schemas.openxmlformats.org/officeDocument/2006/relationships/hyperlink" Target="https://www.neutrik.com/en/product/xxr-neo" TargetMode="External"/><Relationship Id="rId25" Type="http://schemas.openxmlformats.org/officeDocument/2006/relationships/hyperlink" Target="https://www.neutrik.com/en/product/xxr-neo" TargetMode="External"/><Relationship Id="rId28" Type="http://schemas.openxmlformats.org/officeDocument/2006/relationships/hyperlink" Target="https://www.neutrik.com/en/product/nc4fx" TargetMode="External"/><Relationship Id="rId27" Type="http://schemas.openxmlformats.org/officeDocument/2006/relationships/hyperlink" Target="https://www.neutrik.com/en/product/nc5fx" TargetMode="External"/><Relationship Id="rId29" Type="http://schemas.openxmlformats.org/officeDocument/2006/relationships/hyperlink" Target="https://www.neutrik.com/en/product/nc4mx" TargetMode="External"/><Relationship Id="rId11" Type="http://schemas.openxmlformats.org/officeDocument/2006/relationships/hyperlink" Target="https://www.neutrik.com/en/product/nc3mxcc" TargetMode="External"/><Relationship Id="rId10" Type="http://schemas.openxmlformats.org/officeDocument/2006/relationships/hyperlink" Target="https://www.neutrik.com/en/product/nc3mx" TargetMode="External"/><Relationship Id="rId13" Type="http://schemas.openxmlformats.org/officeDocument/2006/relationships/hyperlink" Target="https://www.neutrik.com/en/product/nc3mx-b" TargetMode="External"/><Relationship Id="rId12" Type="http://schemas.openxmlformats.org/officeDocument/2006/relationships/hyperlink" Target="https://www.neutrik.com/en/product/nc3fx-b" TargetMode="External"/><Relationship Id="rId15" Type="http://schemas.openxmlformats.org/officeDocument/2006/relationships/hyperlink" Target="https://www.neutrik.com/en/product/nc3mxx" TargetMode="External"/><Relationship Id="rId14" Type="http://schemas.openxmlformats.org/officeDocument/2006/relationships/hyperlink" Target="https://www.neutrik.com/en/product/nc3fxx" TargetMode="External"/><Relationship Id="rId17" Type="http://schemas.openxmlformats.org/officeDocument/2006/relationships/hyperlink" Target="https://www.neutrik.com/en/product/nc3fx-hd" TargetMode="External"/><Relationship Id="rId16" Type="http://schemas.openxmlformats.org/officeDocument/2006/relationships/hyperlink" Target="https://www.neutrik.com/en/product/nc3fm-c" TargetMode="External"/><Relationship Id="rId19" Type="http://schemas.openxmlformats.org/officeDocument/2006/relationships/hyperlink" Target="https://www.neutrik.com/en/product/nc3frx" TargetMode="External"/><Relationship Id="rId18" Type="http://schemas.openxmlformats.org/officeDocument/2006/relationships/hyperlink" Target="https://www.neutrik.com/en/product/nc3mx-hd?c=audio" TargetMode="External"/><Relationship Id="rId84" Type="http://schemas.openxmlformats.org/officeDocument/2006/relationships/hyperlink" Target="https://www.neutrik.com/en/product/nlt4mp" TargetMode="External"/><Relationship Id="rId83" Type="http://schemas.openxmlformats.org/officeDocument/2006/relationships/hyperlink" Target="https://www.neutrik.com/en/product/nl4mp" TargetMode="External"/><Relationship Id="rId86" Type="http://schemas.openxmlformats.org/officeDocument/2006/relationships/hyperlink" Target="https://www.neutrik.com/en/product/nl4mpxx" TargetMode="External"/><Relationship Id="rId85" Type="http://schemas.openxmlformats.org/officeDocument/2006/relationships/hyperlink" Target="https://www.neutrik.com/en/product/nl4mpr" TargetMode="External"/><Relationship Id="rId88" Type="http://schemas.openxmlformats.org/officeDocument/2006/relationships/hyperlink" Target="https://www.neutrik.com/en/product/nlt8mp" TargetMode="External"/><Relationship Id="rId87" Type="http://schemas.openxmlformats.org/officeDocument/2006/relationships/hyperlink" Target="https://www.neutrik.com/en/product/ntm4" TargetMode="External"/><Relationship Id="rId89" Type="http://schemas.openxmlformats.org/officeDocument/2006/relationships/hyperlink" Target="https://www.neutrik.com/en/product/nl8mpr" TargetMode="External"/><Relationship Id="rId80" Type="http://schemas.openxmlformats.org/officeDocument/2006/relationships/hyperlink" Target="https://www.neutrik.com/en/product/nlt8mx-bag" TargetMode="External"/><Relationship Id="rId82" Type="http://schemas.openxmlformats.org/officeDocument/2006/relationships/hyperlink" Target="https://www.neutrik.com/en/product/nl8mm" TargetMode="External"/><Relationship Id="rId81" Type="http://schemas.openxmlformats.org/officeDocument/2006/relationships/hyperlink" Target="https://www.neutrik.com/en/product/nl4mmx" TargetMode="External"/><Relationship Id="rId73" Type="http://schemas.openxmlformats.org/officeDocument/2006/relationships/hyperlink" Target="https://www.neutrik.com/en/product/nl4fxx-w-l" TargetMode="External"/><Relationship Id="rId72" Type="http://schemas.openxmlformats.org/officeDocument/2006/relationships/hyperlink" Target="https://www.neutrik.com/en/product/nl4fxx-w-s" TargetMode="External"/><Relationship Id="rId75" Type="http://schemas.openxmlformats.org/officeDocument/2006/relationships/hyperlink" Target="https://www.neutrik.com/en/product/nl8mm" TargetMode="External"/><Relationship Id="rId74" Type="http://schemas.openxmlformats.org/officeDocument/2006/relationships/hyperlink" Target="https://www.neutrik.com/en/product/nlt4fx" TargetMode="External"/><Relationship Id="rId77" Type="http://schemas.openxmlformats.org/officeDocument/2006/relationships/hyperlink" Target="https://www.neutrik.com/en/product/nl4mp" TargetMode="External"/><Relationship Id="rId76" Type="http://schemas.openxmlformats.org/officeDocument/2006/relationships/hyperlink" Target="https://www.neutrik.com/en/product/nlt4mx" TargetMode="External"/><Relationship Id="rId79" Type="http://schemas.openxmlformats.org/officeDocument/2006/relationships/hyperlink" Target="https://www.neutrik.com/en/product/nlt8fx" TargetMode="External"/><Relationship Id="rId78" Type="http://schemas.openxmlformats.org/officeDocument/2006/relationships/hyperlink" Target="https://www.neutrik.com/en/product/nl8fc" TargetMode="External"/><Relationship Id="rId71" Type="http://schemas.openxmlformats.org/officeDocument/2006/relationships/hyperlink" Target="https://www.neutrik.com/en/product/nl4fx" TargetMode="External"/><Relationship Id="rId70" Type="http://schemas.openxmlformats.org/officeDocument/2006/relationships/hyperlink" Target="https://www.neutrik.com/en/product/nl4fx" TargetMode="External"/><Relationship Id="rId62" Type="http://schemas.openxmlformats.org/officeDocument/2006/relationships/hyperlink" Target="https://www.neutrik.com/en/product/ncj6fi-h" TargetMode="External"/><Relationship Id="rId61" Type="http://schemas.openxmlformats.org/officeDocument/2006/relationships/hyperlink" Target="https://www.neutrik.com/en/product/nc3md-v" TargetMode="External"/><Relationship Id="rId64" Type="http://schemas.openxmlformats.org/officeDocument/2006/relationships/hyperlink" Target="https://www.neutrik.com/en/product/ncj6fa-h" TargetMode="External"/><Relationship Id="rId63" Type="http://schemas.openxmlformats.org/officeDocument/2006/relationships/hyperlink" Target="https://www.neutrik.com/en/product/ncj6fi-v" TargetMode="External"/><Relationship Id="rId66" Type="http://schemas.openxmlformats.org/officeDocument/2006/relationships/hyperlink" Target="https://www.neutrik.com/en/product/nj3fp6c" TargetMode="External"/><Relationship Id="rId65" Type="http://schemas.openxmlformats.org/officeDocument/2006/relationships/hyperlink" Target="https://www.neutrik.com/en/product/ncj6fa-v" TargetMode="External"/><Relationship Id="rId68" Type="http://schemas.openxmlformats.org/officeDocument/2006/relationships/hyperlink" Target="https://www.neutrik.com/en/product/nl2fx" TargetMode="External"/><Relationship Id="rId67" Type="http://schemas.openxmlformats.org/officeDocument/2006/relationships/hyperlink" Target="https://www.neutrik.com/en/product/nj3fc6" TargetMode="External"/><Relationship Id="rId60" Type="http://schemas.openxmlformats.org/officeDocument/2006/relationships/hyperlink" Target="https://www.neutrik.com/en/product/nc3fdm3-h-bag" TargetMode="External"/><Relationship Id="rId69" Type="http://schemas.openxmlformats.org/officeDocument/2006/relationships/hyperlink" Target="https://www.neutrik.com/en/product/nl2fxx-w-s" TargetMode="External"/><Relationship Id="rId51" Type="http://schemas.openxmlformats.org/officeDocument/2006/relationships/hyperlink" Target="https://www.neutrik.com/en/product/nc7fp-1" TargetMode="External"/><Relationship Id="rId50" Type="http://schemas.openxmlformats.org/officeDocument/2006/relationships/hyperlink" Target="https://www.neutrik.com/en/product/nc5md-l-1" TargetMode="External"/><Relationship Id="rId53" Type="http://schemas.openxmlformats.org/officeDocument/2006/relationships/hyperlink" Target="https://www.neutrik.com/en/product/nc7fd-l-1" TargetMode="External"/><Relationship Id="rId52" Type="http://schemas.openxmlformats.org/officeDocument/2006/relationships/hyperlink" Target="https://www.neutrik.com/en/product/nc7md-l-1" TargetMode="External"/><Relationship Id="rId55" Type="http://schemas.openxmlformats.org/officeDocument/2006/relationships/hyperlink" Target="https://www.neutrik.com/en/product/nc3mah" TargetMode="External"/><Relationship Id="rId54" Type="http://schemas.openxmlformats.org/officeDocument/2006/relationships/hyperlink" Target="https://www.neutrik.com/en/product/nc3fah2" TargetMode="External"/><Relationship Id="rId57" Type="http://schemas.openxmlformats.org/officeDocument/2006/relationships/hyperlink" Target="https://www.neutrik.com/en/product/nc3mav" TargetMode="External"/><Relationship Id="rId56" Type="http://schemas.openxmlformats.org/officeDocument/2006/relationships/hyperlink" Target="https://www.neutrik.com/en/product/nc3fav2" TargetMode="External"/><Relationship Id="rId59" Type="http://schemas.openxmlformats.org/officeDocument/2006/relationships/hyperlink" Target="https://www.neutrik.com/en/product/nc3mahr" TargetMode="External"/><Relationship Id="rId58" Type="http://schemas.openxmlformats.org/officeDocument/2006/relationships/hyperlink" Target="https://www.neutrik.com/en/product/nc3fahr2" TargetMode="External"/><Relationship Id="rId107" Type="http://schemas.openxmlformats.org/officeDocument/2006/relationships/hyperlink" Target="https://www.neutrik.com/en/product/NADITBNC-F" TargetMode="External"/><Relationship Id="rId228" Type="http://schemas.openxmlformats.org/officeDocument/2006/relationships/hyperlink" Target="https://www.rean-connectors.com/en/product/nys215" TargetMode="External"/><Relationship Id="rId106" Type="http://schemas.openxmlformats.org/officeDocument/2006/relationships/hyperlink" Target="https://www.neutrik.com/en/product/naditbnc-m" TargetMode="External"/><Relationship Id="rId227" Type="http://schemas.openxmlformats.org/officeDocument/2006/relationships/hyperlink" Target="https://www.rean-connectors.com/en/product/nys212-1" TargetMode="External"/><Relationship Id="rId105" Type="http://schemas.openxmlformats.org/officeDocument/2006/relationships/hyperlink" Target="https://www.neutrik.com/en/product/nf2d-2" TargetMode="External"/><Relationship Id="rId226" Type="http://schemas.openxmlformats.org/officeDocument/2006/relationships/hyperlink" Target="https://www.rean-connectors.com/en/product/nys212-1" TargetMode="External"/><Relationship Id="rId104" Type="http://schemas.openxmlformats.org/officeDocument/2006/relationships/hyperlink" Target="https://www.neutrik.com/en/product/nf2d-0" TargetMode="External"/><Relationship Id="rId225" Type="http://schemas.openxmlformats.org/officeDocument/2006/relationships/hyperlink" Target="https://www.rean-connectors.com/en/product/nys240-1" TargetMode="External"/><Relationship Id="rId109" Type="http://schemas.openxmlformats.org/officeDocument/2006/relationships/hyperlink" Target="https://www.neutrik.com/en/product/NA3FP" TargetMode="External"/><Relationship Id="rId108" Type="http://schemas.openxmlformats.org/officeDocument/2006/relationships/hyperlink" Target="https://www.neutrik.com/en/product/na3mj" TargetMode="External"/><Relationship Id="rId229" Type="http://schemas.openxmlformats.org/officeDocument/2006/relationships/hyperlink" Target="https://www.rean-connectors.com/en/product/nys216" TargetMode="External"/><Relationship Id="rId220" Type="http://schemas.openxmlformats.org/officeDocument/2006/relationships/hyperlink" Target="https://www.rean-connectors.com/en/product/rp2rc" TargetMode="External"/><Relationship Id="rId103" Type="http://schemas.openxmlformats.org/officeDocument/2006/relationships/hyperlink" Target="https://www.neutrik.com/en/product/ntp3rc" TargetMode="External"/><Relationship Id="rId224" Type="http://schemas.openxmlformats.org/officeDocument/2006/relationships/hyperlink" Target="https://www.rean-connectors.com/en/product/rp2rcf" TargetMode="External"/><Relationship Id="rId102" Type="http://schemas.openxmlformats.org/officeDocument/2006/relationships/hyperlink" Target="https://www.neutrik.com/en/product/np3rx" TargetMode="External"/><Relationship Id="rId223" Type="http://schemas.openxmlformats.org/officeDocument/2006/relationships/hyperlink" Target="https://www.rean-connectors.com/en/product/rtp3c" TargetMode="External"/><Relationship Id="rId101" Type="http://schemas.openxmlformats.org/officeDocument/2006/relationships/hyperlink" Target="https://www.neutrik.com/en/product/np3x" TargetMode="External"/><Relationship Id="rId222" Type="http://schemas.openxmlformats.org/officeDocument/2006/relationships/hyperlink" Target="https://www.rean-connectors.com/en/product/nys208-1" TargetMode="External"/><Relationship Id="rId100" Type="http://schemas.openxmlformats.org/officeDocument/2006/relationships/hyperlink" Target="https://www.neutrik.com/en/produkt/np2x-au-silent" TargetMode="External"/><Relationship Id="rId221" Type="http://schemas.openxmlformats.org/officeDocument/2006/relationships/hyperlink" Target="https://www.rean-connectors.com/en/product/rp3rc" TargetMode="External"/><Relationship Id="rId217" Type="http://schemas.openxmlformats.org/officeDocument/2006/relationships/hyperlink" Target="https://www.rean-connectors.com/en/product/rp2c" TargetMode="External"/><Relationship Id="rId216" Type="http://schemas.openxmlformats.org/officeDocument/2006/relationships/hyperlink" Target="https://www.rean-connectors.com/en/product/rp2c" TargetMode="External"/><Relationship Id="rId215" Type="http://schemas.openxmlformats.org/officeDocument/2006/relationships/hyperlink" Target="https://www.rean-connectors.com/en/product/nys231-1" TargetMode="External"/><Relationship Id="rId214" Type="http://schemas.openxmlformats.org/officeDocument/2006/relationships/hyperlink" Target="https://www.rean-connectors.com/en/product/nys207-1" TargetMode="External"/><Relationship Id="rId219" Type="http://schemas.openxmlformats.org/officeDocument/2006/relationships/hyperlink" Target="https://www.rean-connectors.com/en/product/rp3c" TargetMode="External"/><Relationship Id="rId218" Type="http://schemas.openxmlformats.org/officeDocument/2006/relationships/hyperlink" Target="https://www.rean-connectors.com/en/product/rp3c" TargetMode="External"/><Relationship Id="rId213" Type="http://schemas.openxmlformats.org/officeDocument/2006/relationships/hyperlink" Target="https://www.rean-connectors.com/en/product/nys202" TargetMode="External"/><Relationship Id="rId212" Type="http://schemas.openxmlformats.org/officeDocument/2006/relationships/hyperlink" Target="https://www.rean-connectors.com/en/product/nys201" TargetMode="External"/><Relationship Id="rId211" Type="http://schemas.openxmlformats.org/officeDocument/2006/relationships/hyperlink" Target="https://www.rean-connectors.com/en/product/rcj6fi" TargetMode="External"/><Relationship Id="rId210" Type="http://schemas.openxmlformats.org/officeDocument/2006/relationships/hyperlink" Target="https://www.rean-connectors.com/en/product/rcj6fi" TargetMode="External"/><Relationship Id="rId129" Type="http://schemas.openxmlformats.org/officeDocument/2006/relationships/hyperlink" Target="https://www.neutrik.com/en/product/ne8mc-1" TargetMode="External"/><Relationship Id="rId128" Type="http://schemas.openxmlformats.org/officeDocument/2006/relationships/hyperlink" Target="https://www.neutrik.com/en/product/ne8mc" TargetMode="External"/><Relationship Id="rId127" Type="http://schemas.openxmlformats.org/officeDocument/2006/relationships/hyperlink" Target="https://www.neutrik.com/en/product/NAC3MM-1" TargetMode="External"/><Relationship Id="rId126" Type="http://schemas.openxmlformats.org/officeDocument/2006/relationships/hyperlink" Target="https://www.neutrik.com/en/product/nac3mp-hc" TargetMode="External"/><Relationship Id="rId121" Type="http://schemas.openxmlformats.org/officeDocument/2006/relationships/hyperlink" Target="https://www.neutrik.com/en/product/nac3mx-w" TargetMode="External"/><Relationship Id="rId120" Type="http://schemas.openxmlformats.org/officeDocument/2006/relationships/hyperlink" Target="https://www.neutrik.com/en/product/nac3fx-w" TargetMode="External"/><Relationship Id="rId125" Type="http://schemas.openxmlformats.org/officeDocument/2006/relationships/hyperlink" Target="https://www.neutrik.com/en/product/nac3fc-hc" TargetMode="External"/><Relationship Id="rId124" Type="http://schemas.openxmlformats.org/officeDocument/2006/relationships/hyperlink" Target="https://www.neutrik.com/en/product/nac3px" TargetMode="External"/><Relationship Id="rId123" Type="http://schemas.openxmlformats.org/officeDocument/2006/relationships/hyperlink" Target="https://www.neutrik.com/en/product/nac3mpx" TargetMode="External"/><Relationship Id="rId122" Type="http://schemas.openxmlformats.org/officeDocument/2006/relationships/hyperlink" Target="https://www.neutrik.com/en/product/nac3fpx" TargetMode="External"/><Relationship Id="rId95" Type="http://schemas.openxmlformats.org/officeDocument/2006/relationships/hyperlink" Target="https://www.neutrik.com/en/product/ntm4" TargetMode="External"/><Relationship Id="rId94" Type="http://schemas.openxmlformats.org/officeDocument/2006/relationships/hyperlink" Target="https://www.neutrik.com/en/product/nte1" TargetMode="External"/><Relationship Id="rId97" Type="http://schemas.openxmlformats.org/officeDocument/2006/relationships/hyperlink" Target="https://www.neutrik.com/en/product/np2c" TargetMode="External"/><Relationship Id="rId96" Type="http://schemas.openxmlformats.org/officeDocument/2006/relationships/hyperlink" Target="https://www.neutrik.com/en/product/nte4" TargetMode="External"/><Relationship Id="rId99" Type="http://schemas.openxmlformats.org/officeDocument/2006/relationships/hyperlink" Target="https://www.neutrik.com/en/product/np2rx" TargetMode="External"/><Relationship Id="rId98" Type="http://schemas.openxmlformats.org/officeDocument/2006/relationships/hyperlink" Target="https://www.neutrik.com/en/product/np2x" TargetMode="External"/><Relationship Id="rId91" Type="http://schemas.openxmlformats.org/officeDocument/2006/relationships/hyperlink" Target="https://www.rean-connectors.com/en/product/nsb2b-12-4" TargetMode="External"/><Relationship Id="rId90" Type="http://schemas.openxmlformats.org/officeDocument/2006/relationships/hyperlink" Target="https://www.neutrik.com/en/product/np2c" TargetMode="External"/><Relationship Id="rId93" Type="http://schemas.openxmlformats.org/officeDocument/2006/relationships/hyperlink" Target="https://www.neutrik.com/en/product/ntl1" TargetMode="External"/><Relationship Id="rId92" Type="http://schemas.openxmlformats.org/officeDocument/2006/relationships/hyperlink" Target="https://www.rean-connectors.com/en/product/nsb3b-20-4" TargetMode="External"/><Relationship Id="rId118" Type="http://schemas.openxmlformats.org/officeDocument/2006/relationships/hyperlink" Target="https://www.neutrik.com/en/product/nac3fcb" TargetMode="External"/><Relationship Id="rId117" Type="http://schemas.openxmlformats.org/officeDocument/2006/relationships/hyperlink" Target="https://www.neutrik.com/en/product/nac3mpa-1" TargetMode="External"/><Relationship Id="rId116" Type="http://schemas.openxmlformats.org/officeDocument/2006/relationships/hyperlink" Target="https://www.neutrik.com/en/product/nac3fca" TargetMode="External"/><Relationship Id="rId237" Type="http://schemas.openxmlformats.org/officeDocument/2006/relationships/drawing" Target="../drawings/drawing15.xml"/><Relationship Id="rId115" Type="http://schemas.openxmlformats.org/officeDocument/2006/relationships/hyperlink" Target="https://www.neutrik.com/en/product/nac3px" TargetMode="External"/><Relationship Id="rId236" Type="http://schemas.openxmlformats.org/officeDocument/2006/relationships/hyperlink" Target="https://www.rean-connectors.com/en/product/rrac3o-g" TargetMode="External"/><Relationship Id="rId119" Type="http://schemas.openxmlformats.org/officeDocument/2006/relationships/hyperlink" Target="https://www.neutrik.com/en/product/nac3mpb-1" TargetMode="External"/><Relationship Id="rId110" Type="http://schemas.openxmlformats.org/officeDocument/2006/relationships/hyperlink" Target="https://www.neutrik.com/en/product/na3mp" TargetMode="External"/><Relationship Id="rId231" Type="http://schemas.openxmlformats.org/officeDocument/2006/relationships/hyperlink" Target="https://www.rean-connectors.com/en/product/nys230-1" TargetMode="External"/><Relationship Id="rId230" Type="http://schemas.openxmlformats.org/officeDocument/2006/relationships/hyperlink" Target="https://www.rean-connectors.com/en/product/nys229-1" TargetMode="External"/><Relationship Id="rId114" Type="http://schemas.openxmlformats.org/officeDocument/2006/relationships/hyperlink" Target="https://www.neutrik.com/en/product/nac3mpx" TargetMode="External"/><Relationship Id="rId235" Type="http://schemas.openxmlformats.org/officeDocument/2006/relationships/hyperlink" Target="https://www.rean-connectors.com/en/product/rrac3i-g" TargetMode="External"/><Relationship Id="rId113" Type="http://schemas.openxmlformats.org/officeDocument/2006/relationships/hyperlink" Target="https://www.neutrik.com/en/product/na3jj" TargetMode="External"/><Relationship Id="rId234" Type="http://schemas.openxmlformats.org/officeDocument/2006/relationships/hyperlink" Target="https://www.rean-connectors.com/en/product/rcac3o-g" TargetMode="External"/><Relationship Id="rId112" Type="http://schemas.openxmlformats.org/officeDocument/2006/relationships/hyperlink" Target="https://www.neutrik.com/en/product/na3mm" TargetMode="External"/><Relationship Id="rId233" Type="http://schemas.openxmlformats.org/officeDocument/2006/relationships/hyperlink" Target="https://www.rean-connectors.com/en/product/rcac3i-g" TargetMode="External"/><Relationship Id="rId111" Type="http://schemas.openxmlformats.org/officeDocument/2006/relationships/hyperlink" Target="https://www.neutrik.com/en/product/na3ff" TargetMode="External"/><Relationship Id="rId232" Type="http://schemas.openxmlformats.org/officeDocument/2006/relationships/hyperlink" Target="https://www.rean-connectors.com/en/product/rls4fc" TargetMode="External"/><Relationship Id="rId206" Type="http://schemas.openxmlformats.org/officeDocument/2006/relationships/hyperlink" Target="https://www.rean-connectors.com/en/product/rc3mdl" TargetMode="External"/><Relationship Id="rId205" Type="http://schemas.openxmlformats.org/officeDocument/2006/relationships/hyperlink" Target="https://www.rean-connectors.com/en/product/rc3fdl" TargetMode="External"/><Relationship Id="rId204" Type="http://schemas.openxmlformats.org/officeDocument/2006/relationships/hyperlink" Target="https://www.rean-connectors.com/en/product/rc5m" TargetMode="External"/><Relationship Id="rId203" Type="http://schemas.openxmlformats.org/officeDocument/2006/relationships/hyperlink" Target="https://www.rean-connectors.com/en/product/rc5f" TargetMode="External"/><Relationship Id="rId209" Type="http://schemas.openxmlformats.org/officeDocument/2006/relationships/hyperlink" Target="https://www.rean-connectors.com/en/product/rc5mdl" TargetMode="External"/><Relationship Id="rId208" Type="http://schemas.openxmlformats.org/officeDocument/2006/relationships/hyperlink" Target="https://www.rean-connectors.com/en/product/rc5fdl" TargetMode="External"/><Relationship Id="rId207" Type="http://schemas.openxmlformats.org/officeDocument/2006/relationships/hyperlink" Target="https://www.rean-connectors.com/en/product/nys230-1" TargetMode="External"/><Relationship Id="rId202" Type="http://schemas.openxmlformats.org/officeDocument/2006/relationships/hyperlink" Target="https://www.rean-connectors.com/en/product/rc5m" TargetMode="External"/><Relationship Id="rId201" Type="http://schemas.openxmlformats.org/officeDocument/2006/relationships/hyperlink" Target="https://www.rean-connectors.com/en/product/rc5f" TargetMode="External"/><Relationship Id="rId200" Type="http://schemas.openxmlformats.org/officeDocument/2006/relationships/hyperlink" Target="https://www.rean-connectors.com/en/product/rtp3c"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artproaudio.com/product/bt-di-bluetooth-direct-box-with-isolated-outputs/" TargetMode="External"/><Relationship Id="rId2" Type="http://schemas.openxmlformats.org/officeDocument/2006/relationships/hyperlink" Target="https://www.artproaudio.com/product/usb-di/" TargetMode="External"/><Relationship Id="rId3" Type="http://schemas.openxmlformats.org/officeDocument/2006/relationships/hyperlink" Target="https://www.artproaudio.com/product/usb-dual-pre-project-series-two-ch-usb-pre/" TargetMode="External"/><Relationship Id="rId4" Type="http://schemas.openxmlformats.org/officeDocument/2006/relationships/hyperlink" Target="https://www.artproaudio.com/product/usb-phono-plus-project-series/" TargetMode="External"/><Relationship Id="rId9" Type="http://schemas.openxmlformats.org/officeDocument/2006/relationships/hyperlink" Target="https://www.artproaudio.com/product/tube-mp-project-series-w-usb/" TargetMode="External"/><Relationship Id="rId5" Type="http://schemas.openxmlformats.org/officeDocument/2006/relationships/hyperlink" Target="https://www.artproaudio.com/product/tubemix/" TargetMode="External"/><Relationship Id="rId6" Type="http://schemas.openxmlformats.org/officeDocument/2006/relationships/hyperlink" Target="https://www.artproaudio.com/product/usb-mix-project-series/" TargetMode="External"/><Relationship Id="rId7" Type="http://schemas.openxmlformats.org/officeDocument/2006/relationships/hyperlink" Target="https://www.artproaudio.com/product/usbmix4-four-channel-mixer-usb-audio-interface/" TargetMode="External"/><Relationship Id="rId8" Type="http://schemas.openxmlformats.org/officeDocument/2006/relationships/hyperlink" Target="https://artproaudio.com/product/usbmix6-six-channel-mixer-usb-audio-interface/" TargetMode="External"/><Relationship Id="rId40" Type="http://schemas.openxmlformats.org/officeDocument/2006/relationships/hyperlink" Target="https://www.artproaudio.com/product/sla-1-100w-power-amplifier/" TargetMode="External"/><Relationship Id="rId42" Type="http://schemas.openxmlformats.org/officeDocument/2006/relationships/hyperlink" Target="https://www.artproaudio.com/product/sla-4-4x140w-power-amplifier/" TargetMode="External"/><Relationship Id="rId41" Type="http://schemas.openxmlformats.org/officeDocument/2006/relationships/hyperlink" Target="https://artproaudio.com/product/sla-2-200w-power-amplifier/" TargetMode="External"/><Relationship Id="rId44" Type="http://schemas.openxmlformats.org/officeDocument/2006/relationships/hyperlink" Target="https://artproaudio.com/product/hva4/" TargetMode="External"/><Relationship Id="rId43" Type="http://schemas.openxmlformats.org/officeDocument/2006/relationships/hyperlink" Target="https://www.artproaudio.com/product/hva1/" TargetMode="External"/><Relationship Id="rId46" Type="http://schemas.openxmlformats.org/officeDocument/2006/relationships/hyperlink" Target="https://www.artproaudio.com/product/cx311-2way-crossover-with-subwoofer-out/" TargetMode="External"/><Relationship Id="rId45" Type="http://schemas.openxmlformats.org/officeDocument/2006/relationships/hyperlink" Target="https://www.artproaudio.com/product/cx310-2way-3way-crossover/" TargetMode="External"/><Relationship Id="rId48" Type="http://schemas.openxmlformats.org/officeDocument/2006/relationships/hyperlink" Target="https://artproaudio.com/product/eq351-single-31-band-eq/" TargetMode="External"/><Relationship Id="rId47" Type="http://schemas.openxmlformats.org/officeDocument/2006/relationships/hyperlink" Target="https://artproaudio.com/product/eq341-dual-15-band-eq/" TargetMode="External"/><Relationship Id="rId49" Type="http://schemas.openxmlformats.org/officeDocument/2006/relationships/hyperlink" Target="https://www.artproaudio.com/product/eq355-dual-31-band-eq/" TargetMode="External"/><Relationship Id="rId31" Type="http://schemas.openxmlformats.org/officeDocument/2006/relationships/hyperlink" Target="https://www.artproaudio.com/product/tube-mp-c/" TargetMode="External"/><Relationship Id="rId30" Type="http://schemas.openxmlformats.org/officeDocument/2006/relationships/hyperlink" Target="https://www.artproaudio.com/product/transy-two-channel-discrete-transistor-fet-based-compressor-limiter/" TargetMode="External"/><Relationship Id="rId33" Type="http://schemas.openxmlformats.org/officeDocument/2006/relationships/hyperlink" Target="https://www.artproaudio.com/product/headtap-headphone-tap/" TargetMode="External"/><Relationship Id="rId32" Type="http://schemas.openxmlformats.org/officeDocument/2006/relationships/hyperlink" Target="https://www.artproaudio.com/product/hp-1-in-ear-personal-monitor-amplifier/" TargetMode="External"/><Relationship Id="rId35" Type="http://schemas.openxmlformats.org/officeDocument/2006/relationships/hyperlink" Target="https://www.artproaudio.com/product/headamp6-6-ch-headphone-amp/" TargetMode="External"/><Relationship Id="rId34" Type="http://schemas.openxmlformats.org/officeDocument/2006/relationships/hyperlink" Target="https://artproaudio.com/product/headamp-4-eight-output-stereo-headphone-amp/" TargetMode="External"/><Relationship Id="rId37" Type="http://schemas.openxmlformats.org/officeDocument/2006/relationships/hyperlink" Target="https://www.artproaudio.com/product/mymonitorii/" TargetMode="External"/><Relationship Id="rId36" Type="http://schemas.openxmlformats.org/officeDocument/2006/relationships/hyperlink" Target="https://www.artproaudio.com/product/headamp6-pro-6-ch-pro-headphone-amp/" TargetMode="External"/><Relationship Id="rId39" Type="http://schemas.openxmlformats.org/officeDocument/2006/relationships/hyperlink" Target="https://www.artproaudio.com/product/sda1-studio-digital-amplifier/" TargetMode="External"/><Relationship Id="rId38" Type="http://schemas.openxmlformats.org/officeDocument/2006/relationships/hyperlink" Target="https://www.artproaudio.com/product/rm5-monitors/" TargetMode="External"/><Relationship Id="rId20" Type="http://schemas.openxmlformats.org/officeDocument/2006/relationships/hyperlink" Target="https://www.artproaudio.com/product/tps-ii-tube-preamplifier-system/" TargetMode="External"/><Relationship Id="rId22" Type="http://schemas.openxmlformats.org/officeDocument/2006/relationships/hyperlink" Target="https://www.artproaudio.com/product/transx-two-channel-transformer-isolated-descrete-transistor-preamp/" TargetMode="External"/><Relationship Id="rId21" Type="http://schemas.openxmlformats.org/officeDocument/2006/relationships/hyperlink" Target="https://www.artproaudio.com/product/pro-mpa-ii-two-channel-mic-preamp/" TargetMode="External"/><Relationship Id="rId24" Type="http://schemas.openxmlformats.org/officeDocument/2006/relationships/hyperlink" Target="https://artproaudio.com/product/djpre-ii-phono-preamplifier/" TargetMode="External"/><Relationship Id="rId23" Type="http://schemas.openxmlformats.org/officeDocument/2006/relationships/hyperlink" Target="https://artproaudio.com/product/dual-rp-mic-preamp/" TargetMode="External"/><Relationship Id="rId26" Type="http://schemas.openxmlformats.org/officeDocument/2006/relationships/hyperlink" Target="https://www.artproaudio.com/product/dual-limiter-classic-pwm-limiter/" TargetMode="External"/><Relationship Id="rId25" Type="http://schemas.openxmlformats.org/officeDocument/2006/relationships/hyperlink" Target="https://artproaudio.com/product/precision-phono-preamp/" TargetMode="External"/><Relationship Id="rId28" Type="http://schemas.openxmlformats.org/officeDocument/2006/relationships/hyperlink" Target="https://artproaudio.com/product/prochannel-ii/" TargetMode="External"/><Relationship Id="rId27" Type="http://schemas.openxmlformats.org/officeDocument/2006/relationships/hyperlink" Target="https://www.artproaudio.com/product/pro-vla-ii-two-channel-vactrol-based-compressor/" TargetMode="External"/><Relationship Id="rId29" Type="http://schemas.openxmlformats.org/officeDocument/2006/relationships/hyperlink" Target="https://www.artproaudio.com/product/scl2-dual-stereo-compressor-limiter-expander-gate/" TargetMode="External"/><Relationship Id="rId11" Type="http://schemas.openxmlformats.org/officeDocument/2006/relationships/hyperlink" Target="https://artproaudio.com/product/usb-iv/" TargetMode="External"/><Relationship Id="rId10" Type="http://schemas.openxmlformats.org/officeDocument/2006/relationships/hyperlink" Target="https://artproaudio.com/product/usb-ii/" TargetMode="External"/><Relationship Id="rId13" Type="http://schemas.openxmlformats.org/officeDocument/2006/relationships/hyperlink" Target="https://artproaudio.com/product/voicechannel-tube-channel-strip-with-digital-outs/" TargetMode="External"/><Relationship Id="rId12" Type="http://schemas.openxmlformats.org/officeDocument/2006/relationships/hyperlink" Target="https://www.artproaudio.com/product/digital-mpa-ii-two-ch-mic-pre-w-a-d-conversion/" TargetMode="External"/><Relationship Id="rId15" Type="http://schemas.openxmlformats.org/officeDocument/2006/relationships/hyperlink" Target="https://artproaudio.com/product/xconnect-usb-to-microphone-cable/" TargetMode="External"/><Relationship Id="rId14" Type="http://schemas.openxmlformats.org/officeDocument/2006/relationships/hyperlink" Target="https://artproaudio.com/product/mconnect-usb-to-midi-cable/" TargetMode="External"/><Relationship Id="rId17" Type="http://schemas.openxmlformats.org/officeDocument/2006/relationships/hyperlink" Target="https://www.artproaudio.com/product/tube-mp-studio-v3/" TargetMode="External"/><Relationship Id="rId16" Type="http://schemas.openxmlformats.org/officeDocument/2006/relationships/hyperlink" Target="https://www.artproaudio.com/product/tube-mp-the-original/" TargetMode="External"/><Relationship Id="rId19" Type="http://schemas.openxmlformats.org/officeDocument/2006/relationships/hyperlink" Target="https://artproaudio.com/product/rp-1-mic-preamp/" TargetMode="External"/><Relationship Id="rId18" Type="http://schemas.openxmlformats.org/officeDocument/2006/relationships/hyperlink" Target="https://www.artproaudio.com/product/tube-mp-project-series/" TargetMode="External"/><Relationship Id="rId84" Type="http://schemas.openxmlformats.org/officeDocument/2006/relationships/hyperlink" Target="https://www.artproaudio.com/product/xpatch-three-channel-xlr-balanced-patch-bay/" TargetMode="External"/><Relationship Id="rId83" Type="http://schemas.openxmlformats.org/officeDocument/2006/relationships/hyperlink" Target="https://www.artproaudio.com/product/tpatch-eight-point-balanced-patch-bay/" TargetMode="External"/><Relationship Id="rId86" Type="http://schemas.openxmlformats.org/officeDocument/2006/relationships/hyperlink" Target="https://www.artproaudio.com/product/coolswitchpro-isolated-a-b-y-switch/" TargetMode="External"/><Relationship Id="rId85" Type="http://schemas.openxmlformats.org/officeDocument/2006/relationships/hyperlink" Target="https://www.artproaudio.com/product/coolswitch-a-b-y-switch/" TargetMode="External"/><Relationship Id="rId88" Type="http://schemas.openxmlformats.org/officeDocument/2006/relationships/hyperlink" Target="https://artproaudio.com/product/l-switch-latching-switch-for-effects-or-amps/" TargetMode="External"/><Relationship Id="rId87" Type="http://schemas.openxmlformats.org/officeDocument/2006/relationships/hyperlink" Target="https://www.artproaudio.com/product/loop-switch/" TargetMode="External"/><Relationship Id="rId89" Type="http://schemas.openxmlformats.org/officeDocument/2006/relationships/hyperlink" Target="https://www.artproaudio.com/product/compact-pedalboard-patch-bay-switch/" TargetMode="External"/><Relationship Id="rId80" Type="http://schemas.openxmlformats.org/officeDocument/2006/relationships/hyperlink" Target="https://www.artproaudio.com/product/s8-3way-eight-channel-three-way-mic-splitter/" TargetMode="External"/><Relationship Id="rId82" Type="http://schemas.openxmlformats.org/officeDocument/2006/relationships/hyperlink" Target="https://www.artproaudio.com/product/splitcompro-mic-splitter-combiner/" TargetMode="External"/><Relationship Id="rId81" Type="http://schemas.openxmlformats.org/officeDocument/2006/relationships/hyperlink" Target="https://www.artproaudio.com/product/prosplit-transformer-isolated-mic-splitter/" TargetMode="External"/><Relationship Id="rId73" Type="http://schemas.openxmlformats.org/officeDocument/2006/relationships/hyperlink" Target="https://artproaudio.com/product/zdirect-professional-passive-direct-box/" TargetMode="External"/><Relationship Id="rId72" Type="http://schemas.openxmlformats.org/officeDocument/2006/relationships/hyperlink" Target="https://www.artproaudio.com/product/xdirect-professional-active-direct-box/" TargetMode="External"/><Relationship Id="rId75" Type="http://schemas.openxmlformats.org/officeDocument/2006/relationships/hyperlink" Target="https://www.artproaudio.com/product/dualzdirect-dual-professional-passive-direct-box/" TargetMode="External"/><Relationship Id="rId74" Type="http://schemas.openxmlformats.org/officeDocument/2006/relationships/hyperlink" Target="https://www.artproaudio.com/product/dualxdirect-dual-professional-active-direct-box/" TargetMode="External"/><Relationship Id="rId77" Type="http://schemas.openxmlformats.org/officeDocument/2006/relationships/hyperlink" Target="https://www.artproaudio.com/product/p16-xlr-balanced-patch-bay/" TargetMode="External"/><Relationship Id="rId76" Type="http://schemas.openxmlformats.org/officeDocument/2006/relationships/hyperlink" Target="https://artproaudio.com/product/dual-rdb/" TargetMode="External"/><Relationship Id="rId79" Type="http://schemas.openxmlformats.org/officeDocument/2006/relationships/hyperlink" Target="https://www.artproaudio.com/product/s8-eight-channel-mic-splitter/" TargetMode="External"/><Relationship Id="rId78" Type="http://schemas.openxmlformats.org/officeDocument/2006/relationships/hyperlink" Target="http://e/" TargetMode="External"/><Relationship Id="rId71" Type="http://schemas.openxmlformats.org/officeDocument/2006/relationships/hyperlink" Target="https://www.artproaudio.com/product/dpdb-dual-passive-direct-box/" TargetMode="External"/><Relationship Id="rId70" Type="http://schemas.openxmlformats.org/officeDocument/2006/relationships/hyperlink" Target="https://www.artproaudio.com/product/dadb-dual-active-direct-box/" TargetMode="External"/><Relationship Id="rId62" Type="http://schemas.openxmlformats.org/officeDocument/2006/relationships/hyperlink" Target="https://artproaudio.com/product/mx822-8-channel-stereo-mixer-with-effects-loop/" TargetMode="External"/><Relationship Id="rId61" Type="http://schemas.openxmlformats.org/officeDocument/2006/relationships/hyperlink" Target="https://www.artproaudio.com/product/mx821s-eight-channel-mic-line-mixer-with-stereo-outputs/" TargetMode="External"/><Relationship Id="rId64" Type="http://schemas.openxmlformats.org/officeDocument/2006/relationships/hyperlink" Target="https://www.artproaudio.com/product/powermix-iii-three-channel-personal-stereo-mixer/" TargetMode="External"/><Relationship Id="rId63" Type="http://schemas.openxmlformats.org/officeDocument/2006/relationships/hyperlink" Target="https://www.artproaudio.com/product/macromix-four-channel-personal-mixer/" TargetMode="External"/><Relationship Id="rId66" Type="http://schemas.openxmlformats.org/officeDocument/2006/relationships/hyperlink" Target="https://artproaudio.com/product/splitmix4-four-channel-passive-splitter-mixer-2/" TargetMode="External"/><Relationship Id="rId65" Type="http://schemas.openxmlformats.org/officeDocument/2006/relationships/hyperlink" Target="https://www.artproaudio.com/product/promix-three-channel-microphone-mono-mixer/" TargetMode="External"/><Relationship Id="rId68" Type="http://schemas.openxmlformats.org/officeDocument/2006/relationships/hyperlink" Target="https://www.artproaudio.com/product/pdb-passive-direct-box/" TargetMode="External"/><Relationship Id="rId67" Type="http://schemas.openxmlformats.org/officeDocument/2006/relationships/hyperlink" Target="https://www.artproaudio.com/product/av-direct-audio-video-direct-box/" TargetMode="External"/><Relationship Id="rId60" Type="http://schemas.openxmlformats.org/officeDocument/2006/relationships/hyperlink" Target="https://www.artproaudio.com/product/mx624-six-channel-stereo-mixer/" TargetMode="External"/><Relationship Id="rId69" Type="http://schemas.openxmlformats.org/officeDocument/2006/relationships/hyperlink" Target="https://artproaudio.com/product/pdb4-4-channel-passive-direct-box/" TargetMode="External"/><Relationship Id="rId51" Type="http://schemas.openxmlformats.org/officeDocument/2006/relationships/hyperlink" Target="https://www.artproaudio.com/product/sp4x4-metered-power-distribution-system/" TargetMode="External"/><Relationship Id="rId50" Type="http://schemas.openxmlformats.org/officeDocument/2006/relationships/hyperlink" Target="https://www.artproaudio.com/product/pb4x4-power-distribution-system/" TargetMode="External"/><Relationship Id="rId53" Type="http://schemas.openxmlformats.org/officeDocument/2006/relationships/hyperlink" Target="https://artproaudio.com/product/pb4x4-pro-usb-power-distribution-system/" TargetMode="External"/><Relationship Id="rId52" Type="http://schemas.openxmlformats.org/officeDocument/2006/relationships/hyperlink" Target="https://www.artproaudio.com/product/ps4x4-dual-metered-power-distribution-system/" TargetMode="External"/><Relationship Id="rId55" Type="http://schemas.openxmlformats.org/officeDocument/2006/relationships/hyperlink" Target="https://www.artproaudio.com/product/ps4x4-pro-usb-dual-led-metered-pds/" TargetMode="External"/><Relationship Id="rId54" Type="http://schemas.openxmlformats.org/officeDocument/2006/relationships/hyperlink" Target="https://artproaudio.com/product/sp4x4-pro-usb-led-metered-pds/" TargetMode="External"/><Relationship Id="rId57" Type="http://schemas.openxmlformats.org/officeDocument/2006/relationships/hyperlink" Target="https://www.artproaudio.com/product/mx225-mx225-zone-distribution-mixer/" TargetMode="External"/><Relationship Id="rId56" Type="http://schemas.openxmlformats.org/officeDocument/2006/relationships/hyperlink" Target="https://www.artproaudio.com/product/iso-8u/" TargetMode="External"/><Relationship Id="rId59" Type="http://schemas.openxmlformats.org/officeDocument/2006/relationships/hyperlink" Target="https://www.artproaudio.com/product/mx622-6-ch-1u-stereo-mixer-w-eq-efx-loop/" TargetMode="External"/><Relationship Id="rId58" Type="http://schemas.openxmlformats.org/officeDocument/2006/relationships/hyperlink" Target="https://artproaudio.com/product/art-mx524-five-channel-four-zone-mic-line-mixer/" TargetMode="External"/><Relationship Id="rId107" Type="http://schemas.openxmlformats.org/officeDocument/2006/relationships/hyperlink" Target="https://www.artproaudio.com/product/phantom-ii-pro-dual-ch-phantom-power-supply/" TargetMode="External"/><Relationship Id="rId106" Type="http://schemas.openxmlformats.org/officeDocument/2006/relationships/hyperlink" Target="https://artproaudio.com/product/phantom-ii-two-channel-12v-48-phantom-power/" TargetMode="External"/><Relationship Id="rId105" Type="http://schemas.openxmlformats.org/officeDocument/2006/relationships/hyperlink" Target="https://www.artproaudio.com/product/phantom-i-48v-phantom-power-supply/" TargetMode="External"/><Relationship Id="rId104" Type="http://schemas.openxmlformats.org/officeDocument/2006/relationships/hyperlink" Target="https://www.artproaudio.com/product/m-ws-acoustically-transparent-pop-filter/" TargetMode="External"/><Relationship Id="rId108" Type="http://schemas.openxmlformats.org/officeDocument/2006/relationships/drawing" Target="../drawings/drawing16.xml"/><Relationship Id="rId103" Type="http://schemas.openxmlformats.org/officeDocument/2006/relationships/hyperlink" Target="https://www.artproaudio.com/product/t4-multi-pattern-tube-microphone/" TargetMode="External"/><Relationship Id="rId102" Type="http://schemas.openxmlformats.org/officeDocument/2006/relationships/hyperlink" Target="https://www.artproaudio.com/product/m-six-stereo-pencil-condenser-matched-pair/" TargetMode="External"/><Relationship Id="rId101" Type="http://schemas.openxmlformats.org/officeDocument/2006/relationships/hyperlink" Target="https://www.artproaudio.com/product/m-one-usb-cardioid-condenser-usb-microphone/" TargetMode="External"/><Relationship Id="rId100" Type="http://schemas.openxmlformats.org/officeDocument/2006/relationships/hyperlink" Target="https://www.artproaudio.com/product/d7-large-diaphragm-dynamic-microphone/" TargetMode="External"/><Relationship Id="rId95" Type="http://schemas.openxmlformats.org/officeDocument/2006/relationships/hyperlink" Target="https://www.artproaudio.com/product/ar5-active-ribbon-microphone/" TargetMode="External"/><Relationship Id="rId94" Type="http://schemas.openxmlformats.org/officeDocument/2006/relationships/hyperlink" Target="https://artproaudio.com/product/t8-8-channel-transformer-isolator/" TargetMode="External"/><Relationship Id="rId97" Type="http://schemas.openxmlformats.org/officeDocument/2006/relationships/hyperlink" Target="https://artproaudio.com/product/c1usb-cardioid-condenser-usb-microphone/" TargetMode="External"/><Relationship Id="rId96" Type="http://schemas.openxmlformats.org/officeDocument/2006/relationships/hyperlink" Target="https://www.artproaudio.com/product/c1-cardiod-fet-condenser-microphone/" TargetMode="External"/><Relationship Id="rId99" Type="http://schemas.openxmlformats.org/officeDocument/2006/relationships/hyperlink" Target="https://www.artproaudio.com/product/c3-multi-pattern-fet-condenser-microphone/" TargetMode="External"/><Relationship Id="rId98" Type="http://schemas.openxmlformats.org/officeDocument/2006/relationships/hyperlink" Target="https://www.artproaudio.com/product/c2-cardiod-fet-condenser-microphone/" TargetMode="External"/><Relationship Id="rId91" Type="http://schemas.openxmlformats.org/officeDocument/2006/relationships/hyperlink" Target="https://www.artproaudio.com/product/cleanbox-ii-hum-eliminator/" TargetMode="External"/><Relationship Id="rId90" Type="http://schemas.openxmlformats.org/officeDocument/2006/relationships/hyperlink" Target="https://www.artproaudio.com/product/cleanbox-pro-dual-channel-level-converter/" TargetMode="External"/><Relationship Id="rId93" Type="http://schemas.openxmlformats.org/officeDocument/2006/relationships/hyperlink" Target="https://www.artproaudio.com/product/syncgen-word-clock-generator/" TargetMode="External"/><Relationship Id="rId92" Type="http://schemas.openxmlformats.org/officeDocument/2006/relationships/hyperlink" Target="https://www.artproaudio.com/product/dti-dual-transformer-isolator/"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90" Type="http://schemas.openxmlformats.org/officeDocument/2006/relationships/hyperlink" Target="https://rode.com/es/accessories/shock-mounts/sm2" TargetMode="External"/><Relationship Id="rId194" Type="http://schemas.openxmlformats.org/officeDocument/2006/relationships/hyperlink" Target="https://rode.com/es/accessories/shock-mounts/sm6" TargetMode="External"/><Relationship Id="rId193" Type="http://schemas.openxmlformats.org/officeDocument/2006/relationships/hyperlink" Target="https://rode.com/es/accessories/shock-mounts/sm5" TargetMode="External"/><Relationship Id="rId192" Type="http://schemas.openxmlformats.org/officeDocument/2006/relationships/hyperlink" Target="https://rode.com/es/accessories/shock-mounts/sm4-r" TargetMode="External"/><Relationship Id="rId191" Type="http://schemas.openxmlformats.org/officeDocument/2006/relationships/hyperlink" Target="https://rode.com/es/accessories/shock-mounts/sm3-rv" TargetMode="External"/><Relationship Id="rId187" Type="http://schemas.openxmlformats.org/officeDocument/2006/relationships/hyperlink" Target="https://rode.com/es/accessories/mounts-grips/pg2-r" TargetMode="External"/><Relationship Id="rId186" Type="http://schemas.openxmlformats.org/officeDocument/2006/relationships/hyperlink" Target="https://rode.com/es/accessories/mounts-grips/pg1" TargetMode="External"/><Relationship Id="rId185" Type="http://schemas.openxmlformats.org/officeDocument/2006/relationships/hyperlink" Target="https://rode.com/es/accessories/microphone-clips/magclip-go" TargetMode="External"/><Relationship Id="rId184" Type="http://schemas.openxmlformats.org/officeDocument/2006/relationships/hyperlink" Target="https://rode.com/es/accessories/microphone-clips/flexclip-go" TargetMode="External"/><Relationship Id="rId189" Type="http://schemas.openxmlformats.org/officeDocument/2006/relationships/hyperlink" Target="https://rode.com/es/accessories/shock-mounts/psm1" TargetMode="External"/><Relationship Id="rId188" Type="http://schemas.openxmlformats.org/officeDocument/2006/relationships/hyperlink" Target="https://rode.com/es/accessories/stands-bars/stereo-bar" TargetMode="External"/><Relationship Id="rId183" Type="http://schemas.openxmlformats.org/officeDocument/2006/relationships/hyperlink" Target="https://rode.com/es/accessories/mounts-grips/lav-headset" TargetMode="External"/><Relationship Id="rId182" Type="http://schemas.openxmlformats.org/officeDocument/2006/relationships/hyperlink" Target="https://rode.com/es/accessories/mounts-grips/lav-headset" TargetMode="External"/><Relationship Id="rId181" Type="http://schemas.openxmlformats.org/officeDocument/2006/relationships/hyperlink" Target="https://rode.com/es/accessories/mounts-grips/lav-headset" TargetMode="External"/><Relationship Id="rId180" Type="http://schemas.openxmlformats.org/officeDocument/2006/relationships/hyperlink" Target="https://rode.com/en/accessories/mounts-grips/invisilav" TargetMode="External"/><Relationship Id="rId176" Type="http://schemas.openxmlformats.org/officeDocument/2006/relationships/hyperlink" Target="https://rode.com/es/accessories/stands-bars/dcs-1" TargetMode="External"/><Relationship Id="rId175" Type="http://schemas.openxmlformats.org/officeDocument/2006/relationships/hyperlink" Target="https://rode.com/en/accessories/mounts-grips/blimp-mount" TargetMode="External"/><Relationship Id="rId174" Type="http://schemas.openxmlformats.org/officeDocument/2006/relationships/hyperlink" Target="https://rode.com/es/accessories/mounts-grips/pivot-adaptor" TargetMode="External"/><Relationship Id="rId173" Type="http://schemas.openxmlformats.org/officeDocument/2006/relationships/hyperlink" Target="https://rode.com/es/accessories/microphone-clips/rm5" TargetMode="External"/><Relationship Id="rId179" Type="http://schemas.openxmlformats.org/officeDocument/2006/relationships/hyperlink" Target="https://rode.com/en/accessories/mounts-grips/invisilav" TargetMode="External"/><Relationship Id="rId178" Type="http://schemas.openxmlformats.org/officeDocument/2006/relationships/hyperlink" Target="https://rode.com/es/accessories/mounts-grips/interview-go" TargetMode="External"/><Relationship Id="rId177" Type="http://schemas.openxmlformats.org/officeDocument/2006/relationships/hyperlink" Target="https://rode.com/es/accessories/mounts-grips/gn1" TargetMode="External"/><Relationship Id="rId198" Type="http://schemas.openxmlformats.org/officeDocument/2006/relationships/hyperlink" Target="https://rode.com/es/accessories/stands-bars/ds2" TargetMode="External"/><Relationship Id="rId197" Type="http://schemas.openxmlformats.org/officeDocument/2006/relationships/hyperlink" Target="https://rode.com/es/accessories/stands-bars/ds1" TargetMode="External"/><Relationship Id="rId196" Type="http://schemas.openxmlformats.org/officeDocument/2006/relationships/hyperlink" Target="https://rode.com/es/accessories/shock-mounts/smr" TargetMode="External"/><Relationship Id="rId195" Type="http://schemas.openxmlformats.org/officeDocument/2006/relationships/hyperlink" Target="https://rode.com/es/accessories/shock-mounts/sm8" TargetMode="External"/><Relationship Id="rId199" Type="http://schemas.openxmlformats.org/officeDocument/2006/relationships/hyperlink" Target="https://rode.com/es/accessories/stands-bars/psa1" TargetMode="External"/><Relationship Id="rId150" Type="http://schemas.openxmlformats.org/officeDocument/2006/relationships/hyperlink" Target="https://rode.com/es/accessories/adaptors-cables/sc21" TargetMode="External"/><Relationship Id="rId1" Type="http://schemas.openxmlformats.org/officeDocument/2006/relationships/comments" Target="../comments4.xml"/><Relationship Id="rId2" Type="http://schemas.openxmlformats.org/officeDocument/2006/relationships/hyperlink" Target="https://rode.com/es/microphones/live/m1" TargetMode="External"/><Relationship Id="rId3" Type="http://schemas.openxmlformats.org/officeDocument/2006/relationships/hyperlink" Target="https://rode.com/es/microphones/live/m1-s" TargetMode="External"/><Relationship Id="rId149" Type="http://schemas.openxmlformats.org/officeDocument/2006/relationships/hyperlink" Target="https://rode.com/es/accessories/adaptors-cables/sc18" TargetMode="External"/><Relationship Id="rId4" Type="http://schemas.openxmlformats.org/officeDocument/2006/relationships/hyperlink" Target="https://rode.com/es/microphones/live/m2" TargetMode="External"/><Relationship Id="rId148" Type="http://schemas.openxmlformats.org/officeDocument/2006/relationships/hyperlink" Target="https://rode.com/es/accessories/adaptors-cables/sc17" TargetMode="External"/><Relationship Id="rId9" Type="http://schemas.openxmlformats.org/officeDocument/2006/relationships/hyperlink" Target="https://rode.com/es/microphones/studio-condenser/nt-1000" TargetMode="External"/><Relationship Id="rId143" Type="http://schemas.openxmlformats.org/officeDocument/2006/relationships/hyperlink" Target="https://rode.com/es/accessories/adaptors-cables/pg2-r-pro-cable" TargetMode="External"/><Relationship Id="rId142" Type="http://schemas.openxmlformats.org/officeDocument/2006/relationships/hyperlink" Target="https://rode.com/es/accessories/adaptors-cables/dc-usb1" TargetMode="External"/><Relationship Id="rId141" Type="http://schemas.openxmlformats.org/officeDocument/2006/relationships/hyperlink" Target="https://rode.com/es/accessories/cable-management/colors-3" TargetMode="External"/><Relationship Id="rId140" Type="http://schemas.openxmlformats.org/officeDocument/2006/relationships/hyperlink" Target="https://rode.com/es/accessories/cable-management/colors-2" TargetMode="External"/><Relationship Id="rId5" Type="http://schemas.openxmlformats.org/officeDocument/2006/relationships/hyperlink" Target="https://rode.com/es/microphones/live/m3" TargetMode="External"/><Relationship Id="rId147" Type="http://schemas.openxmlformats.org/officeDocument/2006/relationships/hyperlink" Target="https://rode.com/es/accessories/adaptors-cables/sc16" TargetMode="External"/><Relationship Id="rId6" Type="http://schemas.openxmlformats.org/officeDocument/2006/relationships/hyperlink" Target="https://rode.com/es/interfaces-and-mixers/ai-series/ai-1" TargetMode="External"/><Relationship Id="rId146" Type="http://schemas.openxmlformats.org/officeDocument/2006/relationships/hyperlink" Target="https://rode.com/es/accessories/adaptors-cables/sc15" TargetMode="External"/><Relationship Id="rId7" Type="http://schemas.openxmlformats.org/officeDocument/2006/relationships/hyperlink" Target="https://rode.com/es/microphones/studio-condenser/k2" TargetMode="External"/><Relationship Id="rId145" Type="http://schemas.openxmlformats.org/officeDocument/2006/relationships/hyperlink" Target="https://rode.com/es/accessories/cable-management/xlr-id" TargetMode="External"/><Relationship Id="rId8" Type="http://schemas.openxmlformats.org/officeDocument/2006/relationships/hyperlink" Target="https://rode.com/es/microphones/studio-condenser/m5" TargetMode="External"/><Relationship Id="rId144" Type="http://schemas.openxmlformats.org/officeDocument/2006/relationships/hyperlink" Target="https://rode.com/es/accessories/adaptors-cables/vc1" TargetMode="External"/><Relationship Id="rId139" Type="http://schemas.openxmlformats.org/officeDocument/2006/relationships/hyperlink" Target="https://rode.com/en/accessories/cable-management/colors-set1" TargetMode="External"/><Relationship Id="rId138" Type="http://schemas.openxmlformats.org/officeDocument/2006/relationships/hyperlink" Target="https://rode.com/es/accessories/adaptors-cables/xlr-to-xlr" TargetMode="External"/><Relationship Id="rId137" Type="http://schemas.openxmlformats.org/officeDocument/2006/relationships/hyperlink" Target="https://rode.com/es/accessories/adaptors-cables/xlr-to-xlr" TargetMode="External"/><Relationship Id="rId132" Type="http://schemas.openxmlformats.org/officeDocument/2006/relationships/hyperlink" Target="https://rode.com/es/accessories/adaptors-cables/xlr-to-xlr" TargetMode="External"/><Relationship Id="rId131" Type="http://schemas.openxmlformats.org/officeDocument/2006/relationships/hyperlink" Target="https://rode.com/es/accessories/adaptors-cables/xlr-to-xlr" TargetMode="External"/><Relationship Id="rId130" Type="http://schemas.openxmlformats.org/officeDocument/2006/relationships/hyperlink" Target="https://rode.com/es/accessories/adaptors-cables/xlr-to-xlr" TargetMode="External"/><Relationship Id="rId136" Type="http://schemas.openxmlformats.org/officeDocument/2006/relationships/hyperlink" Target="https://rode.com/es/accessories/adaptors-cables/xlr-to-xlr" TargetMode="External"/><Relationship Id="rId135" Type="http://schemas.openxmlformats.org/officeDocument/2006/relationships/hyperlink" Target="https://rode.com/es/accessories/adaptors-cables/xlr-to-xlr" TargetMode="External"/><Relationship Id="rId134" Type="http://schemas.openxmlformats.org/officeDocument/2006/relationships/hyperlink" Target="https://rode.com/es/accessories/adaptors-cables/xlr-to-xlr" TargetMode="External"/><Relationship Id="rId133" Type="http://schemas.openxmlformats.org/officeDocument/2006/relationships/hyperlink" Target="https://rode.com/es/accessories/adaptors-cables/xlr-to-xlr" TargetMode="External"/><Relationship Id="rId172" Type="http://schemas.openxmlformats.org/officeDocument/2006/relationships/hyperlink" Target="https://rode.com/es/accessories/microphone-clips/rm3" TargetMode="External"/><Relationship Id="rId171" Type="http://schemas.openxmlformats.org/officeDocument/2006/relationships/hyperlink" Target="https://rode.com/es/accessories/microphone-clips/rm2" TargetMode="External"/><Relationship Id="rId170" Type="http://schemas.openxmlformats.org/officeDocument/2006/relationships/hyperlink" Target="https://rode.com/es/accessories/microphone-clips/rm1" TargetMode="External"/><Relationship Id="rId165" Type="http://schemas.openxmlformats.org/officeDocument/2006/relationships/hyperlink" Target="https://rode.com/es/accessories/micon/micon-8" TargetMode="External"/><Relationship Id="rId164" Type="http://schemas.openxmlformats.org/officeDocument/2006/relationships/hyperlink" Target="https://rode.com/es/accessories/micon/micon-7" TargetMode="External"/><Relationship Id="rId163" Type="http://schemas.openxmlformats.org/officeDocument/2006/relationships/hyperlink" Target="https://rode.com/es/accessories/micon/micon-6" TargetMode="External"/><Relationship Id="rId162" Type="http://schemas.openxmlformats.org/officeDocument/2006/relationships/hyperlink" Target="https://rode.com/es/accessories/micon/micon-5" TargetMode="External"/><Relationship Id="rId169" Type="http://schemas.openxmlformats.org/officeDocument/2006/relationships/hyperlink" Target="https://rode.com/es/accessories/micon/micon-cable" TargetMode="External"/><Relationship Id="rId168" Type="http://schemas.openxmlformats.org/officeDocument/2006/relationships/hyperlink" Target="https://rode.com/es/accessories/micon/micon-cable" TargetMode="External"/><Relationship Id="rId167" Type="http://schemas.openxmlformats.org/officeDocument/2006/relationships/hyperlink" Target="https://rode.com/es/accessories/micon/micon-cable" TargetMode="External"/><Relationship Id="rId166" Type="http://schemas.openxmlformats.org/officeDocument/2006/relationships/hyperlink" Target="https://rode.com/es/accessories/micon/micon-9" TargetMode="External"/><Relationship Id="rId161" Type="http://schemas.openxmlformats.org/officeDocument/2006/relationships/hyperlink" Target="https://rode.com/es/accessories/micon/micon-4" TargetMode="External"/><Relationship Id="rId160" Type="http://schemas.openxmlformats.org/officeDocument/2006/relationships/hyperlink" Target="https://rode.com/es/accessories/micon/micon-3" TargetMode="External"/><Relationship Id="rId159" Type="http://schemas.openxmlformats.org/officeDocument/2006/relationships/hyperlink" Target="https://rode.com/es/accessories/micon/micon-2" TargetMode="External"/><Relationship Id="rId154" Type="http://schemas.openxmlformats.org/officeDocument/2006/relationships/hyperlink" Target="https://rode.com/es/accessories/microphone-clips/lav-clip" TargetMode="External"/><Relationship Id="rId153" Type="http://schemas.openxmlformats.org/officeDocument/2006/relationships/hyperlink" Target="https://rode.com/es/accessories/micon/clip1" TargetMode="External"/><Relationship Id="rId152" Type="http://schemas.openxmlformats.org/officeDocument/2006/relationships/hyperlink" Target="https://rode.com/es/accessories/adaptors-cables/sc19" TargetMode="External"/><Relationship Id="rId151" Type="http://schemas.openxmlformats.org/officeDocument/2006/relationships/hyperlink" Target="https://rode.com/es/accessories/adaptors-cables/sc22" TargetMode="External"/><Relationship Id="rId158" Type="http://schemas.openxmlformats.org/officeDocument/2006/relationships/hyperlink" Target="https://rode.com/es/accessories/micon/micon-11" TargetMode="External"/><Relationship Id="rId157" Type="http://schemas.openxmlformats.org/officeDocument/2006/relationships/hyperlink" Target="https://rode.com/es/accessories/micon/micon-10" TargetMode="External"/><Relationship Id="rId156" Type="http://schemas.openxmlformats.org/officeDocument/2006/relationships/hyperlink" Target="https://rode.com/es/accessories/micon/micon-1" TargetMode="External"/><Relationship Id="rId155" Type="http://schemas.openxmlformats.org/officeDocument/2006/relationships/hyperlink" Target="https://rode.com/es/accessories/mounts-grips/vampire-clip" TargetMode="External"/><Relationship Id="rId40" Type="http://schemas.openxmlformats.org/officeDocument/2006/relationships/hyperlink" Target="https://rode.com/es/microphones/shotgun/ntg4" TargetMode="External"/><Relationship Id="rId42" Type="http://schemas.openxmlformats.org/officeDocument/2006/relationships/hyperlink" Target="https://rode.com/es/microphones/shotgun/ntg5" TargetMode="External"/><Relationship Id="rId41" Type="http://schemas.openxmlformats.org/officeDocument/2006/relationships/hyperlink" Target="https://rode.com/es/microphones/shotgun/ntg4plus" TargetMode="External"/><Relationship Id="rId44" Type="http://schemas.openxmlformats.org/officeDocument/2006/relationships/hyperlink" Target="https://rode.com/es/microphones/broadcast/broadcaster" TargetMode="External"/><Relationship Id="rId43" Type="http://schemas.openxmlformats.org/officeDocument/2006/relationships/hyperlink" Target="https://rode.com/es/microphones/shotgun/ntg8" TargetMode="External"/><Relationship Id="rId46" Type="http://schemas.openxmlformats.org/officeDocument/2006/relationships/hyperlink" Target="https://rode.com/es/microphones/broadcast/podmic" TargetMode="External"/><Relationship Id="rId45" Type="http://schemas.openxmlformats.org/officeDocument/2006/relationships/hyperlink" Target="https://rode.com/es/microphones/usb/podcaster" TargetMode="External"/><Relationship Id="rId48" Type="http://schemas.openxmlformats.org/officeDocument/2006/relationships/hyperlink" Target="https://rode.com/es/microphones/broadcast/procaster" TargetMode="External"/><Relationship Id="rId47" Type="http://schemas.openxmlformats.org/officeDocument/2006/relationships/hyperlink" Target="https://rode.com/es/microphones/usb/podmic-usb" TargetMode="External"/><Relationship Id="rId49" Type="http://schemas.openxmlformats.org/officeDocument/2006/relationships/hyperlink" Target="https://rode.com/es/microphones/broadcast/reporter" TargetMode="External"/><Relationship Id="rId31" Type="http://schemas.openxmlformats.org/officeDocument/2006/relationships/hyperlink" Target="https://rode.com/es/microphones/ribbon/ntr" TargetMode="External"/><Relationship Id="rId30" Type="http://schemas.openxmlformats.org/officeDocument/2006/relationships/hyperlink" Target="https://rode.com/es/microphones/studio-condenser/ntk" TargetMode="External"/><Relationship Id="rId33" Type="http://schemas.openxmlformats.org/officeDocument/2006/relationships/hyperlink" Target="https://rode.com/es/microphones/usb/nt-usb-plus" TargetMode="External"/><Relationship Id="rId32" Type="http://schemas.openxmlformats.org/officeDocument/2006/relationships/hyperlink" Target="https://rode.com/es/microphones/usb/nt-usb" TargetMode="External"/><Relationship Id="rId35" Type="http://schemas.openxmlformats.org/officeDocument/2006/relationships/hyperlink" Target="https://rode.com/es/microphones/studio-condenser/tf-5" TargetMode="External"/><Relationship Id="rId34" Type="http://schemas.openxmlformats.org/officeDocument/2006/relationships/hyperlink" Target="https://rode.com/es/microphones/usb/nt-usb-mini" TargetMode="External"/><Relationship Id="rId37" Type="http://schemas.openxmlformats.org/officeDocument/2006/relationships/hyperlink" Target="https://rode.com/es/microphones/shotgun/ntg2" TargetMode="External"/><Relationship Id="rId36" Type="http://schemas.openxmlformats.org/officeDocument/2006/relationships/hyperlink" Target="https://rode.com/es/microphones/shotgun/ntg1" TargetMode="External"/><Relationship Id="rId39" Type="http://schemas.openxmlformats.org/officeDocument/2006/relationships/hyperlink" Target="https://rode.com/es/microphones/shotgun/ntg3" TargetMode="External"/><Relationship Id="rId38" Type="http://schemas.openxmlformats.org/officeDocument/2006/relationships/hyperlink" Target="https://rode.com/es/microphones/shotgun/ntg3" TargetMode="External"/><Relationship Id="rId20" Type="http://schemas.openxmlformats.org/officeDocument/2006/relationships/hyperlink" Target="https://rode.com/es/microphones/studio-condenser/nt1-signature-series" TargetMode="External"/><Relationship Id="rId22" Type="http://schemas.openxmlformats.org/officeDocument/2006/relationships/hyperlink" Target="https://rode.com/es/microphones/studio-condenser/nt2-a" TargetMode="External"/><Relationship Id="rId21" Type="http://schemas.openxmlformats.org/officeDocument/2006/relationships/hyperlink" Target="https://rode.com/es/microphones/studio-condenser/nt2000" TargetMode="External"/><Relationship Id="rId24" Type="http://schemas.openxmlformats.org/officeDocument/2006/relationships/hyperlink" Target="https://rode.com/es/microphones/studio-condenser/nt4" TargetMode="External"/><Relationship Id="rId23" Type="http://schemas.openxmlformats.org/officeDocument/2006/relationships/hyperlink" Target="https://rode.com/es/microphones/studio-condenser/nt3" TargetMode="External"/><Relationship Id="rId26" Type="http://schemas.openxmlformats.org/officeDocument/2006/relationships/hyperlink" Target="https://rode.com/es/microphones/studio-condenser/nt55" TargetMode="External"/><Relationship Id="rId25" Type="http://schemas.openxmlformats.org/officeDocument/2006/relationships/hyperlink" Target="https://rode.com/es/microphones/studio-condenser/nt5" TargetMode="External"/><Relationship Id="rId28" Type="http://schemas.openxmlformats.org/officeDocument/2006/relationships/hyperlink" Target="https://rode.com/es/microphones/studio-condenser/nt5" TargetMode="External"/><Relationship Id="rId27" Type="http://schemas.openxmlformats.org/officeDocument/2006/relationships/hyperlink" Target="https://rode.com/es/microphones/studio-condenser/nt55" TargetMode="External"/><Relationship Id="rId29" Type="http://schemas.openxmlformats.org/officeDocument/2006/relationships/hyperlink" Target="https://rode.com/es/microphones/studio-condenser/nt6" TargetMode="External"/><Relationship Id="rId11" Type="http://schemas.openxmlformats.org/officeDocument/2006/relationships/hyperlink" Target="https://rode.com/es/microphones/studio-condenser/nt1" TargetMode="External"/><Relationship Id="rId10" Type="http://schemas.openxmlformats.org/officeDocument/2006/relationships/hyperlink" Target="https://rode.com/es/microphones/studio-condenser/nt1a" TargetMode="External"/><Relationship Id="rId13" Type="http://schemas.openxmlformats.org/officeDocument/2006/relationships/hyperlink" Target="https://rode.com/es/microphones/studio-condenser/nt1-5th-generation" TargetMode="External"/><Relationship Id="rId12" Type="http://schemas.openxmlformats.org/officeDocument/2006/relationships/hyperlink" Target="https://rode.com/es/microphones/studio-condenser/nt1-5th-generation" TargetMode="External"/><Relationship Id="rId15" Type="http://schemas.openxmlformats.org/officeDocument/2006/relationships/hyperlink" Target="http://nt1signatureblack/" TargetMode="External"/><Relationship Id="rId14" Type="http://schemas.openxmlformats.org/officeDocument/2006/relationships/hyperlink" Target="http://nt1gen5b/" TargetMode="External"/><Relationship Id="rId17" Type="http://schemas.openxmlformats.org/officeDocument/2006/relationships/hyperlink" Target="https://rode.com/es/microphones/studio-condenser/nt1-signature-series" TargetMode="External"/><Relationship Id="rId16" Type="http://schemas.openxmlformats.org/officeDocument/2006/relationships/hyperlink" Target="https://rode.com/es/microphones/studio-condenser/nt1-signature-series" TargetMode="External"/><Relationship Id="rId19" Type="http://schemas.openxmlformats.org/officeDocument/2006/relationships/hyperlink" Target="https://rode.com/es/microphones/studio-condenser/nt1-signature-series" TargetMode="External"/><Relationship Id="rId18" Type="http://schemas.openxmlformats.org/officeDocument/2006/relationships/hyperlink" Target="https://rode.com/es/microphones/studio-condenser/nt1-signature-series" TargetMode="External"/><Relationship Id="rId84" Type="http://schemas.openxmlformats.org/officeDocument/2006/relationships/hyperlink" Target="https://rode.com/es/microphones/usb/xdm-100" TargetMode="External"/><Relationship Id="rId83" Type="http://schemas.openxmlformats.org/officeDocument/2006/relationships/hyperlink" Target="https://rode.com/es/microphones/wireless/rodelink-filmmaker-kit" TargetMode="External"/><Relationship Id="rId86" Type="http://schemas.openxmlformats.org/officeDocument/2006/relationships/hyperlink" Target="https://rode.com/es/interfaces-and-mixers/rodecaster-series/rodecaster-duo" TargetMode="External"/><Relationship Id="rId85" Type="http://schemas.openxmlformats.org/officeDocument/2006/relationships/hyperlink" Target="https://rode.com/es/microphones/usb/xcm-50" TargetMode="External"/><Relationship Id="rId88" Type="http://schemas.openxmlformats.org/officeDocument/2006/relationships/hyperlink" Target="https://rode.com/es/interfaces-and-mixers/rodecaster-series/rodecaster-pro-ii" TargetMode="External"/><Relationship Id="rId87" Type="http://schemas.openxmlformats.org/officeDocument/2006/relationships/hyperlink" Target="https://rode.com/es/interfaces-and-mixers/rodecaster-series/rodecaster-pro" TargetMode="External"/><Relationship Id="rId89" Type="http://schemas.openxmlformats.org/officeDocument/2006/relationships/hyperlink" Target="https://rode.com/en-int/products/rodecaster-video" TargetMode="External"/><Relationship Id="rId80" Type="http://schemas.openxmlformats.org/officeDocument/2006/relationships/hyperlink" Target="https://rode.com/es/microphones/wireless/wireless-me" TargetMode="External"/><Relationship Id="rId82" Type="http://schemas.openxmlformats.org/officeDocument/2006/relationships/hyperlink" Target="https://rode.com/es/microphones/wireless/wirelesspro" TargetMode="External"/><Relationship Id="rId81" Type="http://schemas.openxmlformats.org/officeDocument/2006/relationships/hyperlink" Target="https://rode.com/es/microphones/wireless/wireless-me-tx" TargetMode="External"/><Relationship Id="rId73" Type="http://schemas.openxmlformats.org/officeDocument/2006/relationships/hyperlink" Target="https://rode.com/es/microphones/on-camera/videomicro" TargetMode="External"/><Relationship Id="rId72" Type="http://schemas.openxmlformats.org/officeDocument/2006/relationships/hyperlink" Target="https://rode.com/es/microphones/mobile/videomic-me-l" TargetMode="External"/><Relationship Id="rId75" Type="http://schemas.openxmlformats.org/officeDocument/2006/relationships/hyperlink" Target="https://rode.com/es/microphones/mobile/vlogger-kit-usb-c" TargetMode="External"/><Relationship Id="rId74" Type="http://schemas.openxmlformats.org/officeDocument/2006/relationships/hyperlink" Target="https://rode.com/en/microphones/mobile/vlogger-kit-ios" TargetMode="External"/><Relationship Id="rId77" Type="http://schemas.openxmlformats.org/officeDocument/2006/relationships/hyperlink" Target="https://rode.com/es/microphones/wireless/wireless-go-ii-tx" TargetMode="External"/><Relationship Id="rId76" Type="http://schemas.openxmlformats.org/officeDocument/2006/relationships/hyperlink" Target="https://rode.com/es/products/wireless-go-gen-3?variant_sku=WIGOGEN3" TargetMode="External"/><Relationship Id="rId79" Type="http://schemas.openxmlformats.org/officeDocument/2006/relationships/hyperlink" Target="https://rode.com/es/microphones/wireless/wirelessgoii" TargetMode="External"/><Relationship Id="rId78" Type="http://schemas.openxmlformats.org/officeDocument/2006/relationships/hyperlink" Target="https://rode.com/en/accessories/batteries-chargers/charge-case" TargetMode="External"/><Relationship Id="rId71" Type="http://schemas.openxmlformats.org/officeDocument/2006/relationships/hyperlink" Target="https://rode.com/es/microphones/mobile/videomic-me-c" TargetMode="External"/><Relationship Id="rId70" Type="http://schemas.openxmlformats.org/officeDocument/2006/relationships/hyperlink" Target="https://rode.com/es/microphones/mobile/videomic-me-c" TargetMode="External"/><Relationship Id="rId62" Type="http://schemas.openxmlformats.org/officeDocument/2006/relationships/hyperlink" Target="https://rode.com/es/microphones/on-camera/videomicro" TargetMode="External"/><Relationship Id="rId61" Type="http://schemas.openxmlformats.org/officeDocument/2006/relationships/hyperlink" Target="https://rode.com/es/microphones/on-camera/videomic-go-ii" TargetMode="External"/><Relationship Id="rId64" Type="http://schemas.openxmlformats.org/officeDocument/2006/relationships/hyperlink" Target="https://rode.com/es/microphones/on-camera/videomic-ntg" TargetMode="External"/><Relationship Id="rId63" Type="http://schemas.openxmlformats.org/officeDocument/2006/relationships/hyperlink" Target="https://rode.com/es/microphones/on-camera/videomicro-ii" TargetMode="External"/><Relationship Id="rId66" Type="http://schemas.openxmlformats.org/officeDocument/2006/relationships/hyperlink" Target="https://rode.com/es/microphones/on-camera/videomic-pro" TargetMode="External"/><Relationship Id="rId65" Type="http://schemas.openxmlformats.org/officeDocument/2006/relationships/hyperlink" Target="https://rode.com/es/microphones/on-camera/videomic-pro-plus" TargetMode="External"/><Relationship Id="rId68" Type="http://schemas.openxmlformats.org/officeDocument/2006/relationships/hyperlink" Target="https://rode.com/es/interfaces-and-mixers/ai-series/ai-micro" TargetMode="External"/><Relationship Id="rId67" Type="http://schemas.openxmlformats.org/officeDocument/2006/relationships/hyperlink" Target="https://rode.com/en/microphones/on-camera/videomic" TargetMode="External"/><Relationship Id="rId60" Type="http://schemas.openxmlformats.org/officeDocument/2006/relationships/hyperlink" Target="https://rode.com/es/microphones/on-camera/videomic-go" TargetMode="External"/><Relationship Id="rId69" Type="http://schemas.openxmlformats.org/officeDocument/2006/relationships/hyperlink" Target="https://rode.com/es/microphones/mobile/smartlav-plus" TargetMode="External"/><Relationship Id="rId51" Type="http://schemas.openxmlformats.org/officeDocument/2006/relationships/hyperlink" Target="https://rode.com/es/microphones/lavalier-wearable/hs2" TargetMode="External"/><Relationship Id="rId50" Type="http://schemas.openxmlformats.org/officeDocument/2006/relationships/hyperlink" Target="https://rode.com/es/microphones/360-ambisonic/nt-sf1" TargetMode="External"/><Relationship Id="rId53" Type="http://schemas.openxmlformats.org/officeDocument/2006/relationships/hyperlink" Target="https://rode.com/es/microphones/lavalier-wearable/lavalier" TargetMode="External"/><Relationship Id="rId52" Type="http://schemas.openxmlformats.org/officeDocument/2006/relationships/hyperlink" Target="https://rode.com/es/microphones/lavalier-wearable/hs2" TargetMode="External"/><Relationship Id="rId55" Type="http://schemas.openxmlformats.org/officeDocument/2006/relationships/hyperlink" Target="https://rode.com/es/microphones/lavalier-wearable/rodelink-lav" TargetMode="External"/><Relationship Id="rId54" Type="http://schemas.openxmlformats.org/officeDocument/2006/relationships/hyperlink" Target="https://rode.com/es/microphones/lavalier-wearable/lavalier-ii" TargetMode="External"/><Relationship Id="rId57" Type="http://schemas.openxmlformats.org/officeDocument/2006/relationships/hyperlink" Target="https://rode.com/es/microphones/lavalier-wearable/lavalier-go" TargetMode="External"/><Relationship Id="rId56" Type="http://schemas.openxmlformats.org/officeDocument/2006/relationships/hyperlink" Target="https://rode.com/es/microphones/lavalier-wearable/lavalier-go" TargetMode="External"/><Relationship Id="rId59" Type="http://schemas.openxmlformats.org/officeDocument/2006/relationships/hyperlink" Target="https://rode.com/es/microphones/on-camera/stereo-videomic-x" TargetMode="External"/><Relationship Id="rId58" Type="http://schemas.openxmlformats.org/officeDocument/2006/relationships/hyperlink" Target="https://rode.com/en/microphones/on-camera/stereo-videomic-pro" TargetMode="External"/><Relationship Id="rId107" Type="http://schemas.openxmlformats.org/officeDocument/2006/relationships/hyperlink" Target="https://rode.com/es/accessories/adaptors-cables/sc3" TargetMode="External"/><Relationship Id="rId228" Type="http://schemas.openxmlformats.org/officeDocument/2006/relationships/hyperlink" Target="https://rode.com/es/accessories/windshields/ws12" TargetMode="External"/><Relationship Id="rId106" Type="http://schemas.openxmlformats.org/officeDocument/2006/relationships/hyperlink" Target="https://rode.com/es/accessories/adaptors-cables/sc2" TargetMode="External"/><Relationship Id="rId227" Type="http://schemas.openxmlformats.org/officeDocument/2006/relationships/hyperlink" Target="https://rode.com/es/accessories/windshields/ws11" TargetMode="External"/><Relationship Id="rId105" Type="http://schemas.openxmlformats.org/officeDocument/2006/relationships/hyperlink" Target="https://rode.com/es/accessories/adaptors-cables/sc1" TargetMode="External"/><Relationship Id="rId226" Type="http://schemas.openxmlformats.org/officeDocument/2006/relationships/hyperlink" Target="https://rode.com/es/accessories/windshields/ws9" TargetMode="External"/><Relationship Id="rId104" Type="http://schemas.openxmlformats.org/officeDocument/2006/relationships/hyperlink" Target="https://rode.com/es/accessories/adaptors-cables/hja-4" TargetMode="External"/><Relationship Id="rId225" Type="http://schemas.openxmlformats.org/officeDocument/2006/relationships/hyperlink" Target="https://rode.com/es/accessories/windshields/ws9" TargetMode="External"/><Relationship Id="rId109" Type="http://schemas.openxmlformats.org/officeDocument/2006/relationships/hyperlink" Target="https://rode.com/es/accessories/adaptors-cables/sc6" TargetMode="External"/><Relationship Id="rId108" Type="http://schemas.openxmlformats.org/officeDocument/2006/relationships/hyperlink" Target="https://rode.com/es/accessories/adaptors-cables/sc4" TargetMode="External"/><Relationship Id="rId229" Type="http://schemas.openxmlformats.org/officeDocument/2006/relationships/hyperlink" Target="https://rode.com/es/accessories/windshields/ws-chroma" TargetMode="External"/><Relationship Id="rId220" Type="http://schemas.openxmlformats.org/officeDocument/2006/relationships/hyperlink" Target="https://rode.com/es/accessories/windshields/ws7" TargetMode="External"/><Relationship Id="rId103" Type="http://schemas.openxmlformats.org/officeDocument/2006/relationships/hyperlink" Target="https://rode.com/en/headphones/accessories/nth-cable" TargetMode="External"/><Relationship Id="rId224" Type="http://schemas.openxmlformats.org/officeDocument/2006/relationships/hyperlink" Target="https://rode.com/es/accessories/windshields/ws9" TargetMode="External"/><Relationship Id="rId102" Type="http://schemas.openxmlformats.org/officeDocument/2006/relationships/hyperlink" Target="https://rode.com/en/headphones/accessories/nth-cable" TargetMode="External"/><Relationship Id="rId223" Type="http://schemas.openxmlformats.org/officeDocument/2006/relationships/hyperlink" Target="https://rode.com/es/accessories/windshields/ws9" TargetMode="External"/><Relationship Id="rId101" Type="http://schemas.openxmlformats.org/officeDocument/2006/relationships/hyperlink" Target="https://rode.com/en/headphones/accessories/nth-cable" TargetMode="External"/><Relationship Id="rId222" Type="http://schemas.openxmlformats.org/officeDocument/2006/relationships/hyperlink" Target="https://rode.com/es/accessories/windshields/ws9" TargetMode="External"/><Relationship Id="rId100" Type="http://schemas.openxmlformats.org/officeDocument/2006/relationships/hyperlink" Target="https://rode.com/en/headphones/accessories/nth-cable" TargetMode="External"/><Relationship Id="rId221" Type="http://schemas.openxmlformats.org/officeDocument/2006/relationships/hyperlink" Target="https://rode.com/es/accessories/windshields/ws8" TargetMode="External"/><Relationship Id="rId217" Type="http://schemas.openxmlformats.org/officeDocument/2006/relationships/hyperlink" Target="https://rode.com/es/accessories/windshields/ws4" TargetMode="External"/><Relationship Id="rId216" Type="http://schemas.openxmlformats.org/officeDocument/2006/relationships/hyperlink" Target="https://rode.com/es/accessories/windshields/ws3" TargetMode="External"/><Relationship Id="rId215" Type="http://schemas.openxmlformats.org/officeDocument/2006/relationships/hyperlink" Target="https://rode.com/es/accessories/windshields/ws2" TargetMode="External"/><Relationship Id="rId214" Type="http://schemas.openxmlformats.org/officeDocument/2006/relationships/hyperlink" Target="https://rode.com/es/accessories/windshields/ws-lav" TargetMode="External"/><Relationship Id="rId219" Type="http://schemas.openxmlformats.org/officeDocument/2006/relationships/hyperlink" Target="https://rode.com/es/accessories/windshields/ws6" TargetMode="External"/><Relationship Id="rId218" Type="http://schemas.openxmlformats.org/officeDocument/2006/relationships/hyperlink" Target="https://rode.com/es/accessories/windshields/ws5" TargetMode="External"/><Relationship Id="rId213" Type="http://schemas.openxmlformats.org/officeDocument/2006/relationships/hyperlink" Target="https://rode.com/es/accessories/windshields/minifur-hs1" TargetMode="External"/><Relationship Id="rId212" Type="http://schemas.openxmlformats.org/officeDocument/2006/relationships/hyperlink" Target="https://rode.com/es/accessories/windshields/deadwombat" TargetMode="External"/><Relationship Id="rId211" Type="http://schemas.openxmlformats.org/officeDocument/2006/relationships/hyperlink" Target="https://rode.com/es/accessories/windshields/minifur-hs1" TargetMode="External"/><Relationship Id="rId210" Type="http://schemas.openxmlformats.org/officeDocument/2006/relationships/hyperlink" Target="https://rode.com/es/accessories/windshields/deadkitten" TargetMode="External"/><Relationship Id="rId129" Type="http://schemas.openxmlformats.org/officeDocument/2006/relationships/hyperlink" Target="https://rode.com/es/accessories/adaptors-cables/xlr-to-xlr" TargetMode="External"/><Relationship Id="rId128" Type="http://schemas.openxmlformats.org/officeDocument/2006/relationships/hyperlink" Target="https://rode.com/es/accessories/adaptors-cables/xlr-to-xlr" TargetMode="External"/><Relationship Id="rId127" Type="http://schemas.openxmlformats.org/officeDocument/2006/relationships/hyperlink" Target="https://rode.com/es/accessories/adaptors-cables/xlr-to-xlr" TargetMode="External"/><Relationship Id="rId126" Type="http://schemas.openxmlformats.org/officeDocument/2006/relationships/hyperlink" Target="https://rode.com/es/accessories/adaptors-cables/xlr-to-xlr" TargetMode="External"/><Relationship Id="rId121" Type="http://schemas.openxmlformats.org/officeDocument/2006/relationships/hyperlink" Target="https://rode.com/es/accessories/boompoles/micro-boompole" TargetMode="External"/><Relationship Id="rId120" Type="http://schemas.openxmlformats.org/officeDocument/2006/relationships/hyperlink" Target="https://rode.com/es/accessories/boompoles/boompole-clips" TargetMode="External"/><Relationship Id="rId125" Type="http://schemas.openxmlformats.org/officeDocument/2006/relationships/hyperlink" Target="https://rode.com/es/accessories/adaptors-cables/xlr-to-xlr" TargetMode="External"/><Relationship Id="rId124" Type="http://schemas.openxmlformats.org/officeDocument/2006/relationships/hyperlink" Target="https://rode.com/es/accessories/boompoles/boompole-pro" TargetMode="External"/><Relationship Id="rId123" Type="http://schemas.openxmlformats.org/officeDocument/2006/relationships/hyperlink" Target="https://rode.com/es/accessories/boompoles/mini-boompole" TargetMode="External"/><Relationship Id="rId122" Type="http://schemas.openxmlformats.org/officeDocument/2006/relationships/hyperlink" Target="https://rode.com/es/accessories/boompoles/micro-boompole-pro" TargetMode="External"/><Relationship Id="rId95" Type="http://schemas.openxmlformats.org/officeDocument/2006/relationships/hyperlink" Target="https://rode.com/en/headphones/accessories/nth-cable" TargetMode="External"/><Relationship Id="rId94" Type="http://schemas.openxmlformats.org/officeDocument/2006/relationships/hyperlink" Target="https://rode.com/en/headphones/accessories/nth-cable" TargetMode="External"/><Relationship Id="rId97" Type="http://schemas.openxmlformats.org/officeDocument/2006/relationships/hyperlink" Target="https://rode.com/en/headphones/accessories/nth-cable" TargetMode="External"/><Relationship Id="rId96" Type="http://schemas.openxmlformats.org/officeDocument/2006/relationships/hyperlink" Target="https://rode.com/en/headphones/accessories/nth-cable" TargetMode="External"/><Relationship Id="rId99" Type="http://schemas.openxmlformats.org/officeDocument/2006/relationships/hyperlink" Target="https://rode.com/en/headphones/accessories/nth-cable" TargetMode="External"/><Relationship Id="rId98" Type="http://schemas.openxmlformats.org/officeDocument/2006/relationships/hyperlink" Target="https://rode.com/en/headphones/accessories/nth-cable" TargetMode="External"/><Relationship Id="rId91" Type="http://schemas.openxmlformats.org/officeDocument/2006/relationships/hyperlink" Target="https://rode.com/es/headphones/over-ear/nth-100" TargetMode="External"/><Relationship Id="rId90" Type="http://schemas.openxmlformats.org/officeDocument/2006/relationships/hyperlink" Target="https://rode.com/es/interfaces-and-mixers/streamer-series/streamer-x" TargetMode="External"/><Relationship Id="rId93" Type="http://schemas.openxmlformats.org/officeDocument/2006/relationships/hyperlink" Target="https://rode.com/es/headphones/accessories/nth-mic" TargetMode="External"/><Relationship Id="rId92" Type="http://schemas.openxmlformats.org/officeDocument/2006/relationships/hyperlink" Target="https://rode.com/es/headphones/over-ear/nth-100m" TargetMode="External"/><Relationship Id="rId118" Type="http://schemas.openxmlformats.org/officeDocument/2006/relationships/hyperlink" Target="https://rode.com/es/accessories/adaptors-cables/vxlr-pro" TargetMode="External"/><Relationship Id="rId117" Type="http://schemas.openxmlformats.org/officeDocument/2006/relationships/hyperlink" Target="https://rode.com/es/accessories/adaptors-cables/vxlr-plus" TargetMode="External"/><Relationship Id="rId116" Type="http://schemas.openxmlformats.org/officeDocument/2006/relationships/hyperlink" Target="https://rode.com/es/accessories/adaptors-cables/vxlr" TargetMode="External"/><Relationship Id="rId115" Type="http://schemas.openxmlformats.org/officeDocument/2006/relationships/hyperlink" Target="https://rode.com/es/accessories/adaptors-cables/sc11" TargetMode="External"/><Relationship Id="rId119" Type="http://schemas.openxmlformats.org/officeDocument/2006/relationships/hyperlink" Target="https://rode.com/es/accessories/boompoles/boompole" TargetMode="External"/><Relationship Id="rId110" Type="http://schemas.openxmlformats.org/officeDocument/2006/relationships/hyperlink" Target="https://rode.com/es/accessories/adaptors-cables/sc8" TargetMode="External"/><Relationship Id="rId231" Type="http://schemas.openxmlformats.org/officeDocument/2006/relationships/hyperlink" Target="https://rode.com/es/accessories/windshields/ws-hs1" TargetMode="External"/><Relationship Id="rId230" Type="http://schemas.openxmlformats.org/officeDocument/2006/relationships/hyperlink" Target="https://rode.com/es/accessories/windshields/ws-hs1" TargetMode="External"/><Relationship Id="rId114" Type="http://schemas.openxmlformats.org/officeDocument/2006/relationships/hyperlink" Target="https://rode.com/es/accessories/adaptors-cables/sc10" TargetMode="External"/><Relationship Id="rId113" Type="http://schemas.openxmlformats.org/officeDocument/2006/relationships/hyperlink" Target="https://rode.com/es/accessories/adaptors-cables/sc9" TargetMode="External"/><Relationship Id="rId234" Type="http://schemas.openxmlformats.org/officeDocument/2006/relationships/vmlDrawing" Target="../drawings/vmlDrawing4.vml"/><Relationship Id="rId112" Type="http://schemas.openxmlformats.org/officeDocument/2006/relationships/hyperlink" Target="https://rode.com/es/accessories/adaptors-cables/sc8" TargetMode="External"/><Relationship Id="rId233" Type="http://schemas.openxmlformats.org/officeDocument/2006/relationships/drawing" Target="../drawings/drawing18.xml"/><Relationship Id="rId111" Type="http://schemas.openxmlformats.org/officeDocument/2006/relationships/hyperlink" Target="https://rode.com/es/accessories/adaptors-cables/sc7" TargetMode="External"/><Relationship Id="rId232" Type="http://schemas.openxmlformats.org/officeDocument/2006/relationships/hyperlink" Target="https://rode.com/en/accessories/windshields/ws-lav" TargetMode="External"/><Relationship Id="rId206" Type="http://schemas.openxmlformats.org/officeDocument/2006/relationships/hyperlink" Target="https://rode.com/es/accessories/windshields/deadcat-go" TargetMode="External"/><Relationship Id="rId205" Type="http://schemas.openxmlformats.org/officeDocument/2006/relationships/hyperlink" Target="https://rode.com/es/accessories/windshields/deadcat" TargetMode="External"/><Relationship Id="rId204" Type="http://schemas.openxmlformats.org/officeDocument/2006/relationships/hyperlink" Target="https://rode.com/es/accessories/windshields/deadcat-go" TargetMode="External"/><Relationship Id="rId203" Type="http://schemas.openxmlformats.org/officeDocument/2006/relationships/hyperlink" Target="https://rode.com/es/accessories/windshields/blimp" TargetMode="External"/><Relationship Id="rId209" Type="http://schemas.openxmlformats.org/officeDocument/2006/relationships/hyperlink" Target="https://rode.com/es/accessories/windshields/deadcat-vmpr" TargetMode="External"/><Relationship Id="rId208" Type="http://schemas.openxmlformats.org/officeDocument/2006/relationships/hyperlink" Target="https://rode.com/es/accessories/windshields/deadcat-vmp-plus" TargetMode="External"/><Relationship Id="rId207" Type="http://schemas.openxmlformats.org/officeDocument/2006/relationships/hyperlink" Target="https://rode.com/es/accessories/windshields/deadcat-vmpr" TargetMode="External"/><Relationship Id="rId202" Type="http://schemas.openxmlformats.org/officeDocument/2006/relationships/hyperlink" Target="https://rode.com/es/accessories/stands-bars/tripod2" TargetMode="External"/><Relationship Id="rId201" Type="http://schemas.openxmlformats.org/officeDocument/2006/relationships/hyperlink" Target="https://rode.com/es/accessories/stands-bars/tripod" TargetMode="External"/><Relationship Id="rId200" Type="http://schemas.openxmlformats.org/officeDocument/2006/relationships/hyperlink" Target="https://rode.com/es/accessories/stands-bars/psa1-plus" TargetMode="External"/></Relationships>
</file>

<file path=xl/worksheets/_rels/sheet19.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dynaudio.com/discontinued-models/contour-s/contour-s-14" TargetMode="External"/><Relationship Id="rId3" Type="http://schemas.openxmlformats.org/officeDocument/2006/relationships/hyperlink" Target="https://dynaudio.com/discontinued-models/contour-s/contour-s-c" TargetMode="External"/><Relationship Id="rId4" Type="http://schemas.openxmlformats.org/officeDocument/2006/relationships/hyperlink" Target="https://dynaudio.com/discontinued-models/contour-s/contour-s-34" TargetMode="External"/><Relationship Id="rId9" Type="http://schemas.openxmlformats.org/officeDocument/2006/relationships/hyperlink" Target="https://dynaudio.com/discontinued-models/dm/37" TargetMode="External"/><Relationship Id="rId5" Type="http://schemas.openxmlformats.org/officeDocument/2006/relationships/hyperlink" Target="https://dynaudio.com/discontinued-models/emit-2015/m10" TargetMode="External"/><Relationship Id="rId6" Type="http://schemas.openxmlformats.org/officeDocument/2006/relationships/hyperlink" Target="https://dynaudio.com/discontinued-models/emit-2015/m30" TargetMode="External"/><Relationship Id="rId7" Type="http://schemas.openxmlformats.org/officeDocument/2006/relationships/hyperlink" Target="https://dynaudio.com/discontinued-models/focus/focus-210-c" TargetMode="External"/><Relationship Id="rId8" Type="http://schemas.openxmlformats.org/officeDocument/2006/relationships/hyperlink" Target="https://dynaudio.com/discontinued-models/focus/focus-260" TargetMode="External"/><Relationship Id="rId11" Type="http://schemas.openxmlformats.org/officeDocument/2006/relationships/hyperlink" Target="https://dynaudio.com/discontinued-models/xeo/xeo-transmitter" TargetMode="External"/><Relationship Id="rId10" Type="http://schemas.openxmlformats.org/officeDocument/2006/relationships/hyperlink" Target="https://dynaudio.com/discontinued-models/xeo/xeo-5" TargetMode="External"/><Relationship Id="rId13" Type="http://schemas.openxmlformats.org/officeDocument/2006/relationships/hyperlink" Target="https://dynaudio.com/professional-audio/classic-bm-range/bm15a" TargetMode="External"/><Relationship Id="rId12" Type="http://schemas.openxmlformats.org/officeDocument/2006/relationships/hyperlink" Target="https://dynaudio.com/professional-audio/classic-bm-range/bm6a" TargetMode="External"/><Relationship Id="rId15" Type="http://schemas.openxmlformats.org/officeDocument/2006/relationships/hyperlink" Target="https://dynaudio.com/professional-audio/lyd/lyd-8" TargetMode="External"/><Relationship Id="rId14" Type="http://schemas.openxmlformats.org/officeDocument/2006/relationships/hyperlink" Target="https://dynaudio.com/professional-audio/lyd/lyd-5" TargetMode="External"/><Relationship Id="rId17" Type="http://schemas.openxmlformats.org/officeDocument/2006/relationships/vmlDrawing" Target="../drawings/vmlDrawing5.vml"/><Relationship Id="rId16"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sennheiser.com/es-mx/catalog/applications/filmacion/rf-accessories-2174b/bb25-usbb25" TargetMode="External"/><Relationship Id="rId194" Type="http://schemas.openxmlformats.org/officeDocument/2006/relationships/hyperlink" Target="https://www.sennheiser.com/pt-br/catalog/products/drahtlossysteme/gzl-rg/gzl-rg-58---0.5m-700159" TargetMode="External"/><Relationship Id="rId193" Type="http://schemas.openxmlformats.org/officeDocument/2006/relationships/hyperlink" Target="https://www.sennheiser.com/en-au/catalog/products/wireless-systems/gzl-rg/gzl-rg-58---0.25m-700158" TargetMode="External"/><Relationship Id="rId192" Type="http://schemas.openxmlformats.org/officeDocument/2006/relationships/hyperlink" Target="https://www.sennheiser.com/en-dk/catalog/applications/filmacion/other-brands-88100/bb3-usbb3" TargetMode="External"/><Relationship Id="rId191" Type="http://schemas.openxmlformats.org/officeDocument/2006/relationships/hyperlink" Target="https://www.sennheiser.com/en-us/catalog/archive/rf-accessories-2380r/bb25kit-usbb25kit" TargetMode="External"/><Relationship Id="rId187" Type="http://schemas.openxmlformats.org/officeDocument/2006/relationships/hyperlink" Target="https://www.sennheiser.com/en-se/catalog/products/wireless-systems/half-wave-dipole/half-wave-dipole-u-508871" TargetMode="External"/><Relationship Id="rId186" Type="http://schemas.openxmlformats.org/officeDocument/2006/relationships/hyperlink" Target="https://www.sennheiser.com/es-mx/catalog/products/sistema-inalambrico/am-2/am-2-009912" TargetMode="External"/><Relationship Id="rId185" Type="http://schemas.openxmlformats.org/officeDocument/2006/relationships/hyperlink" Target="https://www.sennheiser.com/en-us/catalog/products/wireless-systems/ew-d-asa/ew-d-asa-470---694-mhz-508879" TargetMode="External"/><Relationship Id="rId184" Type="http://schemas.openxmlformats.org/officeDocument/2006/relationships/hyperlink" Target="https://www.sennheiser.com/en-nz/catalog/products/wireless-systems/asa-3000/asa-3000-us-009407" TargetMode="External"/><Relationship Id="rId189" Type="http://schemas.openxmlformats.org/officeDocument/2006/relationships/hyperlink" Target="https://www.sennheiser.com/fr-lu/catalog/applications/raalisation-de-films/other-brands-88100/bb100-usbb100" TargetMode="External"/><Relationship Id="rId188" Type="http://schemas.openxmlformats.org/officeDocument/2006/relationships/hyperlink" Target="https://www.sennheiser.com/en-hk/catalog/applications/filmacion/other-brands-88100/bb1-usbb1" TargetMode="External"/><Relationship Id="rId183" Type="http://schemas.openxmlformats.org/officeDocument/2006/relationships/hyperlink" Target="https://www.sennheiser.com/en-us/catalog/products/wireless-systems/ac-41/ac-41-us-508244" TargetMode="External"/><Relationship Id="rId182" Type="http://schemas.openxmlformats.org/officeDocument/2006/relationships/hyperlink" Target="https://www.sennheiser.com/en-us/catalog/products/wireless-systems/asp-212/asp-212-003421" TargetMode="External"/><Relationship Id="rId181" Type="http://schemas.openxmlformats.org/officeDocument/2006/relationships/hyperlink" Target="https://www.sennheiser.com/en-us/catalog/products/wireless-systems/asp-114/asp-114-003423" TargetMode="External"/><Relationship Id="rId180" Type="http://schemas.openxmlformats.org/officeDocument/2006/relationships/hyperlink" Target="https://www.sennheiser.com/en-us/catalog/products/wireless-systems/asp-113/asp-113-003422" TargetMode="External"/><Relationship Id="rId176" Type="http://schemas.openxmlformats.org/officeDocument/2006/relationships/hyperlink" Target="https://www.sennheiser.com/en-ae/catalog/products/wireless-systems/ab-4/ab-4-dw-508543" TargetMode="External"/><Relationship Id="rId297" Type="http://schemas.openxmlformats.org/officeDocument/2006/relationships/hyperlink" Target="https://www.sennheiser.com/en-ae/catalog/products/wireless-systems/sl-dw-headmic-set/sl-headmic-set-dw-3-eu-c-505880" TargetMode="External"/><Relationship Id="rId175" Type="http://schemas.openxmlformats.org/officeDocument/2006/relationships/hyperlink" Target="https://www.sennheiser.com/en-ae/catalog/products/wireless-systems/ab-4/ab-4-dw-508543" TargetMode="External"/><Relationship Id="rId296" Type="http://schemas.openxmlformats.org/officeDocument/2006/relationships/hyperlink" Target="https://www.sennheiser.com/en-in/catalog/products/systeme-sans-fil/sl-dw-lavalier-set/sl-lavalier-set-dw-4-us-c-505896" TargetMode="External"/><Relationship Id="rId174" Type="http://schemas.openxmlformats.org/officeDocument/2006/relationships/hyperlink" Target="https://www.sennheiser.com/en-de/catalog/products/wireless-systems/ew-d-ab/ew-d-ab-y-508878" TargetMode="External"/><Relationship Id="rId295" Type="http://schemas.openxmlformats.org/officeDocument/2006/relationships/hyperlink" Target="https://www.sennheiser.com/en-us/catalog/products/wireless-systems/sl-dw-handheld-set/sl-handheld-set-dw-3-eu-c-505881" TargetMode="External"/><Relationship Id="rId173" Type="http://schemas.openxmlformats.org/officeDocument/2006/relationships/hyperlink" Target="https://www.sennheiser.com/en-ae/catalog/products/wireless-systems/a-5000-cp/a-5000-cp-500887" TargetMode="External"/><Relationship Id="rId294" Type="http://schemas.openxmlformats.org/officeDocument/2006/relationships/hyperlink" Target="https://www.sennheiser.com/en-ie/catalog/products/accessories/teamconnect-intelligent-speaker-accessoires/sennheiser-security-cable-lock-700172" TargetMode="External"/><Relationship Id="rId179" Type="http://schemas.openxmlformats.org/officeDocument/2006/relationships/hyperlink" Target="https://www.sennheiser.com/es-mx/catalog/products/sistema-inalambrico/aca-3/aca-3-390038" TargetMode="External"/><Relationship Id="rId178" Type="http://schemas.openxmlformats.org/officeDocument/2006/relationships/hyperlink" Target="https://www.sennheiser.com/es-mx/catalog/products/sistema-inalambrico/ac-3200-ii/ac-3200-ii-505497" TargetMode="External"/><Relationship Id="rId299" Type="http://schemas.openxmlformats.org/officeDocument/2006/relationships/hyperlink" Target="https://www.sennheiser.com/en-gb/catalog/products/wireless-systems/sl-dw-ts-153-set/sl-ts-153-gn-l-set-dw-3-eu-506616" TargetMode="External"/><Relationship Id="rId177" Type="http://schemas.openxmlformats.org/officeDocument/2006/relationships/hyperlink" Target="https://www.sennheiser.com/en-ae/catalog/products/wireless-systems/ab-3700/ab-3700-502196" TargetMode="External"/><Relationship Id="rId298" Type="http://schemas.openxmlformats.org/officeDocument/2006/relationships/hyperlink" Target="https://www.sennheiser.com/en-gb/catalog/products/wireless-systems/sl-dw-ts-133-set/sl-ts-133-gn-set-dw-3-eu-506615" TargetMode="External"/><Relationship Id="rId198" Type="http://schemas.openxmlformats.org/officeDocument/2006/relationships/hyperlink" Target="https://www.sennheiser.com/en-us/catalog/products/wireless-systems/gzl-rg/gzl-rg-8x---10m-700164" TargetMode="External"/><Relationship Id="rId197" Type="http://schemas.openxmlformats.org/officeDocument/2006/relationships/hyperlink" Target="https://www.sennheiser.com/en-fi/catalog/products/sistema-inalambrico/gzl-rg/gzl-rg-58---5m-700161" TargetMode="External"/><Relationship Id="rId196" Type="http://schemas.openxmlformats.org/officeDocument/2006/relationships/hyperlink" Target="https://www.sennheiser.com/es-cl/catalog/products/drahtlossysteme/gzl-rg/gzl-rg-58---1m-700160" TargetMode="External"/><Relationship Id="rId195" Type="http://schemas.openxmlformats.org/officeDocument/2006/relationships/hyperlink" Target="https://www.sennheiser.com/en-hu/catalog/products/sistema-sem-fio/gzl-rg/gzl-rg-58---10m-700162" TargetMode="External"/><Relationship Id="rId199" Type="http://schemas.openxmlformats.org/officeDocument/2006/relationships/hyperlink" Target="https://www.sennheiser.com/en-us/catalog/products/wireless-systems/gzl-rg/gzl-rg-8x---20m-700165" TargetMode="External"/><Relationship Id="rId150" Type="http://schemas.openxmlformats.org/officeDocument/2006/relationships/hyperlink" Target="https://www.google.com/search?q=SKP+100+G4-A1&amp;oq=SKP+100+G4-A1&amp;gs_lcrp=EgZjaHJvbWUyBggAEEUYOTIGCAEQLhhA0gEHMTQxajBqMagCALACAA&amp;sourceid=chrome&amp;ie=UTF-8" TargetMode="External"/><Relationship Id="rId271" Type="http://schemas.openxmlformats.org/officeDocument/2006/relationships/hyperlink" Target="https://www.sennheiser.com/en-cn/catalog/products/microphones/accessories-good/boom-arm-700101" TargetMode="External"/><Relationship Id="rId392" Type="http://schemas.openxmlformats.org/officeDocument/2006/relationships/hyperlink" Target="https://www.sennheiser.com/en-gb/catalog/products/microphones/mke-440-accessories/mke-440-506258" TargetMode="External"/><Relationship Id="rId270" Type="http://schemas.openxmlformats.org/officeDocument/2006/relationships/hyperlink" Target="https://www.sennheiser.com/es-mx/catalog/products/microfono/profile-usb-microphone/profile-usb-microphone-700065" TargetMode="External"/><Relationship Id="rId391" Type="http://schemas.openxmlformats.org/officeDocument/2006/relationships/hyperlink" Target="https://www.sennheiser.com/en-de/catalog/products/microphones/mke-400/mke-400-mobile-kit-509257" TargetMode="External"/><Relationship Id="rId390" Type="http://schemas.openxmlformats.org/officeDocument/2006/relationships/hyperlink" Target="https://www.sennheiser.com/en-de/catalog/products/microphones/mke-400/mke-400-508898" TargetMode="External"/><Relationship Id="rId1" Type="http://schemas.openxmlformats.org/officeDocument/2006/relationships/hyperlink" Target="https://www.sennheiser.com/es-mx/catalog/products/auriculares/hd-200-pro/hd-200-pro-507182" TargetMode="External"/><Relationship Id="rId2" Type="http://schemas.openxmlformats.org/officeDocument/2006/relationships/hyperlink" Target="https://www.sennheiser.com/es-cl/catalog/products/auriculares/hd-25/hd-25-506909" TargetMode="External"/><Relationship Id="rId3" Type="http://schemas.openxmlformats.org/officeDocument/2006/relationships/hyperlink" Target="https://www.sennheiser.com/es-mx/catalog/products/auriculares/hd-25-light/hd-25-light-508664" TargetMode="External"/><Relationship Id="rId149" Type="http://schemas.openxmlformats.org/officeDocument/2006/relationships/hyperlink" Target="https://www.google.com/search?q=SKP+100+G4-A1&amp;oq=SKP+100+G4-A1&amp;gs_lcrp=EgZjaHJvbWUyBggAEEUYOTIGCAEQLhhA0gEHMTQxajBqMagCALACAA&amp;sourceid=chrome&amp;ie=UTF-8" TargetMode="External"/><Relationship Id="rId4" Type="http://schemas.openxmlformats.org/officeDocument/2006/relationships/hyperlink" Target="https://www.sennheiser.com/es-mx/catalog/products/auriculares/hd-25-plus/hd-25-plus-506908" TargetMode="External"/><Relationship Id="rId148" Type="http://schemas.openxmlformats.org/officeDocument/2006/relationships/hyperlink" Target="https://www.sennheiser.com/en-in/catalog/products/wireless-systems/skm-500-g4/skm-500-g4-as-509854" TargetMode="External"/><Relationship Id="rId269" Type="http://schemas.openxmlformats.org/officeDocument/2006/relationships/hyperlink" Target="https://www.sennheiser.com/en-gb/catalog/products/microphones/profile-streaming-set/profile-streaming-set-700100" TargetMode="External"/><Relationship Id="rId9" Type="http://schemas.openxmlformats.org/officeDocument/2006/relationships/hyperlink" Target="https://www.sennheiser.com/es-mx/catalog/products/auriculares/ie-100-pro/ie-100-pro-clear-508941" TargetMode="External"/><Relationship Id="rId143" Type="http://schemas.openxmlformats.org/officeDocument/2006/relationships/hyperlink" Target="https://www.sennheiser.com/en-gb/catalog/products/wireless-systems/skm-100-g4/skm-100-g4-1g8-509892" TargetMode="External"/><Relationship Id="rId264" Type="http://schemas.openxmlformats.org/officeDocument/2006/relationships/hyperlink" Target="https://www.sennheiser.com/en-us/catalog/products/wireless-systems/xsw-iem-ek/xsw-iem-ek-a-509156" TargetMode="External"/><Relationship Id="rId385" Type="http://schemas.openxmlformats.org/officeDocument/2006/relationships/hyperlink" Target="https://www.sennheiser.com/en-hk/catalog/applications/filmmaking/other-brands-88100/acs5-usacs5" TargetMode="External"/><Relationship Id="rId142" Type="http://schemas.openxmlformats.org/officeDocument/2006/relationships/hyperlink" Target="https://www.sennheiser.com/en-gb/catalog/products/wireless-systems/skm-100-g4/skm-100-g4-1g8-509892" TargetMode="External"/><Relationship Id="rId263" Type="http://schemas.openxmlformats.org/officeDocument/2006/relationships/hyperlink" Target="https://www.sennheiser.com/en-de/catalog/products/wireless-systems/xsw-iem-set/xsw-iem-set-a-509146" TargetMode="External"/><Relationship Id="rId384" Type="http://schemas.openxmlformats.org/officeDocument/2006/relationships/hyperlink" Target="https://www.sennheiser.com/en-de/catalog/products/microphones/mkh-8000-accessories/mzx-8000-502098" TargetMode="External"/><Relationship Id="rId141" Type="http://schemas.openxmlformats.org/officeDocument/2006/relationships/hyperlink" Target="https://www.sennheiser.com/es-mx/catalog/products/sistema-inalambrico/sk-500-g4/sk-500-g4-as-509578" TargetMode="External"/><Relationship Id="rId262" Type="http://schemas.openxmlformats.org/officeDocument/2006/relationships/hyperlink" Target="https://www.sennheiser.com/en-de/catalog/products/wireless-systems/xsw-iem-set/xsw-iem-set-a-509146" TargetMode="External"/><Relationship Id="rId383" Type="http://schemas.openxmlformats.org/officeDocument/2006/relationships/hyperlink" Target="https://www.sennheiser.com/en-fi/catalog/products/microphones/mkh-accessories/mzw-80-ant-003780" TargetMode="External"/><Relationship Id="rId140" Type="http://schemas.openxmlformats.org/officeDocument/2006/relationships/hyperlink" Target="https://www.sennheiser.com/es-mx/catalog/products/sistema-inalambrico/sk-500-g4/sk-500-g4-as-509578" TargetMode="External"/><Relationship Id="rId261" Type="http://schemas.openxmlformats.org/officeDocument/2006/relationships/hyperlink" Target="https://spares.sennheiser.com/da-dk/catalog/sparepart/508651" TargetMode="External"/><Relationship Id="rId382" Type="http://schemas.openxmlformats.org/officeDocument/2006/relationships/hyperlink" Target="https://www.sennheiser.com/en-ae/catalog/products/microphones/mkh-accessories/mzw-80-1-504738" TargetMode="External"/><Relationship Id="rId5" Type="http://schemas.openxmlformats.org/officeDocument/2006/relationships/hyperlink" Target="https://www.sennheiser.com/en-de/catalog/products/headphones/hd-280-pro/hd-280-pro-506845" TargetMode="External"/><Relationship Id="rId147" Type="http://schemas.openxmlformats.org/officeDocument/2006/relationships/hyperlink" Target="https://www.sennheiser.com/en-in/catalog/products/wireless-systems/skm-500-g4/skm-500-g4-as-509854" TargetMode="External"/><Relationship Id="rId268" Type="http://schemas.openxmlformats.org/officeDocument/2006/relationships/hyperlink" Target="https://www.sennheiser.com/es-mx/catalog/products/microfono/profile-usb-microphone/profile-usb-microphone-700065" TargetMode="External"/><Relationship Id="rId389" Type="http://schemas.openxmlformats.org/officeDocument/2006/relationships/hyperlink" Target="https://www.sennheiser.com/en-de/catalog/products/microphones/mke-200/mke-200-mobile-kit-509256" TargetMode="External"/><Relationship Id="rId6" Type="http://schemas.openxmlformats.org/officeDocument/2006/relationships/hyperlink" Target="https://www.sennheiser.com/en-us/catalog/products/headphones/hd-300-pro/hd-300-pro-508288" TargetMode="External"/><Relationship Id="rId146" Type="http://schemas.openxmlformats.org/officeDocument/2006/relationships/hyperlink" Target="https://www.sennheiser.com/en-in/catalog/products/wireless-systems/skm-500-g4/skm-500-g4-as-509854" TargetMode="External"/><Relationship Id="rId267" Type="http://schemas.openxmlformats.org/officeDocument/2006/relationships/hyperlink" Target="https://www.sennheiser.com/en-in/catalog/products/accessories/xsw-iem-accessories/xsw-iem-ek-belt-clip-592582" TargetMode="External"/><Relationship Id="rId388" Type="http://schemas.openxmlformats.org/officeDocument/2006/relationships/hyperlink" Target="https://www.sennheiser.com/es-mx/catalog/products/microfono/mke-200/mke-200-508897" TargetMode="External"/><Relationship Id="rId7" Type="http://schemas.openxmlformats.org/officeDocument/2006/relationships/hyperlink" Target="https://www.sennheiser.com/en-de/catalog/products/headphones/hd-400-pro/hd-400-pro-700047" TargetMode="External"/><Relationship Id="rId145" Type="http://schemas.openxmlformats.org/officeDocument/2006/relationships/hyperlink" Target="https://www.sennheiser.com/en-nl/catalog/products/wireless-systems/skm-100-g4/skm-100-g4-s-1g8-509967" TargetMode="External"/><Relationship Id="rId266" Type="http://schemas.openxmlformats.org/officeDocument/2006/relationships/hyperlink" Target="https://www.sennheiser.com/en-cn/catalog/products/accessories/xsw-iem-accessories/xsw-iem-ek-battery-cover-592583" TargetMode="External"/><Relationship Id="rId387" Type="http://schemas.openxmlformats.org/officeDocument/2006/relationships/hyperlink" Target="https://www.sennheiser.com/de-at/catalog/applications/filmmaking/k-6-accessories/kc6-uskc6" TargetMode="External"/><Relationship Id="rId8" Type="http://schemas.openxmlformats.org/officeDocument/2006/relationships/hyperlink" Target="https://www.sennheiser.com/en-gb/catalog/products/headphones/ie-100-pro/ie-100-pro-black-508940" TargetMode="External"/><Relationship Id="rId144" Type="http://schemas.openxmlformats.org/officeDocument/2006/relationships/hyperlink" Target="https://www.sennheiser.com/en-nl/catalog/products/wireless-systems/skm-100-g4/skm-100-g4-s-1g8-509967" TargetMode="External"/><Relationship Id="rId265" Type="http://schemas.openxmlformats.org/officeDocument/2006/relationships/hyperlink" Target="https://www.sennheiser.com/en-gb/catalog/products/wireless-systems/xsw-iem-sr/xsw-iem-sr-a-509151" TargetMode="External"/><Relationship Id="rId386" Type="http://schemas.openxmlformats.org/officeDocument/2006/relationships/hyperlink" Target="https://www.sennheiser.com/en-ae/catalog/products/microphones/md-46/md-46-005172" TargetMode="External"/><Relationship Id="rId260" Type="http://schemas.openxmlformats.org/officeDocument/2006/relationships/hyperlink" Target="https://spares.sennheiser.com/catalog/sparepart/508650" TargetMode="External"/><Relationship Id="rId381" Type="http://schemas.openxmlformats.org/officeDocument/2006/relationships/hyperlink" Target="https://www.sennheiser.com/en-de/catalog/products/microphones/mkh-8000-accessories/mzw-8000-502333" TargetMode="External"/><Relationship Id="rId380" Type="http://schemas.openxmlformats.org/officeDocument/2006/relationships/hyperlink" Target="https://www.sennheiser.com/fr-fr/catalog/products/microphone/mkh-accessories/mzw-71-003195" TargetMode="External"/><Relationship Id="rId139" Type="http://schemas.openxmlformats.org/officeDocument/2006/relationships/hyperlink" Target="https://www.sennheiser.com/en-nz/catalog/products/wireless-systems/sk-100-g4/sk-100-g4-a-509501" TargetMode="External"/><Relationship Id="rId138" Type="http://schemas.openxmlformats.org/officeDocument/2006/relationships/hyperlink" Target="https://www.sennheiser.com/en-us/catalog/products/wireless-systems/sk-100-g4/sk-100-g4-a-509501" TargetMode="External"/><Relationship Id="rId259" Type="http://schemas.openxmlformats.org/officeDocument/2006/relationships/hyperlink" Target="https://www.sennheiser.com/en-cn/catalog/products/wireless-systems/xsw-d-pedalboard-set/xsw-d-pedalboard-set-508486" TargetMode="External"/><Relationship Id="rId137" Type="http://schemas.openxmlformats.org/officeDocument/2006/relationships/hyperlink" Target="https://www.sennheiser.com/es-mx/catalog/products/sistema-inalambrico/ew-512p-g4/ew-512p-g4-as-509581" TargetMode="External"/><Relationship Id="rId258" Type="http://schemas.openxmlformats.org/officeDocument/2006/relationships/hyperlink" Target="https://www.sennheiser.com/en-us/catalog/products/wireless-systems/xsw-digital-components/xsw-d-xlr-male-rx-508497" TargetMode="External"/><Relationship Id="rId379" Type="http://schemas.openxmlformats.org/officeDocument/2006/relationships/hyperlink" Target="https://www.sennheiser.com/en-fi/catalog/products/mikrofon/mkh-accessories/mzw-70-1-003608" TargetMode="External"/><Relationship Id="rId132" Type="http://schemas.openxmlformats.org/officeDocument/2006/relationships/hyperlink" Target="https://www.sennheiser.com/en-cn/catalog/products/wireless-systems/ew-135p-g4/ew-135p-g4-a-509754" TargetMode="External"/><Relationship Id="rId253" Type="http://schemas.openxmlformats.org/officeDocument/2006/relationships/hyperlink" Target="https://www.sennheiser.com/es-mx/catalog/products/wireless-systems/xsw-digital-components/xsw-d-mini-jack-rx-508500" TargetMode="External"/><Relationship Id="rId374" Type="http://schemas.openxmlformats.org/officeDocument/2006/relationships/hyperlink" Target="https://www.sennheiser.com/pt-br/catalog/products/microfone/mkh-8000-accessories/mzt-8001-502332" TargetMode="External"/><Relationship Id="rId495" Type="http://schemas.openxmlformats.org/officeDocument/2006/relationships/hyperlink" Target="https://www.sennheiser.com/es-cl/catalog/products/microfono/sl-headmic-1/sl-headmic-1--4-sb-506907" TargetMode="External"/><Relationship Id="rId131" Type="http://schemas.openxmlformats.org/officeDocument/2006/relationships/hyperlink" Target="https://www.sennheiser.com/en-cn/catalog/products/wireless-systems/ew-122p-g4/ew-122p-g4-a-509511" TargetMode="External"/><Relationship Id="rId252" Type="http://schemas.openxmlformats.org/officeDocument/2006/relationships/hyperlink" Target="https://www.sennheiser.com/en-cn/catalog/products/wireless-systems/xsw-d-pedalboard-set/xsw-d-pedalboard-set-508486" TargetMode="External"/><Relationship Id="rId373" Type="http://schemas.openxmlformats.org/officeDocument/2006/relationships/hyperlink" Target="https://www.sennheiser.com/fr-fr/catalog/products/microphone/mkh-8000-accessories/mzt-8000-502331" TargetMode="External"/><Relationship Id="rId494" Type="http://schemas.openxmlformats.org/officeDocument/2006/relationships/hyperlink" Target="https://www.sennheiser.com/es-cl/catalog/products/microfono/sl-headmic-1/sl-headmic-1--4-bk--nc-390005" TargetMode="External"/><Relationship Id="rId130" Type="http://schemas.openxmlformats.org/officeDocument/2006/relationships/hyperlink" Target="https://www.sennheiser.com/en-cn/catalog/products/wireless-systems/ew-122p-g4/ew-122p-g4-a-509511" TargetMode="External"/><Relationship Id="rId251" Type="http://schemas.openxmlformats.org/officeDocument/2006/relationships/hyperlink" Target="https://www.sennheiser.com/en-in/catalog/products/wireless-systems/xsw-d-xlr-base-set/xsw-d-xlr-base-set-508491" TargetMode="External"/><Relationship Id="rId372" Type="http://schemas.openxmlformats.org/officeDocument/2006/relationships/hyperlink" Target="https://www.sennheiser.com/en-hk/catalog/applications/filmmaking/other-brands-88100/acs5-usacs5" TargetMode="External"/><Relationship Id="rId493" Type="http://schemas.openxmlformats.org/officeDocument/2006/relationships/hyperlink" Target="https://www.sennheiser.com/es-cl/catalog/products/microfono/sl-headmic-1/sl-headmic-1--4-bk-506905" TargetMode="External"/><Relationship Id="rId250" Type="http://schemas.openxmlformats.org/officeDocument/2006/relationships/hyperlink" Target="https://www.sennheiser.com/en-us/catalog/products/wireless-systems/xsw-d-vocal-set/xsw-d-vocal-set-508484" TargetMode="External"/><Relationship Id="rId371" Type="http://schemas.openxmlformats.org/officeDocument/2006/relationships/hyperlink" Target="https://www.sennheiser.com/en-de/catalog/products/microphones/mkh-8000-accessories/mzx-8000-502098" TargetMode="External"/><Relationship Id="rId492" Type="http://schemas.openxmlformats.org/officeDocument/2006/relationships/hyperlink" Target="https://www.sennheiser.com/es-cl/catalog/products/microfono/sl-headmic-1/sl-headmic-1--4-be--nc-390004" TargetMode="External"/><Relationship Id="rId136" Type="http://schemas.openxmlformats.org/officeDocument/2006/relationships/hyperlink" Target="https://www.sennheiser.com/es-mx/catalog/products/sistema-inalambrico/ew-512p-g4/ew-512p-g4-as-509581" TargetMode="External"/><Relationship Id="rId257" Type="http://schemas.openxmlformats.org/officeDocument/2006/relationships/hyperlink" Target="https://www.sennheiser.com/en-ie/catalog/products/wireless-systems/xsw-digital-components/xsw-d-xlr-female-tx-508494" TargetMode="External"/><Relationship Id="rId378" Type="http://schemas.openxmlformats.org/officeDocument/2006/relationships/hyperlink" Target="https://www.sennheiser.com/fr-lu/catalog/products/microphone/mkh-accessories/mzw-61-003194" TargetMode="External"/><Relationship Id="rId499" Type="http://schemas.openxmlformats.org/officeDocument/2006/relationships/hyperlink" Target="https://www.sennheiser.com/es-cl/catalog/products/microfono/sl-headmic-1/sl-headmic-1-sb-506904" TargetMode="External"/><Relationship Id="rId135" Type="http://schemas.openxmlformats.org/officeDocument/2006/relationships/hyperlink" Target="https://www.sennheiser.com/en-us/catalog/products/wireless-systems/ew-500-film-g4/ew-500-film-g4-as-509585" TargetMode="External"/><Relationship Id="rId256" Type="http://schemas.openxmlformats.org/officeDocument/2006/relationships/hyperlink" Target="https://www.sennheiser.com/en-de/catalog/products/wireless-systems/xsw-digital-components/xsw-d-instrument-tx-508496" TargetMode="External"/><Relationship Id="rId377" Type="http://schemas.openxmlformats.org/officeDocument/2006/relationships/hyperlink" Target="https://www.sennheiser.com/en-no/catalog/products/microphones/mkh-accessories/mzw-60-1-003607" TargetMode="External"/><Relationship Id="rId498" Type="http://schemas.openxmlformats.org/officeDocument/2006/relationships/hyperlink" Target="https://www.sennheiser.com/es-cl/catalog/products/microfono/sl-headmic-1/sl-headmic-1-bk-506271" TargetMode="External"/><Relationship Id="rId134" Type="http://schemas.openxmlformats.org/officeDocument/2006/relationships/hyperlink" Target="https://www.sennheiser.com/en-us/catalog/products/wireless-systems/ew-500-film-g4/ew-500-film-g4-as-509585" TargetMode="External"/><Relationship Id="rId255" Type="http://schemas.openxmlformats.org/officeDocument/2006/relationships/hyperlink" Target="https://www.sennheiser.com/en-us/catalog/products/wireless-systems/xsw-digital-components/xsw-d-instrument-rx-508498" TargetMode="External"/><Relationship Id="rId376" Type="http://schemas.openxmlformats.org/officeDocument/2006/relationships/hyperlink" Target="https://www.sennheiser.com/es-mx/catalog/products/mikrofon/mkh-416-accessories/mzw-415-ant-000895" TargetMode="External"/><Relationship Id="rId497" Type="http://schemas.openxmlformats.org/officeDocument/2006/relationships/hyperlink" Target="https://www.sennheiser.com/es-cl/catalog/products/microfono/sl-headmic-1/sl-headmic-1-be-506272" TargetMode="External"/><Relationship Id="rId133" Type="http://schemas.openxmlformats.org/officeDocument/2006/relationships/hyperlink" Target="https://www.sennheiser.com/en-cn/catalog/products/wireless-systems/ew-135p-g4/ew-135p-g4-a-509754" TargetMode="External"/><Relationship Id="rId254" Type="http://schemas.openxmlformats.org/officeDocument/2006/relationships/hyperlink" Target="https://www.sennheiser.com/es-mx/catalog/products/wireless-systems/xsw-digital-components/xsw-d-mini-jack-tx-508495" TargetMode="External"/><Relationship Id="rId375" Type="http://schemas.openxmlformats.org/officeDocument/2006/relationships/hyperlink" Target="https://www.sennheiser.com/en-cn/catalog/products/microphones/mkh-accessories/mzw-20-1-003606" TargetMode="External"/><Relationship Id="rId496" Type="http://schemas.openxmlformats.org/officeDocument/2006/relationships/hyperlink" Target="https://www.sennheiser.com/es-cl/catalog/products/microfono/sl-headmic-1/sl-headmic-1--4-sb--nc-390006" TargetMode="External"/><Relationship Id="rId172" Type="http://schemas.openxmlformats.org/officeDocument/2006/relationships/hyperlink" Target="https://www.sennheiser.com/es-mx/catalog/products/sistema-inalambrico/ad-3700/ad-3700-502197" TargetMode="External"/><Relationship Id="rId293" Type="http://schemas.openxmlformats.org/officeDocument/2006/relationships/hyperlink" Target="https://www.sennheiser.com/fr-fr/catalog/products/accessoires/teamconnect-intelligent-speaker-accessoires/replacement-set-table-mount-700173" TargetMode="External"/><Relationship Id="rId171" Type="http://schemas.openxmlformats.org/officeDocument/2006/relationships/hyperlink" Target="https://www.sennheiser.com/en-au/catalog/products/wireless-systems/a-3700/a-3700-502195" TargetMode="External"/><Relationship Id="rId292" Type="http://schemas.openxmlformats.org/officeDocument/2006/relationships/hyperlink" Target="https://www.sennheiser.com/en-us/product-families/tcisp" TargetMode="External"/><Relationship Id="rId170" Type="http://schemas.openxmlformats.org/officeDocument/2006/relationships/hyperlink" Target="https://www.sennheiser.com/es-mx/catalog/products/sistema-inalambrico/adp-uhf/adp-uhf-470---1075-mhz-508863" TargetMode="External"/><Relationship Id="rId291" Type="http://schemas.openxmlformats.org/officeDocument/2006/relationships/hyperlink" Target="https://www.sennheiser.com/en-gb/catalog/products/meeting-and-conference-systems/teamconnect-ceiling-accessories/sl-cm-vb-508620" TargetMode="External"/><Relationship Id="rId290" Type="http://schemas.openxmlformats.org/officeDocument/2006/relationships/hyperlink" Target="https://www.sennheiser.com/en-hk/catalog/products/meeting-and-conference-systems/teamconnect-ceiling-accessories/sl-cm-sk-508291" TargetMode="External"/><Relationship Id="rId165" Type="http://schemas.openxmlformats.org/officeDocument/2006/relationships/hyperlink" Target="https://www.sennheiser.com/en-gb/catalog/products/wireless-systems/ek-iem-g4/ek-iem-g4-a1-509621" TargetMode="External"/><Relationship Id="rId286" Type="http://schemas.openxmlformats.org/officeDocument/2006/relationships/hyperlink" Target="https://www.sennheiser.com/en-in/catalog/products/systeme-sans-fil/sl-dw-lavalier-set/sl-lavalier-set-dw-4-us-c-505896" TargetMode="External"/><Relationship Id="rId164" Type="http://schemas.openxmlformats.org/officeDocument/2006/relationships/hyperlink" Target="https://www.sennheiser.com/en-ie/catalog/products/wireless-systems/ew-iem-g4-twin/ew-iem-g4-twin-a-509614" TargetMode="External"/><Relationship Id="rId285" Type="http://schemas.openxmlformats.org/officeDocument/2006/relationships/hyperlink" Target="https://www.sennheiser.com/en-us/catalog/products/wireless-systems/sl-dw-handheld-set/sl-handheld-set-dw-3-eu-c-505881" TargetMode="External"/><Relationship Id="rId163" Type="http://schemas.openxmlformats.org/officeDocument/2006/relationships/hyperlink" Target="https://www.sennheiser.com/en-ie/catalog/products/wireless-systems/ew-iem-g4-twin/ew-iem-g4-twin-a-509614" TargetMode="External"/><Relationship Id="rId284" Type="http://schemas.openxmlformats.org/officeDocument/2006/relationships/hyperlink" Target="https://www.sennheiser.com/en-ie/catalog/products/accessories/teamconnect-intelligent-speaker-accessoires/sennheiser-security-cable-lock-700172" TargetMode="External"/><Relationship Id="rId162" Type="http://schemas.openxmlformats.org/officeDocument/2006/relationships/hyperlink" Target="https://www.sennheiser.com/en-ae/catalog/products/wireless-systems/ew-iem-g4/ew-iem-g4-a-509609" TargetMode="External"/><Relationship Id="rId283" Type="http://schemas.openxmlformats.org/officeDocument/2006/relationships/hyperlink" Target="https://www.sennheiser.com/fr-fr/catalog/products/accessoires/teamconnect-intelligent-speaker-accessoires/replacement-set-table-mount-700173" TargetMode="External"/><Relationship Id="rId169" Type="http://schemas.openxmlformats.org/officeDocument/2006/relationships/hyperlink" Target="https://www.sennheiser.com/en-us/catalog/products/wireless-systems/a-1031-u/a-1031-u-004645" TargetMode="External"/><Relationship Id="rId168" Type="http://schemas.openxmlformats.org/officeDocument/2006/relationships/hyperlink" Target="https://www.sennheiser.com/en-hk/catalog/products/wireless-systems/sr-iem-g4/sr-iem-g4-a-509618" TargetMode="External"/><Relationship Id="rId289" Type="http://schemas.openxmlformats.org/officeDocument/2006/relationships/hyperlink" Target="https://www.sennheiser.com/en-us/catalog/products/meeting-and-conference-systems/teamconnect-ceiling-accessories/sl-cm-fb-506846" TargetMode="External"/><Relationship Id="rId167" Type="http://schemas.openxmlformats.org/officeDocument/2006/relationships/hyperlink" Target="https://www.sennheiser.com/en-hk/catalog/products/wireless-systems/sr-iem-g4/sr-iem-g4-a-509618" TargetMode="External"/><Relationship Id="rId288" Type="http://schemas.openxmlformats.org/officeDocument/2006/relationships/hyperlink" Target="https://www.sennheiser.com/en-de/catalog/products/meeting-and-conference-systems/teamconnect-ceiling-accessories/sl-cm-eb-us-508528" TargetMode="External"/><Relationship Id="rId166" Type="http://schemas.openxmlformats.org/officeDocument/2006/relationships/hyperlink" Target="https://www.sennheiser.com/en-us/catalog/products/wireless-systems/ek-iem-g4/ek-iem-g4-a1-509621" TargetMode="External"/><Relationship Id="rId287" Type="http://schemas.openxmlformats.org/officeDocument/2006/relationships/hyperlink" Target="https://www.sennheiser.com/en-us/catalog/products/meeting-and-conference-systems/teamconnect-ceiling-accessories/sl-cm-eb-625-508290" TargetMode="External"/><Relationship Id="rId161" Type="http://schemas.openxmlformats.org/officeDocument/2006/relationships/hyperlink" Target="https://www.sennheiser.com/en-ae/catalog/products/wireless-systems/ew-iem-g4/ew-iem-g4-a-509609" TargetMode="External"/><Relationship Id="rId282" Type="http://schemas.openxmlformats.org/officeDocument/2006/relationships/hyperlink" Target="https://www.sennheiser.com/en-us/product-families/tcisp" TargetMode="External"/><Relationship Id="rId160" Type="http://schemas.openxmlformats.org/officeDocument/2006/relationships/hyperlink" Target="https://www.sennheiser.com/en-gb/catalog/products/wireless-systems/em-500-g3/em-300-500-g4-as-509717" TargetMode="External"/><Relationship Id="rId281" Type="http://schemas.openxmlformats.org/officeDocument/2006/relationships/hyperlink" Target="https://www.sennheiser.com/en-gb/catalog/products/meeting-and-conference-systems/teamconnect-ceiling-accessories/sl-cm-vb-508620" TargetMode="External"/><Relationship Id="rId280" Type="http://schemas.openxmlformats.org/officeDocument/2006/relationships/hyperlink" Target="https://www.sennheiser.com/en-hk/catalog/products/meeting-and-conference-systems/teamconnect-ceiling-accessories/sl-cm-sk-508291" TargetMode="External"/><Relationship Id="rId159" Type="http://schemas.openxmlformats.org/officeDocument/2006/relationships/hyperlink" Target="https://www.sennheiser.com/en-gb/catalog/products/wireless-systems/em-500-g3/em-300-500-g4-as-509717" TargetMode="External"/><Relationship Id="rId154" Type="http://schemas.openxmlformats.org/officeDocument/2006/relationships/hyperlink" Target="https://www.sennheiser.com/en-dk/catalog/products/wireless-systems/ek-100-g4/ek-100-g4-a-509519" TargetMode="External"/><Relationship Id="rId275" Type="http://schemas.openxmlformats.org/officeDocument/2006/relationships/hyperlink" Target="https://www.sennheiser.com/en-de/catalog/products/meeting-and-conference-systems/teamconnect-ceiling-2/teamconnect-ceiling-2-white-507488" TargetMode="External"/><Relationship Id="rId396" Type="http://schemas.openxmlformats.org/officeDocument/2006/relationships/hyperlink" Target="https://www.sennheiser.com/en-de/catalog/products/microphones/md-42/md-42-005173" TargetMode="External"/><Relationship Id="rId153" Type="http://schemas.openxmlformats.org/officeDocument/2006/relationships/hyperlink" Target="https://www.sennheiser.com/en-gb/catalog/products/wireless-systems/ek-100-g4/ek-100-g4-a-509519" TargetMode="External"/><Relationship Id="rId274" Type="http://schemas.openxmlformats.org/officeDocument/2006/relationships/hyperlink" Target="https://www.sennheiser.com/en-de/catalog/products/meeting-and-conference-systems/teamconnect-ceiling-2/extension-set-tcc2-us-509178" TargetMode="External"/><Relationship Id="rId395" Type="http://schemas.openxmlformats.org/officeDocument/2006/relationships/hyperlink" Target="https://www.sennheiser.com/es-mx/catalog/products/microfono/ambeo-vr-mic/ambeo-vr-mic-507195" TargetMode="External"/><Relationship Id="rId152" Type="http://schemas.openxmlformats.org/officeDocument/2006/relationships/hyperlink" Target="https://www.sennheiser.com/en-gb/catalog/products/wireless-systems/skp-500-g4/skp-500-g4-as-509589" TargetMode="External"/><Relationship Id="rId273" Type="http://schemas.openxmlformats.org/officeDocument/2006/relationships/hyperlink" Target="https://www.sennheiser.com/en-ie/catalog/products/microphones/accessories-good/usb-c-cable-3m-700103" TargetMode="External"/><Relationship Id="rId394" Type="http://schemas.openxmlformats.org/officeDocument/2006/relationships/hyperlink" Target="https://www.sennheiser.com/en-de/catalog/products/microphones/mobile-kit/mobile-kit-509265" TargetMode="External"/><Relationship Id="rId151" Type="http://schemas.openxmlformats.org/officeDocument/2006/relationships/hyperlink" Target="https://www.sennheiser.com/en-gb/catalog/products/wireless-systems/skp-500-g4/skp-500-g4-as-509589" TargetMode="External"/><Relationship Id="rId272" Type="http://schemas.openxmlformats.org/officeDocument/2006/relationships/hyperlink" Target="https://www.sennheiser.com/en-us/catalog/products/microphones/accessories-good/profile-table-stand-700102" TargetMode="External"/><Relationship Id="rId393" Type="http://schemas.openxmlformats.org/officeDocument/2006/relationships/hyperlink" Target="https://www.sennheiser.com/en-de/catalog/products/microphones/mke-600/mke-600-505453" TargetMode="External"/><Relationship Id="rId158" Type="http://schemas.openxmlformats.org/officeDocument/2006/relationships/hyperlink" Target="https://www.sennheiser.com/en-nz/catalog/products/wireless-systems/em-100-g4/em-100-g4-1g8-509907" TargetMode="External"/><Relationship Id="rId279" Type="http://schemas.openxmlformats.org/officeDocument/2006/relationships/hyperlink" Target="https://www.sennheiser.com/en-us/catalog/products/meeting-and-conference-systems/teamconnect-ceiling-accessories/sl-cm-fb-506846" TargetMode="External"/><Relationship Id="rId157" Type="http://schemas.openxmlformats.org/officeDocument/2006/relationships/hyperlink" Target="https://www.sennheiser.com/en-nz/catalog/products/wireless-systems/em-100-g4/em-100-g4-1g8-509907" TargetMode="External"/><Relationship Id="rId278" Type="http://schemas.openxmlformats.org/officeDocument/2006/relationships/hyperlink" Target="https://www.sennheiser.com/en-de/catalog/products/meeting-and-conference-systems/teamconnect-ceiling-accessories/sl-cm-eb-us-508528" TargetMode="External"/><Relationship Id="rId399" Type="http://schemas.openxmlformats.org/officeDocument/2006/relationships/hyperlink" Target="https://www.sennheiser.com/es-mx/catalog/products/microfono/mke-400-accessories" TargetMode="External"/><Relationship Id="rId156" Type="http://schemas.openxmlformats.org/officeDocument/2006/relationships/hyperlink" Target="https://www.sennheiser.com/en-gb/catalog/products/wireless-systems/ek-500-g4/ek-500-g4-as-509594" TargetMode="External"/><Relationship Id="rId277" Type="http://schemas.openxmlformats.org/officeDocument/2006/relationships/hyperlink" Target="https://www.sennheiser.com/en-us/catalog/products/meeting-and-conference-systems/teamconnect-ceiling-accessories/sl-cm-eb-625-508290" TargetMode="External"/><Relationship Id="rId398" Type="http://schemas.openxmlformats.org/officeDocument/2006/relationships/hyperlink" Target="https://www.sennheiser.com/en-dk/catalog/products/microphones/mke-200-accessories/mzh-200-508910" TargetMode="External"/><Relationship Id="rId155" Type="http://schemas.openxmlformats.org/officeDocument/2006/relationships/hyperlink" Target="https://www.sennheiser.com/en-gb/catalog/products/wireless-systems/ek-500-g4/ek-500-g4-as-509594" TargetMode="External"/><Relationship Id="rId276" Type="http://schemas.openxmlformats.org/officeDocument/2006/relationships/hyperlink" Target="https://www.sennheiser.com/en-de/catalog/products/meeting-and-conference-systems/teamconnect-ceiling-2/teamconnect-ceiling-2-black-509161" TargetMode="External"/><Relationship Id="rId397" Type="http://schemas.openxmlformats.org/officeDocument/2006/relationships/hyperlink" Target="https://www.sennheiser.com/en-ae/catalog/products/microphones/md-46/md-46-005172" TargetMode="External"/><Relationship Id="rId40" Type="http://schemas.openxmlformats.org/officeDocument/2006/relationships/hyperlink" Target="https://www.sennheiser.com/es-mx/catalog/products/microphones/md-431/md-431-001605" TargetMode="External"/><Relationship Id="rId42" Type="http://schemas.openxmlformats.org/officeDocument/2006/relationships/hyperlink" Target="https://www.sennheiser.com/es-mx/catalog/products/microfono/mk-4/mk-4-504298" TargetMode="External"/><Relationship Id="rId41" Type="http://schemas.openxmlformats.org/officeDocument/2006/relationships/hyperlink" Target="https://www.sennheiser.com/es-mx/catalog/products/microfono/md-441/md-441-u-000762" TargetMode="External"/><Relationship Id="rId44" Type="http://schemas.openxmlformats.org/officeDocument/2006/relationships/hyperlink" Target="https://www.sennheiser.com/en-de/catalog/products/microphones/mk-4-accessories/mks-4-504299" TargetMode="External"/><Relationship Id="rId43" Type="http://schemas.openxmlformats.org/officeDocument/2006/relationships/hyperlink" Target="https://www.sennheiser.com/es-mx/catalog/products/microfono/mk-8/mk-8-506195" TargetMode="External"/><Relationship Id="rId46" Type="http://schemas.openxmlformats.org/officeDocument/2006/relationships/hyperlink" Target="https://www.sennheiser.com/es-mx/catalog/products/microfono/mza-900/mza-900-p-500226" TargetMode="External"/><Relationship Id="rId45" Type="http://schemas.openxmlformats.org/officeDocument/2006/relationships/hyperlink" Target="https://www.sennheiser.com/en-de/catalog/products/microphones/mk-4-accessories/mkw-4-504611" TargetMode="External"/><Relationship Id="rId509" Type="http://schemas.openxmlformats.org/officeDocument/2006/relationships/hyperlink" Target="https://spares.sennheiser.com/de-de/catalog/sparepart/509207" TargetMode="External"/><Relationship Id="rId508" Type="http://schemas.openxmlformats.org/officeDocument/2006/relationships/hyperlink" Target="https://spares.sennheiser.com/catalog/sparepart/509205" TargetMode="External"/><Relationship Id="rId503" Type="http://schemas.openxmlformats.org/officeDocument/2006/relationships/hyperlink" Target="https://www.neumann.com/es-mx/products/microphones/kk-205/?variant=008654" TargetMode="External"/><Relationship Id="rId624" Type="http://schemas.openxmlformats.org/officeDocument/2006/relationships/hyperlink" Target="https://www.sennheiser.com/es-cl/catalog/products/sistema-sem-fio/skm-9000/skm-9000-ni-a1-a4-504726" TargetMode="External"/><Relationship Id="rId502" Type="http://schemas.openxmlformats.org/officeDocument/2006/relationships/hyperlink" Target="https://www.neumann.com/es-mx/products/microphones/kk-205/?variant=008653" TargetMode="External"/><Relationship Id="rId623" Type="http://schemas.openxmlformats.org/officeDocument/2006/relationships/hyperlink" Target="https://www.sennheiser.com/en-au/catalog/products/wireless-systems/skm-9000/skm-9000-bk-com-a1-a4-504714" TargetMode="External"/><Relationship Id="rId501" Type="http://schemas.openxmlformats.org/officeDocument/2006/relationships/hyperlink" Target="https://www.neumann.com/en-gb/products/microphones/kk-204/?variant=008652" TargetMode="External"/><Relationship Id="rId622" Type="http://schemas.openxmlformats.org/officeDocument/2006/relationships/hyperlink" Target="https://www.sennheiser.com/en-hk/catalog/products/wireless-systems/skm-9000/skm-9000-ni-b5-b8-504729" TargetMode="External"/><Relationship Id="rId500" Type="http://schemas.openxmlformats.org/officeDocument/2006/relationships/hyperlink" Target="https://www.neumann.com/en-gb/products/microphones/kk-204/" TargetMode="External"/><Relationship Id="rId621" Type="http://schemas.openxmlformats.org/officeDocument/2006/relationships/hyperlink" Target="https://www.sennheiser.com/en-gb/catalog/products/wireless-systems/sk-9000/sk-9000-b5-b8-504733" TargetMode="External"/><Relationship Id="rId507" Type="http://schemas.openxmlformats.org/officeDocument/2006/relationships/hyperlink" Target="https://www.sennheiser.com/en-us/catalog/products/microphones/md-445/md-445-508828" TargetMode="External"/><Relationship Id="rId506" Type="http://schemas.openxmlformats.org/officeDocument/2006/relationships/hyperlink" Target="https://zh-cn.sennheiser.com.cn/md-435-pop-protection-5-pcs" TargetMode="External"/><Relationship Id="rId505" Type="http://schemas.openxmlformats.org/officeDocument/2006/relationships/hyperlink" Target="https://spares.sennheiser.com/de-de/catalog/sparepart/509204" TargetMode="External"/><Relationship Id="rId626" Type="http://schemas.openxmlformats.org/officeDocument/2006/relationships/drawing" Target="../drawings/drawing2.xml"/><Relationship Id="rId504" Type="http://schemas.openxmlformats.org/officeDocument/2006/relationships/hyperlink" Target="https://www.sennheiser.com/en-us/catalog/products/microphones/md-435/md-435-508827" TargetMode="External"/><Relationship Id="rId625" Type="http://schemas.openxmlformats.org/officeDocument/2006/relationships/hyperlink" Target="https://www.sennheiser.com/en-hk/catalog/products/wireless-systems/skm-9000/skm-9000-ni-a1-a4-504726" TargetMode="External"/><Relationship Id="rId48" Type="http://schemas.openxmlformats.org/officeDocument/2006/relationships/hyperlink" Target="https://www.sennheiser.com/en-au/catalog/products/microphones/evolution-wired-accessories-4400a/mzh-604-005299" TargetMode="External"/><Relationship Id="rId47" Type="http://schemas.openxmlformats.org/officeDocument/2006/relationships/hyperlink" Target="https://www.sennheiser.com/en-ie/catalog/products/microphones/mza-900/mza-900-p-500226" TargetMode="External"/><Relationship Id="rId49" Type="http://schemas.openxmlformats.org/officeDocument/2006/relationships/hyperlink" Target="https://www.sennheiser.com/en-no/catalog/products/microphones/evolution-wired-accessories-4400a/mzh-908-b-500540" TargetMode="External"/><Relationship Id="rId620" Type="http://schemas.openxmlformats.org/officeDocument/2006/relationships/hyperlink" Target="https://www.sennheiser.com/fr-lu/catalog/products/systeme-sans-fil/customized-goods/p48-adapter-black-390023" TargetMode="External"/><Relationship Id="rId31" Type="http://schemas.openxmlformats.org/officeDocument/2006/relationships/hyperlink" Target="https://www.sennheiser.com/es-cl/catalog/products/microfono/e-906/e-906-500202" TargetMode="External"/><Relationship Id="rId30" Type="http://schemas.openxmlformats.org/officeDocument/2006/relationships/hyperlink" Target="https://www.sennheiser.com/es-mx/catalog/products/microfono/e-904/e-904-500200" TargetMode="External"/><Relationship Id="rId33" Type="http://schemas.openxmlformats.org/officeDocument/2006/relationships/hyperlink" Target="https://www.sennheiser.com/es-mx/catalog/products/microfono/e-908/e-908-b-ew-500204" TargetMode="External"/><Relationship Id="rId32" Type="http://schemas.openxmlformats.org/officeDocument/2006/relationships/hyperlink" Target="https://www.sennheiser.com/en-de/catalog/products/microphones/e-908/e-908-b-500203" TargetMode="External"/><Relationship Id="rId35" Type="http://schemas.openxmlformats.org/officeDocument/2006/relationships/hyperlink" Target="https://www.sennheiser.com/es-mx/catalog/products/microfono/e-935/e-935-009421" TargetMode="External"/><Relationship Id="rId34" Type="http://schemas.openxmlformats.org/officeDocument/2006/relationships/hyperlink" Target="https://www.sennheiser.com/es-mx/catalog/products/microphones/e-914/e-914-500206" TargetMode="External"/><Relationship Id="rId619" Type="http://schemas.openxmlformats.org/officeDocument/2006/relationships/hyperlink" Target="https://www.sennheiser.com/en-de/catalog/products/wireless-systems/me-9005/me-9005-502589" TargetMode="External"/><Relationship Id="rId618" Type="http://schemas.openxmlformats.org/officeDocument/2006/relationships/hyperlink" Target="https://www.sennheiser.com/en-us/catalog/products/wireless-systems/me-9004/me-9004-502588" TargetMode="External"/><Relationship Id="rId613" Type="http://schemas.openxmlformats.org/officeDocument/2006/relationships/hyperlink" Target="https://www.sennheiser.com/en-au/catalog/products/wireless-systems/ek-6042-accessories/ca-6042-xlr-506216" TargetMode="External"/><Relationship Id="rId612" Type="http://schemas.openxmlformats.org/officeDocument/2006/relationships/hyperlink" Target="https://www.sennheiser.com/en-au/catalog/products/wireless-systems/ek-6042-accessories/ca-6042-dc-506217" TargetMode="External"/><Relationship Id="rId611" Type="http://schemas.openxmlformats.org/officeDocument/2006/relationships/hyperlink" Target="https://www.sennheiser.com/en-au/catalog/products/wireless-systems/sk-6212-accessories/sk-6212-stiff-antenna-a1---a4-508888" TargetMode="External"/><Relationship Id="rId610" Type="http://schemas.openxmlformats.org/officeDocument/2006/relationships/hyperlink" Target="https://www.sennheiser.com/en-hk/catalog/products/wireless-systems/sk-6000-accessories/sk-60009000-antenna-a1---a4-508892" TargetMode="External"/><Relationship Id="rId617" Type="http://schemas.openxmlformats.org/officeDocument/2006/relationships/hyperlink" Target="https://www.sennheiser.com/en-ie/catalog/products/wireless-systems/me-9002/me-9002-502587" TargetMode="External"/><Relationship Id="rId616" Type="http://schemas.openxmlformats.org/officeDocument/2006/relationships/hyperlink" Target="https://www.sennheiser.com/en-us/catalog/products/wireless-systems/sk-9000/ka-9000-com-504735" TargetMode="External"/><Relationship Id="rId615" Type="http://schemas.openxmlformats.org/officeDocument/2006/relationships/hyperlink" Target="https://www.sennheiser.com/en-gb/catalog/products/wireless-systems/sk-6212-accessories/vertical-clip-for-sk-6212-508571" TargetMode="External"/><Relationship Id="rId614" Type="http://schemas.openxmlformats.org/officeDocument/2006/relationships/hyperlink" Target="https://www.sennheiser.com/en-gb/catalog/products/wireless-systems/sk-6212-accessories/horizontal-clip-for-sk-6212-508570" TargetMode="External"/><Relationship Id="rId37" Type="http://schemas.openxmlformats.org/officeDocument/2006/relationships/hyperlink" Target="https://www.sennheiser.com/en-ie/catalog/products/microphones/e-965/e-965-500881" TargetMode="External"/><Relationship Id="rId36" Type="http://schemas.openxmlformats.org/officeDocument/2006/relationships/hyperlink" Target="https://www.sennheiser.com/es-mx/catalog/products/microfono/e-945/e-945-009422" TargetMode="External"/><Relationship Id="rId39" Type="http://schemas.openxmlformats.org/officeDocument/2006/relationships/hyperlink" Target="https://www.sennheiser.com/es-mx/catalog/products/microfono/md-421-ii/md-421-ii-000984" TargetMode="External"/><Relationship Id="rId38" Type="http://schemas.openxmlformats.org/officeDocument/2006/relationships/hyperlink" Target="https://www.sennheiser.com/es-mx/catalog/products/microphones/md-21/md-21-u-000292" TargetMode="External"/><Relationship Id="rId20" Type="http://schemas.openxmlformats.org/officeDocument/2006/relationships/hyperlink" Target="https://www.sennheiser.com/es-mx/catalog/products/microfono/e-614/e-614-009895" TargetMode="External"/><Relationship Id="rId22" Type="http://schemas.openxmlformats.org/officeDocument/2006/relationships/hyperlink" Target="https://www.sennheiser.com/es-mx/catalog/products/microfono/e-835/e-835-004513" TargetMode="External"/><Relationship Id="rId21" Type="http://schemas.openxmlformats.org/officeDocument/2006/relationships/hyperlink" Target="https://www.sennheiser.com/en-us/catalog/products/microphones/e-825/e-825-s-004511" TargetMode="External"/><Relationship Id="rId24" Type="http://schemas.openxmlformats.org/officeDocument/2006/relationships/hyperlink" Target="https://www.sennheiser.com/es-mx/catalog/products/microfono/e-845/e-845-004515" TargetMode="External"/><Relationship Id="rId23" Type="http://schemas.openxmlformats.org/officeDocument/2006/relationships/hyperlink" Target="https://www.sennheiser.com/en-de/catalog/products/microphones/e-835/e-835-s-004514" TargetMode="External"/><Relationship Id="rId409" Type="http://schemas.openxmlformats.org/officeDocument/2006/relationships/hyperlink" Target="https://www.sennheiser.com/en-cn/catalog/products/accessories/mke-600-accessories/ka-600i-505799" TargetMode="External"/><Relationship Id="rId404" Type="http://schemas.openxmlformats.org/officeDocument/2006/relationships/hyperlink" Target="https://www.sennheiser.com/es-mx/catalog/products/microfono/me-4/me-4-508936" TargetMode="External"/><Relationship Id="rId525" Type="http://schemas.openxmlformats.org/officeDocument/2006/relationships/hyperlink" Target="https://www.sennheiser.com/en-ae/catalog/products/wireless-systems/avx-me2-set/avx-me2-3-505851" TargetMode="External"/><Relationship Id="rId403" Type="http://schemas.openxmlformats.org/officeDocument/2006/relationships/hyperlink" Target="https://www.sennheiser.com/en-de/catalog/products/accessories/mke-600-accessories/mzs-600-505570" TargetMode="External"/><Relationship Id="rId524" Type="http://schemas.openxmlformats.org/officeDocument/2006/relationships/hyperlink" Target="https://www.sennheiser.com/en-ae/catalog/products/wireless-systems/avx-835-set/avx-835-set-4-us-505863" TargetMode="External"/><Relationship Id="rId402" Type="http://schemas.openxmlformats.org/officeDocument/2006/relationships/hyperlink" Target="https://www.sennheiser.com/en-in/catalog/products/accessories/mke-600-accessories/mzq-600-505571" TargetMode="External"/><Relationship Id="rId523" Type="http://schemas.openxmlformats.org/officeDocument/2006/relationships/hyperlink" Target="http://cts/wireless-systems/avx-combo-set-21418/avx-combo-set-3-509100" TargetMode="External"/><Relationship Id="rId401" Type="http://schemas.openxmlformats.org/officeDocument/2006/relationships/hyperlink" Target="https://www.sennheiser.com/en-no/catalog/products/accessories/mke-600-accessories/mzh-600-505454" TargetMode="External"/><Relationship Id="rId522" Type="http://schemas.openxmlformats.org/officeDocument/2006/relationships/hyperlink" Target="https://www.sennheiser.com/es-mx/catalog/products/microfono/mmk-965/mmk-965-1-ni-502584" TargetMode="External"/><Relationship Id="rId408" Type="http://schemas.openxmlformats.org/officeDocument/2006/relationships/hyperlink" Target="https://www.sennheiser.com/en-de/catalog/products/accessories/mke-600-accessories/ka-600-505633" TargetMode="External"/><Relationship Id="rId529" Type="http://schemas.openxmlformats.org/officeDocument/2006/relationships/hyperlink" Target="https://www.sennheiser.com/en-us/catalog/products/meeting-and-conference-systems/meb-102/meb-102-l-b-505603" TargetMode="External"/><Relationship Id="rId407" Type="http://schemas.openxmlformats.org/officeDocument/2006/relationships/hyperlink" Target="https://www.sennheiser.com/en-us/catalog/products/microphones/cl-35/cl-35-usb-c-509262" TargetMode="External"/><Relationship Id="rId528" Type="http://schemas.openxmlformats.org/officeDocument/2006/relationships/hyperlink" Target="https://www.sennheiser.com/en-us/catalog/products/meeting-and-conference-systems/meb-102/meb-102-w-505601" TargetMode="External"/><Relationship Id="rId406" Type="http://schemas.openxmlformats.org/officeDocument/2006/relationships/hyperlink" Target="https://www.sennheiser.com/en-gb/catalog/products/microphones/mke-1/mke-1-4-1-502833" TargetMode="External"/><Relationship Id="rId527" Type="http://schemas.openxmlformats.org/officeDocument/2006/relationships/hyperlink" Target="https://www.sennheiser.com/en-us/catalog/products/meeting-and-conference-systems/meb-102/meb-102-b-505600" TargetMode="External"/><Relationship Id="rId405" Type="http://schemas.openxmlformats.org/officeDocument/2006/relationships/hyperlink" Target="https://www.sennheiser.com/en-de/catalog/products/accessories/mke-600-accessories/mzw-600-505569" TargetMode="External"/><Relationship Id="rId526" Type="http://schemas.openxmlformats.org/officeDocument/2006/relationships/hyperlink" Target="https://www.sennheiser.com/en-hk/catalog/products/wireless-systems/avx-combo-set-21418/avx-combo-set-3-509100" TargetMode="External"/><Relationship Id="rId26" Type="http://schemas.openxmlformats.org/officeDocument/2006/relationships/hyperlink" Target="https://www.sennheiser.com/en-ae/catalog/products/microphones/e-865/e-865-004846" TargetMode="External"/><Relationship Id="rId25" Type="http://schemas.openxmlformats.org/officeDocument/2006/relationships/hyperlink" Target="https://www.sennheiser.com/en-in/catalog/products/microphones/e-845/e-845-s-004516" TargetMode="External"/><Relationship Id="rId28" Type="http://schemas.openxmlformats.org/officeDocument/2006/relationships/hyperlink" Target="https://www.sennheiser.com/en-us/catalog/products/microphones/e-901/e-901-500198" TargetMode="External"/><Relationship Id="rId27" Type="http://schemas.openxmlformats.org/officeDocument/2006/relationships/hyperlink" Target="https://www.sennheiser.com/en-ae/catalog/products/microphones/e-865/e-865-s-004847" TargetMode="External"/><Relationship Id="rId400" Type="http://schemas.openxmlformats.org/officeDocument/2006/relationships/hyperlink" Target="https://www.sennheiser.com/en-us/catalog/products/microphones/mke-440-accessories/mzh-440-506259" TargetMode="External"/><Relationship Id="rId521" Type="http://schemas.openxmlformats.org/officeDocument/2006/relationships/hyperlink" Target="https://www.sennheiser.com/en-us/catalog/products/microphones/mmk-965/mmk-965-1-bk-502582" TargetMode="External"/><Relationship Id="rId29" Type="http://schemas.openxmlformats.org/officeDocument/2006/relationships/hyperlink" Target="https://www.sennheiser.com/es-mx/catalog/products/microfono/e-902/e-902-500199" TargetMode="External"/><Relationship Id="rId520" Type="http://schemas.openxmlformats.org/officeDocument/2006/relationships/hyperlink" Target="https://www.sennheiser.com/en-de/catalog/products/microphones/mme-865/mme-865-1-bk-502581" TargetMode="External"/><Relationship Id="rId11" Type="http://schemas.openxmlformats.org/officeDocument/2006/relationships/hyperlink" Target="https://www.sennheiser.com/es-mx/catalog/products/auriculares/ie-4/ie-4-500432" TargetMode="External"/><Relationship Id="rId10" Type="http://schemas.openxmlformats.org/officeDocument/2006/relationships/hyperlink" Target="https://www.sennheiser.com/es-mx/catalog/products/auriculares/ie-100-pro/ie-100-pro-red-508942" TargetMode="External"/><Relationship Id="rId13" Type="http://schemas.openxmlformats.org/officeDocument/2006/relationships/hyperlink" Target="https://www.sennheiser.com/en-gb/catalog/products/headphones/ie-500-pro/ie-500-pro-clear-507480" TargetMode="External"/><Relationship Id="rId12" Type="http://schemas.openxmlformats.org/officeDocument/2006/relationships/hyperlink" Target="https://www.sennheiser.com/en-cn/catalog/products/headphones/ie-400-pro/ie-400-pro-smoky-black-507483" TargetMode="External"/><Relationship Id="rId519" Type="http://schemas.openxmlformats.org/officeDocument/2006/relationships/hyperlink" Target="https://www.sennheiser.com/en-us/catalog/products/microphones/mmd-945/mmd-945-1-bk-502579" TargetMode="External"/><Relationship Id="rId514" Type="http://schemas.openxmlformats.org/officeDocument/2006/relationships/hyperlink" Target="https://www.sennheiser.com/en-cn/catalog/products/microphones/mm-445/mm-445-508830" TargetMode="External"/><Relationship Id="rId513" Type="http://schemas.openxmlformats.org/officeDocument/2006/relationships/hyperlink" Target="https://www.sennheiser.com/es-mx/catalog/products/microfono/mm-445/mm-445-508830" TargetMode="External"/><Relationship Id="rId512" Type="http://schemas.openxmlformats.org/officeDocument/2006/relationships/hyperlink" Target="https://spares.sennheiser.com/fr-be/catalog/sparepart/509202" TargetMode="External"/><Relationship Id="rId511" Type="http://schemas.openxmlformats.org/officeDocument/2006/relationships/hyperlink" Target="https://www.sennheiser.com/en-in/catalog/products/microphones/mm-435/mm-435-508829" TargetMode="External"/><Relationship Id="rId518" Type="http://schemas.openxmlformats.org/officeDocument/2006/relationships/hyperlink" Target="https://www.sennheiser.com/en-in/catalog/products/microphones/mmd-935/mmd-935-1-bl-502578" TargetMode="External"/><Relationship Id="rId517" Type="http://schemas.openxmlformats.org/officeDocument/2006/relationships/hyperlink" Target="https://www.sennheiser.com/en-us/catalog/products/microphones/mmd-845/mmd-845-1-bk-502576" TargetMode="External"/><Relationship Id="rId516" Type="http://schemas.openxmlformats.org/officeDocument/2006/relationships/hyperlink" Target="https://www.sennheiser.com/es-mx/catalog/products/microfono/mmd-835/mmd-835-1-bk-502575" TargetMode="External"/><Relationship Id="rId515" Type="http://schemas.openxmlformats.org/officeDocument/2006/relationships/hyperlink" Target="https://spares.sennheiser.com/catalog/sparepart/509203" TargetMode="External"/><Relationship Id="rId15" Type="http://schemas.openxmlformats.org/officeDocument/2006/relationships/hyperlink" Target="https://www.sennheiser.com/en-us/catalog/products/microphones/e-600-drum-kit/e-600-series-drum-case-504296" TargetMode="External"/><Relationship Id="rId14" Type="http://schemas.openxmlformats.org/officeDocument/2006/relationships/hyperlink" Target="https://www.sennheiser.com/es-mx/catalog/products/microfono/xs-1/xs-1-507487" TargetMode="External"/><Relationship Id="rId17" Type="http://schemas.openxmlformats.org/officeDocument/2006/relationships/hyperlink" Target="https://www.sennheiser.com/es-mx/catalog/products/microfono/e-604/e-604-004519" TargetMode="External"/><Relationship Id="rId16" Type="http://schemas.openxmlformats.org/officeDocument/2006/relationships/hyperlink" Target="https://www.sennheiser.com/es-cl/catalog/products/microfono/e-602-ii/e-602-ii-500797" TargetMode="External"/><Relationship Id="rId19" Type="http://schemas.openxmlformats.org/officeDocument/2006/relationships/hyperlink" Target="https://www.sennheiser.com/en-us/catalog/products/microphones/e-609/e-609-silver-500074" TargetMode="External"/><Relationship Id="rId510" Type="http://schemas.openxmlformats.org/officeDocument/2006/relationships/hyperlink" Target="https://www.sennheiser.com/en-us/catalog/products/microphones/mm-435/mm-435-508829" TargetMode="External"/><Relationship Id="rId18" Type="http://schemas.openxmlformats.org/officeDocument/2006/relationships/hyperlink" Target="https://www.sennheiser.com/en-in/catalog/products/microphones/e-608/e-608-004520" TargetMode="External"/><Relationship Id="rId84" Type="http://schemas.openxmlformats.org/officeDocument/2006/relationships/hyperlink" Target="https://www.sennheiser.com/en-us/catalog/products/wireless-systems/nt-12-21835/nt-12-35-cs-508995" TargetMode="External"/><Relationship Id="rId83" Type="http://schemas.openxmlformats.org/officeDocument/2006/relationships/hyperlink" Target="https://www.sennheiser.com/en-de/catalog/products/accessories/nt-5/nt-5-20-ucw-508996" TargetMode="External"/><Relationship Id="rId86" Type="http://schemas.openxmlformats.org/officeDocument/2006/relationships/hyperlink" Target="https://www.sennheiser.com/en-de/catalog/products/wireless-systems/ew-d-power-supply/ew-d-power-distribution-cable-509458" TargetMode="External"/><Relationship Id="rId85" Type="http://schemas.openxmlformats.org/officeDocument/2006/relationships/hyperlink" Target="https://www.sennheiser.com/en-de/catalog/products/wireless-systems/ew-d-power-supply/ew-d-power-supply-509454" TargetMode="External"/><Relationship Id="rId88" Type="http://schemas.openxmlformats.org/officeDocument/2006/relationships/hyperlink" Target="https://www.sennheiser.com/en-de/catalog/products/wireless-systems/ew-dp-me-2-set/ew-dp-me2-set-q1-6-700010" TargetMode="External"/><Relationship Id="rId87" Type="http://schemas.openxmlformats.org/officeDocument/2006/relationships/hyperlink" Target="https://www.sennheiser.com/en-de/catalog/products/wireless-systems/ew-dp-835-set/ew-dp-835-set-q1-6-700030" TargetMode="External"/><Relationship Id="rId89" Type="http://schemas.openxmlformats.org/officeDocument/2006/relationships/hyperlink" Target="https://www.sennheiser.com/es-mx/catalog/products/sistema-inalambrico/ew-dp-me-4-set/ew-dp-me4-set-q1-6-700020" TargetMode="External"/><Relationship Id="rId80" Type="http://schemas.openxmlformats.org/officeDocument/2006/relationships/hyperlink" Target="https://www.sennheiser.com/en-dk/catalog/products/accessories/ew-d-charging-set/ew-d-charging-set-508862" TargetMode="External"/><Relationship Id="rId82" Type="http://schemas.openxmlformats.org/officeDocument/2006/relationships/hyperlink" Target="https://www.sennheiser.com/es-mx/catalog/products/accesorio/ba-70/ba-70-508860" TargetMode="External"/><Relationship Id="rId81" Type="http://schemas.openxmlformats.org/officeDocument/2006/relationships/hyperlink" Target="https://www.sennheiser.com/en-cn/catalog/products/accessories/l-70/l-70-usb-508861" TargetMode="External"/><Relationship Id="rId73" Type="http://schemas.openxmlformats.org/officeDocument/2006/relationships/hyperlink" Target="https://www.sennheiser.com/en-de/catalog/products/wireless-systems/ew-dx-sk-3-pin/ew-dx-sk-3-pin-q1-9-509398" TargetMode="External"/><Relationship Id="rId72" Type="http://schemas.openxmlformats.org/officeDocument/2006/relationships/hyperlink" Target="https://www.sennheiser.com/es-mx/catalog/products/sistema-inalambrico/ew-dx-sk/ew-dx-sk-q1-9-509384" TargetMode="External"/><Relationship Id="rId75" Type="http://schemas.openxmlformats.org/officeDocument/2006/relationships/hyperlink" Target="https://www.sennheiser.com/es-mx/catalog/products/sistema-inalambrico/ew-dx-skm-s/ew-dx-skm-s-q1-9-509412" TargetMode="External"/><Relationship Id="rId74" Type="http://schemas.openxmlformats.org/officeDocument/2006/relationships/hyperlink" Target="https://www.sennheiser.com/es-mx/catalog/products/sistema-inalambrico/ew-dx-skm/ew-dx-skm-q1-9-509426" TargetMode="External"/><Relationship Id="rId77" Type="http://schemas.openxmlformats.org/officeDocument/2006/relationships/hyperlink" Target="https://www.sennheiser.com/es-cl/catalog/products/sistema-inalambrico/ew-dx-em-2-dante/ew-dx-em-2-dante-q1-9-509356" TargetMode="External"/><Relationship Id="rId76" Type="http://schemas.openxmlformats.org/officeDocument/2006/relationships/hyperlink" Target="https://www.sennheiser.com/es-mx/catalog/products/sistema-inalambrico/ew-dx-em-2/ew-dx-em-2-q1-9-509342" TargetMode="External"/><Relationship Id="rId79" Type="http://schemas.openxmlformats.org/officeDocument/2006/relationships/hyperlink" Target="https://www.sennheiser.com/en-us/catalog/products/wireless-systems/ew-d-power-supply/chg-70n-c-psu-kit-700333" TargetMode="External"/><Relationship Id="rId78" Type="http://schemas.openxmlformats.org/officeDocument/2006/relationships/hyperlink" Target="https://www.sennheiser.com/es-cl/catalog/products/sistema-inalambrico/ew-dx-em-4-dante/ew-dx-em-4-dante-q1-9-509370" TargetMode="External"/><Relationship Id="rId71" Type="http://schemas.openxmlformats.org/officeDocument/2006/relationships/hyperlink" Target="https://www.sennheiser.com/es-mx/catalog/products/sistema-inalambrico/ew-dx-ts-3-pin/ew-dx-ts-3-pin-q1-9-509440" TargetMode="External"/><Relationship Id="rId70" Type="http://schemas.openxmlformats.org/officeDocument/2006/relationships/hyperlink" Target="https://www.sennheiser.com/es-mx/catalog/products/sistema-inalambrico/ew-dx-sk--skm-s-base-set/ew-dx-sk--skm-s-base-set-q1-9-509462" TargetMode="External"/><Relationship Id="rId62" Type="http://schemas.openxmlformats.org/officeDocument/2006/relationships/hyperlink" Target="https://www.sennheiser.com/en-au/catalog/products/wireless-systems/ew-d-sk-base-set/ew-d-sk-base-set-q1-6-508740" TargetMode="External"/><Relationship Id="rId61" Type="http://schemas.openxmlformats.org/officeDocument/2006/relationships/hyperlink" Target="https://www.sennheiser.com/en-gb/catalog/products/wireless-systems/ew-d-skm-base-set/ew-d-skm-s-base-set-q1-6-508760" TargetMode="External"/><Relationship Id="rId64" Type="http://schemas.openxmlformats.org/officeDocument/2006/relationships/hyperlink" Target="https://www.sennheiser.com/en-de/catalog/products/wireless-systems/ew-d-skm/ew-d-skm-s-y1-3-508799" TargetMode="External"/><Relationship Id="rId63" Type="http://schemas.openxmlformats.org/officeDocument/2006/relationships/hyperlink" Target="https://www.sennheiser.com/en-de/catalog/products/wireless-systems/ew-d-sk/ew-d-sk-v3-4-508788" TargetMode="External"/><Relationship Id="rId66" Type="http://schemas.openxmlformats.org/officeDocument/2006/relationships/hyperlink" Target="https://www.sennheiser.com/es-mx/catalog/products/sistema-inalambrico/ew-dx-835-s-set/ew-dx-835-s-set-q1-9-509300" TargetMode="External"/><Relationship Id="rId65" Type="http://schemas.openxmlformats.org/officeDocument/2006/relationships/hyperlink" Target="https://www.sennheiser.com/en-us/catalog/products/wireless-systems/ew-d-em/ew-d-em-q1-6-508800" TargetMode="External"/><Relationship Id="rId68" Type="http://schemas.openxmlformats.org/officeDocument/2006/relationships/hyperlink" Target="https://www.sennheiser.com/en-us/catalog/products/wireless-systems/ew-dx-mke-2--835-s-set/ew-dx-mke-2--835-s-set-q1-9-509328" TargetMode="External"/><Relationship Id="rId67" Type="http://schemas.openxmlformats.org/officeDocument/2006/relationships/hyperlink" Target="https://www.sennheiser.com/en-gb/catalog/products/wireless-systems/ew-dx-mke-2-set/ew-dx-mke-2-set-q1-9-509314" TargetMode="External"/><Relationship Id="rId609" Type="http://schemas.openxmlformats.org/officeDocument/2006/relationships/hyperlink" Target="https://www.sennheiser.com/en-au/catalog/products/wireless-systems/sk-6212-accessories/sk-6212-stiff-antenna-a1---a4-508888" TargetMode="External"/><Relationship Id="rId608" Type="http://schemas.openxmlformats.org/officeDocument/2006/relationships/hyperlink" Target="https://www.sennheiser.com/en-gb/catalog/products/wireless-systems/ba-62/ba-62-508517" TargetMode="External"/><Relationship Id="rId607" Type="http://schemas.openxmlformats.org/officeDocument/2006/relationships/hyperlink" Target="https://www.sennheiser.com/en-nz/catalog/products/wireless-systems/ba-61/ba-61-504703" TargetMode="External"/><Relationship Id="rId60" Type="http://schemas.openxmlformats.org/officeDocument/2006/relationships/hyperlink" Target="https://www.sennheiser.com/en-ae/catalog/products/wireless-systems/ew-d-me2835-set/ew-d-me2835-s-set-q1-6-508770" TargetMode="External"/><Relationship Id="rId602" Type="http://schemas.openxmlformats.org/officeDocument/2006/relationships/hyperlink" Target="https://www.sennheiser.com/en-no/catalog/products/wireless-systems/lm-6061/lm-6061-507199" TargetMode="External"/><Relationship Id="rId601" Type="http://schemas.openxmlformats.org/officeDocument/2006/relationships/hyperlink" Target="https://www.sennheiser.com/en-cn/catalog/products/wireless-systems/lm-6060/lm-6060-507198" TargetMode="External"/><Relationship Id="rId600" Type="http://schemas.openxmlformats.org/officeDocument/2006/relationships/hyperlink" Target="https://www.sennheiser.com/en-no/catalog/products/wireless-systems/l-6000/l-6000-507300" TargetMode="External"/><Relationship Id="rId606" Type="http://schemas.openxmlformats.org/officeDocument/2006/relationships/hyperlink" Target="https://www.sennheiser.com/es-mx/catalog/products/sistema-inalambrico/ba-60/ba-60-504702" TargetMode="External"/><Relationship Id="rId605" Type="http://schemas.openxmlformats.org/officeDocument/2006/relationships/hyperlink" Target="https://www.sennheiser.com/en-in/catalog/products/wireless-systems/b-61/b-61-504701" TargetMode="External"/><Relationship Id="rId604" Type="http://schemas.openxmlformats.org/officeDocument/2006/relationships/hyperlink" Target="https://www.sennheiser.com/en-us/catalog/products/wireless-systems/b-60/b-60-504700" TargetMode="External"/><Relationship Id="rId603" Type="http://schemas.openxmlformats.org/officeDocument/2006/relationships/hyperlink" Target="https://www.sennheiser.com/en-au/catalog/products/wireless-systems/lm-6062/lm-6062-508516" TargetMode="External"/><Relationship Id="rId69" Type="http://schemas.openxmlformats.org/officeDocument/2006/relationships/hyperlink" Target="https://www.sennheiser.com/en-us/catalog/products/wireless-systems/ew-dx-mke-2--835-s-set/ew-dx-mke-2--835-s-set-q1-9-509328" TargetMode="External"/><Relationship Id="rId51" Type="http://schemas.openxmlformats.org/officeDocument/2006/relationships/hyperlink" Target="https://www.sennheiser.com/en-gb/catalog/products/microphones/md-441-accessories/mzq-441-002615" TargetMode="External"/><Relationship Id="rId50" Type="http://schemas.openxmlformats.org/officeDocument/2006/relationships/hyperlink" Target="https://www.sennheiser.com/es-mx/catalog/products/microphones/evolution-wired-accessories-4400a/mzh-908-d-500541" TargetMode="External"/><Relationship Id="rId53" Type="http://schemas.openxmlformats.org/officeDocument/2006/relationships/hyperlink" Target="https://www.sennheiser.com/es-mx/catalog/products/microphones/md-431-accessories/mzw-4032-c-002980" TargetMode="External"/><Relationship Id="rId52" Type="http://schemas.openxmlformats.org/officeDocument/2006/relationships/hyperlink" Target="https://www.sennheiser.com/es-mx/catalog/products/microphones/evolution-wired-accessories-4400a/mzq-800-004711" TargetMode="External"/><Relationship Id="rId55" Type="http://schemas.openxmlformats.org/officeDocument/2006/relationships/hyperlink" Target="https://www.sennheiser.com/es-mx/catalog/products/sistema-inalambrico/ew-d-835-set/ew-d-835-s-set-q1-6-508750" TargetMode="External"/><Relationship Id="rId54" Type="http://schemas.openxmlformats.org/officeDocument/2006/relationships/hyperlink" Target="https://www.sennheiser.com/es-mx/catalog/products/microphones/md-421-accessories/mzw-421-a-000536" TargetMode="External"/><Relationship Id="rId57" Type="http://schemas.openxmlformats.org/officeDocument/2006/relationships/hyperlink" Target="https://www.sennheiser.com/en-cn/catalog/products/wireless-systems/ew-d-me3-set/ew-d-me3-set-q1-6-508710" TargetMode="External"/><Relationship Id="rId56" Type="http://schemas.openxmlformats.org/officeDocument/2006/relationships/hyperlink" Target="https://www.sennheiser.com/es-mx/catalog/products/wireless-systems/ew-d-me2-set/ew-d-me2-set-q1-6-508700" TargetMode="External"/><Relationship Id="rId59" Type="http://schemas.openxmlformats.org/officeDocument/2006/relationships/hyperlink" Target="https://www.sennheiser.com/es-mx/catalog/products/sistema-inalambrico/ew-d-ci1-set/ew-d-ci1-set-q1-6-508730" TargetMode="External"/><Relationship Id="rId58" Type="http://schemas.openxmlformats.org/officeDocument/2006/relationships/hyperlink" Target="https://www.sennheiser.com/en-de/catalog/products/wireless-systems/ew-d-me4-set/ew-d-me4-set-q1-6-508720" TargetMode="External"/><Relationship Id="rId590" Type="http://schemas.openxmlformats.org/officeDocument/2006/relationships/hyperlink" Target="https://www.sennheiser.com/es-mx/catalog/products/sistema-inalambrico/sk-6000/sk-6000-bk-a1-a4-506318" TargetMode="External"/><Relationship Id="rId107" Type="http://schemas.openxmlformats.org/officeDocument/2006/relationships/hyperlink" Target="https://www.sennheiser.com/en-de/catalog/products/wireless-systems/ew-100-g4-ci1/ew-100-g4-ci1-1g8-509930" TargetMode="External"/><Relationship Id="rId228" Type="http://schemas.openxmlformats.org/officeDocument/2006/relationships/hyperlink" Target="https://www.sennheiser.com/en-cn/catalog/products/wireless-systems/xsw-2-me3/xsw-2-me3-k-507135" TargetMode="External"/><Relationship Id="rId349" Type="http://schemas.openxmlformats.org/officeDocument/2006/relationships/hyperlink" Target="https://www.sennheiser.com/en-in/catalog/products/microphones/mkh-8000-accessories/mze-8060-502316" TargetMode="External"/><Relationship Id="rId106" Type="http://schemas.openxmlformats.org/officeDocument/2006/relationships/hyperlink" Target="https://www.sennheiser.com/en-de/catalog/products/wireless-systems/ew-100-g4-ci1/ew-100-g4-ci1-1g8-509930" TargetMode="External"/><Relationship Id="rId227" Type="http://schemas.openxmlformats.org/officeDocument/2006/relationships/hyperlink" Target="https://www.sennheiser.com/en-gb/catalog/products/wireless-systems/xsw-2-me2/xsw-2-me2-e-507126" TargetMode="External"/><Relationship Id="rId348" Type="http://schemas.openxmlformats.org/officeDocument/2006/relationships/hyperlink" Target="https://www.sennheiser.com/en-de/catalog/products/microphones/mkh-8000-accessories/mze-8030-502433" TargetMode="External"/><Relationship Id="rId469" Type="http://schemas.openxmlformats.org/officeDocument/2006/relationships/hyperlink" Target="https://spares.sennheiser.com/nl-nl/catalog/sparepart/700184" TargetMode="External"/><Relationship Id="rId105" Type="http://schemas.openxmlformats.org/officeDocument/2006/relationships/hyperlink" Target="https://www.sennheiser.com/es-mx/catalog/products/sistema-inalambrico/ew-100-g4-945/ew-100-g4-945-s-c-507920" TargetMode="External"/><Relationship Id="rId226" Type="http://schemas.openxmlformats.org/officeDocument/2006/relationships/hyperlink" Target="https://www.sennheiser.com/en-gb/catalog/products/wireless-systems/xsw-2-me2/xsw-2-me2-e-507126" TargetMode="External"/><Relationship Id="rId347" Type="http://schemas.openxmlformats.org/officeDocument/2006/relationships/hyperlink" Target="https://www.sennheiser.com/fr-be/catalog/products/microphone/mkh-8000-accessories/mze-8015-502315" TargetMode="External"/><Relationship Id="rId468" Type="http://schemas.openxmlformats.org/officeDocument/2006/relationships/hyperlink" Target="https://www.sennheiser.com/en-ae/catalog/products/microfono/hsp-essential-accessories/boom-mic-hsp-essential-bk-3pin-508483" TargetMode="External"/><Relationship Id="rId589" Type="http://schemas.openxmlformats.org/officeDocument/2006/relationships/hyperlink" Target="https://www.sennheiser.com/es-mx/catalog/products/sistema-inalambrico/skm-6000/skm-6000-bk-a1-a4-506302" TargetMode="External"/><Relationship Id="rId104" Type="http://schemas.openxmlformats.org/officeDocument/2006/relationships/hyperlink" Target="https://www.sennheiser.com/es-mx/catalog/products/sistema-inalambrico/ew-100-g4-945/ew-100-g4-945-s-c-507920" TargetMode="External"/><Relationship Id="rId225" Type="http://schemas.openxmlformats.org/officeDocument/2006/relationships/hyperlink" Target="https://www.sennheiser.com/en-no/catalog/products/wireless-systems/xsw-2-ci1/xsw-2-ci1-k-507142" TargetMode="External"/><Relationship Id="rId346" Type="http://schemas.openxmlformats.org/officeDocument/2006/relationships/hyperlink" Target="https://www.sennheiser.com/en-gb/catalog/products/microphones/mkh-accessories/mzh-60-1-003224" TargetMode="External"/><Relationship Id="rId467" Type="http://schemas.openxmlformats.org/officeDocument/2006/relationships/hyperlink" Target="https://www.sennheiser.com/en-ie/catalog/products/microphones/hsp-essential-accessories/boom-mic-hsp-essential-be-508480" TargetMode="External"/><Relationship Id="rId588" Type="http://schemas.openxmlformats.org/officeDocument/2006/relationships/hyperlink" Target="https://www.sennheiser.com/en-hk/catalog/products/wireless-systems/em-6000/em-6000-506657" TargetMode="External"/><Relationship Id="rId109" Type="http://schemas.openxmlformats.org/officeDocument/2006/relationships/hyperlink" Target="https://www.sennheiser.com/en-in/catalog/products/wireless-systems/ew-100-g4-me2835/ew-100-g4-me2835-s-1g8-509966" TargetMode="External"/><Relationship Id="rId108" Type="http://schemas.openxmlformats.org/officeDocument/2006/relationships/hyperlink" Target="https://www.sennheiser.com/en-us/catalog/products/wireless-systems/ew-100-g4-me2835/ew-100-g4-me2835-s-1g8-509966" TargetMode="External"/><Relationship Id="rId229" Type="http://schemas.openxmlformats.org/officeDocument/2006/relationships/hyperlink" Target="https://www.sennheiser.com/en-cn/catalog/products/wireless-systems/xsw-2-me3/xsw-2-me3-k-507135" TargetMode="External"/><Relationship Id="rId220" Type="http://schemas.openxmlformats.org/officeDocument/2006/relationships/hyperlink" Target="https://www.sennheiser.com/en-ae/catalog/products/wireless-systems/xsw-1-me3/xsw-1-me3-k-506993" TargetMode="External"/><Relationship Id="rId341" Type="http://schemas.openxmlformats.org/officeDocument/2006/relationships/hyperlink" Target="https://www.sennheiser.com/en-dk/catalog/products/microphones/mkh-8050/mkh-8050-506291" TargetMode="External"/><Relationship Id="rId462" Type="http://schemas.openxmlformats.org/officeDocument/2006/relationships/hyperlink" Target="https://spares.sennheiser.com/catalog/sparepart/700187" TargetMode="External"/><Relationship Id="rId583" Type="http://schemas.openxmlformats.org/officeDocument/2006/relationships/hyperlink" Target="https://www.sennheiser.com/en-de/catalog/products/meeting-and-conference-systems/gooseneck-accessories/mzt-30-l-009446" TargetMode="External"/><Relationship Id="rId340" Type="http://schemas.openxmlformats.org/officeDocument/2006/relationships/hyperlink" Target="https://www.sennheiser.com/en-us/catalog/products/microphones/mkh-8040/mkh-8040-stereoset-506290" TargetMode="External"/><Relationship Id="rId461" Type="http://schemas.openxmlformats.org/officeDocument/2006/relationships/hyperlink" Target="https://www.sennheiser.com/en-us/catalog/archive/l-1039/l-1039-10-505632" TargetMode="External"/><Relationship Id="rId582" Type="http://schemas.openxmlformats.org/officeDocument/2006/relationships/hyperlink" Target="https://www.sennheiser.com/en-de/catalog/products/meeting-and-conference-systems/gooseneck-accessories/mzt-30-005085" TargetMode="External"/><Relationship Id="rId460" Type="http://schemas.openxmlformats.org/officeDocument/2006/relationships/hyperlink" Target="https://www.sennheiser.com/es-mx/catalog/products/sistema-inalambrico/ba-2015/ba-2015-009950" TargetMode="External"/><Relationship Id="rId581" Type="http://schemas.openxmlformats.org/officeDocument/2006/relationships/hyperlink" Target="https://www.sennheiser.com/en-us/catalog/products/microphones/mzt-desk-stands/mzt-100-0-001883" TargetMode="External"/><Relationship Id="rId580" Type="http://schemas.openxmlformats.org/officeDocument/2006/relationships/hyperlink" Target="https://www.sennheiser.com/en-in/catalog/products/meeting-and-conference-systems/gooseneck-accessories/mzs-31-005087" TargetMode="External"/><Relationship Id="rId103" Type="http://schemas.openxmlformats.org/officeDocument/2006/relationships/hyperlink" Target="https://www.sennheiser.com/en-de/catalog/products/wireless-systems/ew-100-g4-935/ew-100-g4-935-s-1g8-509964" TargetMode="External"/><Relationship Id="rId224" Type="http://schemas.openxmlformats.org/officeDocument/2006/relationships/hyperlink" Target="https://www.sennheiser.com/en-no/catalog/products/wireless-systems/xsw-2-ci1/xsw-2-ci1-k-507142" TargetMode="External"/><Relationship Id="rId345" Type="http://schemas.openxmlformats.org/officeDocument/2006/relationships/hyperlink" Target="https://www.sennheiser.com/en-no/product-families/esfera" TargetMode="External"/><Relationship Id="rId466" Type="http://schemas.openxmlformats.org/officeDocument/2006/relationships/hyperlink" Target="https://www.sennheiser.com/en-ie/catalog/products/microphones/hsp-essential-accessories/boom-mic-hsp-essential-be-508480" TargetMode="External"/><Relationship Id="rId587" Type="http://schemas.openxmlformats.org/officeDocument/2006/relationships/hyperlink" Target="https://www.sennheiser.com/es-mx/catalog/products/sistema-inalambrico/em-6000/em-6000-506657" TargetMode="External"/><Relationship Id="rId102" Type="http://schemas.openxmlformats.org/officeDocument/2006/relationships/hyperlink" Target="https://www.sennheiser.com/en-de/catalog/products/wireless-systems/ew-100-g4-935/ew-100-g4-935-s-1g8-509964" TargetMode="External"/><Relationship Id="rId223" Type="http://schemas.openxmlformats.org/officeDocument/2006/relationships/hyperlink" Target="https://www.sennheiser.com/en-cn/catalog/products/wireless-systems/xsw-2-835/xsw-2-835-gb-507148" TargetMode="External"/><Relationship Id="rId344" Type="http://schemas.openxmlformats.org/officeDocument/2006/relationships/hyperlink" Target="https://www.sennheiser.com/en-dk/catalog/products/microphones/mkh-8090/mkh-8090-506294" TargetMode="External"/><Relationship Id="rId465" Type="http://schemas.openxmlformats.org/officeDocument/2006/relationships/hyperlink" Target="https://www.sennheiser.com/en-ie/catalog/products/microphones/hsp-essential-accessories/boom-mic-hsp-essential-be-508480" TargetMode="External"/><Relationship Id="rId586" Type="http://schemas.openxmlformats.org/officeDocument/2006/relationships/hyperlink" Target="https://www.sennheiser.com/en-de/catalog/products/bi-directional-communication/mobileconnect/mobileconnect-station-508895" TargetMode="External"/><Relationship Id="rId101" Type="http://schemas.openxmlformats.org/officeDocument/2006/relationships/hyperlink" Target="https://www.sennheiser.com/en-au/catalog/products/wireless-systems/ew-100-g4-865/ew-100-g4-865-s-1g8-509962" TargetMode="External"/><Relationship Id="rId222" Type="http://schemas.openxmlformats.org/officeDocument/2006/relationships/hyperlink" Target="https://www.sennheiser.com/en-cn/catalog/products/wireless-systems/xsw-2-835/xsw-2-835-gb-507148" TargetMode="External"/><Relationship Id="rId343" Type="http://schemas.openxmlformats.org/officeDocument/2006/relationships/hyperlink" Target="https://www.sennheiser.com/en-de/catalog/products/microphones/mkh-8070/mkh-8070-506293" TargetMode="External"/><Relationship Id="rId464" Type="http://schemas.openxmlformats.org/officeDocument/2006/relationships/hyperlink" Target="https://spares.sennheiser.com/de-de/catalog/sparepart/700189" TargetMode="External"/><Relationship Id="rId585" Type="http://schemas.openxmlformats.org/officeDocument/2006/relationships/hyperlink" Target="https://www.sennheiser.com/es-mx/catalog/products/sistema-para-juntas-y-conferencias/me-36-accessories/mzw-36-pro-005069" TargetMode="External"/><Relationship Id="rId100" Type="http://schemas.openxmlformats.org/officeDocument/2006/relationships/hyperlink" Target="https://www.sennheiser.com/en-au/catalog/products/wireless-systems/ew-100-g4-865/ew-100-g4-865-s-1g8-509962" TargetMode="External"/><Relationship Id="rId221" Type="http://schemas.openxmlformats.org/officeDocument/2006/relationships/hyperlink" Target="https://www.sennheiser.com/en-ae/catalog/products/wireless-systems/xsw-1-me3/xsw-1-me3-k-506993" TargetMode="External"/><Relationship Id="rId342" Type="http://schemas.openxmlformats.org/officeDocument/2006/relationships/hyperlink" Target="https://www.sennheiser.com/en-de/catalog/products/microphones/mkh-8060/mkh-8060-506292" TargetMode="External"/><Relationship Id="rId463" Type="http://schemas.openxmlformats.org/officeDocument/2006/relationships/hyperlink" Target="https://spares.sennheiser.com/catalog/product/390005-sl-headmic-1-4-bk-nc" TargetMode="External"/><Relationship Id="rId584" Type="http://schemas.openxmlformats.org/officeDocument/2006/relationships/hyperlink" Target="https://www.sennheiser.com/es-cl/catalog/products/sistema-para-juntas-y-conferencias/me-accessories-42099/mzw-34-pro-005067" TargetMode="External"/><Relationship Id="rId217" Type="http://schemas.openxmlformats.org/officeDocument/2006/relationships/hyperlink" Target="https://www.sennheiser.com/es-mx/catalog/products/sistema-inalambrico/xsw-1-908/xsw-1-908-bc-507454" TargetMode="External"/><Relationship Id="rId338" Type="http://schemas.openxmlformats.org/officeDocument/2006/relationships/hyperlink" Target="https://www.sennheiser.com/en-us/catalog/products/microphones/mkh-8020/mkh-8020-stereoset-506288" TargetMode="External"/><Relationship Id="rId459" Type="http://schemas.openxmlformats.org/officeDocument/2006/relationships/hyperlink" Target="https://www.sennheiser.com/en-us/catalog/products/wireless-systems/sr-2050-iem/sr-2050-iem-aw-508644" TargetMode="External"/><Relationship Id="rId216" Type="http://schemas.openxmlformats.org/officeDocument/2006/relationships/hyperlink" Target="https://www.sennheiser.com/en-us/catalog/products/wireless-systems/xsw-1-908/xsw-1-908-c-507103" TargetMode="External"/><Relationship Id="rId337" Type="http://schemas.openxmlformats.org/officeDocument/2006/relationships/hyperlink" Target="https://www.sennheiser.com/es-mx/catalog/products/microfono/mkh-8020/mkh-8020-stereoset-506288" TargetMode="External"/><Relationship Id="rId458" Type="http://schemas.openxmlformats.org/officeDocument/2006/relationships/hyperlink" Target="https://www.sennheiser.com/en-us/catalog/products/wireless-systems/sr-2050-iem/sr-2050-iem-aw-508644" TargetMode="External"/><Relationship Id="rId579" Type="http://schemas.openxmlformats.org/officeDocument/2006/relationships/hyperlink" Target="https://www.sennheiser.com/en-ae/catalog/products/microphones/mke-2-accessories/mzp-40-003132" TargetMode="External"/><Relationship Id="rId215" Type="http://schemas.openxmlformats.org/officeDocument/2006/relationships/hyperlink" Target="https://www.sennheiser.com/es-mx/catalog/products/sistema-inalambrico/xsw-1-835/xsw-1-835-k-507121" TargetMode="External"/><Relationship Id="rId336" Type="http://schemas.openxmlformats.org/officeDocument/2006/relationships/hyperlink" Target="https://www.sennheiser.com/en-gb/catalog/products/microphones/mkh-800-twin/mkh-800-twin-nx-502083" TargetMode="External"/><Relationship Id="rId457" Type="http://schemas.openxmlformats.org/officeDocument/2006/relationships/hyperlink" Target="https://www.sennheiser.com/en-us/catalog/products/wireless-systems/sr-2050-iem/sr-2050-iem-aw-508644" TargetMode="External"/><Relationship Id="rId578" Type="http://schemas.openxmlformats.org/officeDocument/2006/relationships/hyperlink" Target="https://www.sennheiser.com/en-dk/catalog/products/meeting-and-conference-systems/me-accessories-42096/mzh-30-w-005092" TargetMode="External"/><Relationship Id="rId214" Type="http://schemas.openxmlformats.org/officeDocument/2006/relationships/hyperlink" Target="https://www.sennheiser.com/es-mx/catalog/products/sistema-inalambrico/xsw-1-835/xsw-1-835-k-507121" TargetMode="External"/><Relationship Id="rId335" Type="http://schemas.openxmlformats.org/officeDocument/2006/relationships/hyperlink" Target="https://www.sennheiser.com/en-gb/catalog/products/microphones/mkh-800-twin/mkh-800-twin-nx-502083" TargetMode="External"/><Relationship Id="rId456" Type="http://schemas.openxmlformats.org/officeDocument/2006/relationships/hyperlink" Target="https://www.sennheiser.com/en-us/catalog/products/wireless-systems/sr-2050-iem/sr-2050-iem-aw-508644" TargetMode="External"/><Relationship Id="rId577" Type="http://schemas.openxmlformats.org/officeDocument/2006/relationships/hyperlink" Target="https://www.sennheiser.com/en-dk/catalog/products/meeting-and-conference-systems/me-accessories-42096/mzh-30-b-005090" TargetMode="External"/><Relationship Id="rId219" Type="http://schemas.openxmlformats.org/officeDocument/2006/relationships/hyperlink" Target="https://www.sennheiser.com/en-de/catalog/products/wireless-systems/xsw-1-me2/xsw-1-me2-gb-506985" TargetMode="External"/><Relationship Id="rId218" Type="http://schemas.openxmlformats.org/officeDocument/2006/relationships/hyperlink" Target="https://www.sennheiser.com/en-de/catalog/products/wireless-systems/xsw-1-me2/xsw-1-me2-gb-506985" TargetMode="External"/><Relationship Id="rId339" Type="http://schemas.openxmlformats.org/officeDocument/2006/relationships/hyperlink" Target="https://www.sennheiser.com/en-ae/catalog/products/microphones/mkh-8040/mkh-8040-stereoset-506290" TargetMode="External"/><Relationship Id="rId330" Type="http://schemas.openxmlformats.org/officeDocument/2006/relationships/hyperlink" Target="https://www.sennheiser.com/en-us/catalog/products/wireless-systems/ga-4/ga-4-505977" TargetMode="External"/><Relationship Id="rId451" Type="http://schemas.openxmlformats.org/officeDocument/2006/relationships/hyperlink" Target="https://www.sennheiser.com/en-nz/catalog/products/wireless-systems/ek-2000-iem/ek-2000-iem-aw-508645" TargetMode="External"/><Relationship Id="rId572" Type="http://schemas.openxmlformats.org/officeDocument/2006/relationships/hyperlink" Target="https://www.sennheiser.com/en-in/catalog/products/meeting-and-conference-systems/mat-153/mat-153-s-b-505626" TargetMode="External"/><Relationship Id="rId450" Type="http://schemas.openxmlformats.org/officeDocument/2006/relationships/hyperlink" Target="https://www.sennheiser.com/en-nz/catalog/products/wireless-systems/ek-2000-iem/ek-2000-iem-aw-508645" TargetMode="External"/><Relationship Id="rId571" Type="http://schemas.openxmlformats.org/officeDocument/2006/relationships/hyperlink" Target="https://www.sennheiser.com/en-de/catalog/products/meeting-and-conference-systems/mat-133/mat-133-s-b-505624" TargetMode="External"/><Relationship Id="rId570" Type="http://schemas.openxmlformats.org/officeDocument/2006/relationships/hyperlink" Target="https://www.sennheiser.com/en-de/catalog/products/meeting-and-conference-systems/mat-133/mat-133-b-505622" TargetMode="External"/><Relationship Id="rId213" Type="http://schemas.openxmlformats.org/officeDocument/2006/relationships/hyperlink" Target="https://www.sennheiser.com/en-de/catalog/products/wireless-systems/xsw-1-825-dual/xsw-1-825-dual-a-508263" TargetMode="External"/><Relationship Id="rId334" Type="http://schemas.openxmlformats.org/officeDocument/2006/relationships/hyperlink" Target="https://www.sennheiser.com/en-fi/catalog/products/microphones/mkh-50/mkh-50-p48-003109" TargetMode="External"/><Relationship Id="rId455" Type="http://schemas.openxmlformats.org/officeDocument/2006/relationships/hyperlink" Target="https://www.sennheiser.com/en-us/catalog/products/wireless-systems/sr-2050-iem/sr-2050-iem-aw-508644" TargetMode="External"/><Relationship Id="rId576" Type="http://schemas.openxmlformats.org/officeDocument/2006/relationships/hyperlink" Target="https://www.sennheiser.com/en-ae/catalog/products/meeting-and-conference-systems/gooseneck-accessories/mzfs-80-500651" TargetMode="External"/><Relationship Id="rId212" Type="http://schemas.openxmlformats.org/officeDocument/2006/relationships/hyperlink" Target="https://www.sennheiser.com/en-de/catalog/products/wireless-systems/xsw-1-825-dual/xsw-1-825-dual-a-508263" TargetMode="External"/><Relationship Id="rId333" Type="http://schemas.openxmlformats.org/officeDocument/2006/relationships/hyperlink" Target="https://www.sennheiser.com/es-mx/catalog/products/microfono/mkh-418/mkh-418-s-005284" TargetMode="External"/><Relationship Id="rId454" Type="http://schemas.openxmlformats.org/officeDocument/2006/relationships/hyperlink" Target="https://www.sennheiser.com/en-us/catalog/products/wireless-systems/sr-2050-iem/sr-2050-iem-aw-508644" TargetMode="External"/><Relationship Id="rId575" Type="http://schemas.openxmlformats.org/officeDocument/2006/relationships/hyperlink" Target="https://www.sennheiser.com/en-in/catalog/products/meeting-and-conference-systems/gooseneck-accessories/mzfs-60-500650" TargetMode="External"/><Relationship Id="rId211" Type="http://schemas.openxmlformats.org/officeDocument/2006/relationships/hyperlink" Target="https://www.sennheiserstore.com.ar/microfono-inalambrico-sennheiser-xsw-1-825-dual-color-negro/p/MLA21215864" TargetMode="External"/><Relationship Id="rId332" Type="http://schemas.openxmlformats.org/officeDocument/2006/relationships/hyperlink" Target="https://www.sennheiser.com/en-in/catalog/products/microphones/mkh-416/mkh-416-p48u3-001511" TargetMode="External"/><Relationship Id="rId453" Type="http://schemas.openxmlformats.org/officeDocument/2006/relationships/hyperlink" Target="https://www.sennheiser.com/en-nz/catalog/products/wireless-systems/ek-2000-iem/ek-2000-iem-aw-508645" TargetMode="External"/><Relationship Id="rId574" Type="http://schemas.openxmlformats.org/officeDocument/2006/relationships/hyperlink" Target="https://www.sennheiser.com/en-in/catalog/products/meeting-and-conference-systems/me-accessories-42099/mzc-30-w-005089" TargetMode="External"/><Relationship Id="rId210" Type="http://schemas.openxmlformats.org/officeDocument/2006/relationships/hyperlink" Target="https://www.sennheiserstore.com.ar/microfono-inalambrico-sennheiser-xsw-1-825-dual-color-negro/p/MLA21215864" TargetMode="External"/><Relationship Id="rId331" Type="http://schemas.openxmlformats.org/officeDocument/2006/relationships/hyperlink" Target="https://www.sennheiser.com/en-us/catalog/products/microphones/mkh-30/mkh-30-p48-002872" TargetMode="External"/><Relationship Id="rId452" Type="http://schemas.openxmlformats.org/officeDocument/2006/relationships/hyperlink" Target="https://www.sennheiser.com/en-nz/catalog/products/wireless-systems/ek-2000-iem/ek-2000-iem-aw-508645" TargetMode="External"/><Relationship Id="rId573" Type="http://schemas.openxmlformats.org/officeDocument/2006/relationships/hyperlink" Target="https://www.sennheiser.com/en-in/catalog/products/meeting-and-conference-systems/me-accessories-42099/mzc-30-005088" TargetMode="External"/><Relationship Id="rId370" Type="http://schemas.openxmlformats.org/officeDocument/2006/relationships/hyperlink" Target="https://www.sennheiser.com/en-gb/catalog/products/microphones/mkh-8000-accessories/mzs-8000-502330" TargetMode="External"/><Relationship Id="rId491" Type="http://schemas.openxmlformats.org/officeDocument/2006/relationships/hyperlink" Target="https://www.sennheiser.com/es-cl/catalog/products/microfono/sl-headmic-1/sl-headmic-1--4-be-506906" TargetMode="External"/><Relationship Id="rId490" Type="http://schemas.openxmlformats.org/officeDocument/2006/relationships/hyperlink" Target="https://www.sennheiser.com/en-no/catalog/products/microphones/hsp-essential-accessories/neckband-for-hsp-essential-508479" TargetMode="External"/><Relationship Id="rId129" Type="http://schemas.openxmlformats.org/officeDocument/2006/relationships/hyperlink" Target="https://www.sennheiser.com/es-mx/catalog/products/sistema-inalambrico/ew-112p-g4/ew-112p-g4-jb-509560" TargetMode="External"/><Relationship Id="rId128" Type="http://schemas.openxmlformats.org/officeDocument/2006/relationships/hyperlink" Target="https://www.sennheiser.com/es-mx/catalog/products/sistema-inalambrico/ew-112p-g4/ew-112p-g4-jb-509560" TargetMode="External"/><Relationship Id="rId249" Type="http://schemas.openxmlformats.org/officeDocument/2006/relationships/hyperlink" Target="https://www.sennheiser.com/en-gb/catalog/products/wireless-systems/xsw-d-presentation-base-set/xsw-d-presentation-base-set-508492" TargetMode="External"/><Relationship Id="rId127" Type="http://schemas.openxmlformats.org/officeDocument/2006/relationships/hyperlink" Target="https://www.sennheiser.com/en-ae/catalog/products/wireless-systems/ew-100-eng-g4/ew-100-eng-g4-a-509515" TargetMode="External"/><Relationship Id="rId248" Type="http://schemas.openxmlformats.org/officeDocument/2006/relationships/hyperlink" Target="https://www.sennheiser.com/en-gb/catalog/products/wireless-systems/xsw-d-portable-lavalier-set/xsw-d-portable-lavalier-set-508488" TargetMode="External"/><Relationship Id="rId369" Type="http://schemas.openxmlformats.org/officeDocument/2006/relationships/hyperlink" Target="https://www.sennheiser.com/en-no/catalog/products/microphones/mkh-accessories/mzs-80-003685" TargetMode="External"/><Relationship Id="rId126" Type="http://schemas.openxmlformats.org/officeDocument/2006/relationships/hyperlink" Target="https://www.sennheiser.com/en-ae/catalog/products/wireless-systems/ew-100-eng-g4/ew-100-eng-g4-a-509515" TargetMode="External"/><Relationship Id="rId247" Type="http://schemas.openxmlformats.org/officeDocument/2006/relationships/hyperlink" Target="https://www.sennheiser.com/en-us/catalog/products/wireless-systems/xsw-d-portable-lav-mobile-kit/xsw-d-portable-lav-mobile-kit-509258" TargetMode="External"/><Relationship Id="rId368" Type="http://schemas.openxmlformats.org/officeDocument/2006/relationships/hyperlink" Target="https://www.sennheiser.com/en-gb/catalog/products/microphones/mkh-accessories/mzs-40-003017" TargetMode="External"/><Relationship Id="rId489" Type="http://schemas.openxmlformats.org/officeDocument/2006/relationships/hyperlink" Target="https://www.sennheiser.com/es-mx/catalog/products/microfono/me-3/me-3-508928" TargetMode="External"/><Relationship Id="rId121" Type="http://schemas.openxmlformats.org/officeDocument/2006/relationships/hyperlink" Target="https://www.sennheiser.com/en-gb/catalog/products/wireless-systems/ew-500-g4-ci1/ew-500-g4-ci1-as-509714" TargetMode="External"/><Relationship Id="rId242" Type="http://schemas.openxmlformats.org/officeDocument/2006/relationships/hyperlink" Target="https://www.sennheiser.com/en-in/catalog/products/wireless-systems/xsw-d-instrument-base-set/xsw-d-instrument-base-set-508493" TargetMode="External"/><Relationship Id="rId363" Type="http://schemas.openxmlformats.org/officeDocument/2006/relationships/hyperlink" Target="https://www.sennheiser.com/fr-fr/catalog/products/microphone/mkh-8000-accessories/mzl-8003-502326" TargetMode="External"/><Relationship Id="rId484" Type="http://schemas.openxmlformats.org/officeDocument/2006/relationships/hyperlink" Target="https://www.sennheiser.com/en-de/catalog/products/wireless-systems/hsp-essential/hsp-essential-omni-beige-508246" TargetMode="External"/><Relationship Id="rId120" Type="http://schemas.openxmlformats.org/officeDocument/2006/relationships/hyperlink" Target="https://www.sennheiser.com/en-cn/catalog/products/wireless-systems/ew-500-g4-965/ew-500-g4-965-as-509850" TargetMode="External"/><Relationship Id="rId241" Type="http://schemas.openxmlformats.org/officeDocument/2006/relationships/hyperlink" Target="https://spares.sennheiser.com/catalog/product/508926-skm-835-xsw-jb" TargetMode="External"/><Relationship Id="rId362" Type="http://schemas.openxmlformats.org/officeDocument/2006/relationships/hyperlink" Target="https://www.sennheiser.com/en-ae/catalog/products/microphones/mkh-accessories/mzw-80-1-504738" TargetMode="External"/><Relationship Id="rId483" Type="http://schemas.openxmlformats.org/officeDocument/2006/relationships/hyperlink" Target="https://www.sennheiser.com/es-mx/catalog/products/sistema-inalambrico/hsp-4/hsp-4-ew-3-009873" TargetMode="External"/><Relationship Id="rId240" Type="http://schemas.openxmlformats.org/officeDocument/2006/relationships/hyperlink" Target="https://spares.sennheiser.com/catalog/product/508926-skm-835-xsw-jb" TargetMode="External"/><Relationship Id="rId361" Type="http://schemas.openxmlformats.org/officeDocument/2006/relationships/hyperlink" Target="https://www.sennheiser.com/en-ae/catalog/products/microphones/mkh-8000-accessories/mzh-8000-502435" TargetMode="External"/><Relationship Id="rId482" Type="http://schemas.openxmlformats.org/officeDocument/2006/relationships/hyperlink" Target="https://www.sennheiser.com/es-mx/catalog/products/sistema-inalambrico/hsp-4/hsp-4-ew-009867" TargetMode="External"/><Relationship Id="rId360" Type="http://schemas.openxmlformats.org/officeDocument/2006/relationships/hyperlink" Target="https://www.sennheiser.com/en-us/catalog/products/microphones/mkh-accessories/mzh-70-1-003225" TargetMode="External"/><Relationship Id="rId481" Type="http://schemas.openxmlformats.org/officeDocument/2006/relationships/hyperlink" Target="https://www.sennheiser.com/es-mx/catalog/products/sistema-inalambrico/hsp-4/hsp-4-3-009865" TargetMode="External"/><Relationship Id="rId125" Type="http://schemas.openxmlformats.org/officeDocument/2006/relationships/hyperlink" Target="https://www.sennheiser.com/en-hk/catalog/products/wireless-systems/ew-500-g4-mke2/ew-500-g4-mke2-as-509711" TargetMode="External"/><Relationship Id="rId246" Type="http://schemas.openxmlformats.org/officeDocument/2006/relationships/hyperlink" Target="https://www.sennheiser.com/en-gb/catalog/products/wireless-systems/xsw-d-portable-interview-set/xsw-d-portable-interview-set-508489" TargetMode="External"/><Relationship Id="rId367" Type="http://schemas.openxmlformats.org/officeDocument/2006/relationships/hyperlink" Target="https://www.sennheiser.com/en-gb/catalog/products/microphones/mkh-8000-accessories/mzq-8001-502329" TargetMode="External"/><Relationship Id="rId488" Type="http://schemas.openxmlformats.org/officeDocument/2006/relationships/hyperlink" Target="https://www.sennheiser.com/en-gb/catalog/products/microphones/hsp-accessories/hsp-transport-case-508999" TargetMode="External"/><Relationship Id="rId124" Type="http://schemas.openxmlformats.org/officeDocument/2006/relationships/hyperlink" Target="https://www.sennheiser.com/en-hk/catalog/products/wireless-systems/ew-500-g4-mke2/ew-500-g4-mke2-as-509711" TargetMode="External"/><Relationship Id="rId245" Type="http://schemas.openxmlformats.org/officeDocument/2006/relationships/hyperlink" Target="https://www.sennheiser.com/en-gb/catalog/products/wireless-systems/xsw-d-portable-eng-set/xsw-d-portable-eng-set-508490" TargetMode="External"/><Relationship Id="rId366" Type="http://schemas.openxmlformats.org/officeDocument/2006/relationships/hyperlink" Target="https://www.sennheiser.com/de-de/catalog/products/mikrofon/mkh-8000-accessories/mzq-8000-502328" TargetMode="External"/><Relationship Id="rId487" Type="http://schemas.openxmlformats.org/officeDocument/2006/relationships/hyperlink" Target="https://www.sennheiser.com/en-de/catalog/products/wireless-systems/hsp-essential/hsp-essential-omni-black-3-pin-508247" TargetMode="External"/><Relationship Id="rId123" Type="http://schemas.openxmlformats.org/officeDocument/2006/relationships/hyperlink" Target="https://www.sennheiser.com/en-us/catalog/products/wireless-systems/ew-500-g4-kk205-2138z/ew-500-g4-kk205-as-509857" TargetMode="External"/><Relationship Id="rId244" Type="http://schemas.openxmlformats.org/officeDocument/2006/relationships/hyperlink" Target="https://www.sennheiser.com/en-gb/catalog/products/wireless-systems/xsw-d-portable-base-set/xsw-d-portable-base-set-508621" TargetMode="External"/><Relationship Id="rId365" Type="http://schemas.openxmlformats.org/officeDocument/2006/relationships/hyperlink" Target="https://www.sennheiser.com/en-au/catalog/products/microphones/mke-2-accessories/mzq-100-002155" TargetMode="External"/><Relationship Id="rId486" Type="http://schemas.openxmlformats.org/officeDocument/2006/relationships/hyperlink" Target="https://www.sennheiser.com/en-de/catalog/products/wireless-systems/hsp-essential/hsp-essential-omni-black-508245" TargetMode="External"/><Relationship Id="rId122" Type="http://schemas.openxmlformats.org/officeDocument/2006/relationships/hyperlink" Target="https://www.sennheiser.com/en-gb/catalog/products/wireless-systems/ew-500-g4-ci1/ew-500-g4-ci1-as-509714" TargetMode="External"/><Relationship Id="rId243" Type="http://schemas.openxmlformats.org/officeDocument/2006/relationships/hyperlink" Target="https://www.sennheiser.com/en-us/catalog/products/wireless-systems/xsw-d-lavalier-set/xsw-d-lavalier-set-508485" TargetMode="External"/><Relationship Id="rId364" Type="http://schemas.openxmlformats.org/officeDocument/2006/relationships/hyperlink" Target="https://www.sennheiser.com/fr-lu/catalog/products/microphone/mkh-8000-accessories/mzl-8010-502327" TargetMode="External"/><Relationship Id="rId485" Type="http://schemas.openxmlformats.org/officeDocument/2006/relationships/hyperlink" Target="https://www.sennheiser.com/en-de/catalog/products/wireless-systems/hsp-essential/hsp-essential-omni-beige-3-pin-508248" TargetMode="External"/><Relationship Id="rId95" Type="http://schemas.openxmlformats.org/officeDocument/2006/relationships/hyperlink" Target="https://www.sennheiser.com/en-us/catalog/products/wireless-systems/ew-100-g4-835/ew-100-g4-835-s-1g8-509955" TargetMode="External"/><Relationship Id="rId94" Type="http://schemas.openxmlformats.org/officeDocument/2006/relationships/hyperlink" Target="https://www.sennheiser.com/en-gb/catalog/products/accessories/ew-dp-accessories/cl-35-y-700061" TargetMode="External"/><Relationship Id="rId97" Type="http://schemas.openxmlformats.org/officeDocument/2006/relationships/hyperlink" Target="https://www.sennheiser.com/en-us/catalog/products/wireless-systems/ew-100-g4-835/ew-100-g4-835-s-1g8-509955" TargetMode="External"/><Relationship Id="rId96" Type="http://schemas.openxmlformats.org/officeDocument/2006/relationships/hyperlink" Target="https://www.sennheiser.com/en-us/catalog/products/wireless-systems/ew-100-g4-835/ew-100-g4-835-s-1g8-509955" TargetMode="External"/><Relationship Id="rId99" Type="http://schemas.openxmlformats.org/officeDocument/2006/relationships/hyperlink" Target="https://www.sennheiser.com/en-us/catalog/products/wireless-systems/ew-100-g4-845/ew-100-g4-845-s-1g8-509958" TargetMode="External"/><Relationship Id="rId480" Type="http://schemas.openxmlformats.org/officeDocument/2006/relationships/hyperlink" Target="https://www.sennheiser.com/es-mx/catalog/products/sistema-inalambrico/hsp-4/hsp-4-009864" TargetMode="External"/><Relationship Id="rId98" Type="http://schemas.openxmlformats.org/officeDocument/2006/relationships/hyperlink" Target="https://www.sennheiser.com/en-us/catalog/products/wireless-systems/ew-100-g4-845/ew-100-g4-845-s-1g8-509958" TargetMode="External"/><Relationship Id="rId91" Type="http://schemas.openxmlformats.org/officeDocument/2006/relationships/hyperlink" Target="https://www.sennheiser.com/en-de/catalog/products/accessories/ew-dp-accessories/ew-dp-mounting-plate-700005" TargetMode="External"/><Relationship Id="rId90" Type="http://schemas.openxmlformats.org/officeDocument/2006/relationships/hyperlink" Target="https://www.sennheiser.com/en-de/catalog/products/wireless-systems/ew-dp-eng-set/ew-dp-eng-set-q1-6-700040" TargetMode="External"/><Relationship Id="rId93" Type="http://schemas.openxmlformats.org/officeDocument/2006/relationships/hyperlink" Target="https://www.sennheiser.com/en-de/catalog/products/wireless-systems/ew-dp-ek/ew-dp-ek-q1-6-700050" TargetMode="External"/><Relationship Id="rId92" Type="http://schemas.openxmlformats.org/officeDocument/2006/relationships/hyperlink" Target="https://www.sennheiser.com/en-de/catalog/products/wireless-systems/ew-d-skp/ew-dp-skp-q1-6-700080" TargetMode="External"/><Relationship Id="rId118" Type="http://schemas.openxmlformats.org/officeDocument/2006/relationships/hyperlink" Target="https://www.sennheiser.com/es-mx/catalog/products/sistema-inalambrico/ew-500-g4-945/ew-500-g4-945-gw-509770" TargetMode="External"/><Relationship Id="rId239" Type="http://schemas.openxmlformats.org/officeDocument/2006/relationships/hyperlink" Target="https://spares.sennheiser.com/catalog/product/507329-skm-825-xsw-a" TargetMode="External"/><Relationship Id="rId117" Type="http://schemas.openxmlformats.org/officeDocument/2006/relationships/hyperlink" Target="https://www.sennheiser.com/en-de/catalog/products/wireless-systems/ew-500-g4-935/ew-500-g4-935-as-509844" TargetMode="External"/><Relationship Id="rId238" Type="http://schemas.openxmlformats.org/officeDocument/2006/relationships/hyperlink" Target="https://spares.sennheiser.com/catalog/product/507329-skm-825-xsw-a" TargetMode="External"/><Relationship Id="rId359" Type="http://schemas.openxmlformats.org/officeDocument/2006/relationships/hyperlink" Target="https://www.sennheiser.com/en-gb/catalog/products/microphones/mkh-accessories/mzh-60-1-003224" TargetMode="External"/><Relationship Id="rId116" Type="http://schemas.openxmlformats.org/officeDocument/2006/relationships/hyperlink" Target="https://www.sennheiser.com/en-de/catalog/products/wireless-systems/ew-500-g4-935/ew-500-g4-935-as-509844" TargetMode="External"/><Relationship Id="rId237" Type="http://schemas.openxmlformats.org/officeDocument/2006/relationships/hyperlink" Target="https://spares.sennheiser.com/catalog/product/507315-em-xsw-2-a" TargetMode="External"/><Relationship Id="rId358" Type="http://schemas.openxmlformats.org/officeDocument/2006/relationships/hyperlink" Target="https://www.sennheiser.com/en-hk/catalog/products/microphones/mkh-8000-accessories/mzge-8002-502325" TargetMode="External"/><Relationship Id="rId479" Type="http://schemas.openxmlformats.org/officeDocument/2006/relationships/hyperlink" Target="https://www.sennheiser.com/en-cn/catalog/products/wireless-systems/hsp-2/hsp-2-ew-3-009872" TargetMode="External"/><Relationship Id="rId115" Type="http://schemas.openxmlformats.org/officeDocument/2006/relationships/hyperlink" Target="https://www.sennheiser.com/en-au/catalog/products/wireless-systems/ew-100-g4-me4/ew-100-g4-me4-1g8-509925" TargetMode="External"/><Relationship Id="rId236" Type="http://schemas.openxmlformats.org/officeDocument/2006/relationships/hyperlink" Target="https://spares.sennheiser.com/catalog/product/507315-em-xsw-2-a" TargetMode="External"/><Relationship Id="rId357" Type="http://schemas.openxmlformats.org/officeDocument/2006/relationships/hyperlink" Target="https://www.sennheiser.com/en-no/catalog/products/microphones/mkh-8000-accessories/mzge-8000-502324" TargetMode="External"/><Relationship Id="rId478" Type="http://schemas.openxmlformats.org/officeDocument/2006/relationships/hyperlink" Target="https://www.sennheiser.com/en-cn/catalog/products/wireless-systems/hsp-2/hsp-2-ew-009866" TargetMode="External"/><Relationship Id="rId599" Type="http://schemas.openxmlformats.org/officeDocument/2006/relationships/hyperlink" Target="https://sennheiserstore.com.ua/ru/l-70-adapter-ba-62.html" TargetMode="External"/><Relationship Id="rId119" Type="http://schemas.openxmlformats.org/officeDocument/2006/relationships/hyperlink" Target="https://www.sennheiser.com/es-mx/catalog/products/sistema-inalambrico/ew-500-g4-945/ew-500-g4-945-gw-509770" TargetMode="External"/><Relationship Id="rId110" Type="http://schemas.openxmlformats.org/officeDocument/2006/relationships/hyperlink" Target="https://www.sennheiser.com/en-gb/catalog/products/wireless-systems/ew-100-g4-me2/ew-100-g4-me2-1g8-509952" TargetMode="External"/><Relationship Id="rId231" Type="http://schemas.openxmlformats.org/officeDocument/2006/relationships/hyperlink" Target="https://www.sennheiser.com/en-us/catalog/products/accessories/ga-1-xsw-2/xsw-rack-mount-kit-507351" TargetMode="External"/><Relationship Id="rId352" Type="http://schemas.openxmlformats.org/officeDocument/2006/relationships/hyperlink" Target="https://www.sennheiser.com/en-no/catalog/products/microphones/mkh-8000-accessories/mzef-8060-502318" TargetMode="External"/><Relationship Id="rId473" Type="http://schemas.openxmlformats.org/officeDocument/2006/relationships/hyperlink" Target="https://www.sennheiser.com/en-de/catalog/products/microphones/hs-2/hs-2-be-3-pin-508884" TargetMode="External"/><Relationship Id="rId594" Type="http://schemas.openxmlformats.org/officeDocument/2006/relationships/hyperlink" Target="https://www.sennheiser.com/en-au/catalog/products/wireless-systems/ek-6042-accessories/ga-6042-bp-506214" TargetMode="External"/><Relationship Id="rId230" Type="http://schemas.openxmlformats.org/officeDocument/2006/relationships/hyperlink" Target="https://www.sennheiser.com/en-nl/catalog/products/accessories/ga-2-xsw-2/xsw-front-antenna-cables-507468" TargetMode="External"/><Relationship Id="rId351" Type="http://schemas.openxmlformats.org/officeDocument/2006/relationships/hyperlink" Target="https://www.sennheiser.com/en-hk/catalog/products/microphones/mkh-8000-accessories/mzef-8030-502434" TargetMode="External"/><Relationship Id="rId472" Type="http://schemas.openxmlformats.org/officeDocument/2006/relationships/hyperlink" Target="https://www.sennheiser.com/en-us/catalog/products/wireless-systems/hm-200/hm-200-509490" TargetMode="External"/><Relationship Id="rId593" Type="http://schemas.openxmlformats.org/officeDocument/2006/relationships/hyperlink" Target="https://www.sennheiser.com/en-us/catalog/products/wireless-systems/ek-6042-accessories/ga-6042-ba-506215" TargetMode="External"/><Relationship Id="rId350" Type="http://schemas.openxmlformats.org/officeDocument/2006/relationships/hyperlink" Target="https://www.sennheiser.com/de-de/catalog/products/mikrofon/mkh-8000-accessories/mze-8120-502317" TargetMode="External"/><Relationship Id="rId471" Type="http://schemas.openxmlformats.org/officeDocument/2006/relationships/hyperlink" Target="https://spares.sennheiser.com/nl-nl/catalog/sparepart/700186" TargetMode="External"/><Relationship Id="rId592" Type="http://schemas.openxmlformats.org/officeDocument/2006/relationships/hyperlink" Target="https://www.sennheiser.com/en-gb/catalog/products/wireless-systems/ek-6042/ek-6042-506210" TargetMode="External"/><Relationship Id="rId470" Type="http://schemas.openxmlformats.org/officeDocument/2006/relationships/hyperlink" Target="https://spares.sennheiser.com/catalog/product/390005-sl-headmic-1-4-bk-nc" TargetMode="External"/><Relationship Id="rId591" Type="http://schemas.openxmlformats.org/officeDocument/2006/relationships/hyperlink" Target="https://www.sennheiser.com/en-cn/catalog/products/wireless-systems/sk-6212/sk-6212-a1-a4-508513" TargetMode="External"/><Relationship Id="rId114" Type="http://schemas.openxmlformats.org/officeDocument/2006/relationships/hyperlink" Target="https://www.sennheiser.com/en-au/catalog/products/wireless-systems/ew-100-g4-me4/ew-100-g4-me4-1g8-509925" TargetMode="External"/><Relationship Id="rId235" Type="http://schemas.openxmlformats.org/officeDocument/2006/relationships/hyperlink" Target="https://spares.sennheiser.com/catalog/product/507309-em-xsw-1-b" TargetMode="External"/><Relationship Id="rId356" Type="http://schemas.openxmlformats.org/officeDocument/2006/relationships/hyperlink" Target="https://www.sennheiser.com/en-cn/catalog/products/microphones/mkh-8000-accessories/mzg-8000-502323" TargetMode="External"/><Relationship Id="rId477" Type="http://schemas.openxmlformats.org/officeDocument/2006/relationships/hyperlink" Target="https://www.sennheiser.com/en-cn/catalog/products/wireless-systems/hsp-2/hsp-2-3-009863" TargetMode="External"/><Relationship Id="rId598" Type="http://schemas.openxmlformats.org/officeDocument/2006/relationships/hyperlink" Target="https://www.sennheiser.com/es-mx/catalog/products/sistema-inalambrico/l-60/l-60-504704" TargetMode="External"/><Relationship Id="rId113" Type="http://schemas.openxmlformats.org/officeDocument/2006/relationships/hyperlink" Target="https://www.sennheiser.com/en-au/catalog/products/wireless-systems/ew-100-g4-me3/ew-100-g4-me3-1g8-509927" TargetMode="External"/><Relationship Id="rId234" Type="http://schemas.openxmlformats.org/officeDocument/2006/relationships/hyperlink" Target="https://spares.sennheiser.com/catalog/product/507309-em-xsw-1-b" TargetMode="External"/><Relationship Id="rId355" Type="http://schemas.openxmlformats.org/officeDocument/2006/relationships/hyperlink" Target="https://www.sennheiser.com/en-us/catalog/products/microphones/mkh-8000-accessories/mzfs-8000-502322" TargetMode="External"/><Relationship Id="rId476" Type="http://schemas.openxmlformats.org/officeDocument/2006/relationships/hyperlink" Target="https://www.sennheiser.com/es-mx/catalog/products/sistema-inalambrico/hsp-2/hsp-2-ew-3-m-500692" TargetMode="External"/><Relationship Id="rId597" Type="http://schemas.openxmlformats.org/officeDocument/2006/relationships/hyperlink" Target="https://www.sennheiser.com/fr-fr/catalog/products/systeme-sans-fil/ek-6042-accessories/ga-6042-25-506212" TargetMode="External"/><Relationship Id="rId112" Type="http://schemas.openxmlformats.org/officeDocument/2006/relationships/hyperlink" Target="https://www.sennheiser.com/en-au/catalog/products/wireless-systems/ew-100-g4-me3/ew-100-g4-me3-1g8-509927" TargetMode="External"/><Relationship Id="rId233" Type="http://schemas.openxmlformats.org/officeDocument/2006/relationships/hyperlink" Target="https://spares.sennheiser.com/catalog/product/508277-em-xsw-1-dual-a" TargetMode="External"/><Relationship Id="rId354" Type="http://schemas.openxmlformats.org/officeDocument/2006/relationships/hyperlink" Target="https://www.sennheiser.com/en-us/catalog/products/microphones/mkh-8000-accessories/mzf-8000-ii-700249" TargetMode="External"/><Relationship Id="rId475" Type="http://schemas.openxmlformats.org/officeDocument/2006/relationships/hyperlink" Target="https://www.sennheiser.com/en-us/catalog/products/microphones/hs-2/hs-2-bk-508883" TargetMode="External"/><Relationship Id="rId596" Type="http://schemas.openxmlformats.org/officeDocument/2006/relationships/hyperlink" Target="https://www.sennheiser.com/de-at/catalog/products/drahtlossysteme/ek-6042-accessories/ga-6042-15-506213" TargetMode="External"/><Relationship Id="rId111" Type="http://schemas.openxmlformats.org/officeDocument/2006/relationships/hyperlink" Target="https://www.sennheiser.com/en-gb/catalog/products/wireless-systems/ew-100-g4-me2/ew-100-g4-me2-1g8-509952" TargetMode="External"/><Relationship Id="rId232" Type="http://schemas.openxmlformats.org/officeDocument/2006/relationships/hyperlink" Target="https://spares.sennheiser.com/catalog/product/508277-em-xsw-1-dual-a" TargetMode="External"/><Relationship Id="rId353" Type="http://schemas.openxmlformats.org/officeDocument/2006/relationships/hyperlink" Target="https://www.sennheiser.com/fr-fr/catalog/products/microphone/mkh-8000-accessories/mzef-8120-502319" TargetMode="External"/><Relationship Id="rId474" Type="http://schemas.openxmlformats.org/officeDocument/2006/relationships/hyperlink" Target="https://www.sennheiser.com/en-us/catalog/products/microphones/hs-2/hs-2-bk-3-pin-508885" TargetMode="External"/><Relationship Id="rId595" Type="http://schemas.openxmlformats.org/officeDocument/2006/relationships/hyperlink" Target="https://www.sennheiser.com/en-nz/catalog/products/wireless-systems/ba-61/ba-61-504703" TargetMode="External"/><Relationship Id="rId305" Type="http://schemas.openxmlformats.org/officeDocument/2006/relationships/hyperlink" Target="https://www.sennheiser.com/es-mx/catalog/products/sistema-inalambrico/sl-dw-bodypack/sl-bodypack-dw-4-us-505900" TargetMode="External"/><Relationship Id="rId426" Type="http://schemas.openxmlformats.org/officeDocument/2006/relationships/hyperlink" Target="https://www.sennheiser.com/en-de/catalog/products/microphones/mke-2/mke-2-beige-3-pin-004739" TargetMode="External"/><Relationship Id="rId547" Type="http://schemas.openxmlformats.org/officeDocument/2006/relationships/hyperlink" Target="https://www.sennheiser.com/en-us/catalog/products/microphones/me-35/me-35-005063" TargetMode="External"/><Relationship Id="rId304" Type="http://schemas.openxmlformats.org/officeDocument/2006/relationships/hyperlink" Target="https://www.sennheiser.com/en-au/catalog/products/wireless-systems/sl-dw-bodypack-mke40-set/sl-bodypack---mke-40-kit-dw-3-509225" TargetMode="External"/><Relationship Id="rId425" Type="http://schemas.openxmlformats.org/officeDocument/2006/relationships/hyperlink" Target="https://www.sennheiser.com/en-gb/catalog/products/microphones/mke-1/mke-1-ew-3-502879" TargetMode="External"/><Relationship Id="rId546" Type="http://schemas.openxmlformats.org/officeDocument/2006/relationships/hyperlink" Target="https://www.sennheiser.com/pt-br/catalog/products/microfone/me-34/me-34-w-005061" TargetMode="External"/><Relationship Id="rId303" Type="http://schemas.openxmlformats.org/officeDocument/2006/relationships/hyperlink" Target="https://www.sennheiser.com/en-us/catalog/products/wireless-systems/sl-dw-bodypack-mke2-set/sl-bodypack---mke-2-kit-dw-3-509210" TargetMode="External"/><Relationship Id="rId424" Type="http://schemas.openxmlformats.org/officeDocument/2006/relationships/hyperlink" Target="https://www.sennheiser.com/en-gb/catalog/products/microphones/mke-1/mke-1-ew-502876" TargetMode="External"/><Relationship Id="rId545" Type="http://schemas.openxmlformats.org/officeDocument/2006/relationships/hyperlink" Target="https://www.sennheiser.com/en-no/catalog/products/microphones/me-34/me-34-005060" TargetMode="External"/><Relationship Id="rId302" Type="http://schemas.openxmlformats.org/officeDocument/2006/relationships/hyperlink" Target="https://www.sennheiser.com/en-ae/catalog/products/wireless-systems/sl-dw-bodypack-me2-set/sl-bodypack---me-2-kit-dw-4-509221" TargetMode="External"/><Relationship Id="rId423" Type="http://schemas.openxmlformats.org/officeDocument/2006/relationships/hyperlink" Target="https://www.sennheiser.com/en-gb/catalog/products/microphones/mke-1/mke-1-5-3-502169" TargetMode="External"/><Relationship Id="rId544" Type="http://schemas.openxmlformats.org/officeDocument/2006/relationships/hyperlink" Target="https://www.sennheiser.com/en-cn/catalog/products/accessories/mzh-3000-goosenecks/mzh-3072-500653" TargetMode="External"/><Relationship Id="rId309" Type="http://schemas.openxmlformats.org/officeDocument/2006/relationships/hyperlink" Target="https://www.sennheiser.com/en-gb/catalog/products/wireless-systems/sl-dw-handheld/sl-handheld-dw-3-eu-505884" TargetMode="External"/><Relationship Id="rId308" Type="http://schemas.openxmlformats.org/officeDocument/2006/relationships/hyperlink" Target="https://www.sennheiser.com/en-gb/catalog/products/wireless-systems/sl-dw-handheld/sl-handheld-dw-3-eu-505884" TargetMode="External"/><Relationship Id="rId429" Type="http://schemas.openxmlformats.org/officeDocument/2006/relationships/hyperlink" Target="https://www.sennheiser.com/en-de/catalog/products/microphones/mke-2/mke-2-black-3-pin-004736" TargetMode="External"/><Relationship Id="rId307" Type="http://schemas.openxmlformats.org/officeDocument/2006/relationships/hyperlink" Target="https://www.sennheiser.com/en-au/catalog/products/wireless-systems/sl-dw-boundary-114-5361a/sl-boundary-114-s-dw-5-b-506646" TargetMode="External"/><Relationship Id="rId428" Type="http://schemas.openxmlformats.org/officeDocument/2006/relationships/hyperlink" Target="https://www.sennheiser.com/en-de/catalog/products/microphones/mke-2/mke-2-beige-open-end-004738" TargetMode="External"/><Relationship Id="rId549" Type="http://schemas.openxmlformats.org/officeDocument/2006/relationships/hyperlink" Target="https://www.sennheiser.com/en-cn/catalog/products/microphones/me-36/me-36-005065" TargetMode="External"/><Relationship Id="rId306" Type="http://schemas.openxmlformats.org/officeDocument/2006/relationships/hyperlink" Target="https://www.sennheiser.com/en-cn/catalog/products/wireless-systems/sl-dw-bodypack-me2-set/sl-bodypack---me-2-kit-dw-4-509221" TargetMode="External"/><Relationship Id="rId427" Type="http://schemas.openxmlformats.org/officeDocument/2006/relationships/hyperlink" Target="https://www.sennheiser.com/en-de/catalog/products/microphones/mke-2/mke-2-beige-ew-009832" TargetMode="External"/><Relationship Id="rId548" Type="http://schemas.openxmlformats.org/officeDocument/2006/relationships/hyperlink" Target="https://www.sennheiser.com/en-us/catalog/products/microphones/me-35/me-35-w-005064" TargetMode="External"/><Relationship Id="rId301" Type="http://schemas.openxmlformats.org/officeDocument/2006/relationships/hyperlink" Target="https://www.sennheiser.com/en-se/catalog/products/wireless-systems/sl-dw-bodypack-hm1-set/sl-bodypack---hm-1-kit-dw-6-509233" TargetMode="External"/><Relationship Id="rId422" Type="http://schemas.openxmlformats.org/officeDocument/2006/relationships/hyperlink" Target="https://www.sennheiser.com/en-gb/catalog/products/microphones/mke-1/mke-1-5-502046" TargetMode="External"/><Relationship Id="rId543" Type="http://schemas.openxmlformats.org/officeDocument/2006/relationships/hyperlink" Target="https://www.sennheiser.com/en-cn/catalog/products/accessories/mzh-3000-goosenecks/mzh-3062-500652" TargetMode="External"/><Relationship Id="rId300" Type="http://schemas.openxmlformats.org/officeDocument/2006/relationships/hyperlink" Target="https://www.sennheiser.com/en-au/catalog/products/wireless-systems/sl-dw-boundary-set/sl-boundary-set-dw-3-eu-506614" TargetMode="External"/><Relationship Id="rId421" Type="http://schemas.openxmlformats.org/officeDocument/2006/relationships/hyperlink" Target="https://www.sennheiser.com/en-gb/catalog/products/microphones/mke-1/mke-1-4-m-502881" TargetMode="External"/><Relationship Id="rId542" Type="http://schemas.openxmlformats.org/officeDocument/2006/relationships/hyperlink" Target="https://www.sennheiser.com/en-cn/catalog/products/accessories/mzh-3000-goosenecks/mzh-3042-009384" TargetMode="External"/><Relationship Id="rId420" Type="http://schemas.openxmlformats.org/officeDocument/2006/relationships/hyperlink" Target="https://www.sennheiser.com/en-gb/catalog/products/microphones/mke-1/mke-1-4-3-502168" TargetMode="External"/><Relationship Id="rId541" Type="http://schemas.openxmlformats.org/officeDocument/2006/relationships/hyperlink" Target="https://www.sennheiser.com/en-cn/catalog/products/accessories/mzh-3000-goosenecks/mzh-3040-005076" TargetMode="External"/><Relationship Id="rId540" Type="http://schemas.openxmlformats.org/officeDocument/2006/relationships/hyperlink" Target="https://www.sennheiser.com/en-cn/catalog/products/accessories/mzh-3000-goosenecks/mzh-3015-w-504608" TargetMode="External"/><Relationship Id="rId415" Type="http://schemas.openxmlformats.org/officeDocument/2006/relationships/hyperlink" Target="https://www.sennheiser.com/es-mx/catalog/products/microfono/me-2/me-2-508935" TargetMode="External"/><Relationship Id="rId536" Type="http://schemas.openxmlformats.org/officeDocument/2006/relationships/hyperlink" Target="https://www.sennheiser.com/en-gb/catalog/products/meeting-and-conference-systems/meb-114/meb-114-w-505613" TargetMode="External"/><Relationship Id="rId414" Type="http://schemas.openxmlformats.org/officeDocument/2006/relationships/hyperlink" Target="https://www.sennheiser.com/en-gb/catalog/products/wireless-systems/mke-mini/mke-mini-700179" TargetMode="External"/><Relationship Id="rId535" Type="http://schemas.openxmlformats.org/officeDocument/2006/relationships/hyperlink" Target="https://www.sennheiser.com/en-in/catalog/products/meeting-and-conference-systems/meb-114/meb-114-b-505612" TargetMode="External"/><Relationship Id="rId413" Type="http://schemas.openxmlformats.org/officeDocument/2006/relationships/hyperlink" Target="https://www.sennheiser.com/en-us/catalog/products/microphones/xs-lav/xs-lav-usb-c-mobile-kit-509259" TargetMode="External"/><Relationship Id="rId534" Type="http://schemas.openxmlformats.org/officeDocument/2006/relationships/hyperlink" Target="https://www.sennheiser.com/en-no/catalog/products/meeting-and-conference-systems/meb-104/meb-104-l-w-505610" TargetMode="External"/><Relationship Id="rId412" Type="http://schemas.openxmlformats.org/officeDocument/2006/relationships/hyperlink" Target="https://www.sennheiser.com/en-gb/catalog/products/microphones/xs-lav/xs-lav-usb-c-509261" TargetMode="External"/><Relationship Id="rId533" Type="http://schemas.openxmlformats.org/officeDocument/2006/relationships/hyperlink" Target="https://www.sennheiser.com/en-no/catalog/products/meeting-and-conference-systems/meb-104/meb-104-l-b-505609" TargetMode="External"/><Relationship Id="rId419" Type="http://schemas.openxmlformats.org/officeDocument/2006/relationships/hyperlink" Target="https://www.sennheiser.com/en-gb/catalog/products/microphones/mke-1/mke-1-4-2-502834" TargetMode="External"/><Relationship Id="rId418" Type="http://schemas.openxmlformats.org/officeDocument/2006/relationships/hyperlink" Target="https://www.sennheiser.com/en-gb/catalog/products/microphones/mke-1/mke-1-4-1-502833" TargetMode="External"/><Relationship Id="rId539" Type="http://schemas.openxmlformats.org/officeDocument/2006/relationships/hyperlink" Target="https://www.sennheiser.com/en-cn/catalog/products/accessories/mzh-3000-goosenecks/mzh-3015-005074" TargetMode="External"/><Relationship Id="rId417" Type="http://schemas.openxmlformats.org/officeDocument/2006/relationships/hyperlink" Target="https://www.sennheiser.com/en-gb/catalog/products/microphones/mke-1/mke-1-4-502167" TargetMode="External"/><Relationship Id="rId538" Type="http://schemas.openxmlformats.org/officeDocument/2006/relationships/hyperlink" Target="https://www.sennheiser.com/en-de/catalog/products/meeting-and-conference-systems/meb-114/meb-114-s-w-505616" TargetMode="External"/><Relationship Id="rId416" Type="http://schemas.openxmlformats.org/officeDocument/2006/relationships/hyperlink" Target="https://www.sennheiser.com/es-mx/catalog/products/microfono/me-4/me-4-508936" TargetMode="External"/><Relationship Id="rId537" Type="http://schemas.openxmlformats.org/officeDocument/2006/relationships/hyperlink" Target="https://www.sennheiser.com/en-de/catalog/products/meeting-and-conference-systems/meb-114/meb-114-s-b-505615" TargetMode="External"/><Relationship Id="rId411" Type="http://schemas.openxmlformats.org/officeDocument/2006/relationships/hyperlink" Target="https://www.sennheiser.com/en-nz/catalog/products/microphones/xs-lav/xs-lav-mobile-509260" TargetMode="External"/><Relationship Id="rId532" Type="http://schemas.openxmlformats.org/officeDocument/2006/relationships/hyperlink" Target="https://www.sennheiser.com/en-hk/catalog/products/meeting-and-conference-systems/meb-104/meb-104-w-505607" TargetMode="External"/><Relationship Id="rId410" Type="http://schemas.openxmlformats.org/officeDocument/2006/relationships/hyperlink" Target="https://www.sennheiser.com/en-us/catalog/products/microphones/mmd-42/mmd-42-1-506772" TargetMode="External"/><Relationship Id="rId531" Type="http://schemas.openxmlformats.org/officeDocument/2006/relationships/hyperlink" Target="https://www.sennheiser.com/en-hk/catalog/products/meeting-and-conference-systems/meb-104/meb-104-b-505606" TargetMode="External"/><Relationship Id="rId530" Type="http://schemas.openxmlformats.org/officeDocument/2006/relationships/hyperlink" Target="https://www.sennheiser.com/en-us/catalog/products/meeting-and-conference-systems/meb-102/meb-102-l-w-505604" TargetMode="External"/><Relationship Id="rId206" Type="http://schemas.openxmlformats.org/officeDocument/2006/relationships/hyperlink" Target="https://www.sennheiser.com/de-ch/catalog/applications/filmproduktion/third-party-antenna-cable/rg9913f50-usrg9913f50" TargetMode="External"/><Relationship Id="rId327" Type="http://schemas.openxmlformats.org/officeDocument/2006/relationships/hyperlink" Target="https://www.sennheiser.com/en-gb/catalog/products/accessories/chg-2/chg-2n-us-508987" TargetMode="External"/><Relationship Id="rId448" Type="http://schemas.openxmlformats.org/officeDocument/2006/relationships/hyperlink" Target="https://www.sennheiser.com/es-mx/catalog/products/sistema-inalambrico/ba-2015/ba-2015-009950" TargetMode="External"/><Relationship Id="rId569" Type="http://schemas.openxmlformats.org/officeDocument/2006/relationships/hyperlink" Target="https://www.sennheiser.com/en-in/catalog/products/meeting-and-conference-systems/gooseneck-accessories/mzs-31-005087" TargetMode="External"/><Relationship Id="rId205" Type="http://schemas.openxmlformats.org/officeDocument/2006/relationships/hyperlink" Target="https://www.sennheiser.com/fr-lu/catalog/applications/raalisation-de-films/third-party-antenna-cable/rg9913f25-usrg9913f25" TargetMode="External"/><Relationship Id="rId326" Type="http://schemas.openxmlformats.org/officeDocument/2006/relationships/hyperlink" Target="https://www.sennheiser.com/en-de/catalog/products/accessories/chg-2/chg-2-eu-505980" TargetMode="External"/><Relationship Id="rId447" Type="http://schemas.openxmlformats.org/officeDocument/2006/relationships/hyperlink" Target="https://www.sennheiser.com/en-us/catalog/products/wireless-systems/sr-2050-iem/sr-2050-iem-aw-508644" TargetMode="External"/><Relationship Id="rId568" Type="http://schemas.openxmlformats.org/officeDocument/2006/relationships/hyperlink" Target="https://www.sennheiser.com/en-gb/catalog/products/meeting-and-conference-systems/mas-1/mas-1-w-505619" TargetMode="External"/><Relationship Id="rId204" Type="http://schemas.openxmlformats.org/officeDocument/2006/relationships/hyperlink" Target="https://www.sennheiser.com/en-us/catalog/applications/filmmaking/third-party-antenna-cable/rg9913f100-usrg9913f100" TargetMode="External"/><Relationship Id="rId325" Type="http://schemas.openxmlformats.org/officeDocument/2006/relationships/hyperlink" Target="https://www.sennheiser.com/en-nz/catalog/products/wireless-systems/ba-40/ba-40-506656" TargetMode="External"/><Relationship Id="rId446" Type="http://schemas.openxmlformats.org/officeDocument/2006/relationships/hyperlink" Target="https://www.sennheiser.com/en-us/catalog/products/wireless-systems/sr-2050-iem/sr-2050-iem-aw-508644" TargetMode="External"/><Relationship Id="rId567" Type="http://schemas.openxmlformats.org/officeDocument/2006/relationships/hyperlink" Target="https://www.sennheiser.com/en-gb/catalog/products/meeting-and-conference-systems/mas-1/mas-1-b-505618" TargetMode="External"/><Relationship Id="rId203" Type="http://schemas.openxmlformats.org/officeDocument/2006/relationships/hyperlink" Target="https://www.sennheiser.com/fr-fr/catalog/applications/raalisation-de-films/other-brands-88100/rg21350-usrg21350" TargetMode="External"/><Relationship Id="rId324" Type="http://schemas.openxmlformats.org/officeDocument/2006/relationships/hyperlink" Target="https://www.sennheiser.com/en-au/catalog/products/wireless-systems/cl-5/cl-5-pp-507426" TargetMode="External"/><Relationship Id="rId445" Type="http://schemas.openxmlformats.org/officeDocument/2006/relationships/hyperlink" Target="https://www.sennheiser.com/en-us/catalog/products/wireless-systems/sr-2050-iem/sr-2050-iem-aw-508644" TargetMode="External"/><Relationship Id="rId566" Type="http://schemas.openxmlformats.org/officeDocument/2006/relationships/hyperlink" Target="https://www.sennheiser.com/en-dk/catalog/products/meeting-and-conference-systems/me-accessories-42096/mzh-30-b-005090" TargetMode="External"/><Relationship Id="rId209" Type="http://schemas.openxmlformats.org/officeDocument/2006/relationships/hyperlink" Target="https://www.sennheiser.com/es-mx/catalog/products/sistema-inalambrico/xsw-1-825-dual/xsw-1-825-dual-a-508263" TargetMode="External"/><Relationship Id="rId208" Type="http://schemas.openxmlformats.org/officeDocument/2006/relationships/hyperlink" Target="https://www.sennheiser.com/es-mx/catalog/products/sistema-inalambrico/xsw-1-825-dual/xsw-1-825-dual-a-508263" TargetMode="External"/><Relationship Id="rId329" Type="http://schemas.openxmlformats.org/officeDocument/2006/relationships/hyperlink" Target="https://www.sennheiser.com/en-gb/catalog/products/wireless-systems/chg-4n/chg-4n-eu-506800" TargetMode="External"/><Relationship Id="rId207" Type="http://schemas.openxmlformats.org/officeDocument/2006/relationships/hyperlink" Target="https://www.sennheiser.com/en-de/catalog/products/accessories/ci-1/ci-1-n-005021" TargetMode="External"/><Relationship Id="rId328" Type="http://schemas.openxmlformats.org/officeDocument/2006/relationships/hyperlink" Target="https://www.sennheiser.com/en-gb/catalog/products/accessories/chg-2/chg-2w-506805" TargetMode="External"/><Relationship Id="rId449" Type="http://schemas.openxmlformats.org/officeDocument/2006/relationships/hyperlink" Target="https://www.sennheiser.com/en-nz/catalog/products/wireless-systems/ek-2000-iem/ek-2000-iem-aw-508645" TargetMode="External"/><Relationship Id="rId440" Type="http://schemas.openxmlformats.org/officeDocument/2006/relationships/hyperlink" Target="https://www.sennheiser.com/en-nz/catalog/products/wireless-systems/ek-2000-iem/ek-2000-iem-aw-508645" TargetMode="External"/><Relationship Id="rId561" Type="http://schemas.openxmlformats.org/officeDocument/2006/relationships/hyperlink" Target="https://www.sennheiser.com/en-de/catalog/products/meeting-and-conference-systems/mat-133/mat-133-s-b-505624" TargetMode="External"/><Relationship Id="rId560" Type="http://schemas.openxmlformats.org/officeDocument/2006/relationships/hyperlink" Target="https://www.sennheiser.com/en-de/catalog/products/meeting-and-conference-systems/mat-133/mat-133-b-505622" TargetMode="External"/><Relationship Id="rId202" Type="http://schemas.openxmlformats.org/officeDocument/2006/relationships/hyperlink" Target="https://www.sennheiser.com/en-us/catalog/applications/filmmaking/other-brands-88100/rg21325-usrg21325" TargetMode="External"/><Relationship Id="rId323" Type="http://schemas.openxmlformats.org/officeDocument/2006/relationships/hyperlink" Target="https://www.sennheiser.com/en-de/catalog/products/wireless-systems/cl-20/cl-20-pp-507428" TargetMode="External"/><Relationship Id="rId444" Type="http://schemas.openxmlformats.org/officeDocument/2006/relationships/hyperlink" Target="https://www.sennheiser.com/en-us/catalog/products/wireless-systems/sr-2050-iem/sr-2050-iem-aw-508644" TargetMode="External"/><Relationship Id="rId565" Type="http://schemas.openxmlformats.org/officeDocument/2006/relationships/hyperlink" Target="https://www.sennheiser.com/en-ae/catalog/products/meeting-and-conference-systems/gooseneck-accessories/mzfs-80-500651" TargetMode="External"/><Relationship Id="rId201" Type="http://schemas.openxmlformats.org/officeDocument/2006/relationships/hyperlink" Target="https://www.sennheiser.com/fr-fr/catalog/applications/raalisation-de-films/other-brands-88100/rg213100-usrg213100" TargetMode="External"/><Relationship Id="rId322" Type="http://schemas.openxmlformats.org/officeDocument/2006/relationships/hyperlink" Target="https://www.sennheiser.com/en-de/catalog/products/wireless-systems/cl-10/cl-10-pp-507427" TargetMode="External"/><Relationship Id="rId443" Type="http://schemas.openxmlformats.org/officeDocument/2006/relationships/hyperlink" Target="https://www.sennheiser.com/en-us/catalog/products/wireless-systems/sr-2050-iem/sr-2050-iem-aw-508644" TargetMode="External"/><Relationship Id="rId564" Type="http://schemas.openxmlformats.org/officeDocument/2006/relationships/hyperlink" Target="https://www.sennheiser.com/en-in/catalog/products/meeting-and-conference-systems/gooseneck-accessories/mzfs-60-500650" TargetMode="External"/><Relationship Id="rId200" Type="http://schemas.openxmlformats.org/officeDocument/2006/relationships/hyperlink" Target="https://www.sennheiser.com/en-us/catalog/products/wireless-systems/gzl-rg/gzl-rg-8x---5m-700163" TargetMode="External"/><Relationship Id="rId321" Type="http://schemas.openxmlformats.org/officeDocument/2006/relationships/hyperlink" Target="https://www.sennheiser.com/en-us/catalog/products/wireless-systems/cl-1-pp/cl-1-pp-507425" TargetMode="External"/><Relationship Id="rId442" Type="http://schemas.openxmlformats.org/officeDocument/2006/relationships/hyperlink" Target="https://www.sennheiser.com/en-nz/catalog/products/wireless-systems/ek-2000-iem/ek-2000-iem-aw-508645" TargetMode="External"/><Relationship Id="rId563" Type="http://schemas.openxmlformats.org/officeDocument/2006/relationships/hyperlink" Target="https://www.sennheiser.com/en-in/catalog/products/meeting-and-conference-systems/me-accessories-42099/mzc-30-005088" TargetMode="External"/><Relationship Id="rId320" Type="http://schemas.openxmlformats.org/officeDocument/2006/relationships/hyperlink" Target="https://spares.sennheiser.com/catalog/sparepart/508673" TargetMode="External"/><Relationship Id="rId441" Type="http://schemas.openxmlformats.org/officeDocument/2006/relationships/hyperlink" Target="https://www.sennheiser.com/en-nz/catalog/products/wireless-systems/ek-2000-iem/ek-2000-iem-aw-508645" TargetMode="External"/><Relationship Id="rId562" Type="http://schemas.openxmlformats.org/officeDocument/2006/relationships/hyperlink" Target="https://www.sennheiser.com/en-in/catalog/products/meeting-and-conference-systems/mat-153/mat-153-s-b-505626" TargetMode="External"/><Relationship Id="rId316" Type="http://schemas.openxmlformats.org/officeDocument/2006/relationships/hyperlink" Target="https://www.sennheiser.com/en-hk/catalog/products/wireless-systems/sl-pasc/sl-pasc-2-390040" TargetMode="External"/><Relationship Id="rId437" Type="http://schemas.openxmlformats.org/officeDocument/2006/relationships/hyperlink" Target="https://www.sennheiser.com/en-us/catalog/products/microphones/mke-essential/mke-essential-omni-black-3-pin-508251" TargetMode="External"/><Relationship Id="rId558" Type="http://schemas.openxmlformats.org/officeDocument/2006/relationships/hyperlink" Target="https://www.sennheiser.com/en-gb/catalog/products/meeting-and-conference-systems/mas-1/mas-1-b-505618" TargetMode="External"/><Relationship Id="rId315" Type="http://schemas.openxmlformats.org/officeDocument/2006/relationships/hyperlink" Target="https://www.sennheiser.com/en-us/catalog/products/wireless-systems/sl-dw-rack-receiver-5362c/sl-rack-receiver-dw-4-us-505899" TargetMode="External"/><Relationship Id="rId436" Type="http://schemas.openxmlformats.org/officeDocument/2006/relationships/hyperlink" Target="https://www.sennheiser.com/en-us/catalog/products/microphones/mke-essential/mke-essential-omni-black-508249" TargetMode="External"/><Relationship Id="rId557" Type="http://schemas.openxmlformats.org/officeDocument/2006/relationships/hyperlink" Target="https://www.sennheiser.com/en-us/catalog/products/meeting--und-konferenzsysteme/hp-02/hp-02-140-505966" TargetMode="External"/><Relationship Id="rId314" Type="http://schemas.openxmlformats.org/officeDocument/2006/relationships/hyperlink" Target="https://www.sennheiser.com/en-us/catalog/products/wireless-systems/sl-dw-mcr-accessories/wall-mount-adapter-508891" TargetMode="External"/><Relationship Id="rId435" Type="http://schemas.openxmlformats.org/officeDocument/2006/relationships/hyperlink" Target="https://www.sennheiser.com/en-ie/catalog/products/microphones/mke-essential/mke-essential-omni-beige-3-pin-508252" TargetMode="External"/><Relationship Id="rId556" Type="http://schemas.openxmlformats.org/officeDocument/2006/relationships/hyperlink" Target="https://www.sennheiser.com/en-gb/catalog/products/meeting-and-conference-systems/hp-02/hp-02-100-505965" TargetMode="External"/><Relationship Id="rId313" Type="http://schemas.openxmlformats.org/officeDocument/2006/relationships/hyperlink" Target="https://www.sennheiser.com/en-ae/catalog/products/microphones/me-3/sl-mcr-4-dw-4-503155" TargetMode="External"/><Relationship Id="rId434" Type="http://schemas.openxmlformats.org/officeDocument/2006/relationships/hyperlink" Target="https://www.sennheiser.com/en-ie/catalog/products/microphones/mke-essential/mke-essential-omni-beige-508250" TargetMode="External"/><Relationship Id="rId555" Type="http://schemas.openxmlformats.org/officeDocument/2006/relationships/hyperlink" Target="https://www.sennheiser.com/en-us/catalog/archive/conference-headphones-hd-model/hnp-02-ep-505978" TargetMode="External"/><Relationship Id="rId319" Type="http://schemas.openxmlformats.org/officeDocument/2006/relationships/hyperlink" Target="https://www.sennheiser.com/en-us/catalog/products/wireless-systems/rf-accessory/awm-4-507358" TargetMode="External"/><Relationship Id="rId318" Type="http://schemas.openxmlformats.org/officeDocument/2006/relationships/hyperlink" Target="https://www.sennheiser.com/en-gb/catalog/products/wireless-systems/rf-accessory/awm-2-mk-ii-509297" TargetMode="External"/><Relationship Id="rId439" Type="http://schemas.openxmlformats.org/officeDocument/2006/relationships/hyperlink" Target="https://www.sennheiser.com/en-nz/catalog/products/wireless-systems/ek-2000-iem/ek-2000-iem-aw-508645" TargetMode="External"/><Relationship Id="rId317" Type="http://schemas.openxmlformats.org/officeDocument/2006/relationships/hyperlink" Target="https://www.sennheiser.com/en-cn/catalog/products/wireless-systems/sl-pasc/sl-pasc-4-390041" TargetMode="External"/><Relationship Id="rId438" Type="http://schemas.openxmlformats.org/officeDocument/2006/relationships/hyperlink" Target="https://www.sennheiser.com/en-nz/catalog/products/wireless-systems/ek-2000-iem/ek-2000-iem-aw-508645" TargetMode="External"/><Relationship Id="rId559" Type="http://schemas.openxmlformats.org/officeDocument/2006/relationships/hyperlink" Target="https://www.sennheiser.com/en-gb/catalog/products/meeting-and-conference-systems/mas-1/mas-1-w-505619" TargetMode="External"/><Relationship Id="rId550" Type="http://schemas.openxmlformats.org/officeDocument/2006/relationships/hyperlink" Target="https://www.sennheiser.com/en-cn/catalog/products/microphones/me-36/me-36-w-005066" TargetMode="External"/><Relationship Id="rId312" Type="http://schemas.openxmlformats.org/officeDocument/2006/relationships/hyperlink" Target="https://www.sennheiser.com/en-de/catalog/products/wireless-systems/sl-dw-mcr/sl-mcr-2-dw-5-508851" TargetMode="External"/><Relationship Id="rId433" Type="http://schemas.openxmlformats.org/officeDocument/2006/relationships/hyperlink" Target="https://www.sennheiser.com/en-in/catalog/products/wireless-systems/mke-40/mke-40-ew-500527" TargetMode="External"/><Relationship Id="rId554" Type="http://schemas.openxmlformats.org/officeDocument/2006/relationships/hyperlink" Target="https://www.sennheiser.com/en-be/catalog/products/visitor-guidance/gp-accessories/gp-3000-l-with-50-pcs-508518" TargetMode="External"/><Relationship Id="rId311" Type="http://schemas.openxmlformats.org/officeDocument/2006/relationships/hyperlink" Target="https://www.sennheiser.com/en-hk/catalog/products/wireless-systems/sl-dw-tablestand-153/sl-ts-153-s-dw-3-b-506612" TargetMode="External"/><Relationship Id="rId432" Type="http://schemas.openxmlformats.org/officeDocument/2006/relationships/hyperlink" Target="https://www.sennheiser.com/en-de/catalog/products/microphones/mke-2/mke-2-black-xlr-004224" TargetMode="External"/><Relationship Id="rId553" Type="http://schemas.openxmlformats.org/officeDocument/2006/relationships/hyperlink" Target="https://www.sennheiser.com/en-us/catalog/products/microphones/meg-14-40/meg-14-40-l-ii-b-506398" TargetMode="External"/><Relationship Id="rId310" Type="http://schemas.openxmlformats.org/officeDocument/2006/relationships/hyperlink" Target="https://www.sennheiser.com/en-us/catalog/products/wireless-systems/sl-dw-tablestand-133-5361c/sl-ts-133-s-dw-3-b-506610" TargetMode="External"/><Relationship Id="rId431" Type="http://schemas.openxmlformats.org/officeDocument/2006/relationships/hyperlink" Target="https://www.sennheiser.com/en-de/catalog/products/microphones/mke-2/mke-2-black-open-end-004735" TargetMode="External"/><Relationship Id="rId552" Type="http://schemas.openxmlformats.org/officeDocument/2006/relationships/hyperlink" Target="https://www.sennheiser.com/en-us/catalog/products/microphones/meg-14-40/meg-14-40-l-b-504792" TargetMode="External"/><Relationship Id="rId430" Type="http://schemas.openxmlformats.org/officeDocument/2006/relationships/hyperlink" Target="https://www.sennheiser.com/en-de/catalog/products/microphones/mke-2/mke-2-black-ew-009831" TargetMode="External"/><Relationship Id="rId551" Type="http://schemas.openxmlformats.org/officeDocument/2006/relationships/hyperlink" Target="https://www.sennheiser.com/en-us/catalog/products/microphones/meg-14-40/meg-14-40-b-504791"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k-array.com/es/productos-discontinuados/K1%20System" TargetMode="External"/><Relationship Id="rId2" Type="http://schemas.openxmlformats.org/officeDocument/2006/relationships/hyperlink" Target="https://www.k-array.com/es/producto/azimut-kamut2l1II" TargetMode="External"/><Relationship Id="rId3" Type="http://schemas.openxmlformats.org/officeDocument/2006/relationships/hyperlink" Target="https://www.k-array.com/en/product/azimut-kamut2l14" TargetMode="External"/><Relationship Id="rId4" Type="http://schemas.openxmlformats.org/officeDocument/2006/relationships/hyperlink" Target="https://www.k-array.com/es/productos-discontinuados/azimut-kamut2v25" TargetMode="External"/><Relationship Id="rId9" Type="http://schemas.openxmlformats.org/officeDocument/2006/relationships/hyperlink" Target="https://www.k-array.com/es/producto/Pinnacle-KR802%20II" TargetMode="External"/><Relationship Id="rId5" Type="http://schemas.openxmlformats.org/officeDocument/2006/relationships/hyperlink" Target="https://www.k-array.com/es/producto/azimut-kamut2v25II" TargetMode="External"/><Relationship Id="rId6" Type="http://schemas.openxmlformats.org/officeDocument/2006/relationships/hyperlink" Target="https://www.k-array.com/es/producto/pinnacle-kr102-ll" TargetMode="External"/><Relationship Id="rId7" Type="http://schemas.openxmlformats.org/officeDocument/2006/relationships/hyperlink" Target="https://www.k-array.com/es/producto/Pinnacle-KR202-II" TargetMode="External"/><Relationship Id="rId8" Type="http://schemas.openxmlformats.org/officeDocument/2006/relationships/hyperlink" Target="https://www.k-array.com/es/producto/pinnacle-kr402-i" TargetMode="External"/><Relationship Id="rId40" Type="http://schemas.openxmlformats.org/officeDocument/2006/relationships/hyperlink" Target="https://www.k-array.com/en/product/firenze-ks7" TargetMode="External"/><Relationship Id="rId42" Type="http://schemas.openxmlformats.org/officeDocument/2006/relationships/hyperlink" Target="https://www.k-array.com/es/accesorio/k-hcfly2l" TargetMode="External"/><Relationship Id="rId41" Type="http://schemas.openxmlformats.org/officeDocument/2006/relationships/hyperlink" Target="https://www.k-array.com/es/producto/thunder-kmt12-i" TargetMode="External"/><Relationship Id="rId44" Type="http://schemas.openxmlformats.org/officeDocument/2006/relationships/hyperlink" Target="https://www.k-array.com/en/product/turtle-krm33p" TargetMode="External"/><Relationship Id="rId43" Type="http://schemas.openxmlformats.org/officeDocument/2006/relationships/hyperlink" Target="https://www.k-array.com/en/product/turtle-krm33" TargetMode="External"/><Relationship Id="rId46" Type="http://schemas.openxmlformats.org/officeDocument/2006/relationships/hyperlink" Target="https://www.k-array.com/es/producto/mastiff-km112p" TargetMode="External"/><Relationship Id="rId45" Type="http://schemas.openxmlformats.org/officeDocument/2006/relationships/hyperlink" Target="https://www.k-array.com/en/product/mastiff-km112" TargetMode="External"/><Relationship Id="rId48" Type="http://schemas.openxmlformats.org/officeDocument/2006/relationships/hyperlink" Target="https://www.k-array.com/es/producto/mastiff-km312p" TargetMode="External"/><Relationship Id="rId47" Type="http://schemas.openxmlformats.org/officeDocument/2006/relationships/hyperlink" Target="https://www.k-array.com/es/producto/mastiff-km312" TargetMode="External"/><Relationship Id="rId49" Type="http://schemas.openxmlformats.org/officeDocument/2006/relationships/hyperlink" Target="https://www.k-array.com/es/producto/kommander-ka02" TargetMode="External"/><Relationship Id="rId31" Type="http://schemas.openxmlformats.org/officeDocument/2006/relationships/hyperlink" Target="https://www.k-array.com/en/product/truffle-ktr25" TargetMode="External"/><Relationship Id="rId30" Type="http://schemas.openxmlformats.org/officeDocument/2006/relationships/hyperlink" Target="https://www.k-array.com/es/producto/truffle-ktr24" TargetMode="External"/><Relationship Id="rId33" Type="http://schemas.openxmlformats.org/officeDocument/2006/relationships/hyperlink" Target="https://www.k-array.com/es/producto/rumble-ku44" TargetMode="External"/><Relationship Id="rId32" Type="http://schemas.openxmlformats.org/officeDocument/2006/relationships/hyperlink" Target="https://www.k-array.com/en/product/truffle-ktr26" TargetMode="External"/><Relationship Id="rId35" Type="http://schemas.openxmlformats.org/officeDocument/2006/relationships/hyperlink" Target="https://www.k-array.com/en/product/rumble-ku210" TargetMode="External"/><Relationship Id="rId34" Type="http://schemas.openxmlformats.org/officeDocument/2006/relationships/hyperlink" Target="https://www.k-array.com/es/producto/rumble-ku26" TargetMode="External"/><Relationship Id="rId37" Type="http://schemas.openxmlformats.org/officeDocument/2006/relationships/hyperlink" Target="https://www.k-array.com/en/product/thunder-ks3l" TargetMode="External"/><Relationship Id="rId36" Type="http://schemas.openxmlformats.org/officeDocument/2006/relationships/hyperlink" Target="https://www.k-array.com/es/producto/rumble-ku212" TargetMode="External"/><Relationship Id="rId39" Type="http://schemas.openxmlformats.org/officeDocument/2006/relationships/hyperlink" Target="https://www.k-array.com/es/producto/thunder-ks5l" TargetMode="External"/><Relationship Id="rId38" Type="http://schemas.openxmlformats.org/officeDocument/2006/relationships/hyperlink" Target="https://www.k-array.com/en/product/thunder-ks3pI" TargetMode="External"/><Relationship Id="rId20" Type="http://schemas.openxmlformats.org/officeDocument/2006/relationships/hyperlink" Target="https://www.k-array.com/es/producto/anakonda-kan200-plus" TargetMode="External"/><Relationship Id="rId22" Type="http://schemas.openxmlformats.org/officeDocument/2006/relationships/hyperlink" Target="https://www.k-array.com/en/product/domino-kf210" TargetMode="External"/><Relationship Id="rId21" Type="http://schemas.openxmlformats.org/officeDocument/2006/relationships/hyperlink" Target="https://www.k-array.com/es/producto/domino-kf26" TargetMode="External"/><Relationship Id="rId24" Type="http://schemas.openxmlformats.org/officeDocument/2006/relationships/hyperlink" Target="https://www.k-array.com/en/product/dragon-kx12" TargetMode="External"/><Relationship Id="rId23" Type="http://schemas.openxmlformats.org/officeDocument/2006/relationships/hyperlink" Target="https://www.k-array.com/es/producto/domino-kf212" TargetMode="External"/><Relationship Id="rId26" Type="http://schemas.openxmlformats.org/officeDocument/2006/relationships/hyperlink" Target="https://www.k-array.com/en/product/mugello-kh2pl" TargetMode="External"/><Relationship Id="rId25" Type="http://schemas.openxmlformats.org/officeDocument/2006/relationships/hyperlink" Target="https://www.k-array.com/es/producto/mugello-kh2l" TargetMode="External"/><Relationship Id="rId28" Type="http://schemas.openxmlformats.org/officeDocument/2006/relationships/hyperlink" Target="https://www.k-array.com/es/producto/mugello-kh5pl" TargetMode="External"/><Relationship Id="rId27" Type="http://schemas.openxmlformats.org/officeDocument/2006/relationships/hyperlink" Target="https://www.k-array.com/en/product/mugello-kh3pl" TargetMode="External"/><Relationship Id="rId29" Type="http://schemas.openxmlformats.org/officeDocument/2006/relationships/hyperlink" Target="https://www.k-array.com/index.php/en/product/firenze-kh7p" TargetMode="External"/><Relationship Id="rId11" Type="http://schemas.openxmlformats.org/officeDocument/2006/relationships/hyperlink" Target="https://www.k-array.com/es/producto/lyzard-kz14I" TargetMode="External"/><Relationship Id="rId10" Type="http://schemas.openxmlformats.org/officeDocument/2006/relationships/hyperlink" Target="https://www.k-array.com/es/productos-discontinuados/lyzard-kz1" TargetMode="External"/><Relationship Id="rId13" Type="http://schemas.openxmlformats.org/officeDocument/2006/relationships/hyperlink" Target="https://www.k-array.com/en/product/vyper-kv52l" TargetMode="External"/><Relationship Id="rId12" Type="http://schemas.openxmlformats.org/officeDocument/2006/relationships/hyperlink" Target="https://www.k-array.com/es/producto/vyper-kv25l" TargetMode="External"/><Relationship Id="rId15" Type="http://schemas.openxmlformats.org/officeDocument/2006/relationships/hyperlink" Target="https://www.k-array.com/es/producto/kobra-kk52-i" TargetMode="External"/><Relationship Id="rId14" Type="http://schemas.openxmlformats.org/officeDocument/2006/relationships/hyperlink" Target="https://www.k-array.com/es/producto/Vyper-KV52II" TargetMode="External"/><Relationship Id="rId17" Type="http://schemas.openxmlformats.org/officeDocument/2006/relationships/hyperlink" Target="https://www.k-array.com/en/product/python-kp52-i" TargetMode="External"/><Relationship Id="rId16" Type="http://schemas.openxmlformats.org/officeDocument/2006/relationships/hyperlink" Target="https://www.k-array.com/es/producto/kobra-kk102-i" TargetMode="External"/><Relationship Id="rId19" Type="http://schemas.openxmlformats.org/officeDocument/2006/relationships/hyperlink" Target="https://www.k-array.com/es/producto/kayman-ky102" TargetMode="External"/><Relationship Id="rId18" Type="http://schemas.openxmlformats.org/officeDocument/2006/relationships/hyperlink" Target="https://www.k-array.com/es/producto/python-kp102-i" TargetMode="External"/><Relationship Id="rId51" Type="http://schemas.openxmlformats.org/officeDocument/2006/relationships/hyperlink" Target="https://www.k-array.com/en/product/kommander-ka24" TargetMode="External"/><Relationship Id="rId50" Type="http://schemas.openxmlformats.org/officeDocument/2006/relationships/hyperlink" Target="https://www.k-array.com/en/product/Kommander-KA14i" TargetMode="External"/><Relationship Id="rId53" Type="http://schemas.openxmlformats.org/officeDocument/2006/relationships/drawing" Target="../drawings/drawing20.xml"/><Relationship Id="rId52" Type="http://schemas.openxmlformats.org/officeDocument/2006/relationships/hyperlink" Target="https://www.k-array.com/es/producto/kommander-ka34"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ww.kgear.it/en/product/GPX" TargetMode="External"/><Relationship Id="rId2" Type="http://schemas.openxmlformats.org/officeDocument/2006/relationships/hyperlink" Target="https://www.kgear.it/en/product/GPXA" TargetMode="External"/><Relationship Id="rId3" Type="http://schemas.openxmlformats.org/officeDocument/2006/relationships/hyperlink" Target="https://www.kgear.it/en/product/GPX" TargetMode="External"/><Relationship Id="rId4" Type="http://schemas.openxmlformats.org/officeDocument/2006/relationships/hyperlink" Target="https://www.kgear.it/en/product/GPXA" TargetMode="External"/><Relationship Id="rId9" Type="http://schemas.openxmlformats.org/officeDocument/2006/relationships/hyperlink" Target="https://www.kgear.it/en/accessory/GH4-WALL" TargetMode="External"/><Relationship Id="rId5" Type="http://schemas.openxmlformats.org/officeDocument/2006/relationships/hyperlink" Target="https://www.kgear.it/en/product/GH4" TargetMode="External"/><Relationship Id="rId6" Type="http://schemas.openxmlformats.org/officeDocument/2006/relationships/hyperlink" Target="https://www.kgear.it/es/producto/GH12" TargetMode="External"/><Relationship Id="rId7" Type="http://schemas.openxmlformats.org/officeDocument/2006/relationships/hyperlink" Target="https://www.kgear.it/en/accessory/GH4-FLY" TargetMode="External"/><Relationship Id="rId8" Type="http://schemas.openxmlformats.org/officeDocument/2006/relationships/hyperlink" Target="https://www.kgear.it/en/accessory/GH4-JOINT" TargetMode="External"/><Relationship Id="rId20" Type="http://schemas.openxmlformats.org/officeDocument/2006/relationships/hyperlink" Target="https://www.kgear.it/en/accessory/GF-WALL" TargetMode="External"/><Relationship Id="rId22" Type="http://schemas.openxmlformats.org/officeDocument/2006/relationships/hyperlink" Target="https://www.kgear.it/en/product/GS12" TargetMode="External"/><Relationship Id="rId21" Type="http://schemas.openxmlformats.org/officeDocument/2006/relationships/hyperlink" Target="https://www.kgear.it/en/product/GS6" TargetMode="External"/><Relationship Id="rId24" Type="http://schemas.openxmlformats.org/officeDocument/2006/relationships/hyperlink" Target="https://www.kgear.it/en/product/GA201" TargetMode="External"/><Relationship Id="rId23" Type="http://schemas.openxmlformats.org/officeDocument/2006/relationships/hyperlink" Target="https://www.kgear.it/en/product/GS218" TargetMode="External"/><Relationship Id="rId26" Type="http://schemas.openxmlformats.org/officeDocument/2006/relationships/hyperlink" Target="https://www.kgear.it/en/product/GA43" TargetMode="External"/><Relationship Id="rId25" Type="http://schemas.openxmlformats.org/officeDocument/2006/relationships/hyperlink" Target="https://www.kgear.it/en/product/GA41L" TargetMode="External"/><Relationship Id="rId28" Type="http://schemas.openxmlformats.org/officeDocument/2006/relationships/drawing" Target="../drawings/drawing21.xml"/><Relationship Id="rId27" Type="http://schemas.openxmlformats.org/officeDocument/2006/relationships/hyperlink" Target="https://www.kgear.it/en/product/GA46" TargetMode="External"/><Relationship Id="rId11" Type="http://schemas.openxmlformats.org/officeDocument/2006/relationships/hyperlink" Target="https://www.kgear.it/en/accessory/GH-JOINT" TargetMode="External"/><Relationship Id="rId10" Type="http://schemas.openxmlformats.org/officeDocument/2006/relationships/hyperlink" Target="https://www.kgear.it/en/accessory/GH-FLY" TargetMode="External"/><Relationship Id="rId13" Type="http://schemas.openxmlformats.org/officeDocument/2006/relationships/hyperlink" Target="https://www.kgear.it/es/producto/GF22" TargetMode="External"/><Relationship Id="rId12" Type="http://schemas.openxmlformats.org/officeDocument/2006/relationships/hyperlink" Target="https://www.kgear.it/es/producto/GF22" TargetMode="External"/><Relationship Id="rId15" Type="http://schemas.openxmlformats.org/officeDocument/2006/relationships/hyperlink" Target="https://www.kgear.it/en/product/GF42%20I" TargetMode="External"/><Relationship Id="rId14" Type="http://schemas.openxmlformats.org/officeDocument/2006/relationships/hyperlink" Target="https://www.kgear.it/en/product/GF42%20I" TargetMode="External"/><Relationship Id="rId17" Type="http://schemas.openxmlformats.org/officeDocument/2006/relationships/hyperlink" Target="https://www.kgear.it/en/product/GF82%20I" TargetMode="External"/><Relationship Id="rId16" Type="http://schemas.openxmlformats.org/officeDocument/2006/relationships/hyperlink" Target="https://www.kgear.it/en/product/GF82%20I" TargetMode="External"/><Relationship Id="rId19" Type="http://schemas.openxmlformats.org/officeDocument/2006/relationships/hyperlink" Target="https://www.kgear.it/en/accessory/GF-WALL" TargetMode="External"/><Relationship Id="rId18" Type="http://schemas.openxmlformats.org/officeDocument/2006/relationships/hyperlink" Target="https://www.kgear.it/en/product/GF82A%20I"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www.sennheiser.com/es-mx/catalog/products/microfono/xs-1/xs-1-507487" TargetMode="External"/><Relationship Id="rId2" Type="http://schemas.openxmlformats.org/officeDocument/2006/relationships/hyperlink" Target="https://www.sennheiser.com/es-mx/catalog/products/auriculares/hd-200-pro/hd-200-pro-507182" TargetMode="External"/><Relationship Id="rId3" Type="http://schemas.openxmlformats.org/officeDocument/2006/relationships/hyperlink" Target="https://www.k-m.de/us/products/mic-stands/floor-stands/260-1-microphone-stand-black" TargetMode="External"/><Relationship Id="rId4" Type="http://schemas.openxmlformats.org/officeDocument/2006/relationships/hyperlink" Target="https://www.k-m.de/en/products/mic-stands/popkiller/23956-popkiller-black" TargetMode="External"/><Relationship Id="rId5"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oducts.electrovoice.com/na/en/zlx-g2-powered-loudspeaker/" TargetMode="External"/><Relationship Id="rId2" Type="http://schemas.openxmlformats.org/officeDocument/2006/relationships/hyperlink" Target="https://products.electrovoice.com/na/en/zlx-g2-powered-loudspeaker/" TargetMode="External"/><Relationship Id="rId3" Type="http://schemas.openxmlformats.org/officeDocument/2006/relationships/hyperlink" Target="https://products.electrovoice.com/na/en/zlx-g2-powered-loudspeaker/" TargetMode="External"/><Relationship Id="rId4" Type="http://schemas.openxmlformats.org/officeDocument/2006/relationships/hyperlink" Target="https://products.electrovoice.com/na/en/elx200-10p/" TargetMode="External"/><Relationship Id="rId9" Type="http://schemas.openxmlformats.org/officeDocument/2006/relationships/hyperlink" Target="https://products.electrovoice.com/na/en/elx200-10/" TargetMode="External"/><Relationship Id="rId5" Type="http://schemas.openxmlformats.org/officeDocument/2006/relationships/hyperlink" Target="https://products.electrovoice.com/na/en/elx200-12p/" TargetMode="External"/><Relationship Id="rId6" Type="http://schemas.openxmlformats.org/officeDocument/2006/relationships/hyperlink" Target="https://products.electrovoice.com/na/en/elx200-15p/" TargetMode="External"/><Relationship Id="rId7" Type="http://schemas.openxmlformats.org/officeDocument/2006/relationships/hyperlink" Target="https://products.electrovoice.com/na/en/elx200-12sp/" TargetMode="External"/><Relationship Id="rId8" Type="http://schemas.openxmlformats.org/officeDocument/2006/relationships/hyperlink" Target="https://products.electrovoice.com/na/en/elx200-18sp/" TargetMode="External"/><Relationship Id="rId40" Type="http://schemas.openxmlformats.org/officeDocument/2006/relationships/hyperlink" Target="https://products.electrovoice.com/na/en/evid-s82/" TargetMode="External"/><Relationship Id="rId42" Type="http://schemas.openxmlformats.org/officeDocument/2006/relationships/hyperlink" Target="https://products.electrovoice.com/na/en/evid-s82t/" TargetMode="External"/><Relationship Id="rId41" Type="http://schemas.openxmlformats.org/officeDocument/2006/relationships/hyperlink" Target="https://products.electrovoice.com/na/en/evid-s82t/" TargetMode="External"/><Relationship Id="rId44" Type="http://schemas.openxmlformats.org/officeDocument/2006/relationships/hyperlink" Target="https://products.electrovoice.com/na/en/evid-s121/" TargetMode="External"/><Relationship Id="rId43" Type="http://schemas.openxmlformats.org/officeDocument/2006/relationships/hyperlink" Target="https://products.electrovoice.com/na/en/evid-s101d/" TargetMode="External"/><Relationship Id="rId46" Type="http://schemas.openxmlformats.org/officeDocument/2006/relationships/hyperlink" Target="https://products.electrovoice.com/na/en/evid-42/" TargetMode="External"/><Relationship Id="rId45" Type="http://schemas.openxmlformats.org/officeDocument/2006/relationships/hyperlink" Target="https://products.electrovoice.com/na/en/evid-42/" TargetMode="External"/><Relationship Id="rId48" Type="http://schemas.openxmlformats.org/officeDocument/2006/relationships/hyperlink" Target="https://products.electrovoice.com/na/en/evid-42/" TargetMode="External"/><Relationship Id="rId47" Type="http://schemas.openxmlformats.org/officeDocument/2006/relationships/hyperlink" Target="https://products.electrovoice.com/na/en/evid-42/" TargetMode="External"/><Relationship Id="rId49" Type="http://schemas.openxmlformats.org/officeDocument/2006/relationships/hyperlink" Target="https://products.electrovoice.com/na/en/evid-62/" TargetMode="External"/><Relationship Id="rId31" Type="http://schemas.openxmlformats.org/officeDocument/2006/relationships/hyperlink" Target="https://products.electrovoice.com/na/en/evid-s42t/" TargetMode="External"/><Relationship Id="rId30" Type="http://schemas.openxmlformats.org/officeDocument/2006/relationships/hyperlink" Target="https://products.electrovoice.com/na/en/evid-s42/" TargetMode="External"/><Relationship Id="rId33" Type="http://schemas.openxmlformats.org/officeDocument/2006/relationships/hyperlink" Target="https://products.electrovoice.com/na/en/evid-s52/" TargetMode="External"/><Relationship Id="rId32" Type="http://schemas.openxmlformats.org/officeDocument/2006/relationships/hyperlink" Target="https://products.electrovoice.com/na/en/evid-s42t/" TargetMode="External"/><Relationship Id="rId35" Type="http://schemas.openxmlformats.org/officeDocument/2006/relationships/hyperlink" Target="https://products.electrovoice.com/na/en/evid-s52t/" TargetMode="External"/><Relationship Id="rId34" Type="http://schemas.openxmlformats.org/officeDocument/2006/relationships/hyperlink" Target="https://products.electrovoice.com/na/en/evid-s52/" TargetMode="External"/><Relationship Id="rId37" Type="http://schemas.openxmlformats.org/officeDocument/2006/relationships/hyperlink" Target="https://products.electrovoice.com/na/en/evid-s52x/" TargetMode="External"/><Relationship Id="rId36" Type="http://schemas.openxmlformats.org/officeDocument/2006/relationships/hyperlink" Target="https://products.electrovoice.com/na/en/evid-s52t/" TargetMode="External"/><Relationship Id="rId39" Type="http://schemas.openxmlformats.org/officeDocument/2006/relationships/hyperlink" Target="https://products.electrovoice.com/na/en/evid-s82/" TargetMode="External"/><Relationship Id="rId38" Type="http://schemas.openxmlformats.org/officeDocument/2006/relationships/hyperlink" Target="https://products.electrovoice.com/na/en/evid-s52x/" TargetMode="External"/><Relationship Id="rId20" Type="http://schemas.openxmlformats.org/officeDocument/2006/relationships/hyperlink" Target="https://products.electrovoice.com/na/en/etx-35p/" TargetMode="External"/><Relationship Id="rId22" Type="http://schemas.openxmlformats.org/officeDocument/2006/relationships/hyperlink" Target="https://products.electrovoice.com/na/en/evolve-50/" TargetMode="External"/><Relationship Id="rId21" Type="http://schemas.openxmlformats.org/officeDocument/2006/relationships/hyperlink" Target="https://products.electrovoice.com/na/en/etx-18sp/" TargetMode="External"/><Relationship Id="rId24" Type="http://schemas.openxmlformats.org/officeDocument/2006/relationships/hyperlink" Target="https://products.electrovoice.com/na/en/evolve-50-rolling-case/" TargetMode="External"/><Relationship Id="rId23" Type="http://schemas.openxmlformats.org/officeDocument/2006/relationships/hyperlink" Target="https://products.electrovoice.com/na/en/evolve-50m/" TargetMode="External"/><Relationship Id="rId26" Type="http://schemas.openxmlformats.org/officeDocument/2006/relationships/hyperlink" Target="https://products.electrovoice.com/na/en/everse-8/" TargetMode="External"/><Relationship Id="rId25" Type="http://schemas.openxmlformats.org/officeDocument/2006/relationships/hyperlink" Target="https://products.electrovoice.com/na/en/evolve-30m/" TargetMode="External"/><Relationship Id="rId28" Type="http://schemas.openxmlformats.org/officeDocument/2006/relationships/hyperlink" Target="https://products.electrovoice.com/na/en/pxm-12mp/" TargetMode="External"/><Relationship Id="rId27" Type="http://schemas.openxmlformats.org/officeDocument/2006/relationships/hyperlink" Target="https://products.electrovoice.com/na/en/everse-12/" TargetMode="External"/><Relationship Id="rId29" Type="http://schemas.openxmlformats.org/officeDocument/2006/relationships/hyperlink" Target="https://products.electrovoice.com/na/en/evid-s42/" TargetMode="External"/><Relationship Id="rId11" Type="http://schemas.openxmlformats.org/officeDocument/2006/relationships/hyperlink" Target="https://products.electrovoice.com/na/en/elx200-15/" TargetMode="External"/><Relationship Id="rId10" Type="http://schemas.openxmlformats.org/officeDocument/2006/relationships/hyperlink" Target="https://products.electrovoice.com/na/en/elx200-12/" TargetMode="External"/><Relationship Id="rId13" Type="http://schemas.openxmlformats.org/officeDocument/2006/relationships/hyperlink" Target="https://products.electrovoice.com/na/en/ekx-12p/" TargetMode="External"/><Relationship Id="rId12" Type="http://schemas.openxmlformats.org/officeDocument/2006/relationships/hyperlink" Target="https://products.electrovoice.com/na/en/elx200-12s/" TargetMode="External"/><Relationship Id="rId15" Type="http://schemas.openxmlformats.org/officeDocument/2006/relationships/hyperlink" Target="https://products.electrovoice.com/na/en/ekx-15sp/" TargetMode="External"/><Relationship Id="rId14" Type="http://schemas.openxmlformats.org/officeDocument/2006/relationships/hyperlink" Target="https://products.electrovoice.com/na/en/ekx-15p/" TargetMode="External"/><Relationship Id="rId17" Type="http://schemas.openxmlformats.org/officeDocument/2006/relationships/hyperlink" Target="https://products.electrovoice.com/na/en/etx-10p/" TargetMode="External"/><Relationship Id="rId16" Type="http://schemas.openxmlformats.org/officeDocument/2006/relationships/hyperlink" Target="https://products.electrovoice.com/na/en/ekx-18sp/" TargetMode="External"/><Relationship Id="rId19" Type="http://schemas.openxmlformats.org/officeDocument/2006/relationships/hyperlink" Target="https://products.electrovoice.com/na/en/etx-15p/" TargetMode="External"/><Relationship Id="rId18" Type="http://schemas.openxmlformats.org/officeDocument/2006/relationships/hyperlink" Target="https://products.electrovoice.com/na/en/etx-12p/" TargetMode="External"/><Relationship Id="rId84" Type="http://schemas.openxmlformats.org/officeDocument/2006/relationships/hyperlink" Target="https://products.electrovoice.com/na/en/re90p/" TargetMode="External"/><Relationship Id="rId83" Type="http://schemas.openxmlformats.org/officeDocument/2006/relationships/hyperlink" Target="https://products.electrovoice.com/na/en/re90h/" TargetMode="External"/><Relationship Id="rId86" Type="http://schemas.openxmlformats.org/officeDocument/2006/relationships/drawing" Target="../drawings/drawing4.xml"/><Relationship Id="rId85" Type="http://schemas.openxmlformats.org/officeDocument/2006/relationships/hyperlink" Target="https://products.electrovoice.com/na/en/re90p/" TargetMode="External"/><Relationship Id="rId80" Type="http://schemas.openxmlformats.org/officeDocument/2006/relationships/hyperlink" Target="https://products.electrovoice.com/na/en/re320/" TargetMode="External"/><Relationship Id="rId82" Type="http://schemas.openxmlformats.org/officeDocument/2006/relationships/hyperlink" Target="https://products.electrovoice.com/na/en/re90b/" TargetMode="External"/><Relationship Id="rId81" Type="http://schemas.openxmlformats.org/officeDocument/2006/relationships/hyperlink" Target="https://products.electrovoice.com/na/en/309a/" TargetMode="External"/><Relationship Id="rId73" Type="http://schemas.openxmlformats.org/officeDocument/2006/relationships/hyperlink" Target="https://products.electrovoice.com/na/en/nd68/" TargetMode="External"/><Relationship Id="rId72" Type="http://schemas.openxmlformats.org/officeDocument/2006/relationships/hyperlink" Target="https://products.electrovoice.com/na/en/nd66/" TargetMode="External"/><Relationship Id="rId75" Type="http://schemas.openxmlformats.org/officeDocument/2006/relationships/hyperlink" Target="https://products.electrovoice.com/na/en/pl-80c/" TargetMode="External"/><Relationship Id="rId74" Type="http://schemas.openxmlformats.org/officeDocument/2006/relationships/hyperlink" Target="https://products.electrovoice.com/na/en/pl-80a/" TargetMode="External"/><Relationship Id="rId77" Type="http://schemas.openxmlformats.org/officeDocument/2006/relationships/hyperlink" Target="https://products.electrovoice.com/na/en/pl-35/" TargetMode="External"/><Relationship Id="rId76" Type="http://schemas.openxmlformats.org/officeDocument/2006/relationships/hyperlink" Target="https://products.electrovoice.com/na/en/pl-33/" TargetMode="External"/><Relationship Id="rId79" Type="http://schemas.openxmlformats.org/officeDocument/2006/relationships/hyperlink" Target="https://products.electrovoice.com/na/en/re20/" TargetMode="External"/><Relationship Id="rId78" Type="http://schemas.openxmlformats.org/officeDocument/2006/relationships/hyperlink" Target="https://products.electrovoice.com/na/en/pl-37/" TargetMode="External"/><Relationship Id="rId71" Type="http://schemas.openxmlformats.org/officeDocument/2006/relationships/hyperlink" Target="https://products.electrovoice.com/na/en/nd46/" TargetMode="External"/><Relationship Id="rId70" Type="http://schemas.openxmlformats.org/officeDocument/2006/relationships/hyperlink" Target="https://products.electrovoice.com/na/en/nd44/" TargetMode="External"/><Relationship Id="rId62" Type="http://schemas.openxmlformats.org/officeDocument/2006/relationships/hyperlink" Target="https://products.dynacord.com/na/en/c1800fdi/" TargetMode="External"/><Relationship Id="rId61" Type="http://schemas.openxmlformats.org/officeDocument/2006/relationships/hyperlink" Target="https://products.dynacord.com/na/en/c1300fdi/" TargetMode="External"/><Relationship Id="rId64" Type="http://schemas.openxmlformats.org/officeDocument/2006/relationships/hyperlink" Target="https://products.dynacord.com/na/en/c3600fdi/" TargetMode="External"/><Relationship Id="rId63" Type="http://schemas.openxmlformats.org/officeDocument/2006/relationships/hyperlink" Target="https://products.dynacord.com/na/en/c2800fdi/" TargetMode="External"/><Relationship Id="rId66" Type="http://schemas.openxmlformats.org/officeDocument/2006/relationships/hyperlink" Target="https://products.electrovoice.com/na/en/nd76/" TargetMode="External"/><Relationship Id="rId65" Type="http://schemas.openxmlformats.org/officeDocument/2006/relationships/hyperlink" Target="https://products.dynacord.com/na/en/mxe5/" TargetMode="External"/><Relationship Id="rId68" Type="http://schemas.openxmlformats.org/officeDocument/2006/relationships/hyperlink" Target="https://products.electrovoice.com/na/en/nd86/" TargetMode="External"/><Relationship Id="rId67" Type="http://schemas.openxmlformats.org/officeDocument/2006/relationships/hyperlink" Target="https://products.electrovoice.com/na/en/nd76s/" TargetMode="External"/><Relationship Id="rId60" Type="http://schemas.openxmlformats.org/officeDocument/2006/relationships/hyperlink" Target="https://commerce.boschsecurity.com/xl/es/LHM0606-xx-Ceiling-loudspeaker/p/F.01U.513.891/" TargetMode="External"/><Relationship Id="rId69" Type="http://schemas.openxmlformats.org/officeDocument/2006/relationships/hyperlink" Target="https://products.electrovoice.com/na/en/nd96/" TargetMode="External"/><Relationship Id="rId51" Type="http://schemas.openxmlformats.org/officeDocument/2006/relationships/hyperlink" Target="https://products.electrovoice.com/na/en/evid-62/" TargetMode="External"/><Relationship Id="rId50" Type="http://schemas.openxmlformats.org/officeDocument/2006/relationships/hyperlink" Target="https://products.electrovoice.com/na/en/evid-62/" TargetMode="External"/><Relationship Id="rId53" Type="http://schemas.openxmlformats.org/officeDocument/2006/relationships/hyperlink" Target="https://products.electrovoice.com/na/en/evid-p62/" TargetMode="External"/><Relationship Id="rId52" Type="http://schemas.openxmlformats.org/officeDocument/2006/relationships/hyperlink" Target="https://products.electrovoice.com/na/en/evid-62/" TargetMode="External"/><Relationship Id="rId55" Type="http://schemas.openxmlformats.org/officeDocument/2006/relationships/hyperlink" Target="https://products.electrovoice.com/na/en/evid-c42/" TargetMode="External"/><Relationship Id="rId54" Type="http://schemas.openxmlformats.org/officeDocument/2006/relationships/hyperlink" Target="https://products.electrovoice.com/na/en/evid-p62/" TargetMode="External"/><Relationship Id="rId57" Type="http://schemas.openxmlformats.org/officeDocument/2006/relationships/hyperlink" Target="https://products.electrovoice.com/na/en/evid-c82/" TargetMode="External"/><Relationship Id="rId56" Type="http://schemas.openxmlformats.org/officeDocument/2006/relationships/hyperlink" Target="https://products.electrovoice.com/na/en/evid-c62/" TargetMode="External"/><Relationship Id="rId59" Type="http://schemas.openxmlformats.org/officeDocument/2006/relationships/hyperlink" Target="https://products.electrovoice.com/na/en/evid-fm62/" TargetMode="External"/><Relationship Id="rId58" Type="http://schemas.openxmlformats.org/officeDocument/2006/relationships/hyperlink" Target="https://products.electrovoice.com/na/en/evid-fm42/"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neumann.com/es-mx/products/monitors/kh-80-dsp-a-g/" TargetMode="External"/><Relationship Id="rId2" Type="http://schemas.openxmlformats.org/officeDocument/2006/relationships/hyperlink" Target="https://www.neumann.com/es-mx/products/monitors/kh-80-dsp-a-w/?variant=506838" TargetMode="External"/><Relationship Id="rId3" Type="http://schemas.openxmlformats.org/officeDocument/2006/relationships/hyperlink" Target="https://www.neumann.com/en-gb/products/historical/kh-120-a-g/" TargetMode="External"/><Relationship Id="rId4" Type="http://schemas.openxmlformats.org/officeDocument/2006/relationships/hyperlink" Target="https://www.neumann.com/en-gb/products/historical/kh-120-a-w/?variant=506179" TargetMode="External"/><Relationship Id="rId9" Type="http://schemas.openxmlformats.org/officeDocument/2006/relationships/hyperlink" Target="https://www.neumann.com/en-gb/products/monitors/kh-150/?variant=509129" TargetMode="External"/><Relationship Id="rId5" Type="http://schemas.openxmlformats.org/officeDocument/2006/relationships/hyperlink" Target="https://www.neumann.com/de-de/produkte/monitors/kh-120-ii/?variant=KH-120-II-US_1" TargetMode="External"/><Relationship Id="rId6" Type="http://schemas.openxmlformats.org/officeDocument/2006/relationships/hyperlink" Target="https://www.neumann.com/de-de/produkte/monitors/kh-120-ii-w/?variant=KH-120-II-W_2" TargetMode="External"/><Relationship Id="rId7" Type="http://schemas.openxmlformats.org/officeDocument/2006/relationships/hyperlink" Target="https://www.neumann.com/en-gb/products/monitors/kh-120-ii-AES67/" TargetMode="External"/><Relationship Id="rId8" Type="http://schemas.openxmlformats.org/officeDocument/2006/relationships/hyperlink" Target="https://www.neumann.com/en-gb/products/monitors/kh-120-ii-w-AES7/?variant=509126" TargetMode="External"/><Relationship Id="rId40" Type="http://schemas.openxmlformats.org/officeDocument/2006/relationships/hyperlink" Target="https://www.neumann.com/en-gb/products/monitor-accessories/lh-61/" TargetMode="External"/><Relationship Id="rId42" Type="http://schemas.openxmlformats.org/officeDocument/2006/relationships/hyperlink" Target="https://www.neumann.com/en-gb/products/monitor-accessories/lh-65/" TargetMode="External"/><Relationship Id="rId41" Type="http://schemas.openxmlformats.org/officeDocument/2006/relationships/hyperlink" Target="https://www.neumann.com/en-gb/products/monitor-accessories/lh-64/" TargetMode="External"/><Relationship Id="rId44" Type="http://schemas.openxmlformats.org/officeDocument/2006/relationships/hyperlink" Target="https://www.neumann.com/en-gb/products/monitor-accessories/nrc-1/" TargetMode="External"/><Relationship Id="rId43" Type="http://schemas.openxmlformats.org/officeDocument/2006/relationships/hyperlink" Target="https://www.neumann.com/en-gb/products/monitor-accessories/lh-66/" TargetMode="External"/><Relationship Id="rId46" Type="http://schemas.openxmlformats.org/officeDocument/2006/relationships/hyperlink" Target="https://www.neumann.com/en-gb/products/monitor-accessories/rek-4/" TargetMode="External"/><Relationship Id="rId45" Type="http://schemas.openxmlformats.org/officeDocument/2006/relationships/hyperlink" Target="https://www.neumann.com/en-gb/products/monitor-accessories/rek-3/" TargetMode="External"/><Relationship Id="rId48" Type="http://schemas.openxmlformats.org/officeDocument/2006/relationships/hyperlink" Target="https://www.neumann.com/en-gb/products/microphones/bcm-104/" TargetMode="External"/><Relationship Id="rId47" Type="http://schemas.openxmlformats.org/officeDocument/2006/relationships/hyperlink" Target="https://www.neumann.com/en-gb/products/monitor-accessories/sea-1/" TargetMode="External"/><Relationship Id="rId49" Type="http://schemas.openxmlformats.org/officeDocument/2006/relationships/hyperlink" Target="https://www.neumann.com/en-gb/products/microphones/bcm-705/" TargetMode="External"/><Relationship Id="rId31" Type="http://schemas.openxmlformats.org/officeDocument/2006/relationships/hyperlink" Target="https://www.neumann.com/en-gb/products/monitor-accessories/lh-36/" TargetMode="External"/><Relationship Id="rId30" Type="http://schemas.openxmlformats.org/officeDocument/2006/relationships/hyperlink" Target="https://www.neumann.com/en-gb/products/monitor-accessories/lh-32/" TargetMode="External"/><Relationship Id="rId33" Type="http://schemas.openxmlformats.org/officeDocument/2006/relationships/hyperlink" Target="https://www.neumann.com/en-gb/products/monitor-accessories/lh-41/" TargetMode="External"/><Relationship Id="rId32" Type="http://schemas.openxmlformats.org/officeDocument/2006/relationships/hyperlink" Target="https://www.neumann.com/en-gb/products/monitor-accessories/lh-37/" TargetMode="External"/><Relationship Id="rId35" Type="http://schemas.openxmlformats.org/officeDocument/2006/relationships/hyperlink" Target="https://www.neumann.com/en-gb/products/monitor-accessories/lh-43/" TargetMode="External"/><Relationship Id="rId34" Type="http://schemas.openxmlformats.org/officeDocument/2006/relationships/hyperlink" Target="https://www.neumann.com/en-gb/products/monitor-accessories/lh-42/" TargetMode="External"/><Relationship Id="rId37" Type="http://schemas.openxmlformats.org/officeDocument/2006/relationships/hyperlink" Target="https://www.neumann.com/en-gb/products/monitor-accessories/lh-46/" TargetMode="External"/><Relationship Id="rId36" Type="http://schemas.openxmlformats.org/officeDocument/2006/relationships/hyperlink" Target="https://www.neumann.com/en-gb/products/monitor-accessories/lh-45/" TargetMode="External"/><Relationship Id="rId39" Type="http://schemas.openxmlformats.org/officeDocument/2006/relationships/hyperlink" Target="https://www.neumann.com/es-mx/products/monitor-accessories/lh-48/" TargetMode="External"/><Relationship Id="rId38" Type="http://schemas.openxmlformats.org/officeDocument/2006/relationships/hyperlink" Target="https://www.neumann.com/en-gb/products/monitor-accessories/lh-47/" TargetMode="External"/><Relationship Id="rId20" Type="http://schemas.openxmlformats.org/officeDocument/2006/relationships/hyperlink" Target="https://www.neumann.com/es-mx/products/monitor-accessories/ma-1/" TargetMode="External"/><Relationship Id="rId22" Type="http://schemas.openxmlformats.org/officeDocument/2006/relationships/hyperlink" Target="https://www.neumann.com/en-gb/products/monitor-accessories/gkh-310/" TargetMode="External"/><Relationship Id="rId21" Type="http://schemas.openxmlformats.org/officeDocument/2006/relationships/hyperlink" Target="https://www.neumann.com/en-gb/products/monitor-accessories/dim-1/" TargetMode="External"/><Relationship Id="rId24" Type="http://schemas.openxmlformats.org/officeDocument/2006/relationships/hyperlink" Target="https://www.neumann.com/en-gb/products/audiointerfaces/mt-48/?variant=700259" TargetMode="External"/><Relationship Id="rId23" Type="http://schemas.openxmlformats.org/officeDocument/2006/relationships/hyperlink" Target="https://www.neumann.com/en-gb/products/monitor-accessories/gkh-420-b/" TargetMode="External"/><Relationship Id="rId26" Type="http://schemas.openxmlformats.org/officeDocument/2006/relationships/hyperlink" Target="https://www.neumann.com/es-mx/products/headphones/ndh-30/" TargetMode="External"/><Relationship Id="rId25" Type="http://schemas.openxmlformats.org/officeDocument/2006/relationships/hyperlink" Target="https://www.neumann.com/es-mx/products/headphones/ndh-20/" TargetMode="External"/><Relationship Id="rId28" Type="http://schemas.openxmlformats.org/officeDocument/2006/relationships/hyperlink" Target="https://www.neumann.com/en-gb/products/monitor-accessories/lh-28/" TargetMode="External"/><Relationship Id="rId27" Type="http://schemas.openxmlformats.org/officeDocument/2006/relationships/hyperlink" Target="https://www.neumann.com/fr-fr/products/Accessoires-pour-moniteurs/lh-25/" TargetMode="External"/><Relationship Id="rId29" Type="http://schemas.openxmlformats.org/officeDocument/2006/relationships/hyperlink" Target="https://www.neumann.com/es-mx/products/monitor-accessories/lh-29/" TargetMode="External"/><Relationship Id="rId11" Type="http://schemas.openxmlformats.org/officeDocument/2006/relationships/hyperlink" Target="https://www.neumann.com/en-gb/products/monitors/kh-150-w/?variant=509131" TargetMode="External"/><Relationship Id="rId10" Type="http://schemas.openxmlformats.org/officeDocument/2006/relationships/hyperlink" Target="https://www.neumann.com/en-gb/products/monitors/kh-150-aes67/?variant=509132" TargetMode="External"/><Relationship Id="rId13" Type="http://schemas.openxmlformats.org/officeDocument/2006/relationships/hyperlink" Target="https://www.neumann.com/es-mx/products/monitors/kh-310-a/" TargetMode="External"/><Relationship Id="rId12" Type="http://schemas.openxmlformats.org/officeDocument/2006/relationships/hyperlink" Target="https://www.neumann.com/en-gb/products/monitors/kh-150-w-aes67/?variant=509133" TargetMode="External"/><Relationship Id="rId15" Type="http://schemas.openxmlformats.org/officeDocument/2006/relationships/hyperlink" Target="https://www.neumann.com/es-mx/products/monitors/kh-420/" TargetMode="External"/><Relationship Id="rId14" Type="http://schemas.openxmlformats.org/officeDocument/2006/relationships/hyperlink" Target="https://www.neumann.com/es-mx/products/monitors/kh-310-a/?variant=505576" TargetMode="External"/><Relationship Id="rId17" Type="http://schemas.openxmlformats.org/officeDocument/2006/relationships/hyperlink" Target="https://www.neumann.com/es-mx/products/monitors/kh-750-dsp/" TargetMode="External"/><Relationship Id="rId16" Type="http://schemas.openxmlformats.org/officeDocument/2006/relationships/hyperlink" Target="https://www.neumann.com/en-gb/products/monitors/kh-750-aes67/" TargetMode="External"/><Relationship Id="rId19" Type="http://schemas.openxmlformats.org/officeDocument/2006/relationships/hyperlink" Target="https://www.neumann.com/de-de/produkte/monitors/kh-870/" TargetMode="External"/><Relationship Id="rId18" Type="http://schemas.openxmlformats.org/officeDocument/2006/relationships/hyperlink" Target="https://www.neumann.com/en-gb/products/monitors/kh-810/" TargetMode="External"/><Relationship Id="rId84" Type="http://schemas.openxmlformats.org/officeDocument/2006/relationships/hyperlink" Target="https://www.neumann.com/en-gb/products/microphones/miniature-clip-mic-system-mcm/?variant=008712" TargetMode="External"/><Relationship Id="rId83" Type="http://schemas.openxmlformats.org/officeDocument/2006/relationships/hyperlink" Target="https://www.neumann.com/en-gb/products/microphones/miniature-clip-mic-system-mcm/?variant=008707" TargetMode="External"/><Relationship Id="rId86" Type="http://schemas.openxmlformats.org/officeDocument/2006/relationships/hyperlink" Target="https://www.neumann.com/es-mx/products/microphones/tlm-102/?variant=008627" TargetMode="External"/><Relationship Id="rId85" Type="http://schemas.openxmlformats.org/officeDocument/2006/relationships/hyperlink" Target="https://www.neumann.com/es-mx/products/microphones/tlm-102/?variant=008626" TargetMode="External"/><Relationship Id="rId88" Type="http://schemas.openxmlformats.org/officeDocument/2006/relationships/hyperlink" Target="https://www.neumann.com/es-mx/products/microphones/tlm-102/?variant=008656" TargetMode="External"/><Relationship Id="rId87" Type="http://schemas.openxmlformats.org/officeDocument/2006/relationships/hyperlink" Target="https://www.neumann.com/es-mx/products/microphones/tlm-102/?variant=008657" TargetMode="External"/><Relationship Id="rId89" Type="http://schemas.openxmlformats.org/officeDocument/2006/relationships/hyperlink" Target="https://www.neumann.com/en-us/products/microphones/tlm-102-white-edition/" TargetMode="External"/><Relationship Id="rId80" Type="http://schemas.openxmlformats.org/officeDocument/2006/relationships/hyperlink" Target="https://www.neumann.com/en-gb/products/microphone-accessories/mcm-100/" TargetMode="External"/><Relationship Id="rId82" Type="http://schemas.openxmlformats.org/officeDocument/2006/relationships/hyperlink" Target="https://www.neumann.com/en-gb/products/microphones/miniature-clip-mic-system-mcm/?variant=008708" TargetMode="External"/><Relationship Id="rId81" Type="http://schemas.openxmlformats.org/officeDocument/2006/relationships/hyperlink" Target="https://www.neumann.com/es-mx/products/microphones/miniature-clip-mic-system-mcm/?variant=008711" TargetMode="External"/><Relationship Id="rId73" Type="http://schemas.openxmlformats.org/officeDocument/2006/relationships/hyperlink" Target="https://www.neumann.com/es-mx/products/microphones/kms-105/" TargetMode="External"/><Relationship Id="rId72" Type="http://schemas.openxmlformats.org/officeDocument/2006/relationships/hyperlink" Target="https://www.neumann.com/en-gb/products/microphones/kms-104-plus/?variant=008625" TargetMode="External"/><Relationship Id="rId75" Type="http://schemas.openxmlformats.org/officeDocument/2006/relationships/hyperlink" Target="https://www.neumann.com/en-gb/products/microphones/ku-100/" TargetMode="External"/><Relationship Id="rId74" Type="http://schemas.openxmlformats.org/officeDocument/2006/relationships/hyperlink" Target="https://www.neumann.com/es-mx/products/microphones/kms-105/?variant=008455" TargetMode="External"/><Relationship Id="rId77" Type="http://schemas.openxmlformats.org/officeDocument/2006/relationships/hyperlink" Target="https://www.neumann.com/es-mx/products/microphones/m-147-tube/?variant=008435" TargetMode="External"/><Relationship Id="rId76" Type="http://schemas.openxmlformats.org/officeDocument/2006/relationships/hyperlink" Target="https://www.neumann.com/es-mx/products/microphones/m-49-v-set/" TargetMode="External"/><Relationship Id="rId79" Type="http://schemas.openxmlformats.org/officeDocument/2006/relationships/hyperlink" Target="https://www.neumann.com/en-gb/products/microphones/m-150-tube/" TargetMode="External"/><Relationship Id="rId78" Type="http://schemas.openxmlformats.org/officeDocument/2006/relationships/hyperlink" Target="https://www.neumann.com/en-gb/products/microphones/m-149-v-set/" TargetMode="External"/><Relationship Id="rId71" Type="http://schemas.openxmlformats.org/officeDocument/2006/relationships/hyperlink" Target="https://www.neumann.com/en-gb/products/microphones/kms-104-plus/?variant=008624" TargetMode="External"/><Relationship Id="rId70" Type="http://schemas.openxmlformats.org/officeDocument/2006/relationships/hyperlink" Target="https://www.neumann.com/en-gb/products/microphones/kms-104/?variant=008549" TargetMode="External"/><Relationship Id="rId62" Type="http://schemas.openxmlformats.org/officeDocument/2006/relationships/hyperlink" Target="https://www.neumann.com/en-gb/products/microphones/km-185-series-180/?variant=008526" TargetMode="External"/><Relationship Id="rId61" Type="http://schemas.openxmlformats.org/officeDocument/2006/relationships/hyperlink" Target="https://www.neumann.com/en-gb/products/microphones/km-184-series-180/?variant=008523" TargetMode="External"/><Relationship Id="rId64" Type="http://schemas.openxmlformats.org/officeDocument/2006/relationships/hyperlink" Target="https://www.neumann.com/en-gb/products/microphone-accessories/km-a/?variant=008635" TargetMode="External"/><Relationship Id="rId63" Type="http://schemas.openxmlformats.org/officeDocument/2006/relationships/hyperlink" Target="https://www.neumann.com/en-gb/products/microphone-accessories/km-a/" TargetMode="External"/><Relationship Id="rId66" Type="http://schemas.openxmlformats.org/officeDocument/2006/relationships/hyperlink" Target="https://www.neumann.com/en-gb/products/microphones/kmr-81-i-/?variant=006962" TargetMode="External"/><Relationship Id="rId65" Type="http://schemas.openxmlformats.org/officeDocument/2006/relationships/hyperlink" Target="https://www.neumann.com/en-gb/products/microphones/kmr-81-i-/" TargetMode="External"/><Relationship Id="rId68" Type="http://schemas.openxmlformats.org/officeDocument/2006/relationships/hyperlink" Target="https://www.neumann.com/es-mx/products/microphones/kmr-82-i/?variant=006879" TargetMode="External"/><Relationship Id="rId67" Type="http://schemas.openxmlformats.org/officeDocument/2006/relationships/hyperlink" Target="https://www.neumann.com/es-mx/products/microphones/kmr-82-i/?variant=006878" TargetMode="External"/><Relationship Id="rId60" Type="http://schemas.openxmlformats.org/officeDocument/2006/relationships/hyperlink" Target="https://www.neumann.com/es-mx/products/microphones/km-185-series-180/?variant=008441" TargetMode="External"/><Relationship Id="rId69" Type="http://schemas.openxmlformats.org/officeDocument/2006/relationships/hyperlink" Target="https://www.neumann.com/en-gb/products/microphones/kms-104/" TargetMode="External"/><Relationship Id="rId51" Type="http://schemas.openxmlformats.org/officeDocument/2006/relationships/hyperlink" Target="https://www.neumann.com/es-mx/products/microphones/km-183-series-180/?variant=008438" TargetMode="External"/><Relationship Id="rId50" Type="http://schemas.openxmlformats.org/officeDocument/2006/relationships/hyperlink" Target="https://www.neumann.com/es-mx/products/microphones/km-183-series-180/" TargetMode="External"/><Relationship Id="rId53" Type="http://schemas.openxmlformats.org/officeDocument/2006/relationships/hyperlink" Target="https://www.neumann.com/es-mx/products/microphones/km-184-series-180/?variant=008524" TargetMode="External"/><Relationship Id="rId52" Type="http://schemas.openxmlformats.org/officeDocument/2006/relationships/hyperlink" Target="https://www.neumann.com/es-mx/products/microphones/km-183-series-180/?variant=008521" TargetMode="External"/><Relationship Id="rId55" Type="http://schemas.openxmlformats.org/officeDocument/2006/relationships/hyperlink" Target="https://www.neumann.com/es-mx/products/microphones/km-184-series-180/?variant=008389" TargetMode="External"/><Relationship Id="rId54" Type="http://schemas.openxmlformats.org/officeDocument/2006/relationships/hyperlink" Target="https://www.neumann.com/es-mx/products/microphones/km-184-series-180/" TargetMode="External"/><Relationship Id="rId57" Type="http://schemas.openxmlformats.org/officeDocument/2006/relationships/hyperlink" Target="https://www.neumann.com/es-mx/products/microphones/km-184-series-180/?variant=008523" TargetMode="External"/><Relationship Id="rId56" Type="http://schemas.openxmlformats.org/officeDocument/2006/relationships/hyperlink" Target="https://www.neumann.com/es-mx/products/microphones/km-184-series-180/?variant=008685" TargetMode="External"/><Relationship Id="rId59" Type="http://schemas.openxmlformats.org/officeDocument/2006/relationships/hyperlink" Target="https://www.neumann.com/es-mx/products/microphones/km-185-series-180/" TargetMode="External"/><Relationship Id="rId58" Type="http://schemas.openxmlformats.org/officeDocument/2006/relationships/hyperlink" Target="https://www.neumann.com/es-mx/products/microphones/km-184-series-180/?variant=008524" TargetMode="External"/><Relationship Id="rId107" Type="http://schemas.openxmlformats.org/officeDocument/2006/relationships/hyperlink" Target="https://www.neumann.com/en-gb/products/microphones/tlm-103/" TargetMode="External"/><Relationship Id="rId106" Type="http://schemas.openxmlformats.org/officeDocument/2006/relationships/hyperlink" Target="https://www.neumann.com/es-mx/products/microphones/tlm-67/" TargetMode="External"/><Relationship Id="rId105" Type="http://schemas.openxmlformats.org/officeDocument/2006/relationships/hyperlink" Target="https://www.neumann.com/es-mx/products/microphones/tlm-49-set/" TargetMode="External"/><Relationship Id="rId104" Type="http://schemas.openxmlformats.org/officeDocument/2006/relationships/hyperlink" Target="https://www.neumann.com/es-mx/products/microphones/tlm-193/" TargetMode="External"/><Relationship Id="rId109" Type="http://schemas.openxmlformats.org/officeDocument/2006/relationships/hyperlink" Target="https://www.neumann.com/es-mx/products/microphones/u-87-ai/?variant=007022" TargetMode="External"/><Relationship Id="rId108" Type="http://schemas.openxmlformats.org/officeDocument/2006/relationships/hyperlink" Target="https://www.neumann.com/en-gb/products/microphones/u-67-set/" TargetMode="External"/><Relationship Id="rId103" Type="http://schemas.openxmlformats.org/officeDocument/2006/relationships/hyperlink" Target="https://www.neumann.com/es-mx/products/microphones/tlm-170-r/?variant=008503" TargetMode="External"/><Relationship Id="rId102" Type="http://schemas.openxmlformats.org/officeDocument/2006/relationships/hyperlink" Target="https://www.neumann.com/es-mx/products/microphones/tlm-170-r/?variant=008504" TargetMode="External"/><Relationship Id="rId101" Type="http://schemas.openxmlformats.org/officeDocument/2006/relationships/hyperlink" Target="https://www.neumann.com/es-mx/products/microphones/tlm-170-r/?variant=007166" TargetMode="External"/><Relationship Id="rId100" Type="http://schemas.openxmlformats.org/officeDocument/2006/relationships/hyperlink" Target="https://www.neumann.com/es-mx/products/microphones/tlm-170-r/" TargetMode="External"/><Relationship Id="rId120" Type="http://schemas.openxmlformats.org/officeDocument/2006/relationships/drawing" Target="../drawings/drawing5.xml"/><Relationship Id="rId95" Type="http://schemas.openxmlformats.org/officeDocument/2006/relationships/hyperlink" Target="https://www.neumann.com/es-mx/products/microphones/tlm-103/" TargetMode="External"/><Relationship Id="rId94" Type="http://schemas.openxmlformats.org/officeDocument/2006/relationships/hyperlink" Target="https://www.neumann.com/en-gb/products/microphones/tlm-103/?variant=008508" TargetMode="External"/><Relationship Id="rId97" Type="http://schemas.openxmlformats.org/officeDocument/2006/relationships/hyperlink" Target="https://www.neumann.com/es-mx/products/microphones/tlm-107/?variant=008666" TargetMode="External"/><Relationship Id="rId96" Type="http://schemas.openxmlformats.org/officeDocument/2006/relationships/hyperlink" Target="https://www.neumann.com/es-mx/products/microphones/tlm-107/?variant=008667" TargetMode="External"/><Relationship Id="rId99" Type="http://schemas.openxmlformats.org/officeDocument/2006/relationships/hyperlink" Target="https://www.neumann.com/es-mx/products/microphones/tlm-107/?variant=008674" TargetMode="External"/><Relationship Id="rId98" Type="http://schemas.openxmlformats.org/officeDocument/2006/relationships/hyperlink" Target="https://www.neumann.com/es-mx/products/microphones/tlm-107/?variant=008673" TargetMode="External"/><Relationship Id="rId91" Type="http://schemas.openxmlformats.org/officeDocument/2006/relationships/hyperlink" Target="https://www.neumann.com/en-gb/products/microphones/tlm-103/?variant=008431" TargetMode="External"/><Relationship Id="rId90" Type="http://schemas.openxmlformats.org/officeDocument/2006/relationships/hyperlink" Target="https://www.neumann.com/es-mx/products/microphones/tlm-103/" TargetMode="External"/><Relationship Id="rId93" Type="http://schemas.openxmlformats.org/officeDocument/2006/relationships/hyperlink" Target="https://www.neumann.com/en-gb/products/microphones/tlm-103/?variant=008544" TargetMode="External"/><Relationship Id="rId92" Type="http://schemas.openxmlformats.org/officeDocument/2006/relationships/hyperlink" Target="https://www.neumann.com/en-gb/products/microphones/tlm-103/?variant=008502" TargetMode="External"/><Relationship Id="rId118" Type="http://schemas.openxmlformats.org/officeDocument/2006/relationships/hyperlink" Target="https://www.neumann.com/en-gb/products/microphones/usm-69-i/?variant=006976" TargetMode="External"/><Relationship Id="rId117" Type="http://schemas.openxmlformats.org/officeDocument/2006/relationships/hyperlink" Target="https://www.neumann.com/es-mx/products/microphones/usm-69-i/" TargetMode="External"/><Relationship Id="rId116" Type="http://schemas.openxmlformats.org/officeDocument/2006/relationships/hyperlink" Target="https://www.neumann.com/es-mx/products/microphones/u-89-i/?variant=006450" TargetMode="External"/><Relationship Id="rId115" Type="http://schemas.openxmlformats.org/officeDocument/2006/relationships/hyperlink" Target="https://www.neumann.com/es-mx/products/microphones/u-89-i/" TargetMode="External"/><Relationship Id="rId119" Type="http://schemas.openxmlformats.org/officeDocument/2006/relationships/hyperlink" Target="https://www.neumann.com/de-de/produkte/microphones/usm-69-i/" TargetMode="External"/><Relationship Id="rId110" Type="http://schemas.openxmlformats.org/officeDocument/2006/relationships/hyperlink" Target="https://www.neumann.com/es-mx/products/microphones/u-87-ai/?variant=007023" TargetMode="External"/><Relationship Id="rId114" Type="http://schemas.openxmlformats.org/officeDocument/2006/relationships/hyperlink" Target="https://www.neumann.com/en-gb/products/microphones/u-87-ai/?variant=008660" TargetMode="External"/><Relationship Id="rId113" Type="http://schemas.openxmlformats.org/officeDocument/2006/relationships/hyperlink" Target="https://www.neumann.com/en-gb/products/microphones/u-87-ai/?variant=008505" TargetMode="External"/><Relationship Id="rId112" Type="http://schemas.openxmlformats.org/officeDocument/2006/relationships/hyperlink" Target="https://www.neumann.com/es-mx/products/microphones/u-87-ai/?variant=008661" TargetMode="External"/><Relationship Id="rId111" Type="http://schemas.openxmlformats.org/officeDocument/2006/relationships/hyperlink" Target="https://www.neumann.com/es-mx/products/microphones/u-87-ai/?variant=008506"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xilica.com/solaro/" TargetMode="External"/><Relationship Id="rId2" Type="http://schemas.openxmlformats.org/officeDocument/2006/relationships/hyperlink" Target="https://www.xilica.com/solaro/" TargetMode="External"/><Relationship Id="rId3" Type="http://schemas.openxmlformats.org/officeDocument/2006/relationships/hyperlink" Target="https://www.ambertech.com.au/2-mic-line-inputs-solaro-pc-2ml-i-xilica" TargetMode="External"/><Relationship Id="rId4" Type="http://schemas.openxmlformats.org/officeDocument/2006/relationships/hyperlink" Target="https://www.xilica.com/products/solaro-xc-slo/" TargetMode="External"/><Relationship Id="rId9" Type="http://schemas.openxmlformats.org/officeDocument/2006/relationships/hyperlink" Target="https://www.xilica.com/sonia/" TargetMode="External"/><Relationship Id="rId5" Type="http://schemas.openxmlformats.org/officeDocument/2006/relationships/hyperlink" Target="https://www.xilica.com/products/solaro-xc-sgp/" TargetMode="External"/><Relationship Id="rId6" Type="http://schemas.openxmlformats.org/officeDocument/2006/relationships/hyperlink" Target="https://www.xilica.com/gio/" TargetMode="External"/><Relationship Id="rId7" Type="http://schemas.openxmlformats.org/officeDocument/2006/relationships/hyperlink" Target="https://www.xilica.com/gio/" TargetMode="External"/><Relationship Id="rId8" Type="http://schemas.openxmlformats.org/officeDocument/2006/relationships/hyperlink" Target="https://www.xilica.com/gio/" TargetMode="External"/><Relationship Id="rId11" Type="http://schemas.openxmlformats.org/officeDocument/2006/relationships/drawing" Target="../drawings/drawing7.xml"/><Relationship Id="rId10" Type="http://schemas.openxmlformats.org/officeDocument/2006/relationships/hyperlink" Target="https://www.exertisalmo.com/productdetails/XILICA/SONIA%20AMP"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allen-heath.com/hardware/qu/qu-16/" TargetMode="External"/><Relationship Id="rId2" Type="http://schemas.openxmlformats.org/officeDocument/2006/relationships/hyperlink" Target="https://www.allen-heath.com/hardware/qu/qu-24/" TargetMode="External"/><Relationship Id="rId3" Type="http://schemas.openxmlformats.org/officeDocument/2006/relationships/hyperlink" Target="https://www.allen-heath.com/hardware/qu/qu-32/" TargetMode="External"/><Relationship Id="rId4" Type="http://schemas.openxmlformats.org/officeDocument/2006/relationships/hyperlink" Target="https://www.allen-heath.com/hardware/qu/qu-pac/" TargetMode="External"/><Relationship Id="rId9" Type="http://schemas.openxmlformats.org/officeDocument/2006/relationships/hyperlink" Target="https://www.allen-heath.com/hardware/qu/qu-6-qu-6d/" TargetMode="External"/><Relationship Id="rId5" Type="http://schemas.openxmlformats.org/officeDocument/2006/relationships/hyperlink" Target="https://www.allen-heath.com/hardware/qu/qu-sb/" TargetMode="External"/><Relationship Id="rId6" Type="http://schemas.openxmlformats.org/officeDocument/2006/relationships/hyperlink" Target="https://www.allen-heath.com/hardware/qu/qu-5-qu-5d/" TargetMode="External"/><Relationship Id="rId7" Type="http://schemas.openxmlformats.org/officeDocument/2006/relationships/hyperlink" Target="https://www.allen-heath.com/hardware/qu/qu-5-qu-5d/" TargetMode="External"/><Relationship Id="rId8" Type="http://schemas.openxmlformats.org/officeDocument/2006/relationships/hyperlink" Target="https://www.allen-heath.com/hardware/qu/qu-6-qu-6d/" TargetMode="External"/><Relationship Id="rId40" Type="http://schemas.openxmlformats.org/officeDocument/2006/relationships/hyperlink" Target="https://www.allen-heath.com/hardware/dlive-series/dlive-surfaces/" TargetMode="External"/><Relationship Id="rId42" Type="http://schemas.openxmlformats.org/officeDocument/2006/relationships/hyperlink" Target="https://www.allen-heath.com/hardware/dlive-series/dlive-mixracks/" TargetMode="External"/><Relationship Id="rId41" Type="http://schemas.openxmlformats.org/officeDocument/2006/relationships/hyperlink" Target="https://www.allen-heath.com/hardware/dlive-series/dlive-surfaces/" TargetMode="External"/><Relationship Id="rId44" Type="http://schemas.openxmlformats.org/officeDocument/2006/relationships/hyperlink" Target="https://www.allen-heath.com/hardware/dlive-series/dlive-mixracks/" TargetMode="External"/><Relationship Id="rId43" Type="http://schemas.openxmlformats.org/officeDocument/2006/relationships/hyperlink" Target="https://www.allen-heath.com/hardware/dlive-series/dlive-mixracks/" TargetMode="External"/><Relationship Id="rId46" Type="http://schemas.openxmlformats.org/officeDocument/2006/relationships/hyperlink" Target="https://www.allen-heath.com/hardware/everything-i-o/dx32/" TargetMode="External"/><Relationship Id="rId45" Type="http://schemas.openxmlformats.org/officeDocument/2006/relationships/hyperlink" Target="https://www.allen-heath.com/hardware/dlive-series/dlive-mixracks/" TargetMode="External"/><Relationship Id="rId48" Type="http://schemas.openxmlformats.org/officeDocument/2006/relationships/hyperlink" Target="https://www.allen-heath.com/hardware/ip-series/ip1/" TargetMode="External"/><Relationship Id="rId47" Type="http://schemas.openxmlformats.org/officeDocument/2006/relationships/hyperlink" Target="https://www.allen-heath.com/hardware/ip-series/ip1/" TargetMode="External"/><Relationship Id="rId49" Type="http://schemas.openxmlformats.org/officeDocument/2006/relationships/hyperlink" Target="https://www.allen-heath.com/hardware/ip-series/ip6/" TargetMode="External"/><Relationship Id="rId31" Type="http://schemas.openxmlformats.org/officeDocument/2006/relationships/hyperlink" Target="https://www.allen-heath.com/hardware/cq/cq-accessories/" TargetMode="External"/><Relationship Id="rId30" Type="http://schemas.openxmlformats.org/officeDocument/2006/relationships/hyperlink" Target="https://www.allen-heath.com/hardware/cq/cq-accessories/" TargetMode="External"/><Relationship Id="rId33" Type="http://schemas.openxmlformats.org/officeDocument/2006/relationships/hyperlink" Target="https://www.allen-heath.com/hardware/dlive-series/dlive-surfaces/" TargetMode="External"/><Relationship Id="rId32" Type="http://schemas.openxmlformats.org/officeDocument/2006/relationships/hyperlink" Target="https://www.allen-heath.com/hardware/dlive-series/dlive-surfaces/" TargetMode="External"/><Relationship Id="rId35" Type="http://schemas.openxmlformats.org/officeDocument/2006/relationships/hyperlink" Target="https://www.allen-heath.com/hardware/dlive-series/dlive-surfaces/" TargetMode="External"/><Relationship Id="rId34" Type="http://schemas.openxmlformats.org/officeDocument/2006/relationships/hyperlink" Target="https://www.allen-heath.com/hardware/dlive-series/dlive-surfaces/" TargetMode="External"/><Relationship Id="rId37" Type="http://schemas.openxmlformats.org/officeDocument/2006/relationships/hyperlink" Target="https://www.allen-heath.com/hardware/dlive-series/dlive-mixracks/" TargetMode="External"/><Relationship Id="rId36" Type="http://schemas.openxmlformats.org/officeDocument/2006/relationships/hyperlink" Target="https://www.allen-heath.com/hardware/dlive-series/dlive-mixracks/" TargetMode="External"/><Relationship Id="rId39" Type="http://schemas.openxmlformats.org/officeDocument/2006/relationships/hyperlink" Target="https://www.allen-heath.com/hardware/dlive-series/dlive-surfaces/" TargetMode="External"/><Relationship Id="rId38" Type="http://schemas.openxmlformats.org/officeDocument/2006/relationships/hyperlink" Target="https://www.allen-heath.com/hardware/dlive-series/dlive-mixracks/" TargetMode="External"/><Relationship Id="rId20" Type="http://schemas.openxmlformats.org/officeDocument/2006/relationships/hyperlink" Target="https://www.allen-heath.com/hardware/audio-networking/sq-madi/" TargetMode="External"/><Relationship Id="rId22" Type="http://schemas.openxmlformats.org/officeDocument/2006/relationships/hyperlink" Target="https://www.allen-heath.com/hardware/cq/cq-accessories/" TargetMode="External"/><Relationship Id="rId21" Type="http://schemas.openxmlformats.org/officeDocument/2006/relationships/hyperlink" Target="https://www.allen-heath.com/hardware/avantis/" TargetMode="External"/><Relationship Id="rId24" Type="http://schemas.openxmlformats.org/officeDocument/2006/relationships/hyperlink" Target="https://www.allen-heath.com/hardware/cq/cq-18t/" TargetMode="External"/><Relationship Id="rId23" Type="http://schemas.openxmlformats.org/officeDocument/2006/relationships/hyperlink" Target="https://www.allen-heath.com/hardware/cq/cq-12t/" TargetMode="External"/><Relationship Id="rId26" Type="http://schemas.openxmlformats.org/officeDocument/2006/relationships/hyperlink" Target="https://www.allen-heath.com/hardware/cq/cq-accessories/" TargetMode="External"/><Relationship Id="rId25" Type="http://schemas.openxmlformats.org/officeDocument/2006/relationships/hyperlink" Target="https://www.allen-heath.com/hardware/cq/cq-20b/" TargetMode="External"/><Relationship Id="rId28" Type="http://schemas.openxmlformats.org/officeDocument/2006/relationships/hyperlink" Target="https://www.allen-heath.com/hardware/cq/cq-accessories/" TargetMode="External"/><Relationship Id="rId27" Type="http://schemas.openxmlformats.org/officeDocument/2006/relationships/hyperlink" Target="https://www.allen-heath.com/hardware/cq/cq-accessories/" TargetMode="External"/><Relationship Id="rId29" Type="http://schemas.openxmlformats.org/officeDocument/2006/relationships/hyperlink" Target="https://www.allen-heath.com/hardware/cq/cq-accessories/" TargetMode="External"/><Relationship Id="rId11" Type="http://schemas.openxmlformats.org/officeDocument/2006/relationships/hyperlink" Target="https://www.allen-heath.com/hardware/audio-networking/sq-dante-64/" TargetMode="External"/><Relationship Id="rId10" Type="http://schemas.openxmlformats.org/officeDocument/2006/relationships/hyperlink" Target="https://www.allen-heath.com/hardware/qu/qu-7-qu-7d/" TargetMode="External"/><Relationship Id="rId13" Type="http://schemas.openxmlformats.org/officeDocument/2006/relationships/hyperlink" Target="https://www.allen-heath.com/hardware/sq/" TargetMode="External"/><Relationship Id="rId12" Type="http://schemas.openxmlformats.org/officeDocument/2006/relationships/hyperlink" Target="https://www.allen-heath.com/hardware/sq/" TargetMode="External"/><Relationship Id="rId15" Type="http://schemas.openxmlformats.org/officeDocument/2006/relationships/hyperlink" Target="https://www.allen-heath.com/hardware/sq/" TargetMode="External"/><Relationship Id="rId14" Type="http://schemas.openxmlformats.org/officeDocument/2006/relationships/hyperlink" Target="https://www.allen-heath.com/hardware/sq/" TargetMode="External"/><Relationship Id="rId17" Type="http://schemas.openxmlformats.org/officeDocument/2006/relationships/hyperlink" Target="https://www.allen-heath.com/hardware/audio-networking/sq-dante-32/" TargetMode="External"/><Relationship Id="rId16" Type="http://schemas.openxmlformats.org/officeDocument/2006/relationships/hyperlink" Target="https://www.allen-heath.com/hardware/audio-networking/sq-dante-64/" TargetMode="External"/><Relationship Id="rId19" Type="http://schemas.openxmlformats.org/officeDocument/2006/relationships/hyperlink" Target="https://www.allen-heath.com/hardware/audio-networking/sq-slink/" TargetMode="External"/><Relationship Id="rId18" Type="http://schemas.openxmlformats.org/officeDocument/2006/relationships/hyperlink" Target="https://www.allen-heath.com/hardware/audio-networking/sq-waves/" TargetMode="External"/><Relationship Id="rId84" Type="http://schemas.openxmlformats.org/officeDocument/2006/relationships/hyperlink" Target="https://www.allen-heath.com/hardware/everything-i-o/ar2412/" TargetMode="External"/><Relationship Id="rId83" Type="http://schemas.openxmlformats.org/officeDocument/2006/relationships/hyperlink" Target="https://www.allen-heath.com/hardware/everything-i-o/ar84/" TargetMode="External"/><Relationship Id="rId86" Type="http://schemas.openxmlformats.org/officeDocument/2006/relationships/hyperlink" Target="https://www.allen-heath.com/hardware/everything-i-o/dt02/" TargetMode="External"/><Relationship Id="rId85" Type="http://schemas.openxmlformats.org/officeDocument/2006/relationships/hyperlink" Target="https://www.allen-heath.com/hardware/everything-i-o/ab168/" TargetMode="External"/><Relationship Id="rId88" Type="http://schemas.openxmlformats.org/officeDocument/2006/relationships/hyperlink" Target="https://www.allen-heath.com/hardware/everything-i-o/dt22/" TargetMode="External"/><Relationship Id="rId87" Type="http://schemas.openxmlformats.org/officeDocument/2006/relationships/hyperlink" Target="https://www.allen-heath.com/hardware/everything-i-o/dt20/" TargetMode="External"/><Relationship Id="rId89" Type="http://schemas.openxmlformats.org/officeDocument/2006/relationships/hyperlink" Target="https://www.allen-heath.com/hardware/everything-i-o/dt02/" TargetMode="External"/><Relationship Id="rId80" Type="http://schemas.openxmlformats.org/officeDocument/2006/relationships/hyperlink" Target="https://www.allen-heath.com/hardware/everything-i-o/dx88-p/" TargetMode="External"/><Relationship Id="rId82" Type="http://schemas.openxmlformats.org/officeDocument/2006/relationships/hyperlink" Target="https://www.allen-heath.com/hardware/everything-i-o/dt164-w/" TargetMode="External"/><Relationship Id="rId81" Type="http://schemas.openxmlformats.org/officeDocument/2006/relationships/hyperlink" Target="https://www.allen-heath.com/hardware/everything-i-o/dt168/" TargetMode="External"/><Relationship Id="rId73" Type="http://schemas.openxmlformats.org/officeDocument/2006/relationships/hyperlink" Target="https://www.allen-heath.com/hardware/cc-7-cc-10/" TargetMode="External"/><Relationship Id="rId72" Type="http://schemas.openxmlformats.org/officeDocument/2006/relationships/hyperlink" Target="https://www.allen-heath.com/hardware/cc-7-cc-10/" TargetMode="External"/><Relationship Id="rId75" Type="http://schemas.openxmlformats.org/officeDocument/2006/relationships/hyperlink" Target="https://www.allen-heath.com/hardware/cc-7-cc-10/" TargetMode="External"/><Relationship Id="rId74" Type="http://schemas.openxmlformats.org/officeDocument/2006/relationships/hyperlink" Target="https://www.allen-heath.com/hardware/cc-7-cc-10/" TargetMode="External"/><Relationship Id="rId77" Type="http://schemas.openxmlformats.org/officeDocument/2006/relationships/hyperlink" Target="https://www.allen-heath.com/hardware/everything-i-o/dx012/" TargetMode="External"/><Relationship Id="rId76" Type="http://schemas.openxmlformats.org/officeDocument/2006/relationships/hyperlink" Target="https://www.allen-heath.com/hardware/everything-i-o/gx4816/" TargetMode="External"/><Relationship Id="rId79" Type="http://schemas.openxmlformats.org/officeDocument/2006/relationships/hyperlink" Target="https://www.allen-heath.com/hardware/everything-i-o/dx164-w/" TargetMode="External"/><Relationship Id="rId78" Type="http://schemas.openxmlformats.org/officeDocument/2006/relationships/hyperlink" Target="https://www.allen-heath.com/hardware/everything-i-o/dx168/" TargetMode="External"/><Relationship Id="rId71" Type="http://schemas.openxmlformats.org/officeDocument/2006/relationships/hyperlink" Target="https://www.allen-heath.com/hardware/everything-i-o/gx4816/" TargetMode="External"/><Relationship Id="rId70" Type="http://schemas.openxmlformats.org/officeDocument/2006/relationships/hyperlink" Target="https://www.allen-heath.com/hardware/ahm/acoustic-echo-cancellation/" TargetMode="External"/><Relationship Id="rId62" Type="http://schemas.openxmlformats.org/officeDocument/2006/relationships/hyperlink" Target="https://www.allen-heath.com/hardware/audio-networking/gigaace/" TargetMode="External"/><Relationship Id="rId61" Type="http://schemas.openxmlformats.org/officeDocument/2006/relationships/hyperlink" Target="https://www.allen-heath.com/hardware/ahm/ahm-16/" TargetMode="External"/><Relationship Id="rId64" Type="http://schemas.openxmlformats.org/officeDocument/2006/relationships/hyperlink" Target="https://www.allen-heath.com/hardware/ahm/acoustic-echo-cancellation/" TargetMode="External"/><Relationship Id="rId63" Type="http://schemas.openxmlformats.org/officeDocument/2006/relationships/hyperlink" Target="https://www.allen-heath.com/hardware/audio-networking/waves-v3/" TargetMode="External"/><Relationship Id="rId66" Type="http://schemas.openxmlformats.org/officeDocument/2006/relationships/hyperlink" Target="https://www.allen-heath.com/hardware/ahm/ahm-16/" TargetMode="External"/><Relationship Id="rId65" Type="http://schemas.openxmlformats.org/officeDocument/2006/relationships/hyperlink" Target="https://www.allen-heath.com/hardware/ahm/acoustic-echo-cancellation/" TargetMode="External"/><Relationship Id="rId68" Type="http://schemas.openxmlformats.org/officeDocument/2006/relationships/hyperlink" Target="https://www.allen-heath.com/hardware/ahm/ahm-64/" TargetMode="External"/><Relationship Id="rId67" Type="http://schemas.openxmlformats.org/officeDocument/2006/relationships/hyperlink" Target="https://www.allen-heath.com/hardware/ahm/ahm-32/" TargetMode="External"/><Relationship Id="rId60" Type="http://schemas.openxmlformats.org/officeDocument/2006/relationships/hyperlink" Target="https://www.allen-heath.com/hardware/audio-networking/m-dl-adapt/" TargetMode="External"/><Relationship Id="rId69" Type="http://schemas.openxmlformats.org/officeDocument/2006/relationships/hyperlink" Target="https://www.allen-heath.com/hardware/ahm/acoustic-echo-cancellation/" TargetMode="External"/><Relationship Id="rId51" Type="http://schemas.openxmlformats.org/officeDocument/2006/relationships/hyperlink" Target="https://www.allen-heath.com/hardware/everything-i-o/dx-hub/" TargetMode="External"/><Relationship Id="rId50" Type="http://schemas.openxmlformats.org/officeDocument/2006/relationships/hyperlink" Target="https://www.allen-heath.com/hardware/ip-series/ip8/" TargetMode="External"/><Relationship Id="rId53" Type="http://schemas.openxmlformats.org/officeDocument/2006/relationships/hyperlink" Target="https://www.allen-heath.com/hardware/audio-networking/dx-link/" TargetMode="External"/><Relationship Id="rId52" Type="http://schemas.openxmlformats.org/officeDocument/2006/relationships/hyperlink" Target="https://www.allen-heath.com/hardware/controllers/gpio/" TargetMode="External"/><Relationship Id="rId55" Type="http://schemas.openxmlformats.org/officeDocument/2006/relationships/hyperlink" Target="https://www.allen-heath.com/hardware/audio-networking/dante-64x64/" TargetMode="External"/><Relationship Id="rId54" Type="http://schemas.openxmlformats.org/officeDocument/2006/relationships/hyperlink" Target="https://www.allen-heath.com/hardware/audio-networking/m-dl-adapt/" TargetMode="External"/><Relationship Id="rId57" Type="http://schemas.openxmlformats.org/officeDocument/2006/relationships/hyperlink" Target="https://www.allen-heath.com/hardware/audio-networking/fibreace/" TargetMode="External"/><Relationship Id="rId56" Type="http://schemas.openxmlformats.org/officeDocument/2006/relationships/hyperlink" Target="https://www.allen-heath.com/hardware/audio-networking/dante-128x128/" TargetMode="External"/><Relationship Id="rId59" Type="http://schemas.openxmlformats.org/officeDocument/2006/relationships/hyperlink" Target="https://www.allen-heath.com/hardware/audio-networking/dx-link/" TargetMode="External"/><Relationship Id="rId58" Type="http://schemas.openxmlformats.org/officeDocument/2006/relationships/hyperlink" Target="https://www.allen-heath.com/hardware/audio-networking/supermadi/" TargetMode="External"/><Relationship Id="rId107" Type="http://schemas.openxmlformats.org/officeDocument/2006/relationships/hyperlink" Target="https://www.allen-heath.com/hardware/zed-series/zed-compact/" TargetMode="External"/><Relationship Id="rId106" Type="http://schemas.openxmlformats.org/officeDocument/2006/relationships/hyperlink" Target="https://www.allen-heath.com/hardware/zed-series/zed-compact/" TargetMode="External"/><Relationship Id="rId105" Type="http://schemas.openxmlformats.org/officeDocument/2006/relationships/hyperlink" Target="https://playdifferently.org/model1-4/" TargetMode="External"/><Relationship Id="rId104" Type="http://schemas.openxmlformats.org/officeDocument/2006/relationships/hyperlink" Target="https://playdifferently.org/model1/" TargetMode="External"/><Relationship Id="rId109" Type="http://schemas.openxmlformats.org/officeDocument/2006/relationships/hyperlink" Target="https://www.allen-heath.com/hardware/zed-series/zedi-compact/" TargetMode="External"/><Relationship Id="rId108" Type="http://schemas.openxmlformats.org/officeDocument/2006/relationships/hyperlink" Target="https://www.allen-heath.com/hardware/zed-series/zedi-compact/" TargetMode="External"/><Relationship Id="rId103" Type="http://schemas.openxmlformats.org/officeDocument/2006/relationships/hyperlink" Target="https://www.allen-heath.com/hardware/xone-series/xonek2/" TargetMode="External"/><Relationship Id="rId102" Type="http://schemas.openxmlformats.org/officeDocument/2006/relationships/hyperlink" Target="https://www.allen-heath.com/hardware/xone-series/xone23c/" TargetMode="External"/><Relationship Id="rId101" Type="http://schemas.openxmlformats.org/officeDocument/2006/relationships/hyperlink" Target="https://www.allen-heath.com/hardware/xone-series/xone23/" TargetMode="External"/><Relationship Id="rId100" Type="http://schemas.openxmlformats.org/officeDocument/2006/relationships/hyperlink" Target="https://www.allen-heath.com/hardware/xone-series/xone43/" TargetMode="External"/><Relationship Id="rId121" Type="http://schemas.openxmlformats.org/officeDocument/2006/relationships/hyperlink" Target="https://www.allen-heath.com/hardware/zed-series/zed-max/" TargetMode="External"/><Relationship Id="rId120" Type="http://schemas.openxmlformats.org/officeDocument/2006/relationships/hyperlink" Target="https://www.allen-heath.com/hardware/zed-series/zed-mid/" TargetMode="External"/><Relationship Id="rId125" Type="http://schemas.openxmlformats.org/officeDocument/2006/relationships/drawing" Target="../drawings/drawing8.xml"/><Relationship Id="rId124" Type="http://schemas.openxmlformats.org/officeDocument/2006/relationships/hyperlink" Target="https://www.allen-heath.com/hardware/xb-series/" TargetMode="External"/><Relationship Id="rId123" Type="http://schemas.openxmlformats.org/officeDocument/2006/relationships/hyperlink" Target="https://www.allen-heath.com/hardware/zed-series/zed-max/" TargetMode="External"/><Relationship Id="rId122" Type="http://schemas.openxmlformats.org/officeDocument/2006/relationships/hyperlink" Target="https://www.allen-heath.com/hardware/zed-series/zed-max/" TargetMode="External"/><Relationship Id="rId95" Type="http://schemas.openxmlformats.org/officeDocument/2006/relationships/hyperlink" Target="https://www.allen-heath.com/hardware/me-series/me-u/" TargetMode="External"/><Relationship Id="rId94" Type="http://schemas.openxmlformats.org/officeDocument/2006/relationships/hyperlink" Target="https://www.allen-heath.com/hardware/me-series/me-1/" TargetMode="External"/><Relationship Id="rId97" Type="http://schemas.openxmlformats.org/officeDocument/2006/relationships/hyperlink" Target="https://www.allen-heath.com/hardware/xone-series/xone96/" TargetMode="External"/><Relationship Id="rId96" Type="http://schemas.openxmlformats.org/officeDocument/2006/relationships/hyperlink" Target="https://www.allen-heath.com/hardware/xone-series/xone92/" TargetMode="External"/><Relationship Id="rId99" Type="http://schemas.openxmlformats.org/officeDocument/2006/relationships/hyperlink" Target="https://www.allen-heath.com/hardware/xone-series/xone92/" TargetMode="External"/><Relationship Id="rId98" Type="http://schemas.openxmlformats.org/officeDocument/2006/relationships/hyperlink" Target="https://www.allen-heath.com/hardware/xone-series/xonepx5/" TargetMode="External"/><Relationship Id="rId91" Type="http://schemas.openxmlformats.org/officeDocument/2006/relationships/hyperlink" Target="https://www.allen-heath.com/hardware/xone-series/xone96/" TargetMode="External"/><Relationship Id="rId90" Type="http://schemas.openxmlformats.org/officeDocument/2006/relationships/hyperlink" Target="https://www.allen-heath.com/hardware/everything-i-o/dt20/" TargetMode="External"/><Relationship Id="rId93" Type="http://schemas.openxmlformats.org/officeDocument/2006/relationships/hyperlink" Target="https://www.allen-heath.com/hardware/me-series/me-500/" TargetMode="External"/><Relationship Id="rId92" Type="http://schemas.openxmlformats.org/officeDocument/2006/relationships/hyperlink" Target="https://www.allen-heath.com/hardware/xone-series/xonepx5/" TargetMode="External"/><Relationship Id="rId118" Type="http://schemas.openxmlformats.org/officeDocument/2006/relationships/hyperlink" Target="https://www.allen-heath.com/hardware/zed-series/zed-mid/" TargetMode="External"/><Relationship Id="rId117" Type="http://schemas.openxmlformats.org/officeDocument/2006/relationships/hyperlink" Target="https://www.allen-heath.com/hardware/zed-series/zed-mini/" TargetMode="External"/><Relationship Id="rId116" Type="http://schemas.openxmlformats.org/officeDocument/2006/relationships/hyperlink" Target="https://www.allen-heath.com/hardware/zed-series/zed-mid/" TargetMode="External"/><Relationship Id="rId115" Type="http://schemas.openxmlformats.org/officeDocument/2006/relationships/hyperlink" Target="https://www.allen-heath.com/hardware/zed-series/zed-mid/" TargetMode="External"/><Relationship Id="rId119" Type="http://schemas.openxmlformats.org/officeDocument/2006/relationships/hyperlink" Target="https://www.allen-heath.com/hardware/zed-series/zed-mid/" TargetMode="External"/><Relationship Id="rId110" Type="http://schemas.openxmlformats.org/officeDocument/2006/relationships/hyperlink" Target="https://www.allen-heath.com/hardware/zed-series/zedi-compact/" TargetMode="External"/><Relationship Id="rId114" Type="http://schemas.openxmlformats.org/officeDocument/2006/relationships/hyperlink" Target="https://www.allen-heath.com/hardware/zed-series/zed-mid/" TargetMode="External"/><Relationship Id="rId113" Type="http://schemas.openxmlformats.org/officeDocument/2006/relationships/hyperlink" Target="https://www.allen-heath.com/hardware/zed-series/zed-mini/" TargetMode="External"/><Relationship Id="rId112" Type="http://schemas.openxmlformats.org/officeDocument/2006/relationships/hyperlink" Target="https://www.allen-heath.com/hardware/zed-series/zed-mini/" TargetMode="External"/><Relationship Id="rId111" Type="http://schemas.openxmlformats.org/officeDocument/2006/relationships/hyperlink" Target="https://www.allen-heath.com/hardware/zed-series/zed-mini/"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uaudio.com/uad-plugins/sd-1-standard-dynamic-microphone.html" TargetMode="External"/><Relationship Id="rId3" Type="http://schemas.openxmlformats.org/officeDocument/2006/relationships/hyperlink" Target="https://www.uaudio.com/uad-plugins/sp-1-standard-pencil-microphones.html" TargetMode="External"/><Relationship Id="rId4" Type="http://schemas.openxmlformats.org/officeDocument/2006/relationships/hyperlink" Target="https://www.uaudio.com/uad-plugins/ua-bock-187.html" TargetMode="External"/><Relationship Id="rId9" Type="http://schemas.openxmlformats.org/officeDocument/2006/relationships/hyperlink" Target="https://www.uaudio.com/uad-plugins/ua-bock-167.html" TargetMode="External"/><Relationship Id="rId5" Type="http://schemas.openxmlformats.org/officeDocument/2006/relationships/hyperlink" Target="https://www.uaudio.com/microphones/sd-3-dynamic-microphone.html" TargetMode="External"/><Relationship Id="rId6" Type="http://schemas.openxmlformats.org/officeDocument/2006/relationships/hyperlink" Target="https://www.uaudio.com/uad-plugins/ua-bock-251.html" TargetMode="External"/><Relationship Id="rId7" Type="http://schemas.openxmlformats.org/officeDocument/2006/relationships/hyperlink" Target="https://www.uaudio.com/microphones/ua-sphere-lx-modeling-microphone.html" TargetMode="External"/><Relationship Id="rId8" Type="http://schemas.openxmlformats.org/officeDocument/2006/relationships/hyperlink" Target="https://www.uaudio.com/uad-plugins/ua-bock-187.html" TargetMode="External"/><Relationship Id="rId40" Type="http://schemas.openxmlformats.org/officeDocument/2006/relationships/hyperlink" Target="https://www.uaudio.com/audio-interfaces/apollo-x16.html" TargetMode="External"/><Relationship Id="rId42" Type="http://schemas.openxmlformats.org/officeDocument/2006/relationships/hyperlink" Target="https://www.uaudio.com/uad-plugins/apollo-twin-x.html" TargetMode="External"/><Relationship Id="rId41" Type="http://schemas.openxmlformats.org/officeDocument/2006/relationships/hyperlink" Target="https://www.uaudio.com/uad-plugins/apollo-twin-mkii.html" TargetMode="External"/><Relationship Id="rId44" Type="http://schemas.openxmlformats.org/officeDocument/2006/relationships/hyperlink" Target="https://www.uaudio.com/uad-plugins/apollo-x4.html" TargetMode="External"/><Relationship Id="rId43" Type="http://schemas.openxmlformats.org/officeDocument/2006/relationships/hyperlink" Target="https://www.uaudio.com/uad-plugins/apollo-twin-x.html" TargetMode="External"/><Relationship Id="rId46" Type="http://schemas.openxmlformats.org/officeDocument/2006/relationships/hyperlink" Target="https://www.uaudio.com/uad-plugins/apollo-x6.html" TargetMode="External"/><Relationship Id="rId45" Type="http://schemas.openxmlformats.org/officeDocument/2006/relationships/hyperlink" Target="https://www.uaudio.com/uad-plugins/apollo-x6.html" TargetMode="External"/><Relationship Id="rId48" Type="http://schemas.openxmlformats.org/officeDocument/2006/relationships/hyperlink" Target="https://www.uaudio.com/uad-plugins/apollo-x8.html" TargetMode="External"/><Relationship Id="rId47" Type="http://schemas.openxmlformats.org/officeDocument/2006/relationships/hyperlink" Target="https://www.uaudio.com/uad-plugins/apollo-x8.html" TargetMode="External"/><Relationship Id="rId49" Type="http://schemas.openxmlformats.org/officeDocument/2006/relationships/hyperlink" Target="https://www.uaudio.com/uad-plugins/apollo-x8p.html" TargetMode="External"/><Relationship Id="rId31" Type="http://schemas.openxmlformats.org/officeDocument/2006/relationships/hyperlink" Target="https://help.uaudio.com/hc/en-us/articles/360058719651-Power-Supply-PSU-Info-for-UAFX-Pedals" TargetMode="External"/><Relationship Id="rId30" Type="http://schemas.openxmlformats.org/officeDocument/2006/relationships/hyperlink" Target="https://www.uaudio.com/guitar-pedals/1176-studio-compressor-pedal.html" TargetMode="External"/><Relationship Id="rId33" Type="http://schemas.openxmlformats.org/officeDocument/2006/relationships/hyperlink" Target="https://www.uaudio.com/audio-interfaces/apollo-x16d.html" TargetMode="External"/><Relationship Id="rId32" Type="http://schemas.openxmlformats.org/officeDocument/2006/relationships/hyperlink" Target="https://www.uaudio.com/audio-interfaces/apollo-x16d.html" TargetMode="External"/><Relationship Id="rId35" Type="http://schemas.openxmlformats.org/officeDocument/2006/relationships/hyperlink" Target="https://www.uaudio.com/audio-interfaces/apollo-twin-x.html" TargetMode="External"/><Relationship Id="rId34" Type="http://schemas.openxmlformats.org/officeDocument/2006/relationships/hyperlink" Target="https://www.uaudio.com/audio-interfaces/apollo-x6.html" TargetMode="External"/><Relationship Id="rId37" Type="http://schemas.openxmlformats.org/officeDocument/2006/relationships/hyperlink" Target="https://www.uaudio.com/audio-interfaces/apollo-x6.html" TargetMode="External"/><Relationship Id="rId36" Type="http://schemas.openxmlformats.org/officeDocument/2006/relationships/hyperlink" Target="https://www.uaudio.com/audio-interfaces/apollo-twin-x.html" TargetMode="External"/><Relationship Id="rId39" Type="http://schemas.openxmlformats.org/officeDocument/2006/relationships/hyperlink" Target="https://www.uaudio.com/audio-interfaces/apollo-x8p.html" TargetMode="External"/><Relationship Id="rId38" Type="http://schemas.openxmlformats.org/officeDocument/2006/relationships/hyperlink" Target="https://www.uaudio.com/audio-interfaces/apollo-x8.html" TargetMode="External"/><Relationship Id="rId20" Type="http://schemas.openxmlformats.org/officeDocument/2006/relationships/hyperlink" Target="https://www.uaudio.com/guitar-pedals/max-preamp-dual-compressor.html" TargetMode="External"/><Relationship Id="rId22" Type="http://schemas.openxmlformats.org/officeDocument/2006/relationships/hyperlink" Target="https://www.uaudio.com/uad-plugins/starlight-echo-station.html" TargetMode="External"/><Relationship Id="rId21" Type="http://schemas.openxmlformats.org/officeDocument/2006/relationships/hyperlink" Target="https://www.uaudio.com/guitar-pedals/ruby-63-top-boost-amplifier.html" TargetMode="External"/><Relationship Id="rId24" Type="http://schemas.openxmlformats.org/officeDocument/2006/relationships/hyperlink" Target="https://www.uaudio.com/guitar-pedals/orion-tape-echo.html" TargetMode="External"/><Relationship Id="rId23" Type="http://schemas.openxmlformats.org/officeDocument/2006/relationships/hyperlink" Target="https://www.uaudio.com/guitar-pedals/woodrow-55-instrument-amplifier.html" TargetMode="External"/><Relationship Id="rId26" Type="http://schemas.openxmlformats.org/officeDocument/2006/relationships/hyperlink" Target="https://www.uaudio.com/guitar-pedals/evermore-studio-reverb.html" TargetMode="External"/><Relationship Id="rId25" Type="http://schemas.openxmlformats.org/officeDocument/2006/relationships/hyperlink" Target="https://www.uaudio.com/guitar-pedals/heavenly-plate-reverb.html" TargetMode="External"/><Relationship Id="rId28" Type="http://schemas.openxmlformats.org/officeDocument/2006/relationships/hyperlink" Target="https://www.uaudio.com/guitar-pedals/heavenly-plate-reverb.html" TargetMode="External"/><Relationship Id="rId27" Type="http://schemas.openxmlformats.org/officeDocument/2006/relationships/hyperlink" Target="https://www.uaudio.com/guitar-pedals/orion-tape-echo.html" TargetMode="External"/><Relationship Id="rId29" Type="http://schemas.openxmlformats.org/officeDocument/2006/relationships/hyperlink" Target="https://www.uaudio.com/guitar-pedals/evermore-studio-reverb.html" TargetMode="External"/><Relationship Id="rId11" Type="http://schemas.openxmlformats.org/officeDocument/2006/relationships/hyperlink" Target="https://www.uaudio.com/microphones/ua-sphere-lx-modeling-microphone.html" TargetMode="External"/><Relationship Id="rId10" Type="http://schemas.openxmlformats.org/officeDocument/2006/relationships/hyperlink" Target="https://www.uaudio.com/uad-plugins/ua-bock-251.html" TargetMode="External"/><Relationship Id="rId13" Type="http://schemas.openxmlformats.org/officeDocument/2006/relationships/hyperlink" Target="https://www.uaudio.com/guitar-pedals/del-verb-ambience-companion.html" TargetMode="External"/><Relationship Id="rId12" Type="http://schemas.openxmlformats.org/officeDocument/2006/relationships/hyperlink" Target="https://www.uaudio.com/microphones/ua-sphere-dlx-modeling-microphone.html" TargetMode="External"/><Relationship Id="rId15" Type="http://schemas.openxmlformats.org/officeDocument/2006/relationships/hyperlink" Target="https://www.uaudio.com/uad-plugins/astra-modulation-machine.html" TargetMode="External"/><Relationship Id="rId14" Type="http://schemas.openxmlformats.org/officeDocument/2006/relationships/hyperlink" Target="https://www.uaudio.com/hardware/ox.html" TargetMode="External"/><Relationship Id="rId17" Type="http://schemas.openxmlformats.org/officeDocument/2006/relationships/hyperlink" Target="https://www.uaudio.com/guitar-pedals/dream-65-reverb-amplifier.html" TargetMode="External"/><Relationship Id="rId16" Type="http://schemas.openxmlformats.org/officeDocument/2006/relationships/hyperlink" Target="https://www.uaudio.com/guitar-pedals/del-verb-ambience-companion.html" TargetMode="External"/><Relationship Id="rId19" Type="http://schemas.openxmlformats.org/officeDocument/2006/relationships/hyperlink" Target="https://www.uaudio.com/uad-plugins/golden-reverberator.html" TargetMode="External"/><Relationship Id="rId18" Type="http://schemas.openxmlformats.org/officeDocument/2006/relationships/hyperlink" Target="https://www.uaudio.com/guitar-pedals/galaxy-74-tape-echo-reverb.html" TargetMode="External"/><Relationship Id="rId80" Type="http://schemas.openxmlformats.org/officeDocument/2006/relationships/hyperlink" Target="https://www.uaudio.com/hardware/mic-preamps/710-twin-finity.html" TargetMode="External"/><Relationship Id="rId82" Type="http://schemas.openxmlformats.org/officeDocument/2006/relationships/vmlDrawing" Target="../drawings/vmlDrawing1.vml"/><Relationship Id="rId81" Type="http://schemas.openxmlformats.org/officeDocument/2006/relationships/drawing" Target="../drawings/drawing9.xml"/><Relationship Id="rId73" Type="http://schemas.openxmlformats.org/officeDocument/2006/relationships/hyperlink" Target="https://www.uaudio.com/hardware/la-2a.html" TargetMode="External"/><Relationship Id="rId72" Type="http://schemas.openxmlformats.org/officeDocument/2006/relationships/hyperlink" Target="https://www.uaudio.com/hardware/6176.html" TargetMode="External"/><Relationship Id="rId75" Type="http://schemas.openxmlformats.org/officeDocument/2006/relationships/hyperlink" Target="https://www.uaudio.com/hardware/mic-preamps/710-twin-finity.html" TargetMode="External"/><Relationship Id="rId74" Type="http://schemas.openxmlformats.org/officeDocument/2006/relationships/hyperlink" Target="https://www.uaudio.com/hardware/1176ln.html" TargetMode="External"/><Relationship Id="rId77" Type="http://schemas.openxmlformats.org/officeDocument/2006/relationships/hyperlink" Target="https://www.uaudio.com/hardware/la-610-mkii.html" TargetMode="External"/><Relationship Id="rId76" Type="http://schemas.openxmlformats.org/officeDocument/2006/relationships/hyperlink" Target="https://www.uaudio.com/hardware/6176.html" TargetMode="External"/><Relationship Id="rId79" Type="http://schemas.openxmlformats.org/officeDocument/2006/relationships/hyperlink" Target="https://www.uaudio.com/hardware/4-710d.html" TargetMode="External"/><Relationship Id="rId78" Type="http://schemas.openxmlformats.org/officeDocument/2006/relationships/hyperlink" Target="https://www.uaudio.com/uad-plugins/channel-strips/610-collection.html" TargetMode="External"/><Relationship Id="rId71" Type="http://schemas.openxmlformats.org/officeDocument/2006/relationships/hyperlink" Target="https://www.uaudio.com/hardware/1176ln.html" TargetMode="External"/><Relationship Id="rId70" Type="http://schemas.openxmlformats.org/officeDocument/2006/relationships/hyperlink" Target="https://www.uaudio.com/hardware/la-2a.html" TargetMode="External"/><Relationship Id="rId62" Type="http://schemas.openxmlformats.org/officeDocument/2006/relationships/hyperlink" Target="https://www.uaudio.com/uad-plugins/volt-476-usb.html" TargetMode="External"/><Relationship Id="rId61" Type="http://schemas.openxmlformats.org/officeDocument/2006/relationships/hyperlink" Target="https://www.uaudio.com/uad-plugins/volt-276-usb.html" TargetMode="External"/><Relationship Id="rId64" Type="http://schemas.openxmlformats.org/officeDocument/2006/relationships/hyperlink" Target="https://www.uaudio.com/uad-plugins/volt-2-studio-pack.html" TargetMode="External"/><Relationship Id="rId63" Type="http://schemas.openxmlformats.org/officeDocument/2006/relationships/hyperlink" Target="https://www.uaudio.com/uad-plugins/volt-476p-usb.html" TargetMode="External"/><Relationship Id="rId66" Type="http://schemas.openxmlformats.org/officeDocument/2006/relationships/hyperlink" Target="https://www.uaudio.com/uad-accelerators/uad2-satellite-thunderbolt.html" TargetMode="External"/><Relationship Id="rId65" Type="http://schemas.openxmlformats.org/officeDocument/2006/relationships/hyperlink" Target="https://www.uaudio.com/uad-plugins/volt-276-studio-pack.html" TargetMode="External"/><Relationship Id="rId68" Type="http://schemas.openxmlformats.org/officeDocument/2006/relationships/hyperlink" Target="https://www.uaudio.com/uad-accelerators/uad2-satellite-usb.html" TargetMode="External"/><Relationship Id="rId67" Type="http://schemas.openxmlformats.org/officeDocument/2006/relationships/hyperlink" Target="https://www.uaudio.com/uad-accelerators/uad2-satellite-thunderbolt.html" TargetMode="External"/><Relationship Id="rId60" Type="http://schemas.openxmlformats.org/officeDocument/2006/relationships/hyperlink" Target="https://www.uaudio.com/uad-plugins/volt-176-usb.html" TargetMode="External"/><Relationship Id="rId69" Type="http://schemas.openxmlformats.org/officeDocument/2006/relationships/hyperlink" Target="https://www.uaudio.com/uad-accelerators/uad2-satellite-usb.html" TargetMode="External"/><Relationship Id="rId51" Type="http://schemas.openxmlformats.org/officeDocument/2006/relationships/hyperlink" Target="https://www.uaudio.com/uad-plugins/apollo-x16.html" TargetMode="External"/><Relationship Id="rId50" Type="http://schemas.openxmlformats.org/officeDocument/2006/relationships/hyperlink" Target="https://www.uaudio.com/uad-plugins/apollo-x8p.html" TargetMode="External"/><Relationship Id="rId53" Type="http://schemas.openxmlformats.org/officeDocument/2006/relationships/hyperlink" Target="https://www.uaudio.com/uad-plugins/thunderbolt-3-option-card.html" TargetMode="External"/><Relationship Id="rId52" Type="http://schemas.openxmlformats.org/officeDocument/2006/relationships/hyperlink" Target="https://www.uaudio.com/uad-plugins/apollo-solo.html" TargetMode="External"/><Relationship Id="rId55" Type="http://schemas.openxmlformats.org/officeDocument/2006/relationships/hyperlink" Target="https://www.uaudio.com/uad-plugins/apollo-twin-usb.html" TargetMode="External"/><Relationship Id="rId54" Type="http://schemas.openxmlformats.org/officeDocument/2006/relationships/hyperlink" Target="https://www.uaudio.com/uad-plugins/apollo-twin-x-usb.html" TargetMode="External"/><Relationship Id="rId57" Type="http://schemas.openxmlformats.org/officeDocument/2006/relationships/hyperlink" Target="https://www.uaudio.com/uad-plugins/volt-1-usb.html" TargetMode="External"/><Relationship Id="rId56" Type="http://schemas.openxmlformats.org/officeDocument/2006/relationships/hyperlink" Target="https://www.uaudio.com/uad-plugins/apollo-solo-usb.html" TargetMode="External"/><Relationship Id="rId59" Type="http://schemas.openxmlformats.org/officeDocument/2006/relationships/hyperlink" Target="https://www.uaudio.com/uad-plugins/volt-4-usb.html" TargetMode="External"/><Relationship Id="rId58" Type="http://schemas.openxmlformats.org/officeDocument/2006/relationships/hyperlink" Target="https://www.uaudio.com/uad-plugins/volt-2-usb.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48AAB"/>
    <outlinePr summaryBelow="0" summaryRight="0"/>
    <pageSetUpPr/>
  </sheetPr>
  <sheetViews>
    <sheetView workbookViewId="0"/>
  </sheetViews>
  <sheetFormatPr customHeight="1" defaultColWidth="12.63" defaultRowHeight="15.0"/>
  <cols>
    <col customWidth="1" min="1" max="1" width="12.63"/>
    <col customWidth="1" min="2" max="2" width="13.13"/>
    <col customWidth="1" min="3" max="3" width="12.63"/>
    <col customWidth="1" min="4" max="4" width="13.0"/>
    <col customWidth="1" min="5" max="5" width="8.5"/>
    <col customWidth="1" min="6" max="6" width="24.25"/>
    <col customWidth="1" min="7" max="7" width="8.63"/>
  </cols>
  <sheetData>
    <row r="1" ht="15.75" customHeight="1">
      <c r="A1" s="1"/>
      <c r="G1" s="2"/>
      <c r="H1" s="3"/>
      <c r="I1" s="3"/>
      <c r="J1" s="3"/>
      <c r="K1" s="3"/>
      <c r="L1" s="3"/>
      <c r="M1" s="3"/>
      <c r="N1" s="3"/>
      <c r="O1" s="3"/>
      <c r="P1" s="3"/>
      <c r="Q1" s="3"/>
      <c r="R1" s="3"/>
    </row>
    <row r="2" ht="15.75" customHeight="1">
      <c r="A2" s="4"/>
      <c r="G2" s="2"/>
      <c r="H2" s="3"/>
      <c r="I2" s="3"/>
      <c r="J2" s="3"/>
      <c r="K2" s="3"/>
      <c r="L2" s="3"/>
      <c r="M2" s="3"/>
      <c r="N2" s="3"/>
      <c r="O2" s="3"/>
      <c r="P2" s="3"/>
      <c r="Q2" s="3"/>
      <c r="R2" s="3"/>
    </row>
    <row r="3" ht="15.75" customHeight="1">
      <c r="A3" s="4"/>
      <c r="G3" s="2"/>
      <c r="H3" s="3"/>
      <c r="I3" s="3"/>
      <c r="J3" s="3"/>
      <c r="K3" s="3"/>
      <c r="L3" s="3"/>
      <c r="M3" s="3"/>
      <c r="N3" s="3"/>
      <c r="O3" s="3"/>
      <c r="P3" s="3"/>
      <c r="Q3" s="3"/>
      <c r="R3" s="3"/>
    </row>
    <row r="4" ht="15.75" customHeight="1">
      <c r="A4" s="4"/>
      <c r="G4" s="2"/>
      <c r="H4" s="3"/>
      <c r="I4" s="3"/>
      <c r="J4" s="3"/>
      <c r="K4" s="3"/>
      <c r="L4" s="3"/>
      <c r="M4" s="3"/>
      <c r="N4" s="3"/>
      <c r="O4" s="3"/>
      <c r="P4" s="3"/>
      <c r="Q4" s="3"/>
      <c r="R4" s="3"/>
    </row>
    <row r="5" ht="15.75" customHeight="1">
      <c r="A5" s="4"/>
      <c r="G5" s="2"/>
      <c r="H5" s="3"/>
      <c r="I5" s="3"/>
      <c r="J5" s="3"/>
      <c r="K5" s="3"/>
      <c r="L5" s="3"/>
      <c r="M5" s="3"/>
      <c r="N5" s="3"/>
      <c r="O5" s="3"/>
      <c r="P5" s="3"/>
      <c r="Q5" s="3"/>
      <c r="R5" s="3"/>
    </row>
    <row r="6" ht="15.75" customHeight="1">
      <c r="A6" s="4"/>
      <c r="G6" s="2"/>
      <c r="H6" s="3"/>
      <c r="I6" s="3"/>
      <c r="J6" s="3"/>
      <c r="K6" s="3"/>
      <c r="L6" s="3"/>
      <c r="M6" s="3"/>
      <c r="N6" s="3"/>
      <c r="O6" s="3"/>
      <c r="P6" s="3"/>
      <c r="Q6" s="3"/>
      <c r="R6" s="3"/>
    </row>
    <row r="7" ht="15.75" customHeight="1">
      <c r="A7" s="4"/>
      <c r="G7" s="2"/>
      <c r="H7" s="3"/>
      <c r="I7" s="3"/>
      <c r="J7" s="3"/>
      <c r="K7" s="3"/>
      <c r="L7" s="3"/>
      <c r="M7" s="3"/>
      <c r="N7" s="3"/>
      <c r="O7" s="3"/>
      <c r="P7" s="3"/>
      <c r="Q7" s="3"/>
      <c r="R7" s="3"/>
    </row>
    <row r="8" ht="30.0" customHeight="1">
      <c r="A8" s="5"/>
      <c r="B8" s="6"/>
      <c r="C8" s="6"/>
      <c r="D8" s="6"/>
      <c r="E8" s="6"/>
      <c r="F8" s="6"/>
      <c r="G8" s="7"/>
      <c r="H8" s="3"/>
      <c r="I8" s="3"/>
      <c r="J8" s="3"/>
      <c r="K8" s="3"/>
      <c r="L8" s="3"/>
      <c r="M8" s="3"/>
      <c r="N8" s="3"/>
      <c r="O8" s="3"/>
      <c r="P8" s="3"/>
      <c r="Q8" s="3"/>
      <c r="R8" s="3"/>
    </row>
    <row r="9">
      <c r="A9" s="8" t="s">
        <v>0</v>
      </c>
      <c r="C9" s="9"/>
      <c r="D9" s="9"/>
      <c r="E9" s="8" t="s">
        <v>1</v>
      </c>
      <c r="H9" s="3"/>
      <c r="I9" s="3"/>
      <c r="J9" s="3"/>
      <c r="K9" s="3"/>
      <c r="L9" s="3"/>
      <c r="M9" s="3"/>
      <c r="N9" s="3"/>
      <c r="O9" s="3"/>
      <c r="P9" s="3"/>
      <c r="Q9" s="3"/>
      <c r="R9" s="3"/>
    </row>
    <row r="10" ht="15.75" customHeight="1">
      <c r="A10" s="10" t="s">
        <v>2</v>
      </c>
      <c r="B10" s="11"/>
      <c r="C10" s="11"/>
      <c r="D10" s="12"/>
      <c r="E10" s="13" t="s">
        <v>3</v>
      </c>
      <c r="F10" s="14" t="s">
        <v>4</v>
      </c>
      <c r="G10" s="12"/>
      <c r="H10" s="3"/>
      <c r="I10" s="3"/>
      <c r="J10" s="3"/>
      <c r="K10" s="3"/>
      <c r="L10" s="3"/>
      <c r="M10" s="3"/>
      <c r="N10" s="3"/>
      <c r="O10" s="3"/>
      <c r="P10" s="3"/>
      <c r="Q10" s="3"/>
      <c r="R10" s="3"/>
    </row>
    <row r="11" ht="15.75" customHeight="1">
      <c r="A11" s="10" t="s">
        <v>5</v>
      </c>
      <c r="B11" s="11"/>
      <c r="C11" s="12"/>
      <c r="D11" s="3"/>
      <c r="E11" s="13" t="s">
        <v>6</v>
      </c>
      <c r="F11" s="13" t="s">
        <v>7</v>
      </c>
      <c r="G11" s="13"/>
      <c r="H11" s="3"/>
      <c r="I11" s="3"/>
      <c r="J11" s="3"/>
      <c r="K11" s="3"/>
      <c r="L11" s="3"/>
      <c r="M11" s="3"/>
      <c r="N11" s="3"/>
      <c r="O11" s="3"/>
      <c r="P11" s="3"/>
      <c r="Q11" s="3"/>
      <c r="R11" s="3"/>
    </row>
    <row r="12" ht="15.75" customHeight="1">
      <c r="A12" s="10" t="s">
        <v>8</v>
      </c>
      <c r="B12" s="12"/>
      <c r="C12" s="3"/>
      <c r="D12" s="3"/>
      <c r="E12" s="13" t="s">
        <v>9</v>
      </c>
      <c r="F12" s="13" t="s">
        <v>10</v>
      </c>
      <c r="G12" s="3"/>
      <c r="H12" s="3"/>
      <c r="I12" s="3"/>
      <c r="J12" s="3"/>
      <c r="K12" s="3"/>
      <c r="L12" s="3"/>
      <c r="M12" s="3"/>
      <c r="N12" s="3"/>
      <c r="O12" s="3"/>
      <c r="P12" s="3"/>
      <c r="Q12" s="3"/>
      <c r="R12" s="3"/>
    </row>
    <row r="13" ht="15.75" customHeight="1">
      <c r="A13" s="3"/>
      <c r="B13" s="3"/>
      <c r="C13" s="3"/>
      <c r="D13" s="3"/>
      <c r="E13" s="13" t="s">
        <v>11</v>
      </c>
      <c r="F13" s="15" t="s">
        <v>12</v>
      </c>
      <c r="G13" s="16"/>
      <c r="H13" s="3"/>
      <c r="I13" s="3"/>
      <c r="J13" s="3"/>
      <c r="K13" s="3"/>
      <c r="L13" s="3"/>
      <c r="M13" s="3"/>
      <c r="N13" s="3"/>
      <c r="O13" s="3"/>
      <c r="P13" s="3"/>
      <c r="Q13" s="3"/>
      <c r="R13" s="3"/>
    </row>
    <row r="14" ht="15.75" customHeight="1">
      <c r="A14" s="8" t="s">
        <v>13</v>
      </c>
      <c r="C14" s="3"/>
      <c r="D14" s="3"/>
      <c r="E14" s="3" t="s">
        <v>14</v>
      </c>
      <c r="F14" s="17" t="s">
        <v>15</v>
      </c>
      <c r="G14" s="3"/>
      <c r="H14" s="3"/>
      <c r="I14" s="3"/>
      <c r="J14" s="3"/>
      <c r="K14" s="3"/>
      <c r="L14" s="3"/>
      <c r="M14" s="3"/>
      <c r="N14" s="3"/>
      <c r="O14" s="3"/>
      <c r="P14" s="3"/>
      <c r="Q14" s="3"/>
      <c r="R14" s="3"/>
    </row>
    <row r="15" ht="15.75" customHeight="1">
      <c r="A15" s="10" t="s">
        <v>16</v>
      </c>
      <c r="B15" s="12"/>
      <c r="C15" s="3"/>
      <c r="D15" s="3"/>
      <c r="E15" s="18"/>
      <c r="F15" s="18"/>
      <c r="G15" s="3"/>
      <c r="H15" s="3"/>
      <c r="I15" s="3"/>
      <c r="J15" s="3"/>
      <c r="K15" s="3"/>
      <c r="L15" s="3"/>
      <c r="M15" s="3"/>
      <c r="N15" s="3"/>
      <c r="O15" s="3"/>
      <c r="P15" s="3"/>
      <c r="Q15" s="3"/>
      <c r="R15" s="3"/>
    </row>
    <row r="16" ht="15.75" customHeight="1">
      <c r="A16" s="10" t="s">
        <v>17</v>
      </c>
      <c r="B16" s="11"/>
      <c r="C16" s="11"/>
      <c r="D16" s="12"/>
      <c r="E16" s="19" t="s">
        <v>18</v>
      </c>
      <c r="F16" s="20"/>
      <c r="G16" s="21"/>
      <c r="H16" s="3"/>
      <c r="I16" s="3"/>
      <c r="J16" s="3"/>
      <c r="K16" s="3"/>
      <c r="L16" s="3"/>
      <c r="M16" s="3"/>
      <c r="N16" s="3"/>
      <c r="O16" s="3"/>
      <c r="P16" s="3"/>
      <c r="Q16" s="3"/>
      <c r="R16" s="3"/>
    </row>
    <row r="17" ht="15.75" customHeight="1">
      <c r="A17" s="10" t="s">
        <v>19</v>
      </c>
      <c r="B17" s="11"/>
      <c r="C17" s="11"/>
      <c r="D17" s="12"/>
      <c r="E17" s="22" t="str">
        <f>STOCK!C1</f>
        <v>STOCK 14-10-2025</v>
      </c>
      <c r="F17" s="23"/>
      <c r="G17" s="21"/>
      <c r="H17" s="3"/>
      <c r="I17" s="3"/>
      <c r="J17" s="3"/>
      <c r="K17" s="3"/>
      <c r="L17" s="3"/>
      <c r="M17" s="3"/>
      <c r="N17" s="3"/>
      <c r="O17" s="3"/>
      <c r="P17" s="3"/>
      <c r="Q17" s="3"/>
      <c r="R17" s="3"/>
    </row>
    <row r="18" ht="15.75" customHeight="1">
      <c r="A18" s="10" t="s">
        <v>20</v>
      </c>
      <c r="B18" s="11"/>
      <c r="C18" s="12"/>
      <c r="D18" s="3"/>
      <c r="E18" s="24" t="s">
        <v>21</v>
      </c>
      <c r="F18" s="25"/>
      <c r="G18" s="3"/>
      <c r="H18" s="3"/>
      <c r="I18" s="3"/>
      <c r="J18" s="3"/>
      <c r="K18" s="3"/>
      <c r="L18" s="3"/>
      <c r="M18" s="3"/>
      <c r="N18" s="3"/>
      <c r="O18" s="3"/>
      <c r="P18" s="3"/>
      <c r="Q18" s="3"/>
      <c r="R18" s="3"/>
    </row>
    <row r="19" ht="15.75" customHeight="1">
      <c r="A19" s="10" t="s">
        <v>22</v>
      </c>
      <c r="B19" s="12"/>
      <c r="C19" s="3"/>
      <c r="D19" s="3"/>
      <c r="E19" s="3"/>
      <c r="F19" s="3"/>
      <c r="G19" s="3"/>
      <c r="H19" s="3"/>
      <c r="I19" s="3"/>
      <c r="J19" s="3"/>
      <c r="K19" s="3"/>
      <c r="L19" s="3"/>
      <c r="M19" s="3"/>
      <c r="N19" s="3"/>
      <c r="O19" s="3"/>
      <c r="P19" s="3"/>
      <c r="Q19" s="3"/>
      <c r="R19" s="3"/>
    </row>
    <row r="20" ht="15.75" customHeight="1">
      <c r="A20" s="3"/>
      <c r="B20" s="3"/>
      <c r="C20" s="3"/>
      <c r="D20" s="3"/>
      <c r="E20" s="3"/>
      <c r="F20" s="3"/>
      <c r="G20" s="3"/>
      <c r="H20" s="3"/>
      <c r="I20" s="3"/>
      <c r="J20" s="3"/>
      <c r="K20" s="3"/>
      <c r="L20" s="3"/>
      <c r="M20" s="3"/>
      <c r="N20" s="3"/>
      <c r="O20" s="3"/>
      <c r="P20" s="3"/>
      <c r="Q20" s="3"/>
      <c r="R20" s="3"/>
    </row>
    <row r="21" ht="15.75" customHeight="1">
      <c r="A21" s="3"/>
      <c r="B21" s="3"/>
      <c r="C21" s="3"/>
      <c r="D21" s="3"/>
      <c r="E21" s="3"/>
      <c r="F21" s="3"/>
      <c r="G21" s="3"/>
      <c r="H21" s="3"/>
      <c r="I21" s="3"/>
      <c r="J21" s="3"/>
      <c r="K21" s="3"/>
      <c r="L21" s="3"/>
      <c r="M21" s="3"/>
      <c r="N21" s="3"/>
      <c r="O21" s="3"/>
      <c r="P21" s="3"/>
      <c r="Q21" s="3"/>
      <c r="R21" s="3"/>
    </row>
    <row r="22" ht="15.75" customHeight="1">
      <c r="A22" s="3"/>
      <c r="B22" s="3"/>
      <c r="C22" s="3"/>
      <c r="D22" s="3"/>
      <c r="E22" s="3"/>
      <c r="F22" s="3"/>
      <c r="G22" s="3"/>
      <c r="H22" s="3"/>
      <c r="I22" s="3"/>
      <c r="J22" s="3"/>
      <c r="K22" s="3"/>
      <c r="L22" s="3"/>
      <c r="M22" s="3"/>
      <c r="N22" s="3"/>
      <c r="O22" s="3"/>
      <c r="P22" s="3"/>
      <c r="Q22" s="3"/>
      <c r="R22" s="3"/>
    </row>
    <row r="23" ht="15.75" customHeight="1">
      <c r="A23" s="3"/>
      <c r="B23" s="3"/>
      <c r="C23" s="3"/>
      <c r="D23" s="3"/>
      <c r="E23" s="3"/>
      <c r="F23" s="3"/>
      <c r="G23" s="3"/>
      <c r="H23" s="3"/>
      <c r="I23" s="3"/>
      <c r="J23" s="3"/>
      <c r="K23" s="3"/>
      <c r="L23" s="3"/>
      <c r="M23" s="3"/>
      <c r="N23" s="3"/>
      <c r="O23" s="3"/>
      <c r="P23" s="3"/>
      <c r="Q23" s="3"/>
      <c r="R23" s="3"/>
    </row>
    <row r="24" ht="15.75" customHeight="1">
      <c r="A24" s="3"/>
      <c r="B24" s="3"/>
      <c r="C24" s="3"/>
      <c r="D24" s="3"/>
      <c r="E24" s="3"/>
      <c r="F24" s="3"/>
      <c r="G24" s="3"/>
      <c r="H24" s="3"/>
      <c r="I24" s="3"/>
      <c r="J24" s="3"/>
      <c r="K24" s="3"/>
      <c r="L24" s="3"/>
      <c r="M24" s="3"/>
      <c r="N24" s="3"/>
      <c r="O24" s="3"/>
      <c r="P24" s="3"/>
      <c r="Q24" s="3"/>
      <c r="R24" s="3"/>
    </row>
    <row r="25" ht="15.75" customHeight="1">
      <c r="A25" s="3"/>
      <c r="B25" s="3"/>
      <c r="C25" s="3"/>
      <c r="D25" s="3"/>
      <c r="E25" s="3"/>
      <c r="F25" s="3"/>
      <c r="G25" s="3"/>
      <c r="H25" s="3"/>
      <c r="I25" s="3"/>
      <c r="J25" s="3"/>
      <c r="K25" s="3"/>
      <c r="L25" s="3"/>
      <c r="M25" s="3"/>
      <c r="N25" s="3"/>
      <c r="O25" s="3"/>
      <c r="P25" s="3"/>
      <c r="Q25" s="3"/>
      <c r="R25" s="3"/>
    </row>
    <row r="26" ht="15.75" customHeight="1">
      <c r="A26" s="3"/>
      <c r="B26" s="3"/>
      <c r="C26" s="3"/>
      <c r="D26" s="3"/>
      <c r="E26" s="3"/>
      <c r="F26" s="3"/>
      <c r="G26" s="3"/>
      <c r="H26" s="3"/>
      <c r="I26" s="3"/>
      <c r="J26" s="3"/>
      <c r="K26" s="3"/>
      <c r="L26" s="3"/>
      <c r="M26" s="3"/>
      <c r="N26" s="3"/>
      <c r="O26" s="3"/>
      <c r="P26" s="3"/>
      <c r="Q26" s="3"/>
      <c r="R26" s="3"/>
    </row>
    <row r="27" ht="15.75" customHeight="1">
      <c r="A27" s="3"/>
      <c r="B27" s="3"/>
      <c r="C27" s="3"/>
      <c r="D27" s="3"/>
      <c r="E27" s="3"/>
      <c r="F27" s="3"/>
      <c r="G27" s="3"/>
      <c r="H27" s="3"/>
      <c r="I27" s="3"/>
      <c r="J27" s="3"/>
      <c r="K27" s="3"/>
      <c r="L27" s="3"/>
      <c r="M27" s="3"/>
      <c r="N27" s="3"/>
      <c r="O27" s="3"/>
      <c r="P27" s="3"/>
      <c r="Q27" s="3"/>
      <c r="R27" s="3"/>
    </row>
    <row r="28" ht="15.75" customHeight="1">
      <c r="A28" s="3"/>
      <c r="B28" s="3"/>
      <c r="C28" s="3"/>
      <c r="D28" s="3"/>
      <c r="E28" s="3"/>
      <c r="F28" s="3"/>
      <c r="G28" s="3"/>
      <c r="H28" s="3"/>
      <c r="I28" s="3"/>
      <c r="J28" s="3"/>
      <c r="K28" s="3"/>
      <c r="L28" s="3"/>
      <c r="M28" s="3"/>
      <c r="N28" s="3"/>
      <c r="O28" s="3"/>
      <c r="P28" s="3"/>
      <c r="Q28" s="3"/>
      <c r="R28" s="3"/>
    </row>
    <row r="29" ht="15.75" customHeight="1">
      <c r="A29" s="3"/>
      <c r="B29" s="3"/>
      <c r="C29" s="3"/>
      <c r="D29" s="3"/>
      <c r="E29" s="3"/>
      <c r="F29" s="3"/>
      <c r="G29" s="3"/>
      <c r="H29" s="3"/>
      <c r="I29" s="3"/>
      <c r="J29" s="3"/>
      <c r="K29" s="3"/>
      <c r="L29" s="3"/>
      <c r="M29" s="3"/>
      <c r="N29" s="3"/>
      <c r="O29" s="3"/>
      <c r="P29" s="3"/>
      <c r="Q29" s="3"/>
      <c r="R29" s="3"/>
    </row>
    <row r="30" ht="15.75" customHeight="1">
      <c r="A30" s="3"/>
      <c r="B30" s="3"/>
      <c r="C30" s="3"/>
      <c r="D30" s="3"/>
      <c r="E30" s="3"/>
      <c r="F30" s="3"/>
      <c r="G30" s="3"/>
      <c r="H30" s="3"/>
      <c r="I30" s="3"/>
      <c r="J30" s="3"/>
      <c r="K30" s="3"/>
      <c r="L30" s="3"/>
      <c r="M30" s="3"/>
      <c r="N30" s="3"/>
      <c r="O30" s="3"/>
      <c r="P30" s="3"/>
      <c r="Q30" s="3"/>
      <c r="R30" s="3"/>
    </row>
    <row r="31" ht="15.75" customHeight="1">
      <c r="A31" s="3"/>
      <c r="B31" s="3"/>
      <c r="C31" s="3"/>
      <c r="D31" s="3"/>
      <c r="E31" s="3"/>
      <c r="F31" s="3"/>
      <c r="G31" s="3"/>
      <c r="H31" s="3"/>
      <c r="I31" s="3"/>
      <c r="J31" s="3"/>
      <c r="K31" s="3"/>
      <c r="L31" s="3"/>
      <c r="M31" s="3"/>
      <c r="N31" s="3"/>
      <c r="O31" s="3"/>
      <c r="P31" s="3"/>
      <c r="Q31" s="3"/>
      <c r="R31" s="3"/>
    </row>
    <row r="32" ht="15.75" customHeight="1">
      <c r="A32" s="3"/>
      <c r="B32" s="3"/>
      <c r="C32" s="3"/>
      <c r="D32" s="3"/>
      <c r="E32" s="3"/>
      <c r="F32" s="3"/>
      <c r="G32" s="3"/>
      <c r="H32" s="3"/>
      <c r="I32" s="3"/>
      <c r="J32" s="3"/>
      <c r="K32" s="3"/>
      <c r="L32" s="3"/>
      <c r="M32" s="3"/>
      <c r="N32" s="3"/>
      <c r="O32" s="3"/>
      <c r="P32" s="3"/>
      <c r="Q32" s="3"/>
      <c r="R32" s="3"/>
    </row>
    <row r="33" ht="15.75" customHeight="1">
      <c r="A33" s="3"/>
      <c r="B33" s="3"/>
      <c r="C33" s="3"/>
      <c r="D33" s="3"/>
      <c r="E33" s="3"/>
      <c r="F33" s="3"/>
      <c r="G33" s="3"/>
      <c r="H33" s="3"/>
      <c r="I33" s="3"/>
      <c r="J33" s="3"/>
      <c r="K33" s="3"/>
      <c r="L33" s="3"/>
      <c r="M33" s="3"/>
      <c r="N33" s="3"/>
      <c r="O33" s="3"/>
      <c r="P33" s="3"/>
      <c r="Q33" s="3"/>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A14:B14"/>
    <mergeCell ref="A15:B15"/>
    <mergeCell ref="A16:D16"/>
    <mergeCell ref="E16:F16"/>
    <mergeCell ref="A17:D17"/>
    <mergeCell ref="E17:F17"/>
    <mergeCell ref="A18:C18"/>
    <mergeCell ref="A19:B19"/>
    <mergeCell ref="A1:G8"/>
    <mergeCell ref="A9:B9"/>
    <mergeCell ref="E9:G9"/>
    <mergeCell ref="A10:D10"/>
    <mergeCell ref="F10:G10"/>
    <mergeCell ref="A11:C11"/>
    <mergeCell ref="A12:B12"/>
  </mergeCells>
  <hyperlinks>
    <hyperlink r:id="rId1" ref="F10"/>
    <hyperlink r:id="rId2" ref="F13"/>
    <hyperlink r:id="rId3" ref="F14"/>
  </hyperlinks>
  <printOptions/>
  <pageMargins bottom="0.75" footer="0.0" header="0.0" left="0.7" right="0.7" top="0.75"/>
  <pageSetup orientation="landscape"/>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00"/>
    <outlinePr summaryBelow="0" summaryRight="0"/>
  </sheetPr>
  <sheetViews>
    <sheetView workbookViewId="0"/>
  </sheetViews>
  <sheetFormatPr customHeight="1" defaultColWidth="12.63" defaultRowHeight="15.0"/>
  <cols>
    <col customWidth="1" min="1" max="1" width="12.5"/>
    <col customWidth="1" min="2" max="2" width="12.0"/>
    <col customWidth="1" min="3" max="3" width="93.5"/>
    <col customWidth="1" min="4" max="4" width="15.0"/>
    <col customWidth="1" min="5" max="5" width="12.5"/>
    <col customWidth="1" min="6" max="6" width="6.0"/>
    <col customWidth="1" min="7" max="7" width="8.13"/>
  </cols>
  <sheetData>
    <row r="1">
      <c r="A1" s="72" t="s">
        <v>23</v>
      </c>
      <c r="B1" s="191" t="s">
        <v>24</v>
      </c>
      <c r="C1" s="72" t="s">
        <v>25</v>
      </c>
      <c r="D1" s="26" t="s">
        <v>26</v>
      </c>
      <c r="E1" s="26" t="s">
        <v>27</v>
      </c>
      <c r="F1" s="83" t="s">
        <v>28</v>
      </c>
      <c r="G1" s="72" t="s">
        <v>29</v>
      </c>
    </row>
    <row r="2">
      <c r="A2" s="192" t="s">
        <v>3512</v>
      </c>
      <c r="B2" s="193"/>
      <c r="C2" s="193"/>
      <c r="D2" s="193"/>
      <c r="E2" s="193"/>
      <c r="F2" s="193"/>
      <c r="G2" s="193"/>
    </row>
    <row r="3">
      <c r="A3" s="74" t="s">
        <v>3513</v>
      </c>
      <c r="B3" s="75"/>
      <c r="C3" s="75"/>
      <c r="D3" s="75"/>
      <c r="E3" s="75"/>
      <c r="F3" s="75"/>
      <c r="G3" s="75"/>
    </row>
    <row r="4">
      <c r="A4" s="139" t="s">
        <v>3514</v>
      </c>
      <c r="B4" s="140" t="s">
        <v>3515</v>
      </c>
      <c r="C4" s="141" t="s">
        <v>3516</v>
      </c>
      <c r="D4" s="96" t="s">
        <v>3517</v>
      </c>
      <c r="E4" s="96" t="s">
        <v>3518</v>
      </c>
      <c r="F4" s="142">
        <v>0.21</v>
      </c>
      <c r="G4" s="38" t="str">
        <f>VLOOKUP("LHN-UC15L-SIP",STOCK!$B$2:$Q$3677,3,FALSE)</f>
        <v>Mayor a 5</v>
      </c>
    </row>
    <row r="5">
      <c r="A5" s="143" t="s">
        <v>3514</v>
      </c>
      <c r="B5" s="144" t="s">
        <v>3519</v>
      </c>
      <c r="C5" s="145" t="s">
        <v>3520</v>
      </c>
      <c r="D5" s="101" t="s">
        <v>3521</v>
      </c>
      <c r="E5" s="101" t="s">
        <v>3522</v>
      </c>
      <c r="F5" s="102">
        <v>0.21</v>
      </c>
      <c r="G5" s="38" t="str">
        <f>VLOOKUP("LHN-UC15W-SIP",STOCK!$B$2:$Q$3677,3,FALSE)</f>
        <v>Mayor a 5</v>
      </c>
    </row>
    <row r="6">
      <c r="A6" s="139" t="s">
        <v>3514</v>
      </c>
      <c r="B6" s="140" t="s">
        <v>3523</v>
      </c>
      <c r="C6" s="141" t="s">
        <v>3524</v>
      </c>
      <c r="D6" s="96" t="s">
        <v>1971</v>
      </c>
      <c r="E6" s="96" t="s">
        <v>1972</v>
      </c>
      <c r="F6" s="142">
        <v>0.21</v>
      </c>
      <c r="G6" s="38" t="str">
        <f>VLOOKUP("AMN-P15-SIP",STOCK!$B$2:$Q$3677,3,FALSE)</f>
        <v>Mayor a 5</v>
      </c>
    </row>
    <row r="7">
      <c r="D7" s="81"/>
      <c r="E7" s="81"/>
    </row>
    <row r="8">
      <c r="D8" s="81"/>
      <c r="E8" s="81"/>
    </row>
    <row r="9">
      <c r="D9" s="81"/>
      <c r="E9" s="81"/>
    </row>
    <row r="10">
      <c r="D10" s="81"/>
      <c r="E10" s="81"/>
    </row>
    <row r="11">
      <c r="D11" s="81"/>
      <c r="E11" s="81"/>
    </row>
    <row r="12">
      <c r="D12" s="81"/>
      <c r="E12" s="81"/>
    </row>
    <row r="13">
      <c r="D13" s="81"/>
      <c r="E13" s="81"/>
    </row>
    <row r="14">
      <c r="D14" s="81"/>
      <c r="E14" s="81"/>
    </row>
    <row r="15">
      <c r="D15" s="81"/>
      <c r="E15" s="81"/>
    </row>
    <row r="16">
      <c r="D16" s="81"/>
      <c r="E16" s="81"/>
    </row>
    <row r="17">
      <c r="D17" s="81"/>
      <c r="E17" s="81"/>
    </row>
    <row r="18">
      <c r="D18" s="81"/>
      <c r="E18" s="81"/>
    </row>
    <row r="19">
      <c r="D19" s="81"/>
      <c r="E19" s="81"/>
    </row>
    <row r="20">
      <c r="D20" s="81"/>
      <c r="E20" s="81"/>
    </row>
    <row r="21">
      <c r="D21" s="81"/>
      <c r="E21" s="81"/>
    </row>
    <row r="22">
      <c r="D22" s="81"/>
      <c r="E22" s="81"/>
    </row>
    <row r="23">
      <c r="D23" s="81"/>
      <c r="E23" s="81"/>
    </row>
    <row r="24">
      <c r="D24" s="81"/>
      <c r="E24" s="81"/>
    </row>
    <row r="25">
      <c r="D25" s="81"/>
      <c r="E25" s="81"/>
    </row>
    <row r="26">
      <c r="D26" s="81"/>
      <c r="E26" s="81"/>
    </row>
    <row r="27">
      <c r="D27" s="81"/>
      <c r="E27" s="81"/>
    </row>
    <row r="28">
      <c r="D28" s="81"/>
      <c r="E28" s="81"/>
    </row>
    <row r="29">
      <c r="D29" s="81"/>
      <c r="E29" s="81"/>
    </row>
    <row r="30">
      <c r="D30" s="81"/>
      <c r="E30" s="81"/>
    </row>
    <row r="31">
      <c r="D31" s="81"/>
      <c r="E31" s="81"/>
    </row>
    <row r="32">
      <c r="D32" s="81"/>
      <c r="E32" s="81"/>
    </row>
    <row r="33">
      <c r="D33" s="81"/>
      <c r="E33" s="81"/>
    </row>
    <row r="34">
      <c r="D34" s="81"/>
      <c r="E34" s="81"/>
    </row>
    <row r="35">
      <c r="D35" s="81"/>
      <c r="E35" s="81"/>
    </row>
    <row r="36">
      <c r="D36" s="81"/>
      <c r="E36" s="81"/>
    </row>
    <row r="37">
      <c r="D37" s="81"/>
      <c r="E37" s="81"/>
    </row>
    <row r="38">
      <c r="D38" s="81"/>
      <c r="E38" s="81"/>
    </row>
    <row r="39">
      <c r="D39" s="81"/>
      <c r="E39" s="81"/>
    </row>
    <row r="40">
      <c r="D40" s="81"/>
      <c r="E40" s="81"/>
    </row>
    <row r="41">
      <c r="D41" s="81"/>
      <c r="E41" s="81"/>
    </row>
    <row r="42">
      <c r="D42" s="81"/>
      <c r="E42" s="81"/>
    </row>
    <row r="43">
      <c r="D43" s="81"/>
      <c r="E43" s="81"/>
    </row>
    <row r="44">
      <c r="D44" s="81"/>
      <c r="E44" s="81"/>
    </row>
    <row r="45">
      <c r="D45" s="81"/>
      <c r="E45" s="81"/>
    </row>
    <row r="46">
      <c r="D46" s="81"/>
      <c r="E46" s="81"/>
    </row>
    <row r="47">
      <c r="D47" s="81"/>
      <c r="E47" s="81"/>
    </row>
    <row r="48">
      <c r="D48" s="81"/>
      <c r="E48" s="81"/>
    </row>
    <row r="49">
      <c r="D49" s="81"/>
      <c r="E49" s="81"/>
    </row>
    <row r="50">
      <c r="D50" s="81"/>
      <c r="E50" s="81"/>
    </row>
    <row r="51">
      <c r="D51" s="81"/>
      <c r="E51" s="81"/>
    </row>
    <row r="52">
      <c r="D52" s="81"/>
      <c r="E52" s="81"/>
    </row>
    <row r="53">
      <c r="D53" s="81"/>
      <c r="E53" s="81"/>
    </row>
    <row r="54">
      <c r="D54" s="81"/>
      <c r="E54" s="81"/>
    </row>
    <row r="55">
      <c r="D55" s="81"/>
      <c r="E55" s="81"/>
    </row>
    <row r="56">
      <c r="D56" s="81"/>
      <c r="E56" s="81"/>
    </row>
    <row r="57">
      <c r="D57" s="81"/>
      <c r="E57" s="81"/>
    </row>
    <row r="58">
      <c r="D58" s="81"/>
      <c r="E58" s="81"/>
    </row>
    <row r="59">
      <c r="D59" s="81"/>
      <c r="E59" s="81"/>
    </row>
    <row r="60">
      <c r="D60" s="81"/>
      <c r="E60" s="81"/>
    </row>
    <row r="61">
      <c r="D61" s="81"/>
      <c r="E61" s="81"/>
    </row>
    <row r="62">
      <c r="D62" s="81"/>
      <c r="E62" s="81"/>
    </row>
    <row r="63">
      <c r="D63" s="81"/>
      <c r="E63" s="81"/>
    </row>
    <row r="64">
      <c r="D64" s="81"/>
      <c r="E64" s="81"/>
    </row>
    <row r="65">
      <c r="D65" s="81"/>
      <c r="E65" s="81"/>
    </row>
    <row r="66">
      <c r="D66" s="81"/>
      <c r="E66" s="81"/>
    </row>
    <row r="67">
      <c r="D67" s="81"/>
      <c r="E67" s="81"/>
    </row>
    <row r="68">
      <c r="D68" s="81"/>
      <c r="E68" s="81"/>
    </row>
    <row r="69">
      <c r="D69" s="81"/>
      <c r="E69" s="81"/>
    </row>
    <row r="70">
      <c r="D70" s="81"/>
      <c r="E70" s="81"/>
    </row>
    <row r="71">
      <c r="D71" s="81"/>
      <c r="E71" s="81"/>
    </row>
    <row r="72">
      <c r="D72" s="81"/>
      <c r="E72" s="81"/>
    </row>
    <row r="73">
      <c r="D73" s="81"/>
      <c r="E73" s="81"/>
    </row>
    <row r="74">
      <c r="D74" s="81"/>
      <c r="E74" s="81"/>
    </row>
    <row r="75">
      <c r="D75" s="81"/>
      <c r="E75" s="81"/>
    </row>
    <row r="76">
      <c r="D76" s="81"/>
      <c r="E76" s="81"/>
    </row>
    <row r="77">
      <c r="D77" s="81"/>
      <c r="E77" s="81"/>
    </row>
    <row r="78">
      <c r="D78" s="81"/>
      <c r="E78" s="81"/>
    </row>
    <row r="79">
      <c r="D79" s="81"/>
      <c r="E79" s="81"/>
    </row>
    <row r="80">
      <c r="D80" s="81"/>
      <c r="E80" s="81"/>
    </row>
    <row r="81">
      <c r="D81" s="81"/>
      <c r="E81" s="81"/>
    </row>
    <row r="82">
      <c r="D82" s="81"/>
      <c r="E82" s="81"/>
    </row>
    <row r="83">
      <c r="D83" s="81"/>
      <c r="E83" s="81"/>
    </row>
    <row r="84">
      <c r="D84" s="81"/>
      <c r="E84" s="81"/>
    </row>
    <row r="85">
      <c r="D85" s="81"/>
      <c r="E85" s="81"/>
    </row>
    <row r="86">
      <c r="D86" s="81"/>
      <c r="E86" s="81"/>
    </row>
    <row r="87">
      <c r="D87" s="81"/>
      <c r="E87" s="81"/>
    </row>
    <row r="88">
      <c r="D88" s="81"/>
      <c r="E88" s="81"/>
    </row>
    <row r="89">
      <c r="D89" s="81"/>
      <c r="E89" s="81"/>
    </row>
    <row r="90">
      <c r="D90" s="81"/>
      <c r="E90" s="81"/>
    </row>
    <row r="91">
      <c r="D91" s="81"/>
      <c r="E91" s="81"/>
    </row>
    <row r="92">
      <c r="D92" s="81"/>
      <c r="E92" s="81"/>
    </row>
    <row r="93">
      <c r="D93" s="81"/>
      <c r="E93" s="81"/>
    </row>
    <row r="94">
      <c r="D94" s="81"/>
      <c r="E94" s="81"/>
    </row>
    <row r="95">
      <c r="D95" s="81"/>
      <c r="E95" s="81"/>
    </row>
    <row r="96">
      <c r="D96" s="81"/>
      <c r="E96" s="81"/>
    </row>
    <row r="97">
      <c r="D97" s="81"/>
      <c r="E97" s="81"/>
    </row>
    <row r="98">
      <c r="D98" s="81"/>
      <c r="E98" s="81"/>
    </row>
    <row r="99">
      <c r="D99" s="81"/>
      <c r="E99" s="81"/>
    </row>
    <row r="100">
      <c r="D100" s="81"/>
      <c r="E100" s="81"/>
    </row>
    <row r="101">
      <c r="D101" s="81"/>
      <c r="E101" s="81"/>
    </row>
    <row r="102">
      <c r="D102" s="81"/>
      <c r="E102" s="81"/>
    </row>
    <row r="103">
      <c r="D103" s="81"/>
      <c r="E103" s="81"/>
    </row>
    <row r="104">
      <c r="D104" s="81"/>
      <c r="E104" s="81"/>
    </row>
    <row r="105">
      <c r="D105" s="81"/>
      <c r="E105" s="81"/>
    </row>
    <row r="106">
      <c r="D106" s="81"/>
      <c r="E106" s="81"/>
    </row>
    <row r="107">
      <c r="D107" s="81"/>
      <c r="E107" s="81"/>
    </row>
    <row r="108">
      <c r="D108" s="81"/>
      <c r="E108" s="81"/>
    </row>
    <row r="109">
      <c r="D109" s="81"/>
      <c r="E109" s="81"/>
    </row>
    <row r="110">
      <c r="D110" s="81"/>
      <c r="E110" s="81"/>
    </row>
    <row r="111">
      <c r="D111" s="81"/>
      <c r="E111" s="81"/>
    </row>
    <row r="112">
      <c r="D112" s="81"/>
      <c r="E112" s="81"/>
    </row>
    <row r="113">
      <c r="D113" s="81"/>
      <c r="E113" s="81"/>
    </row>
    <row r="114">
      <c r="D114" s="81"/>
      <c r="E114" s="81"/>
    </row>
    <row r="115">
      <c r="D115" s="81"/>
      <c r="E115" s="81"/>
    </row>
    <row r="116">
      <c r="D116" s="81"/>
      <c r="E116" s="81"/>
    </row>
    <row r="117">
      <c r="D117" s="81"/>
      <c r="E117" s="81"/>
    </row>
    <row r="118">
      <c r="D118" s="81"/>
      <c r="E118" s="81"/>
    </row>
    <row r="119">
      <c r="D119" s="81"/>
      <c r="E119" s="81"/>
    </row>
    <row r="120">
      <c r="D120" s="81"/>
      <c r="E120" s="81"/>
    </row>
    <row r="121">
      <c r="D121" s="81"/>
      <c r="E121" s="81"/>
    </row>
    <row r="122">
      <c r="D122" s="81"/>
      <c r="E122" s="81"/>
    </row>
    <row r="123">
      <c r="D123" s="81"/>
      <c r="E123" s="81"/>
    </row>
    <row r="124">
      <c r="D124" s="81"/>
      <c r="E124" s="81"/>
    </row>
    <row r="125">
      <c r="D125" s="81"/>
      <c r="E125" s="81"/>
    </row>
    <row r="126">
      <c r="D126" s="81"/>
      <c r="E126" s="81"/>
    </row>
    <row r="127">
      <c r="D127" s="81"/>
      <c r="E127" s="81"/>
    </row>
    <row r="128">
      <c r="D128" s="81"/>
      <c r="E128" s="81"/>
    </row>
    <row r="129">
      <c r="D129" s="81"/>
      <c r="E129" s="81"/>
    </row>
    <row r="130">
      <c r="D130" s="81"/>
      <c r="E130" s="81"/>
    </row>
    <row r="131">
      <c r="D131" s="81"/>
      <c r="E131" s="81"/>
    </row>
    <row r="132">
      <c r="D132" s="81"/>
      <c r="E132" s="81"/>
    </row>
    <row r="133">
      <c r="D133" s="81"/>
      <c r="E133" s="81"/>
    </row>
    <row r="134">
      <c r="D134" s="81"/>
      <c r="E134" s="81"/>
    </row>
    <row r="135">
      <c r="D135" s="81"/>
      <c r="E135" s="81"/>
    </row>
    <row r="136">
      <c r="D136" s="81"/>
      <c r="E136" s="81"/>
    </row>
    <row r="137">
      <c r="D137" s="81"/>
      <c r="E137" s="81"/>
    </row>
    <row r="138">
      <c r="D138" s="81"/>
      <c r="E138" s="81"/>
    </row>
    <row r="139">
      <c r="D139" s="81"/>
      <c r="E139" s="81"/>
    </row>
    <row r="140">
      <c r="D140" s="81"/>
      <c r="E140" s="81"/>
    </row>
    <row r="141">
      <c r="D141" s="81"/>
      <c r="E141" s="81"/>
    </row>
    <row r="142">
      <c r="D142" s="81"/>
      <c r="E142" s="81"/>
    </row>
    <row r="143">
      <c r="D143" s="81"/>
      <c r="E143" s="81"/>
    </row>
    <row r="144">
      <c r="D144" s="81"/>
      <c r="E144" s="81"/>
    </row>
    <row r="145">
      <c r="D145" s="81"/>
      <c r="E145" s="81"/>
    </row>
    <row r="146">
      <c r="D146" s="81"/>
      <c r="E146" s="81"/>
    </row>
    <row r="147">
      <c r="D147" s="81"/>
      <c r="E147" s="81"/>
    </row>
    <row r="148">
      <c r="D148" s="81"/>
      <c r="E148" s="81"/>
    </row>
    <row r="149">
      <c r="D149" s="81"/>
      <c r="E149" s="81"/>
    </row>
    <row r="150">
      <c r="D150" s="81"/>
      <c r="E150" s="81"/>
    </row>
    <row r="151">
      <c r="D151" s="81"/>
      <c r="E151" s="81"/>
    </row>
    <row r="152">
      <c r="D152" s="81"/>
      <c r="E152" s="81"/>
    </row>
    <row r="153">
      <c r="D153" s="81"/>
      <c r="E153" s="81"/>
    </row>
    <row r="154">
      <c r="D154" s="81"/>
      <c r="E154" s="81"/>
    </row>
    <row r="155">
      <c r="D155" s="81"/>
      <c r="E155" s="81"/>
    </row>
    <row r="156">
      <c r="D156" s="81"/>
      <c r="E156" s="81"/>
    </row>
    <row r="157">
      <c r="D157" s="81"/>
      <c r="E157" s="81"/>
    </row>
    <row r="158">
      <c r="D158" s="81"/>
      <c r="E158" s="81"/>
    </row>
    <row r="159">
      <c r="D159" s="81"/>
      <c r="E159" s="81"/>
    </row>
    <row r="160">
      <c r="D160" s="81"/>
      <c r="E160" s="81"/>
    </row>
    <row r="161">
      <c r="D161" s="81"/>
      <c r="E161" s="81"/>
    </row>
    <row r="162">
      <c r="D162" s="81"/>
      <c r="E162" s="81"/>
    </row>
    <row r="163">
      <c r="D163" s="81"/>
      <c r="E163" s="81"/>
    </row>
    <row r="164">
      <c r="D164" s="81"/>
      <c r="E164" s="81"/>
    </row>
    <row r="165">
      <c r="D165" s="81"/>
      <c r="E165" s="81"/>
    </row>
    <row r="166">
      <c r="D166" s="81"/>
      <c r="E166" s="81"/>
    </row>
    <row r="167">
      <c r="D167" s="81"/>
      <c r="E167" s="81"/>
    </row>
    <row r="168">
      <c r="D168" s="81"/>
      <c r="E168" s="81"/>
    </row>
    <row r="169">
      <c r="D169" s="81"/>
      <c r="E169" s="81"/>
    </row>
    <row r="170">
      <c r="D170" s="81"/>
      <c r="E170" s="81"/>
    </row>
    <row r="171">
      <c r="D171" s="81"/>
      <c r="E171" s="81"/>
    </row>
    <row r="172">
      <c r="D172" s="81"/>
      <c r="E172" s="81"/>
    </row>
    <row r="173">
      <c r="D173" s="81"/>
      <c r="E173" s="81"/>
    </row>
    <row r="174">
      <c r="D174" s="81"/>
      <c r="E174" s="81"/>
    </row>
    <row r="175">
      <c r="D175" s="81"/>
      <c r="E175" s="81"/>
    </row>
    <row r="176">
      <c r="D176" s="81"/>
      <c r="E176" s="81"/>
    </row>
    <row r="177">
      <c r="D177" s="81"/>
      <c r="E177" s="81"/>
    </row>
    <row r="178">
      <c r="D178" s="81"/>
      <c r="E178" s="81"/>
    </row>
    <row r="179">
      <c r="D179" s="81"/>
      <c r="E179" s="81"/>
    </row>
    <row r="180">
      <c r="D180" s="81"/>
      <c r="E180" s="81"/>
    </row>
    <row r="181">
      <c r="D181" s="81"/>
      <c r="E181" s="81"/>
    </row>
    <row r="182">
      <c r="D182" s="81"/>
      <c r="E182" s="81"/>
    </row>
    <row r="183">
      <c r="D183" s="81"/>
      <c r="E183" s="81"/>
    </row>
    <row r="184">
      <c r="D184" s="81"/>
      <c r="E184" s="81"/>
    </row>
    <row r="185">
      <c r="D185" s="81"/>
      <c r="E185" s="81"/>
    </row>
    <row r="186">
      <c r="D186" s="81"/>
      <c r="E186" s="81"/>
    </row>
    <row r="187">
      <c r="D187" s="81"/>
      <c r="E187" s="81"/>
    </row>
    <row r="188">
      <c r="D188" s="81"/>
      <c r="E188" s="81"/>
    </row>
    <row r="189">
      <c r="D189" s="81"/>
      <c r="E189" s="81"/>
    </row>
    <row r="190">
      <c r="D190" s="81"/>
      <c r="E190" s="81"/>
    </row>
    <row r="191">
      <c r="D191" s="81"/>
      <c r="E191" s="81"/>
    </row>
    <row r="192">
      <c r="D192" s="81"/>
      <c r="E192" s="81"/>
    </row>
    <row r="193">
      <c r="D193" s="81"/>
      <c r="E193" s="81"/>
    </row>
    <row r="194">
      <c r="D194" s="81"/>
      <c r="E194" s="81"/>
    </row>
    <row r="195">
      <c r="D195" s="81"/>
      <c r="E195" s="81"/>
    </row>
    <row r="196">
      <c r="D196" s="81"/>
      <c r="E196" s="81"/>
    </row>
    <row r="197">
      <c r="D197" s="81"/>
      <c r="E197" s="81"/>
    </row>
    <row r="198">
      <c r="D198" s="81"/>
      <c r="E198" s="81"/>
    </row>
    <row r="199">
      <c r="D199" s="81"/>
      <c r="E199" s="81"/>
    </row>
    <row r="200">
      <c r="D200" s="81"/>
      <c r="E200" s="81"/>
    </row>
    <row r="201">
      <c r="D201" s="81"/>
      <c r="E201" s="81"/>
    </row>
    <row r="202">
      <c r="D202" s="81"/>
      <c r="E202" s="81"/>
    </row>
    <row r="203">
      <c r="D203" s="81"/>
      <c r="E203" s="81"/>
    </row>
    <row r="204">
      <c r="D204" s="81"/>
      <c r="E204" s="81"/>
    </row>
    <row r="205">
      <c r="D205" s="81"/>
      <c r="E205" s="81"/>
    </row>
    <row r="206">
      <c r="D206" s="81"/>
      <c r="E206" s="81"/>
    </row>
    <row r="207">
      <c r="D207" s="81"/>
      <c r="E207" s="81"/>
    </row>
    <row r="208">
      <c r="D208" s="81"/>
      <c r="E208" s="81"/>
    </row>
    <row r="209">
      <c r="D209" s="81"/>
      <c r="E209" s="81"/>
    </row>
    <row r="210">
      <c r="D210" s="81"/>
      <c r="E210" s="81"/>
    </row>
    <row r="211">
      <c r="D211" s="81"/>
      <c r="E211" s="81"/>
    </row>
    <row r="212">
      <c r="D212" s="81"/>
      <c r="E212" s="81"/>
    </row>
    <row r="213">
      <c r="D213" s="81"/>
      <c r="E213" s="81"/>
    </row>
    <row r="214">
      <c r="D214" s="81"/>
      <c r="E214" s="81"/>
    </row>
    <row r="215">
      <c r="D215" s="81"/>
      <c r="E215" s="81"/>
    </row>
    <row r="216">
      <c r="D216" s="81"/>
      <c r="E216" s="81"/>
    </row>
    <row r="217">
      <c r="D217" s="81"/>
      <c r="E217" s="81"/>
    </row>
    <row r="218">
      <c r="D218" s="81"/>
      <c r="E218" s="81"/>
    </row>
    <row r="219">
      <c r="D219" s="81"/>
      <c r="E219" s="81"/>
    </row>
    <row r="220">
      <c r="D220" s="81"/>
      <c r="E220" s="81"/>
    </row>
    <row r="221">
      <c r="D221" s="81"/>
      <c r="E221" s="81"/>
    </row>
    <row r="222">
      <c r="D222" s="81"/>
      <c r="E222" s="81"/>
    </row>
    <row r="223">
      <c r="D223" s="81"/>
      <c r="E223" s="81"/>
    </row>
    <row r="224">
      <c r="D224" s="81"/>
      <c r="E224" s="81"/>
    </row>
    <row r="225">
      <c r="D225" s="81"/>
      <c r="E225" s="81"/>
    </row>
    <row r="226">
      <c r="D226" s="81"/>
      <c r="E226" s="81"/>
    </row>
    <row r="227">
      <c r="D227" s="81"/>
      <c r="E227" s="81"/>
    </row>
    <row r="228">
      <c r="D228" s="81"/>
      <c r="E228" s="81"/>
    </row>
    <row r="229">
      <c r="D229" s="81"/>
      <c r="E229" s="81"/>
    </row>
    <row r="230">
      <c r="D230" s="81"/>
      <c r="E230" s="81"/>
    </row>
    <row r="231">
      <c r="D231" s="81"/>
      <c r="E231" s="81"/>
    </row>
    <row r="232">
      <c r="D232" s="81"/>
      <c r="E232" s="81"/>
    </row>
    <row r="233">
      <c r="D233" s="81"/>
      <c r="E233" s="81"/>
    </row>
    <row r="234">
      <c r="D234" s="81"/>
      <c r="E234" s="81"/>
    </row>
    <row r="235">
      <c r="D235" s="81"/>
      <c r="E235" s="81"/>
    </row>
    <row r="236">
      <c r="D236" s="81"/>
      <c r="E236" s="81"/>
    </row>
    <row r="237">
      <c r="D237" s="81"/>
      <c r="E237" s="81"/>
    </row>
    <row r="238">
      <c r="D238" s="81"/>
      <c r="E238" s="81"/>
    </row>
    <row r="239">
      <c r="D239" s="81"/>
      <c r="E239" s="81"/>
    </row>
    <row r="240">
      <c r="D240" s="81"/>
      <c r="E240" s="81"/>
    </row>
    <row r="241">
      <c r="D241" s="81"/>
      <c r="E241" s="81"/>
    </row>
    <row r="242">
      <c r="D242" s="81"/>
      <c r="E242" s="81"/>
    </row>
    <row r="243">
      <c r="D243" s="81"/>
      <c r="E243" s="81"/>
    </row>
    <row r="244">
      <c r="D244" s="81"/>
      <c r="E244" s="81"/>
    </row>
    <row r="245">
      <c r="D245" s="81"/>
      <c r="E245" s="81"/>
    </row>
    <row r="246">
      <c r="D246" s="81"/>
      <c r="E246" s="81"/>
    </row>
    <row r="247">
      <c r="D247" s="81"/>
      <c r="E247" s="81"/>
    </row>
    <row r="248">
      <c r="D248" s="81"/>
      <c r="E248" s="81"/>
    </row>
    <row r="249">
      <c r="D249" s="81"/>
      <c r="E249" s="81"/>
    </row>
    <row r="250">
      <c r="D250" s="81"/>
      <c r="E250" s="81"/>
    </row>
    <row r="251">
      <c r="D251" s="81"/>
      <c r="E251" s="81"/>
    </row>
    <row r="252">
      <c r="D252" s="81"/>
      <c r="E252" s="81"/>
    </row>
    <row r="253">
      <c r="D253" s="81"/>
      <c r="E253" s="81"/>
    </row>
    <row r="254">
      <c r="D254" s="81"/>
      <c r="E254" s="81"/>
    </row>
    <row r="255">
      <c r="D255" s="81"/>
      <c r="E255" s="81"/>
    </row>
    <row r="256">
      <c r="D256" s="81"/>
      <c r="E256" s="81"/>
    </row>
    <row r="257">
      <c r="D257" s="81"/>
      <c r="E257" s="81"/>
    </row>
    <row r="258">
      <c r="D258" s="81"/>
      <c r="E258" s="81"/>
    </row>
    <row r="259">
      <c r="D259" s="81"/>
      <c r="E259" s="81"/>
    </row>
    <row r="260">
      <c r="D260" s="81"/>
      <c r="E260" s="81"/>
    </row>
    <row r="261">
      <c r="D261" s="81"/>
      <c r="E261" s="81"/>
    </row>
    <row r="262">
      <c r="D262" s="81"/>
      <c r="E262" s="81"/>
    </row>
    <row r="263">
      <c r="D263" s="81"/>
      <c r="E263" s="81"/>
    </row>
    <row r="264">
      <c r="D264" s="81"/>
      <c r="E264" s="81"/>
    </row>
    <row r="265">
      <c r="D265" s="81"/>
      <c r="E265" s="81"/>
    </row>
    <row r="266">
      <c r="D266" s="81"/>
      <c r="E266" s="81"/>
    </row>
    <row r="267">
      <c r="D267" s="81"/>
      <c r="E267" s="81"/>
    </row>
    <row r="268">
      <c r="D268" s="81"/>
      <c r="E268" s="81"/>
    </row>
    <row r="269">
      <c r="D269" s="81"/>
      <c r="E269" s="81"/>
    </row>
    <row r="270">
      <c r="D270" s="81"/>
      <c r="E270" s="81"/>
    </row>
    <row r="271">
      <c r="D271" s="81"/>
      <c r="E271" s="81"/>
    </row>
    <row r="272">
      <c r="D272" s="81"/>
      <c r="E272" s="81"/>
    </row>
    <row r="273">
      <c r="D273" s="81"/>
      <c r="E273" s="81"/>
    </row>
    <row r="274">
      <c r="D274" s="81"/>
      <c r="E274" s="81"/>
    </row>
    <row r="275">
      <c r="D275" s="81"/>
      <c r="E275" s="81"/>
    </row>
    <row r="276">
      <c r="D276" s="81"/>
      <c r="E276" s="81"/>
    </row>
    <row r="277">
      <c r="D277" s="81"/>
      <c r="E277" s="81"/>
    </row>
    <row r="278">
      <c r="D278" s="81"/>
      <c r="E278" s="81"/>
    </row>
    <row r="279">
      <c r="D279" s="81"/>
      <c r="E279" s="81"/>
    </row>
    <row r="280">
      <c r="D280" s="81"/>
      <c r="E280" s="81"/>
    </row>
    <row r="281">
      <c r="D281" s="81"/>
      <c r="E281" s="81"/>
    </row>
    <row r="282">
      <c r="D282" s="81"/>
      <c r="E282" s="81"/>
    </row>
    <row r="283">
      <c r="D283" s="81"/>
      <c r="E283" s="81"/>
    </row>
    <row r="284">
      <c r="D284" s="81"/>
      <c r="E284" s="81"/>
    </row>
    <row r="285">
      <c r="D285" s="81"/>
      <c r="E285" s="81"/>
    </row>
    <row r="286">
      <c r="D286" s="81"/>
      <c r="E286" s="81"/>
    </row>
    <row r="287">
      <c r="D287" s="81"/>
      <c r="E287" s="81"/>
    </row>
    <row r="288">
      <c r="D288" s="81"/>
      <c r="E288" s="81"/>
    </row>
    <row r="289">
      <c r="D289" s="81"/>
      <c r="E289" s="81"/>
    </row>
    <row r="290">
      <c r="D290" s="81"/>
      <c r="E290" s="81"/>
    </row>
    <row r="291">
      <c r="D291" s="81"/>
      <c r="E291" s="81"/>
    </row>
    <row r="292">
      <c r="D292" s="81"/>
      <c r="E292" s="81"/>
    </row>
    <row r="293">
      <c r="D293" s="81"/>
      <c r="E293" s="81"/>
    </row>
    <row r="294">
      <c r="D294" s="81"/>
      <c r="E294" s="81"/>
    </row>
    <row r="295">
      <c r="D295" s="81"/>
      <c r="E295" s="81"/>
    </row>
    <row r="296">
      <c r="D296" s="81"/>
      <c r="E296" s="81"/>
    </row>
    <row r="297">
      <c r="D297" s="81"/>
      <c r="E297" s="81"/>
    </row>
    <row r="298">
      <c r="D298" s="81"/>
      <c r="E298" s="81"/>
    </row>
    <row r="299">
      <c r="D299" s="81"/>
      <c r="E299" s="81"/>
    </row>
    <row r="300">
      <c r="D300" s="81"/>
      <c r="E300" s="81"/>
    </row>
    <row r="301">
      <c r="D301" s="81"/>
      <c r="E301" s="81"/>
    </row>
    <row r="302">
      <c r="D302" s="81"/>
      <c r="E302" s="81"/>
    </row>
    <row r="303">
      <c r="D303" s="81"/>
      <c r="E303" s="81"/>
    </row>
    <row r="304">
      <c r="D304" s="81"/>
      <c r="E304" s="81"/>
    </row>
    <row r="305">
      <c r="D305" s="81"/>
      <c r="E305" s="81"/>
    </row>
    <row r="306">
      <c r="D306" s="81"/>
      <c r="E306" s="81"/>
    </row>
    <row r="307">
      <c r="D307" s="81"/>
      <c r="E307" s="81"/>
    </row>
    <row r="308">
      <c r="D308" s="81"/>
      <c r="E308" s="81"/>
    </row>
    <row r="309">
      <c r="D309" s="81"/>
      <c r="E309" s="81"/>
    </row>
    <row r="310">
      <c r="D310" s="81"/>
      <c r="E310" s="81"/>
    </row>
    <row r="311">
      <c r="D311" s="81"/>
      <c r="E311" s="81"/>
    </row>
    <row r="312">
      <c r="D312" s="81"/>
      <c r="E312" s="81"/>
    </row>
    <row r="313">
      <c r="D313" s="81"/>
      <c r="E313" s="81"/>
    </row>
    <row r="314">
      <c r="D314" s="81"/>
      <c r="E314" s="81"/>
    </row>
    <row r="315">
      <c r="D315" s="81"/>
      <c r="E315" s="81"/>
    </row>
    <row r="316">
      <c r="D316" s="81"/>
      <c r="E316" s="81"/>
    </row>
    <row r="317">
      <c r="D317" s="81"/>
      <c r="E317" s="81"/>
    </row>
    <row r="318">
      <c r="D318" s="81"/>
      <c r="E318" s="81"/>
    </row>
    <row r="319">
      <c r="D319" s="81"/>
      <c r="E319" s="81"/>
    </row>
    <row r="320">
      <c r="D320" s="81"/>
      <c r="E320" s="81"/>
    </row>
    <row r="321">
      <c r="D321" s="81"/>
      <c r="E321" s="81"/>
    </row>
    <row r="322">
      <c r="D322" s="81"/>
      <c r="E322" s="81"/>
    </row>
    <row r="323">
      <c r="D323" s="81"/>
      <c r="E323" s="81"/>
    </row>
    <row r="324">
      <c r="D324" s="81"/>
      <c r="E324" s="81"/>
    </row>
    <row r="325">
      <c r="D325" s="81"/>
      <c r="E325" s="81"/>
    </row>
    <row r="326">
      <c r="D326" s="81"/>
      <c r="E326" s="81"/>
    </row>
    <row r="327">
      <c r="D327" s="81"/>
      <c r="E327" s="81"/>
    </row>
    <row r="328">
      <c r="D328" s="81"/>
      <c r="E328" s="81"/>
    </row>
    <row r="329">
      <c r="D329" s="81"/>
      <c r="E329" s="81"/>
    </row>
    <row r="330">
      <c r="D330" s="81"/>
      <c r="E330" s="81"/>
    </row>
    <row r="331">
      <c r="D331" s="81"/>
      <c r="E331" s="81"/>
    </row>
    <row r="332">
      <c r="D332" s="81"/>
      <c r="E332" s="81"/>
    </row>
    <row r="333">
      <c r="D333" s="81"/>
      <c r="E333" s="81"/>
    </row>
    <row r="334">
      <c r="D334" s="81"/>
      <c r="E334" s="81"/>
    </row>
    <row r="335">
      <c r="D335" s="81"/>
      <c r="E335" s="81"/>
    </row>
    <row r="336">
      <c r="D336" s="81"/>
      <c r="E336" s="81"/>
    </row>
    <row r="337">
      <c r="D337" s="81"/>
      <c r="E337" s="81"/>
    </row>
    <row r="338">
      <c r="D338" s="81"/>
      <c r="E338" s="81"/>
    </row>
    <row r="339">
      <c r="D339" s="81"/>
      <c r="E339" s="81"/>
    </row>
    <row r="340">
      <c r="D340" s="81"/>
      <c r="E340" s="81"/>
    </row>
    <row r="341">
      <c r="D341" s="81"/>
      <c r="E341" s="81"/>
    </row>
    <row r="342">
      <c r="D342" s="81"/>
      <c r="E342" s="81"/>
    </row>
    <row r="343">
      <c r="D343" s="81"/>
      <c r="E343" s="81"/>
    </row>
    <row r="344">
      <c r="D344" s="81"/>
      <c r="E344" s="81"/>
    </row>
    <row r="345">
      <c r="D345" s="81"/>
      <c r="E345" s="81"/>
    </row>
    <row r="346">
      <c r="D346" s="81"/>
      <c r="E346" s="81"/>
    </row>
    <row r="347">
      <c r="D347" s="81"/>
      <c r="E347" s="81"/>
    </row>
    <row r="348">
      <c r="D348" s="81"/>
      <c r="E348" s="81"/>
    </row>
    <row r="349">
      <c r="D349" s="81"/>
      <c r="E349" s="81"/>
    </row>
    <row r="350">
      <c r="D350" s="81"/>
      <c r="E350" s="81"/>
    </row>
    <row r="351">
      <c r="D351" s="81"/>
      <c r="E351" s="81"/>
    </row>
    <row r="352">
      <c r="D352" s="81"/>
      <c r="E352" s="81"/>
    </row>
    <row r="353">
      <c r="D353" s="81"/>
      <c r="E353" s="81"/>
    </row>
    <row r="354">
      <c r="D354" s="81"/>
      <c r="E354" s="81"/>
    </row>
    <row r="355">
      <c r="D355" s="81"/>
      <c r="E355" s="81"/>
    </row>
    <row r="356">
      <c r="D356" s="81"/>
      <c r="E356" s="81"/>
    </row>
    <row r="357">
      <c r="D357" s="81"/>
      <c r="E357" s="81"/>
    </row>
    <row r="358">
      <c r="D358" s="81"/>
      <c r="E358" s="81"/>
    </row>
    <row r="359">
      <c r="D359" s="81"/>
      <c r="E359" s="81"/>
    </row>
    <row r="360">
      <c r="D360" s="81"/>
      <c r="E360" s="81"/>
    </row>
    <row r="361">
      <c r="D361" s="81"/>
      <c r="E361" s="81"/>
    </row>
    <row r="362">
      <c r="D362" s="81"/>
      <c r="E362" s="81"/>
    </row>
    <row r="363">
      <c r="D363" s="81"/>
      <c r="E363" s="81"/>
    </row>
    <row r="364">
      <c r="D364" s="81"/>
      <c r="E364" s="81"/>
    </row>
    <row r="365">
      <c r="D365" s="81"/>
      <c r="E365" s="81"/>
    </row>
    <row r="366">
      <c r="D366" s="81"/>
      <c r="E366" s="81"/>
    </row>
    <row r="367">
      <c r="D367" s="81"/>
      <c r="E367" s="81"/>
    </row>
    <row r="368">
      <c r="D368" s="81"/>
      <c r="E368" s="81"/>
    </row>
    <row r="369">
      <c r="D369" s="81"/>
      <c r="E369" s="81"/>
    </row>
    <row r="370">
      <c r="D370" s="81"/>
      <c r="E370" s="81"/>
    </row>
    <row r="371">
      <c r="D371" s="81"/>
      <c r="E371" s="81"/>
    </row>
    <row r="372">
      <c r="D372" s="81"/>
      <c r="E372" s="81"/>
    </row>
    <row r="373">
      <c r="D373" s="81"/>
      <c r="E373" s="81"/>
    </row>
    <row r="374">
      <c r="D374" s="81"/>
      <c r="E374" s="81"/>
    </row>
    <row r="375">
      <c r="D375" s="81"/>
      <c r="E375" s="81"/>
    </row>
    <row r="376">
      <c r="D376" s="81"/>
      <c r="E376" s="81"/>
    </row>
    <row r="377">
      <c r="D377" s="81"/>
      <c r="E377" s="81"/>
    </row>
    <row r="378">
      <c r="D378" s="81"/>
      <c r="E378" s="81"/>
    </row>
    <row r="379">
      <c r="D379" s="81"/>
      <c r="E379" s="81"/>
    </row>
    <row r="380">
      <c r="D380" s="81"/>
      <c r="E380" s="81"/>
    </row>
    <row r="381">
      <c r="D381" s="81"/>
      <c r="E381" s="81"/>
    </row>
    <row r="382">
      <c r="D382" s="81"/>
      <c r="E382" s="81"/>
    </row>
    <row r="383">
      <c r="D383" s="81"/>
      <c r="E383" s="81"/>
    </row>
    <row r="384">
      <c r="D384" s="81"/>
      <c r="E384" s="81"/>
    </row>
    <row r="385">
      <c r="D385" s="81"/>
      <c r="E385" s="81"/>
    </row>
    <row r="386">
      <c r="D386" s="81"/>
      <c r="E386" s="81"/>
    </row>
    <row r="387">
      <c r="D387" s="81"/>
      <c r="E387" s="81"/>
    </row>
    <row r="388">
      <c r="D388" s="81"/>
      <c r="E388" s="81"/>
    </row>
    <row r="389">
      <c r="D389" s="81"/>
      <c r="E389" s="81"/>
    </row>
    <row r="390">
      <c r="D390" s="81"/>
      <c r="E390" s="81"/>
    </row>
    <row r="391">
      <c r="D391" s="81"/>
      <c r="E391" s="81"/>
    </row>
    <row r="392">
      <c r="D392" s="81"/>
      <c r="E392" s="81"/>
    </row>
    <row r="393">
      <c r="D393" s="81"/>
      <c r="E393" s="81"/>
    </row>
    <row r="394">
      <c r="D394" s="81"/>
      <c r="E394" s="81"/>
    </row>
    <row r="395">
      <c r="D395" s="81"/>
      <c r="E395" s="81"/>
    </row>
    <row r="396">
      <c r="D396" s="81"/>
      <c r="E396" s="81"/>
    </row>
    <row r="397">
      <c r="D397" s="81"/>
      <c r="E397" s="81"/>
    </row>
    <row r="398">
      <c r="D398" s="81"/>
      <c r="E398" s="81"/>
    </row>
    <row r="399">
      <c r="D399" s="81"/>
      <c r="E399" s="81"/>
    </row>
    <row r="400">
      <c r="D400" s="81"/>
      <c r="E400" s="81"/>
    </row>
    <row r="401">
      <c r="D401" s="81"/>
      <c r="E401" s="81"/>
    </row>
    <row r="402">
      <c r="D402" s="81"/>
      <c r="E402" s="81"/>
    </row>
    <row r="403">
      <c r="D403" s="81"/>
      <c r="E403" s="81"/>
    </row>
    <row r="404">
      <c r="D404" s="81"/>
      <c r="E404" s="81"/>
    </row>
    <row r="405">
      <c r="D405" s="81"/>
      <c r="E405" s="81"/>
    </row>
    <row r="406">
      <c r="D406" s="81"/>
      <c r="E406" s="81"/>
    </row>
    <row r="407">
      <c r="D407" s="81"/>
      <c r="E407" s="81"/>
    </row>
    <row r="408">
      <c r="D408" s="81"/>
      <c r="E408" s="81"/>
    </row>
    <row r="409">
      <c r="D409" s="81"/>
      <c r="E409" s="81"/>
    </row>
    <row r="410">
      <c r="D410" s="81"/>
      <c r="E410" s="81"/>
    </row>
    <row r="411">
      <c r="D411" s="81"/>
      <c r="E411" s="81"/>
    </row>
    <row r="412">
      <c r="D412" s="81"/>
      <c r="E412" s="81"/>
    </row>
    <row r="413">
      <c r="D413" s="81"/>
      <c r="E413" s="81"/>
    </row>
    <row r="414">
      <c r="D414" s="81"/>
      <c r="E414" s="81"/>
    </row>
    <row r="415">
      <c r="D415" s="81"/>
      <c r="E415" s="81"/>
    </row>
    <row r="416">
      <c r="D416" s="81"/>
      <c r="E416" s="81"/>
    </row>
    <row r="417">
      <c r="D417" s="81"/>
      <c r="E417" s="81"/>
    </row>
    <row r="418">
      <c r="D418" s="81"/>
      <c r="E418" s="81"/>
    </row>
    <row r="419">
      <c r="D419" s="81"/>
      <c r="E419" s="81"/>
    </row>
    <row r="420">
      <c r="D420" s="81"/>
      <c r="E420" s="81"/>
    </row>
    <row r="421">
      <c r="D421" s="81"/>
      <c r="E421" s="81"/>
    </row>
    <row r="422">
      <c r="D422" s="81"/>
      <c r="E422" s="81"/>
    </row>
    <row r="423">
      <c r="D423" s="81"/>
      <c r="E423" s="81"/>
    </row>
    <row r="424">
      <c r="D424" s="81"/>
      <c r="E424" s="81"/>
    </row>
    <row r="425">
      <c r="D425" s="81"/>
      <c r="E425" s="81"/>
    </row>
    <row r="426">
      <c r="D426" s="81"/>
      <c r="E426" s="81"/>
    </row>
    <row r="427">
      <c r="D427" s="81"/>
      <c r="E427" s="81"/>
    </row>
    <row r="428">
      <c r="D428" s="81"/>
      <c r="E428" s="81"/>
    </row>
    <row r="429">
      <c r="D429" s="81"/>
      <c r="E429" s="81"/>
    </row>
    <row r="430">
      <c r="D430" s="81"/>
      <c r="E430" s="81"/>
    </row>
    <row r="431">
      <c r="D431" s="81"/>
      <c r="E431" s="81"/>
    </row>
    <row r="432">
      <c r="D432" s="81"/>
      <c r="E432" s="81"/>
    </row>
    <row r="433">
      <c r="D433" s="81"/>
      <c r="E433" s="81"/>
    </row>
    <row r="434">
      <c r="D434" s="81"/>
      <c r="E434" s="81"/>
    </row>
    <row r="435">
      <c r="D435" s="81"/>
      <c r="E435" s="81"/>
    </row>
    <row r="436">
      <c r="D436" s="81"/>
      <c r="E436" s="81"/>
    </row>
    <row r="437">
      <c r="D437" s="81"/>
      <c r="E437" s="81"/>
    </row>
    <row r="438">
      <c r="D438" s="81"/>
      <c r="E438" s="81"/>
    </row>
    <row r="439">
      <c r="D439" s="81"/>
      <c r="E439" s="81"/>
    </row>
    <row r="440">
      <c r="D440" s="81"/>
      <c r="E440" s="81"/>
    </row>
    <row r="441">
      <c r="D441" s="81"/>
      <c r="E441" s="81"/>
    </row>
    <row r="442">
      <c r="D442" s="81"/>
      <c r="E442" s="81"/>
    </row>
    <row r="443">
      <c r="D443" s="81"/>
      <c r="E443" s="81"/>
    </row>
    <row r="444">
      <c r="D444" s="81"/>
      <c r="E444" s="81"/>
    </row>
    <row r="445">
      <c r="D445" s="81"/>
      <c r="E445" s="81"/>
    </row>
    <row r="446">
      <c r="D446" s="81"/>
      <c r="E446" s="81"/>
    </row>
    <row r="447">
      <c r="D447" s="81"/>
      <c r="E447" s="81"/>
    </row>
    <row r="448">
      <c r="D448" s="81"/>
      <c r="E448" s="81"/>
    </row>
    <row r="449">
      <c r="D449" s="81"/>
      <c r="E449" s="81"/>
    </row>
    <row r="450">
      <c r="D450" s="81"/>
      <c r="E450" s="81"/>
    </row>
    <row r="451">
      <c r="D451" s="81"/>
      <c r="E451" s="81"/>
    </row>
    <row r="452">
      <c r="D452" s="81"/>
      <c r="E452" s="81"/>
    </row>
    <row r="453">
      <c r="D453" s="81"/>
      <c r="E453" s="81"/>
    </row>
    <row r="454">
      <c r="D454" s="81"/>
      <c r="E454" s="81"/>
    </row>
    <row r="455">
      <c r="D455" s="81"/>
      <c r="E455" s="81"/>
    </row>
    <row r="456">
      <c r="D456" s="81"/>
      <c r="E456" s="81"/>
    </row>
    <row r="457">
      <c r="D457" s="81"/>
      <c r="E457" s="81"/>
    </row>
    <row r="458">
      <c r="D458" s="81"/>
      <c r="E458" s="81"/>
    </row>
    <row r="459">
      <c r="D459" s="81"/>
      <c r="E459" s="81"/>
    </row>
    <row r="460">
      <c r="D460" s="81"/>
      <c r="E460" s="81"/>
    </row>
    <row r="461">
      <c r="D461" s="81"/>
      <c r="E461" s="81"/>
    </row>
    <row r="462">
      <c r="D462" s="81"/>
      <c r="E462" s="81"/>
    </row>
    <row r="463">
      <c r="D463" s="81"/>
      <c r="E463" s="81"/>
    </row>
    <row r="464">
      <c r="D464" s="81"/>
      <c r="E464" s="81"/>
    </row>
    <row r="465">
      <c r="D465" s="81"/>
      <c r="E465" s="81"/>
    </row>
    <row r="466">
      <c r="D466" s="81"/>
      <c r="E466" s="81"/>
    </row>
    <row r="467">
      <c r="D467" s="81"/>
      <c r="E467" s="81"/>
    </row>
    <row r="468">
      <c r="D468" s="81"/>
      <c r="E468" s="81"/>
    </row>
    <row r="469">
      <c r="D469" s="81"/>
      <c r="E469" s="81"/>
    </row>
    <row r="470">
      <c r="D470" s="81"/>
      <c r="E470" s="81"/>
    </row>
    <row r="471">
      <c r="D471" s="81"/>
      <c r="E471" s="81"/>
    </row>
    <row r="472">
      <c r="D472" s="81"/>
      <c r="E472" s="81"/>
    </row>
    <row r="473">
      <c r="D473" s="81"/>
      <c r="E473" s="81"/>
    </row>
    <row r="474">
      <c r="D474" s="81"/>
      <c r="E474" s="81"/>
    </row>
    <row r="475">
      <c r="D475" s="81"/>
      <c r="E475" s="81"/>
    </row>
    <row r="476">
      <c r="D476" s="81"/>
      <c r="E476" s="81"/>
    </row>
    <row r="477">
      <c r="D477" s="81"/>
      <c r="E477" s="81"/>
    </row>
    <row r="478">
      <c r="D478" s="81"/>
      <c r="E478" s="81"/>
    </row>
    <row r="479">
      <c r="D479" s="81"/>
      <c r="E479" s="81"/>
    </row>
    <row r="480">
      <c r="D480" s="81"/>
      <c r="E480" s="81"/>
    </row>
    <row r="481">
      <c r="D481" s="81"/>
      <c r="E481" s="81"/>
    </row>
    <row r="482">
      <c r="D482" s="81"/>
      <c r="E482" s="81"/>
    </row>
    <row r="483">
      <c r="D483" s="81"/>
      <c r="E483" s="81"/>
    </row>
    <row r="484">
      <c r="D484" s="81"/>
      <c r="E484" s="81"/>
    </row>
    <row r="485">
      <c r="D485" s="81"/>
      <c r="E485" s="81"/>
    </row>
    <row r="486">
      <c r="D486" s="81"/>
      <c r="E486" s="81"/>
    </row>
    <row r="487">
      <c r="D487" s="81"/>
      <c r="E487" s="81"/>
    </row>
    <row r="488">
      <c r="D488" s="81"/>
      <c r="E488" s="81"/>
    </row>
    <row r="489">
      <c r="D489" s="81"/>
      <c r="E489" s="81"/>
    </row>
    <row r="490">
      <c r="D490" s="81"/>
      <c r="E490" s="81"/>
    </row>
    <row r="491">
      <c r="D491" s="81"/>
      <c r="E491" s="81"/>
    </row>
    <row r="492">
      <c r="D492" s="81"/>
      <c r="E492" s="81"/>
    </row>
    <row r="493">
      <c r="D493" s="81"/>
      <c r="E493" s="81"/>
    </row>
    <row r="494">
      <c r="D494" s="81"/>
      <c r="E494" s="81"/>
    </row>
    <row r="495">
      <c r="D495" s="81"/>
      <c r="E495" s="81"/>
    </row>
    <row r="496">
      <c r="D496" s="81"/>
      <c r="E496" s="81"/>
    </row>
    <row r="497">
      <c r="D497" s="81"/>
      <c r="E497" s="81"/>
    </row>
    <row r="498">
      <c r="D498" s="81"/>
      <c r="E498" s="81"/>
    </row>
    <row r="499">
      <c r="D499" s="81"/>
      <c r="E499" s="81"/>
    </row>
    <row r="500">
      <c r="D500" s="81"/>
      <c r="E500" s="81"/>
    </row>
    <row r="501">
      <c r="D501" s="81"/>
      <c r="E501" s="81"/>
    </row>
    <row r="502">
      <c r="D502" s="81"/>
      <c r="E502" s="81"/>
    </row>
    <row r="503">
      <c r="D503" s="81"/>
      <c r="E503" s="81"/>
    </row>
    <row r="504">
      <c r="D504" s="81"/>
      <c r="E504" s="81"/>
    </row>
    <row r="505">
      <c r="D505" s="81"/>
      <c r="E505" s="81"/>
    </row>
    <row r="506">
      <c r="D506" s="81"/>
      <c r="E506" s="81"/>
    </row>
    <row r="507">
      <c r="D507" s="81"/>
      <c r="E507" s="81"/>
    </row>
    <row r="508">
      <c r="D508" s="81"/>
      <c r="E508" s="81"/>
    </row>
    <row r="509">
      <c r="D509" s="81"/>
      <c r="E509" s="81"/>
    </row>
    <row r="510">
      <c r="D510" s="81"/>
      <c r="E510" s="81"/>
    </row>
    <row r="511">
      <c r="D511" s="81"/>
      <c r="E511" s="81"/>
    </row>
    <row r="512">
      <c r="D512" s="81"/>
      <c r="E512" s="81"/>
    </row>
    <row r="513">
      <c r="D513" s="81"/>
      <c r="E513" s="81"/>
    </row>
    <row r="514">
      <c r="D514" s="81"/>
      <c r="E514" s="81"/>
    </row>
    <row r="515">
      <c r="D515" s="81"/>
      <c r="E515" s="81"/>
    </row>
    <row r="516">
      <c r="D516" s="81"/>
      <c r="E516" s="81"/>
    </row>
    <row r="517">
      <c r="D517" s="81"/>
      <c r="E517" s="81"/>
    </row>
    <row r="518">
      <c r="D518" s="81"/>
      <c r="E518" s="81"/>
    </row>
    <row r="519">
      <c r="D519" s="81"/>
      <c r="E519" s="81"/>
    </row>
    <row r="520">
      <c r="D520" s="81"/>
      <c r="E520" s="81"/>
    </row>
    <row r="521">
      <c r="D521" s="81"/>
      <c r="E521" s="81"/>
    </row>
    <row r="522">
      <c r="D522" s="81"/>
      <c r="E522" s="81"/>
    </row>
    <row r="523">
      <c r="D523" s="81"/>
      <c r="E523" s="81"/>
    </row>
    <row r="524">
      <c r="D524" s="81"/>
      <c r="E524" s="81"/>
    </row>
    <row r="525">
      <c r="D525" s="81"/>
      <c r="E525" s="81"/>
    </row>
    <row r="526">
      <c r="D526" s="81"/>
      <c r="E526" s="81"/>
    </row>
    <row r="527">
      <c r="D527" s="81"/>
      <c r="E527" s="81"/>
    </row>
    <row r="528">
      <c r="D528" s="81"/>
      <c r="E528" s="81"/>
    </row>
    <row r="529">
      <c r="D529" s="81"/>
      <c r="E529" s="81"/>
    </row>
    <row r="530">
      <c r="D530" s="81"/>
      <c r="E530" s="81"/>
    </row>
    <row r="531">
      <c r="D531" s="81"/>
      <c r="E531" s="81"/>
    </row>
    <row r="532">
      <c r="D532" s="81"/>
      <c r="E532" s="81"/>
    </row>
    <row r="533">
      <c r="D533" s="81"/>
      <c r="E533" s="81"/>
    </row>
    <row r="534">
      <c r="D534" s="81"/>
      <c r="E534" s="81"/>
    </row>
    <row r="535">
      <c r="D535" s="81"/>
      <c r="E535" s="81"/>
    </row>
    <row r="536">
      <c r="D536" s="81"/>
      <c r="E536" s="81"/>
    </row>
    <row r="537">
      <c r="D537" s="81"/>
      <c r="E537" s="81"/>
    </row>
    <row r="538">
      <c r="D538" s="81"/>
      <c r="E538" s="81"/>
    </row>
    <row r="539">
      <c r="D539" s="81"/>
      <c r="E539" s="81"/>
    </row>
    <row r="540">
      <c r="D540" s="81"/>
      <c r="E540" s="81"/>
    </row>
    <row r="541">
      <c r="D541" s="81"/>
      <c r="E541" s="81"/>
    </row>
    <row r="542">
      <c r="D542" s="81"/>
      <c r="E542" s="81"/>
    </row>
    <row r="543">
      <c r="D543" s="81"/>
      <c r="E543" s="81"/>
    </row>
    <row r="544">
      <c r="D544" s="81"/>
      <c r="E544" s="81"/>
    </row>
    <row r="545">
      <c r="D545" s="81"/>
      <c r="E545" s="81"/>
    </row>
    <row r="546">
      <c r="D546" s="81"/>
      <c r="E546" s="81"/>
    </row>
    <row r="547">
      <c r="D547" s="81"/>
      <c r="E547" s="81"/>
    </row>
    <row r="548">
      <c r="D548" s="81"/>
      <c r="E548" s="81"/>
    </row>
    <row r="549">
      <c r="D549" s="81"/>
      <c r="E549" s="81"/>
    </row>
    <row r="550">
      <c r="D550" s="81"/>
      <c r="E550" s="81"/>
    </row>
    <row r="551">
      <c r="D551" s="81"/>
      <c r="E551" s="81"/>
    </row>
    <row r="552">
      <c r="D552" s="81"/>
      <c r="E552" s="81"/>
    </row>
    <row r="553">
      <c r="D553" s="81"/>
      <c r="E553" s="81"/>
    </row>
    <row r="554">
      <c r="D554" s="81"/>
      <c r="E554" s="81"/>
    </row>
    <row r="555">
      <c r="D555" s="81"/>
      <c r="E555" s="81"/>
    </row>
    <row r="556">
      <c r="D556" s="81"/>
      <c r="E556" s="81"/>
    </row>
    <row r="557">
      <c r="D557" s="81"/>
      <c r="E557" s="81"/>
    </row>
    <row r="558">
      <c r="D558" s="81"/>
      <c r="E558" s="81"/>
    </row>
    <row r="559">
      <c r="D559" s="81"/>
      <c r="E559" s="81"/>
    </row>
    <row r="560">
      <c r="D560" s="81"/>
      <c r="E560" s="81"/>
    </row>
    <row r="561">
      <c r="D561" s="81"/>
      <c r="E561" s="81"/>
    </row>
    <row r="562">
      <c r="D562" s="81"/>
      <c r="E562" s="81"/>
    </row>
    <row r="563">
      <c r="D563" s="81"/>
      <c r="E563" s="81"/>
    </row>
    <row r="564">
      <c r="D564" s="81"/>
      <c r="E564" s="81"/>
    </row>
    <row r="565">
      <c r="D565" s="81"/>
      <c r="E565" s="81"/>
    </row>
    <row r="566">
      <c r="D566" s="81"/>
      <c r="E566" s="81"/>
    </row>
    <row r="567">
      <c r="D567" s="81"/>
      <c r="E567" s="81"/>
    </row>
    <row r="568">
      <c r="D568" s="81"/>
      <c r="E568" s="81"/>
    </row>
    <row r="569">
      <c r="D569" s="81"/>
      <c r="E569" s="81"/>
    </row>
    <row r="570">
      <c r="D570" s="81"/>
      <c r="E570" s="81"/>
    </row>
    <row r="571">
      <c r="D571" s="81"/>
      <c r="E571" s="81"/>
    </row>
    <row r="572">
      <c r="D572" s="81"/>
      <c r="E572" s="81"/>
    </row>
    <row r="573">
      <c r="D573" s="81"/>
      <c r="E573" s="81"/>
    </row>
    <row r="574">
      <c r="D574" s="81"/>
      <c r="E574" s="81"/>
    </row>
    <row r="575">
      <c r="D575" s="81"/>
      <c r="E575" s="81"/>
    </row>
    <row r="576">
      <c r="D576" s="81"/>
      <c r="E576" s="81"/>
    </row>
    <row r="577">
      <c r="D577" s="81"/>
      <c r="E577" s="81"/>
    </row>
    <row r="578">
      <c r="D578" s="81"/>
      <c r="E578" s="81"/>
    </row>
    <row r="579">
      <c r="D579" s="81"/>
      <c r="E579" s="81"/>
    </row>
    <row r="580">
      <c r="D580" s="81"/>
      <c r="E580" s="81"/>
    </row>
    <row r="581">
      <c r="D581" s="81"/>
      <c r="E581" s="81"/>
    </row>
    <row r="582">
      <c r="D582" s="81"/>
      <c r="E582" s="81"/>
    </row>
    <row r="583">
      <c r="D583" s="81"/>
      <c r="E583" s="81"/>
    </row>
    <row r="584">
      <c r="D584" s="81"/>
      <c r="E584" s="81"/>
    </row>
    <row r="585">
      <c r="D585" s="81"/>
      <c r="E585" s="81"/>
    </row>
    <row r="586">
      <c r="D586" s="81"/>
      <c r="E586" s="81"/>
    </row>
    <row r="587">
      <c r="D587" s="81"/>
      <c r="E587" s="81"/>
    </row>
    <row r="588">
      <c r="D588" s="81"/>
      <c r="E588" s="81"/>
    </row>
    <row r="589">
      <c r="D589" s="81"/>
      <c r="E589" s="81"/>
    </row>
    <row r="590">
      <c r="D590" s="81"/>
      <c r="E590" s="81"/>
    </row>
    <row r="591">
      <c r="D591" s="81"/>
      <c r="E591" s="81"/>
    </row>
    <row r="592">
      <c r="D592" s="81"/>
      <c r="E592" s="81"/>
    </row>
    <row r="593">
      <c r="D593" s="81"/>
      <c r="E593" s="81"/>
    </row>
    <row r="594">
      <c r="D594" s="81"/>
      <c r="E594" s="81"/>
    </row>
    <row r="595">
      <c r="D595" s="81"/>
      <c r="E595" s="81"/>
    </row>
    <row r="596">
      <c r="D596" s="81"/>
      <c r="E596" s="81"/>
    </row>
    <row r="597">
      <c r="D597" s="81"/>
      <c r="E597" s="81"/>
    </row>
    <row r="598">
      <c r="D598" s="81"/>
      <c r="E598" s="81"/>
    </row>
    <row r="599">
      <c r="D599" s="81"/>
      <c r="E599" s="81"/>
    </row>
    <row r="600">
      <c r="D600" s="81"/>
      <c r="E600" s="81"/>
    </row>
    <row r="601">
      <c r="D601" s="81"/>
      <c r="E601" s="81"/>
    </row>
    <row r="602">
      <c r="D602" s="81"/>
      <c r="E602" s="81"/>
    </row>
    <row r="603">
      <c r="D603" s="81"/>
      <c r="E603" s="81"/>
    </row>
    <row r="604">
      <c r="D604" s="81"/>
      <c r="E604" s="81"/>
    </row>
    <row r="605">
      <c r="D605" s="81"/>
      <c r="E605" s="81"/>
    </row>
    <row r="606">
      <c r="D606" s="81"/>
      <c r="E606" s="81"/>
    </row>
    <row r="607">
      <c r="D607" s="81"/>
      <c r="E607" s="81"/>
    </row>
    <row r="608">
      <c r="D608" s="81"/>
      <c r="E608" s="81"/>
    </row>
    <row r="609">
      <c r="D609" s="81"/>
      <c r="E609" s="81"/>
    </row>
    <row r="610">
      <c r="D610" s="81"/>
      <c r="E610" s="81"/>
    </row>
    <row r="611">
      <c r="D611" s="81"/>
      <c r="E611" s="81"/>
    </row>
    <row r="612">
      <c r="D612" s="81"/>
      <c r="E612" s="81"/>
    </row>
    <row r="613">
      <c r="D613" s="81"/>
      <c r="E613" s="81"/>
    </row>
    <row r="614">
      <c r="D614" s="81"/>
      <c r="E614" s="81"/>
    </row>
    <row r="615">
      <c r="D615" s="81"/>
      <c r="E615" s="81"/>
    </row>
    <row r="616">
      <c r="D616" s="81"/>
      <c r="E616" s="81"/>
    </row>
    <row r="617">
      <c r="D617" s="81"/>
      <c r="E617" s="81"/>
    </row>
    <row r="618">
      <c r="D618" s="81"/>
      <c r="E618" s="81"/>
    </row>
    <row r="619">
      <c r="D619" s="81"/>
      <c r="E619" s="81"/>
    </row>
    <row r="620">
      <c r="D620" s="81"/>
      <c r="E620" s="81"/>
    </row>
    <row r="621">
      <c r="D621" s="81"/>
      <c r="E621" s="81"/>
    </row>
    <row r="622">
      <c r="D622" s="81"/>
      <c r="E622" s="81"/>
    </row>
    <row r="623">
      <c r="D623" s="81"/>
      <c r="E623" s="81"/>
    </row>
    <row r="624">
      <c r="D624" s="81"/>
      <c r="E624" s="81"/>
    </row>
    <row r="625">
      <c r="D625" s="81"/>
      <c r="E625" s="81"/>
    </row>
    <row r="626">
      <c r="D626" s="81"/>
      <c r="E626" s="81"/>
    </row>
    <row r="627">
      <c r="D627" s="81"/>
      <c r="E627" s="81"/>
    </row>
    <row r="628">
      <c r="D628" s="81"/>
      <c r="E628" s="81"/>
    </row>
    <row r="629">
      <c r="D629" s="81"/>
      <c r="E629" s="81"/>
    </row>
    <row r="630">
      <c r="D630" s="81"/>
      <c r="E630" s="81"/>
    </row>
    <row r="631">
      <c r="D631" s="81"/>
      <c r="E631" s="81"/>
    </row>
    <row r="632">
      <c r="D632" s="81"/>
      <c r="E632" s="81"/>
    </row>
    <row r="633">
      <c r="D633" s="81"/>
      <c r="E633" s="81"/>
    </row>
    <row r="634">
      <c r="D634" s="81"/>
      <c r="E634" s="81"/>
    </row>
    <row r="635">
      <c r="D635" s="81"/>
      <c r="E635" s="81"/>
    </row>
    <row r="636">
      <c r="D636" s="81"/>
      <c r="E636" s="81"/>
    </row>
    <row r="637">
      <c r="D637" s="81"/>
      <c r="E637" s="81"/>
    </row>
    <row r="638">
      <c r="D638" s="81"/>
      <c r="E638" s="81"/>
    </row>
    <row r="639">
      <c r="D639" s="81"/>
      <c r="E639" s="81"/>
    </row>
    <row r="640">
      <c r="D640" s="81"/>
      <c r="E640" s="81"/>
    </row>
    <row r="641">
      <c r="D641" s="81"/>
      <c r="E641" s="81"/>
    </row>
    <row r="642">
      <c r="D642" s="81"/>
      <c r="E642" s="81"/>
    </row>
    <row r="643">
      <c r="D643" s="81"/>
      <c r="E643" s="81"/>
    </row>
    <row r="644">
      <c r="D644" s="81"/>
      <c r="E644" s="81"/>
    </row>
    <row r="645">
      <c r="D645" s="81"/>
      <c r="E645" s="81"/>
    </row>
    <row r="646">
      <c r="D646" s="81"/>
      <c r="E646" s="81"/>
    </row>
    <row r="647">
      <c r="D647" s="81"/>
      <c r="E647" s="81"/>
    </row>
    <row r="648">
      <c r="D648" s="81"/>
      <c r="E648" s="81"/>
    </row>
    <row r="649">
      <c r="D649" s="81"/>
      <c r="E649" s="81"/>
    </row>
    <row r="650">
      <c r="D650" s="81"/>
      <c r="E650" s="81"/>
    </row>
    <row r="651">
      <c r="D651" s="81"/>
      <c r="E651" s="81"/>
    </row>
    <row r="652">
      <c r="D652" s="81"/>
      <c r="E652" s="81"/>
    </row>
    <row r="653">
      <c r="D653" s="81"/>
      <c r="E653" s="81"/>
    </row>
    <row r="654">
      <c r="D654" s="81"/>
      <c r="E654" s="81"/>
    </row>
    <row r="655">
      <c r="D655" s="81"/>
      <c r="E655" s="81"/>
    </row>
    <row r="656">
      <c r="D656" s="81"/>
      <c r="E656" s="81"/>
    </row>
    <row r="657">
      <c r="D657" s="81"/>
      <c r="E657" s="81"/>
    </row>
    <row r="658">
      <c r="D658" s="81"/>
      <c r="E658" s="81"/>
    </row>
    <row r="659">
      <c r="D659" s="81"/>
      <c r="E659" s="81"/>
    </row>
    <row r="660">
      <c r="D660" s="81"/>
      <c r="E660" s="81"/>
    </row>
    <row r="661">
      <c r="D661" s="81"/>
      <c r="E661" s="81"/>
    </row>
    <row r="662">
      <c r="D662" s="81"/>
      <c r="E662" s="81"/>
    </row>
    <row r="663">
      <c r="D663" s="81"/>
      <c r="E663" s="81"/>
    </row>
    <row r="664">
      <c r="D664" s="81"/>
      <c r="E664" s="81"/>
    </row>
    <row r="665">
      <c r="D665" s="81"/>
      <c r="E665" s="81"/>
    </row>
    <row r="666">
      <c r="D666" s="81"/>
      <c r="E666" s="81"/>
    </row>
    <row r="667">
      <c r="D667" s="81"/>
      <c r="E667" s="81"/>
    </row>
    <row r="668">
      <c r="D668" s="81"/>
      <c r="E668" s="81"/>
    </row>
    <row r="669">
      <c r="D669" s="81"/>
      <c r="E669" s="81"/>
    </row>
    <row r="670">
      <c r="D670" s="81"/>
      <c r="E670" s="81"/>
    </row>
    <row r="671">
      <c r="D671" s="81"/>
      <c r="E671" s="81"/>
    </row>
    <row r="672">
      <c r="D672" s="81"/>
      <c r="E672" s="81"/>
    </row>
    <row r="673">
      <c r="D673" s="81"/>
      <c r="E673" s="81"/>
    </row>
    <row r="674">
      <c r="D674" s="81"/>
      <c r="E674" s="81"/>
    </row>
    <row r="675">
      <c r="D675" s="81"/>
      <c r="E675" s="81"/>
    </row>
    <row r="676">
      <c r="D676" s="81"/>
      <c r="E676" s="81"/>
    </row>
    <row r="677">
      <c r="D677" s="81"/>
      <c r="E677" s="81"/>
    </row>
    <row r="678">
      <c r="D678" s="81"/>
      <c r="E678" s="81"/>
    </row>
    <row r="679">
      <c r="D679" s="81"/>
      <c r="E679" s="81"/>
    </row>
    <row r="680">
      <c r="D680" s="81"/>
      <c r="E680" s="81"/>
    </row>
    <row r="681">
      <c r="D681" s="81"/>
      <c r="E681" s="81"/>
    </row>
    <row r="682">
      <c r="D682" s="81"/>
      <c r="E682" s="81"/>
    </row>
    <row r="683">
      <c r="D683" s="81"/>
      <c r="E683" s="81"/>
    </row>
    <row r="684">
      <c r="D684" s="81"/>
      <c r="E684" s="81"/>
    </row>
    <row r="685">
      <c r="D685" s="81"/>
      <c r="E685" s="81"/>
    </row>
    <row r="686">
      <c r="D686" s="81"/>
      <c r="E686" s="81"/>
    </row>
    <row r="687">
      <c r="D687" s="81"/>
      <c r="E687" s="81"/>
    </row>
    <row r="688">
      <c r="D688" s="81"/>
      <c r="E688" s="81"/>
    </row>
    <row r="689">
      <c r="D689" s="81"/>
      <c r="E689" s="81"/>
    </row>
    <row r="690">
      <c r="D690" s="81"/>
      <c r="E690" s="81"/>
    </row>
    <row r="691">
      <c r="D691" s="81"/>
      <c r="E691" s="81"/>
    </row>
    <row r="692">
      <c r="D692" s="81"/>
      <c r="E692" s="81"/>
    </row>
    <row r="693">
      <c r="D693" s="81"/>
      <c r="E693" s="81"/>
    </row>
    <row r="694">
      <c r="D694" s="81"/>
      <c r="E694" s="81"/>
    </row>
    <row r="695">
      <c r="D695" s="81"/>
      <c r="E695" s="81"/>
    </row>
    <row r="696">
      <c r="D696" s="81"/>
      <c r="E696" s="81"/>
    </row>
    <row r="697">
      <c r="D697" s="81"/>
      <c r="E697" s="81"/>
    </row>
    <row r="698">
      <c r="D698" s="81"/>
      <c r="E698" s="81"/>
    </row>
    <row r="699">
      <c r="D699" s="81"/>
      <c r="E699" s="81"/>
    </row>
    <row r="700">
      <c r="D700" s="81"/>
      <c r="E700" s="81"/>
    </row>
    <row r="701">
      <c r="D701" s="81"/>
      <c r="E701" s="81"/>
    </row>
    <row r="702">
      <c r="D702" s="81"/>
      <c r="E702" s="81"/>
    </row>
    <row r="703">
      <c r="D703" s="81"/>
      <c r="E703" s="81"/>
    </row>
    <row r="704">
      <c r="D704" s="81"/>
      <c r="E704" s="81"/>
    </row>
    <row r="705">
      <c r="D705" s="81"/>
      <c r="E705" s="81"/>
    </row>
    <row r="706">
      <c r="D706" s="81"/>
      <c r="E706" s="81"/>
    </row>
    <row r="707">
      <c r="D707" s="81"/>
      <c r="E707" s="81"/>
    </row>
    <row r="708">
      <c r="D708" s="81"/>
      <c r="E708" s="81"/>
    </row>
    <row r="709">
      <c r="D709" s="81"/>
      <c r="E709" s="81"/>
    </row>
    <row r="710">
      <c r="D710" s="81"/>
      <c r="E710" s="81"/>
    </row>
    <row r="711">
      <c r="D711" s="81"/>
      <c r="E711" s="81"/>
    </row>
    <row r="712">
      <c r="D712" s="81"/>
      <c r="E712" s="81"/>
    </row>
    <row r="713">
      <c r="D713" s="81"/>
      <c r="E713" s="81"/>
    </row>
    <row r="714">
      <c r="D714" s="81"/>
      <c r="E714" s="81"/>
    </row>
    <row r="715">
      <c r="D715" s="81"/>
      <c r="E715" s="81"/>
    </row>
    <row r="716">
      <c r="D716" s="81"/>
      <c r="E716" s="81"/>
    </row>
    <row r="717">
      <c r="D717" s="81"/>
      <c r="E717" s="81"/>
    </row>
    <row r="718">
      <c r="D718" s="81"/>
      <c r="E718" s="81"/>
    </row>
    <row r="719">
      <c r="D719" s="81"/>
      <c r="E719" s="81"/>
    </row>
    <row r="720">
      <c r="D720" s="81"/>
      <c r="E720" s="81"/>
    </row>
    <row r="721">
      <c r="D721" s="81"/>
      <c r="E721" s="81"/>
    </row>
    <row r="722">
      <c r="D722" s="81"/>
      <c r="E722" s="81"/>
    </row>
    <row r="723">
      <c r="D723" s="81"/>
      <c r="E723" s="81"/>
    </row>
    <row r="724">
      <c r="D724" s="81"/>
      <c r="E724" s="81"/>
    </row>
    <row r="725">
      <c r="D725" s="81"/>
      <c r="E725" s="81"/>
    </row>
    <row r="726">
      <c r="D726" s="81"/>
      <c r="E726" s="81"/>
    </row>
    <row r="727">
      <c r="D727" s="81"/>
      <c r="E727" s="81"/>
    </row>
    <row r="728">
      <c r="D728" s="81"/>
      <c r="E728" s="81"/>
    </row>
    <row r="729">
      <c r="D729" s="81"/>
      <c r="E729" s="81"/>
    </row>
    <row r="730">
      <c r="D730" s="81"/>
      <c r="E730" s="81"/>
    </row>
    <row r="731">
      <c r="D731" s="81"/>
      <c r="E731" s="81"/>
    </row>
    <row r="732">
      <c r="D732" s="81"/>
      <c r="E732" s="81"/>
    </row>
    <row r="733">
      <c r="D733" s="81"/>
      <c r="E733" s="81"/>
    </row>
    <row r="734">
      <c r="D734" s="81"/>
      <c r="E734" s="81"/>
    </row>
    <row r="735">
      <c r="D735" s="81"/>
      <c r="E735" s="81"/>
    </row>
    <row r="736">
      <c r="D736" s="81"/>
      <c r="E736" s="81"/>
    </row>
    <row r="737">
      <c r="D737" s="81"/>
      <c r="E737" s="81"/>
    </row>
    <row r="738">
      <c r="D738" s="81"/>
      <c r="E738" s="81"/>
    </row>
    <row r="739">
      <c r="D739" s="81"/>
      <c r="E739" s="81"/>
    </row>
    <row r="740">
      <c r="D740" s="81"/>
      <c r="E740" s="81"/>
    </row>
    <row r="741">
      <c r="D741" s="81"/>
      <c r="E741" s="81"/>
    </row>
    <row r="742">
      <c r="D742" s="81"/>
      <c r="E742" s="81"/>
    </row>
    <row r="743">
      <c r="D743" s="81"/>
      <c r="E743" s="81"/>
    </row>
    <row r="744">
      <c r="D744" s="81"/>
      <c r="E744" s="81"/>
    </row>
    <row r="745">
      <c r="D745" s="81"/>
      <c r="E745" s="81"/>
    </row>
    <row r="746">
      <c r="D746" s="81"/>
      <c r="E746" s="81"/>
    </row>
    <row r="747">
      <c r="D747" s="81"/>
      <c r="E747" s="81"/>
    </row>
    <row r="748">
      <c r="D748" s="81"/>
      <c r="E748" s="81"/>
    </row>
    <row r="749">
      <c r="D749" s="81"/>
      <c r="E749" s="81"/>
    </row>
    <row r="750">
      <c r="D750" s="81"/>
      <c r="E750" s="81"/>
    </row>
    <row r="751">
      <c r="D751" s="81"/>
      <c r="E751" s="81"/>
    </row>
    <row r="752">
      <c r="D752" s="81"/>
      <c r="E752" s="81"/>
    </row>
    <row r="753">
      <c r="D753" s="81"/>
      <c r="E753" s="81"/>
    </row>
    <row r="754">
      <c r="D754" s="81"/>
      <c r="E754" s="81"/>
    </row>
    <row r="755">
      <c r="D755" s="81"/>
      <c r="E755" s="81"/>
    </row>
    <row r="756">
      <c r="D756" s="81"/>
      <c r="E756" s="81"/>
    </row>
    <row r="757">
      <c r="D757" s="81"/>
      <c r="E757" s="81"/>
    </row>
    <row r="758">
      <c r="D758" s="81"/>
      <c r="E758" s="81"/>
    </row>
    <row r="759">
      <c r="D759" s="81"/>
      <c r="E759" s="81"/>
    </row>
    <row r="760">
      <c r="D760" s="81"/>
      <c r="E760" s="81"/>
    </row>
    <row r="761">
      <c r="D761" s="81"/>
      <c r="E761" s="81"/>
    </row>
    <row r="762">
      <c r="D762" s="81"/>
      <c r="E762" s="81"/>
    </row>
    <row r="763">
      <c r="D763" s="81"/>
      <c r="E763" s="81"/>
    </row>
    <row r="764">
      <c r="D764" s="81"/>
      <c r="E764" s="81"/>
    </row>
    <row r="765">
      <c r="D765" s="81"/>
      <c r="E765" s="81"/>
    </row>
    <row r="766">
      <c r="D766" s="81"/>
      <c r="E766" s="81"/>
    </row>
    <row r="767">
      <c r="D767" s="81"/>
      <c r="E767" s="81"/>
    </row>
    <row r="768">
      <c r="D768" s="81"/>
      <c r="E768" s="81"/>
    </row>
    <row r="769">
      <c r="D769" s="81"/>
      <c r="E769" s="81"/>
    </row>
    <row r="770">
      <c r="D770" s="81"/>
      <c r="E770" s="81"/>
    </row>
    <row r="771">
      <c r="D771" s="81"/>
      <c r="E771" s="81"/>
    </row>
    <row r="772">
      <c r="D772" s="81"/>
      <c r="E772" s="81"/>
    </row>
    <row r="773">
      <c r="D773" s="81"/>
      <c r="E773" s="81"/>
    </row>
    <row r="774">
      <c r="D774" s="81"/>
      <c r="E774" s="81"/>
    </row>
    <row r="775">
      <c r="D775" s="81"/>
      <c r="E775" s="81"/>
    </row>
    <row r="776">
      <c r="D776" s="81"/>
      <c r="E776" s="81"/>
    </row>
    <row r="777">
      <c r="D777" s="81"/>
      <c r="E777" s="81"/>
    </row>
    <row r="778">
      <c r="D778" s="81"/>
      <c r="E778" s="81"/>
    </row>
    <row r="779">
      <c r="D779" s="81"/>
      <c r="E779" s="81"/>
    </row>
    <row r="780">
      <c r="D780" s="81"/>
      <c r="E780" s="81"/>
    </row>
    <row r="781">
      <c r="D781" s="81"/>
      <c r="E781" s="81"/>
    </row>
    <row r="782">
      <c r="D782" s="81"/>
      <c r="E782" s="81"/>
    </row>
    <row r="783">
      <c r="D783" s="81"/>
      <c r="E783" s="81"/>
    </row>
    <row r="784">
      <c r="D784" s="81"/>
      <c r="E784" s="81"/>
    </row>
    <row r="785">
      <c r="D785" s="81"/>
      <c r="E785" s="81"/>
    </row>
    <row r="786">
      <c r="D786" s="81"/>
      <c r="E786" s="81"/>
    </row>
    <row r="787">
      <c r="D787" s="81"/>
      <c r="E787" s="81"/>
    </row>
    <row r="788">
      <c r="D788" s="81"/>
      <c r="E788" s="81"/>
    </row>
    <row r="789">
      <c r="D789" s="81"/>
      <c r="E789" s="81"/>
    </row>
    <row r="790">
      <c r="D790" s="81"/>
      <c r="E790" s="81"/>
    </row>
    <row r="791">
      <c r="D791" s="81"/>
      <c r="E791" s="81"/>
    </row>
    <row r="792">
      <c r="D792" s="81"/>
      <c r="E792" s="81"/>
    </row>
    <row r="793">
      <c r="D793" s="81"/>
      <c r="E793" s="81"/>
    </row>
    <row r="794">
      <c r="D794" s="81"/>
      <c r="E794" s="81"/>
    </row>
    <row r="795">
      <c r="D795" s="81"/>
      <c r="E795" s="81"/>
    </row>
    <row r="796">
      <c r="D796" s="81"/>
      <c r="E796" s="81"/>
    </row>
    <row r="797">
      <c r="D797" s="81"/>
      <c r="E797" s="81"/>
    </row>
    <row r="798">
      <c r="D798" s="81"/>
      <c r="E798" s="81"/>
    </row>
    <row r="799">
      <c r="D799" s="81"/>
      <c r="E799" s="81"/>
    </row>
    <row r="800">
      <c r="D800" s="81"/>
      <c r="E800" s="81"/>
    </row>
    <row r="801">
      <c r="D801" s="81"/>
      <c r="E801" s="81"/>
    </row>
    <row r="802">
      <c r="D802" s="81"/>
      <c r="E802" s="81"/>
    </row>
    <row r="803">
      <c r="D803" s="81"/>
      <c r="E803" s="81"/>
    </row>
    <row r="804">
      <c r="D804" s="81"/>
      <c r="E804" s="81"/>
    </row>
    <row r="805">
      <c r="D805" s="81"/>
      <c r="E805" s="81"/>
    </row>
    <row r="806">
      <c r="D806" s="81"/>
      <c r="E806" s="81"/>
    </row>
    <row r="807">
      <c r="D807" s="81"/>
      <c r="E807" s="81"/>
    </row>
    <row r="808">
      <c r="D808" s="81"/>
      <c r="E808" s="81"/>
    </row>
    <row r="809">
      <c r="D809" s="81"/>
      <c r="E809" s="81"/>
    </row>
    <row r="810">
      <c r="D810" s="81"/>
      <c r="E810" s="81"/>
    </row>
    <row r="811">
      <c r="D811" s="81"/>
      <c r="E811" s="81"/>
    </row>
    <row r="812">
      <c r="D812" s="81"/>
      <c r="E812" s="81"/>
    </row>
    <row r="813">
      <c r="D813" s="81"/>
      <c r="E813" s="81"/>
    </row>
    <row r="814">
      <c r="D814" s="81"/>
      <c r="E814" s="81"/>
    </row>
    <row r="815">
      <c r="D815" s="81"/>
      <c r="E815" s="81"/>
    </row>
    <row r="816">
      <c r="D816" s="81"/>
      <c r="E816" s="81"/>
    </row>
    <row r="817">
      <c r="D817" s="81"/>
      <c r="E817" s="81"/>
    </row>
    <row r="818">
      <c r="D818" s="81"/>
      <c r="E818" s="81"/>
    </row>
    <row r="819">
      <c r="D819" s="81"/>
      <c r="E819" s="81"/>
    </row>
    <row r="820">
      <c r="D820" s="81"/>
      <c r="E820" s="81"/>
    </row>
    <row r="821">
      <c r="D821" s="81"/>
      <c r="E821" s="81"/>
    </row>
    <row r="822">
      <c r="D822" s="81"/>
      <c r="E822" s="81"/>
    </row>
    <row r="823">
      <c r="D823" s="81"/>
      <c r="E823" s="81"/>
    </row>
    <row r="824">
      <c r="D824" s="81"/>
      <c r="E824" s="81"/>
    </row>
    <row r="825">
      <c r="D825" s="81"/>
      <c r="E825" s="81"/>
    </row>
    <row r="826">
      <c r="D826" s="81"/>
      <c r="E826" s="81"/>
    </row>
    <row r="827">
      <c r="D827" s="81"/>
      <c r="E827" s="81"/>
    </row>
    <row r="828">
      <c r="D828" s="81"/>
      <c r="E828" s="81"/>
    </row>
    <row r="829">
      <c r="D829" s="81"/>
      <c r="E829" s="81"/>
    </row>
    <row r="830">
      <c r="D830" s="81"/>
      <c r="E830" s="81"/>
    </row>
    <row r="831">
      <c r="D831" s="81"/>
      <c r="E831" s="81"/>
    </row>
    <row r="832">
      <c r="D832" s="81"/>
      <c r="E832" s="81"/>
    </row>
    <row r="833">
      <c r="D833" s="81"/>
      <c r="E833" s="81"/>
    </row>
    <row r="834">
      <c r="D834" s="81"/>
      <c r="E834" s="81"/>
    </row>
    <row r="835">
      <c r="D835" s="81"/>
      <c r="E835" s="81"/>
    </row>
    <row r="836">
      <c r="D836" s="81"/>
      <c r="E836" s="81"/>
    </row>
    <row r="837">
      <c r="D837" s="81"/>
      <c r="E837" s="81"/>
    </row>
    <row r="838">
      <c r="D838" s="81"/>
      <c r="E838" s="81"/>
    </row>
    <row r="839">
      <c r="D839" s="81"/>
      <c r="E839" s="81"/>
    </row>
    <row r="840">
      <c r="D840" s="81"/>
      <c r="E840" s="81"/>
    </row>
    <row r="841">
      <c r="D841" s="81"/>
      <c r="E841" s="81"/>
    </row>
    <row r="842">
      <c r="D842" s="81"/>
      <c r="E842" s="81"/>
    </row>
    <row r="843">
      <c r="D843" s="81"/>
      <c r="E843" s="81"/>
    </row>
    <row r="844">
      <c r="D844" s="81"/>
      <c r="E844" s="81"/>
    </row>
    <row r="845">
      <c r="D845" s="81"/>
      <c r="E845" s="81"/>
    </row>
    <row r="846">
      <c r="D846" s="81"/>
      <c r="E846" s="81"/>
    </row>
    <row r="847">
      <c r="D847" s="81"/>
      <c r="E847" s="81"/>
    </row>
    <row r="848">
      <c r="D848" s="81"/>
      <c r="E848" s="81"/>
    </row>
    <row r="849">
      <c r="D849" s="81"/>
      <c r="E849" s="81"/>
    </row>
    <row r="850">
      <c r="D850" s="81"/>
      <c r="E850" s="81"/>
    </row>
    <row r="851">
      <c r="D851" s="81"/>
      <c r="E851" s="81"/>
    </row>
    <row r="852">
      <c r="D852" s="81"/>
      <c r="E852" s="81"/>
    </row>
    <row r="853">
      <c r="D853" s="81"/>
      <c r="E853" s="81"/>
    </row>
    <row r="854">
      <c r="D854" s="81"/>
      <c r="E854" s="81"/>
    </row>
    <row r="855">
      <c r="D855" s="81"/>
      <c r="E855" s="81"/>
    </row>
    <row r="856">
      <c r="D856" s="81"/>
      <c r="E856" s="81"/>
    </row>
    <row r="857">
      <c r="D857" s="81"/>
      <c r="E857" s="81"/>
    </row>
    <row r="858">
      <c r="D858" s="81"/>
      <c r="E858" s="81"/>
    </row>
    <row r="859">
      <c r="D859" s="81"/>
      <c r="E859" s="81"/>
    </row>
    <row r="860">
      <c r="D860" s="81"/>
      <c r="E860" s="81"/>
    </row>
    <row r="861">
      <c r="D861" s="81"/>
      <c r="E861" s="81"/>
    </row>
    <row r="862">
      <c r="D862" s="81"/>
      <c r="E862" s="81"/>
    </row>
    <row r="863">
      <c r="D863" s="81"/>
      <c r="E863" s="81"/>
    </row>
    <row r="864">
      <c r="D864" s="81"/>
      <c r="E864" s="81"/>
    </row>
    <row r="865">
      <c r="D865" s="81"/>
      <c r="E865" s="81"/>
    </row>
    <row r="866">
      <c r="D866" s="81"/>
      <c r="E866" s="81"/>
    </row>
    <row r="867">
      <c r="D867" s="81"/>
      <c r="E867" s="81"/>
    </row>
    <row r="868">
      <c r="D868" s="81"/>
      <c r="E868" s="81"/>
    </row>
    <row r="869">
      <c r="D869" s="81"/>
      <c r="E869" s="81"/>
    </row>
    <row r="870">
      <c r="D870" s="81"/>
      <c r="E870" s="81"/>
    </row>
    <row r="871">
      <c r="D871" s="81"/>
      <c r="E871" s="81"/>
    </row>
    <row r="872">
      <c r="D872" s="81"/>
      <c r="E872" s="81"/>
    </row>
    <row r="873">
      <c r="D873" s="81"/>
      <c r="E873" s="81"/>
    </row>
    <row r="874">
      <c r="D874" s="81"/>
      <c r="E874" s="81"/>
    </row>
    <row r="875">
      <c r="D875" s="81"/>
      <c r="E875" s="81"/>
    </row>
    <row r="876">
      <c r="D876" s="81"/>
      <c r="E876" s="81"/>
    </row>
    <row r="877">
      <c r="D877" s="81"/>
      <c r="E877" s="81"/>
    </row>
    <row r="878">
      <c r="D878" s="81"/>
      <c r="E878" s="81"/>
    </row>
    <row r="879">
      <c r="D879" s="81"/>
      <c r="E879" s="81"/>
    </row>
    <row r="880">
      <c r="D880" s="81"/>
      <c r="E880" s="81"/>
    </row>
    <row r="881">
      <c r="D881" s="81"/>
      <c r="E881" s="81"/>
    </row>
    <row r="882">
      <c r="D882" s="81"/>
      <c r="E882" s="81"/>
    </row>
    <row r="883">
      <c r="D883" s="81"/>
      <c r="E883" s="81"/>
    </row>
    <row r="884">
      <c r="D884" s="81"/>
      <c r="E884" s="81"/>
    </row>
    <row r="885">
      <c r="D885" s="81"/>
      <c r="E885" s="81"/>
    </row>
    <row r="886">
      <c r="D886" s="81"/>
      <c r="E886" s="81"/>
    </row>
    <row r="887">
      <c r="D887" s="81"/>
      <c r="E887" s="81"/>
    </row>
    <row r="888">
      <c r="D888" s="81"/>
      <c r="E888" s="81"/>
    </row>
    <row r="889">
      <c r="D889" s="81"/>
      <c r="E889" s="81"/>
    </row>
    <row r="890">
      <c r="D890" s="81"/>
      <c r="E890" s="81"/>
    </row>
    <row r="891">
      <c r="D891" s="81"/>
      <c r="E891" s="81"/>
    </row>
    <row r="892">
      <c r="D892" s="81"/>
      <c r="E892" s="81"/>
    </row>
    <row r="893">
      <c r="D893" s="81"/>
      <c r="E893" s="81"/>
    </row>
    <row r="894">
      <c r="D894" s="81"/>
      <c r="E894" s="81"/>
    </row>
    <row r="895">
      <c r="D895" s="81"/>
      <c r="E895" s="81"/>
    </row>
    <row r="896">
      <c r="D896" s="81"/>
      <c r="E896" s="81"/>
    </row>
    <row r="897">
      <c r="D897" s="81"/>
      <c r="E897" s="81"/>
    </row>
    <row r="898">
      <c r="D898" s="81"/>
      <c r="E898" s="81"/>
    </row>
    <row r="899">
      <c r="D899" s="81"/>
      <c r="E899" s="81"/>
    </row>
    <row r="900">
      <c r="D900" s="81"/>
      <c r="E900" s="81"/>
    </row>
    <row r="901">
      <c r="D901" s="81"/>
      <c r="E901" s="81"/>
    </row>
    <row r="902">
      <c r="D902" s="81"/>
      <c r="E902" s="81"/>
    </row>
    <row r="903">
      <c r="D903" s="81"/>
      <c r="E903" s="81"/>
    </row>
    <row r="904">
      <c r="D904" s="81"/>
      <c r="E904" s="81"/>
    </row>
    <row r="905">
      <c r="D905" s="81"/>
      <c r="E905" s="81"/>
    </row>
    <row r="906">
      <c r="D906" s="81"/>
      <c r="E906" s="81"/>
    </row>
    <row r="907">
      <c r="D907" s="81"/>
      <c r="E907" s="81"/>
    </row>
    <row r="908">
      <c r="D908" s="81"/>
      <c r="E908" s="81"/>
    </row>
    <row r="909">
      <c r="D909" s="81"/>
      <c r="E909" s="81"/>
    </row>
    <row r="910">
      <c r="D910" s="81"/>
      <c r="E910" s="81"/>
    </row>
    <row r="911">
      <c r="D911" s="81"/>
      <c r="E911" s="81"/>
    </row>
    <row r="912">
      <c r="D912" s="81"/>
      <c r="E912" s="81"/>
    </row>
    <row r="913">
      <c r="D913" s="81"/>
      <c r="E913" s="81"/>
    </row>
    <row r="914">
      <c r="D914" s="81"/>
      <c r="E914" s="81"/>
    </row>
    <row r="915">
      <c r="D915" s="81"/>
      <c r="E915" s="81"/>
    </row>
    <row r="916">
      <c r="D916" s="81"/>
      <c r="E916" s="81"/>
    </row>
    <row r="917">
      <c r="D917" s="81"/>
      <c r="E917" s="81"/>
    </row>
    <row r="918">
      <c r="D918" s="81"/>
      <c r="E918" s="81"/>
    </row>
    <row r="919">
      <c r="D919" s="81"/>
      <c r="E919" s="81"/>
    </row>
    <row r="920">
      <c r="D920" s="81"/>
      <c r="E920" s="81"/>
    </row>
    <row r="921">
      <c r="D921" s="81"/>
      <c r="E921" s="81"/>
    </row>
    <row r="922">
      <c r="D922" s="81"/>
      <c r="E922" s="81"/>
    </row>
    <row r="923">
      <c r="D923" s="81"/>
      <c r="E923" s="81"/>
    </row>
    <row r="924">
      <c r="D924" s="81"/>
      <c r="E924" s="81"/>
    </row>
    <row r="925">
      <c r="D925" s="81"/>
      <c r="E925" s="81"/>
    </row>
    <row r="926">
      <c r="D926" s="81"/>
      <c r="E926" s="81"/>
    </row>
    <row r="927">
      <c r="D927" s="81"/>
      <c r="E927" s="81"/>
    </row>
    <row r="928">
      <c r="D928" s="81"/>
      <c r="E928" s="81"/>
    </row>
    <row r="929">
      <c r="D929" s="81"/>
      <c r="E929" s="81"/>
    </row>
    <row r="930">
      <c r="D930" s="81"/>
      <c r="E930" s="81"/>
    </row>
    <row r="931">
      <c r="D931" s="81"/>
      <c r="E931" s="81"/>
    </row>
    <row r="932">
      <c r="D932" s="81"/>
      <c r="E932" s="81"/>
    </row>
    <row r="933">
      <c r="D933" s="81"/>
      <c r="E933" s="81"/>
    </row>
    <row r="934">
      <c r="D934" s="81"/>
      <c r="E934" s="81"/>
    </row>
    <row r="935">
      <c r="D935" s="81"/>
      <c r="E935" s="81"/>
    </row>
    <row r="936">
      <c r="D936" s="81"/>
      <c r="E936" s="81"/>
    </row>
    <row r="937">
      <c r="D937" s="81"/>
      <c r="E937" s="81"/>
    </row>
    <row r="938">
      <c r="D938" s="81"/>
      <c r="E938" s="81"/>
    </row>
    <row r="939">
      <c r="D939" s="81"/>
      <c r="E939" s="81"/>
    </row>
    <row r="940">
      <c r="D940" s="81"/>
      <c r="E940" s="81"/>
    </row>
    <row r="941">
      <c r="D941" s="81"/>
      <c r="E941" s="81"/>
    </row>
    <row r="942">
      <c r="D942" s="81"/>
      <c r="E942" s="81"/>
    </row>
    <row r="943">
      <c r="D943" s="81"/>
      <c r="E943" s="81"/>
    </row>
    <row r="944">
      <c r="D944" s="81"/>
      <c r="E944" s="81"/>
    </row>
    <row r="945">
      <c r="D945" s="81"/>
      <c r="E945" s="81"/>
    </row>
    <row r="946">
      <c r="D946" s="81"/>
      <c r="E946" s="81"/>
    </row>
    <row r="947">
      <c r="D947" s="81"/>
      <c r="E947" s="81"/>
    </row>
    <row r="948">
      <c r="D948" s="81"/>
      <c r="E948" s="81"/>
    </row>
    <row r="949">
      <c r="D949" s="81"/>
      <c r="E949" s="81"/>
    </row>
    <row r="950">
      <c r="D950" s="81"/>
      <c r="E950" s="81"/>
    </row>
    <row r="951">
      <c r="D951" s="81"/>
      <c r="E951" s="81"/>
    </row>
    <row r="952">
      <c r="D952" s="81"/>
      <c r="E952" s="81"/>
    </row>
    <row r="953">
      <c r="D953" s="81"/>
      <c r="E953" s="81"/>
    </row>
    <row r="954">
      <c r="D954" s="81"/>
      <c r="E954" s="81"/>
    </row>
    <row r="955">
      <c r="D955" s="81"/>
      <c r="E955" s="81"/>
    </row>
    <row r="956">
      <c r="D956" s="81"/>
      <c r="E956" s="81"/>
    </row>
    <row r="957">
      <c r="D957" s="81"/>
      <c r="E957" s="81"/>
    </row>
    <row r="958">
      <c r="D958" s="81"/>
      <c r="E958" s="81"/>
    </row>
    <row r="959">
      <c r="D959" s="81"/>
      <c r="E959" s="81"/>
    </row>
    <row r="960">
      <c r="D960" s="81"/>
      <c r="E960" s="81"/>
    </row>
    <row r="961">
      <c r="D961" s="81"/>
      <c r="E961" s="81"/>
    </row>
    <row r="962">
      <c r="D962" s="81"/>
      <c r="E962" s="81"/>
    </row>
    <row r="963">
      <c r="D963" s="81"/>
      <c r="E963" s="81"/>
    </row>
    <row r="964">
      <c r="D964" s="81"/>
      <c r="E964" s="81"/>
    </row>
    <row r="965">
      <c r="D965" s="81"/>
      <c r="E965" s="81"/>
    </row>
    <row r="966">
      <c r="D966" s="81"/>
      <c r="E966" s="81"/>
    </row>
    <row r="967">
      <c r="D967" s="81"/>
      <c r="E967" s="81"/>
    </row>
    <row r="968">
      <c r="D968" s="81"/>
      <c r="E968" s="81"/>
    </row>
    <row r="969">
      <c r="D969" s="81"/>
      <c r="E969" s="81"/>
    </row>
    <row r="970">
      <c r="D970" s="81"/>
      <c r="E970" s="81"/>
    </row>
    <row r="971">
      <c r="D971" s="81"/>
      <c r="E971" s="81"/>
    </row>
    <row r="972">
      <c r="D972" s="81"/>
      <c r="E972" s="81"/>
    </row>
    <row r="973">
      <c r="D973" s="81"/>
      <c r="E973" s="81"/>
    </row>
    <row r="974">
      <c r="D974" s="81"/>
      <c r="E974" s="81"/>
    </row>
    <row r="975">
      <c r="D975" s="81"/>
      <c r="E975" s="81"/>
    </row>
    <row r="976">
      <c r="D976" s="81"/>
      <c r="E976" s="81"/>
    </row>
    <row r="977">
      <c r="D977" s="81"/>
      <c r="E977" s="81"/>
    </row>
    <row r="978">
      <c r="D978" s="81"/>
      <c r="E978" s="81"/>
    </row>
    <row r="979">
      <c r="D979" s="81"/>
      <c r="E979" s="81"/>
    </row>
    <row r="980">
      <c r="D980" s="81"/>
      <c r="E980" s="81"/>
    </row>
    <row r="981">
      <c r="D981" s="81"/>
      <c r="E981" s="81"/>
    </row>
    <row r="982">
      <c r="D982" s="81"/>
      <c r="E982" s="81"/>
    </row>
    <row r="983">
      <c r="D983" s="81"/>
      <c r="E983" s="81"/>
    </row>
    <row r="984">
      <c r="D984" s="81"/>
      <c r="E984" s="81"/>
    </row>
    <row r="985">
      <c r="D985" s="81"/>
      <c r="E985" s="81"/>
    </row>
    <row r="986">
      <c r="D986" s="81"/>
      <c r="E986" s="81"/>
    </row>
    <row r="987">
      <c r="D987" s="81"/>
      <c r="E987" s="81"/>
    </row>
    <row r="988">
      <c r="D988" s="81"/>
      <c r="E988" s="81"/>
    </row>
    <row r="989">
      <c r="D989" s="81"/>
      <c r="E989" s="81"/>
    </row>
    <row r="990">
      <c r="D990" s="81"/>
      <c r="E990" s="81"/>
    </row>
  </sheetData>
  <hyperlinks>
    <hyperlink r:id="rId1" ref="B4"/>
    <hyperlink r:id="rId2" ref="B5"/>
    <hyperlink r:id="rId3" ref="B6"/>
  </hyperlinks>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9635B"/>
    <outlinePr summaryBelow="0" summaryRight="0"/>
    <pageSetUpPr/>
  </sheetPr>
  <sheetViews>
    <sheetView workbookViewId="0"/>
  </sheetViews>
  <sheetFormatPr customHeight="1" defaultColWidth="12.63" defaultRowHeight="15.0"/>
  <cols>
    <col customWidth="1" min="1" max="1" width="13.25"/>
    <col customWidth="1" min="2" max="2" width="21.5"/>
    <col customWidth="1" min="3" max="3" width="62.75"/>
    <col customWidth="1" min="4" max="4" width="15.0"/>
    <col customWidth="1" min="5" max="5" width="14.25"/>
    <col customWidth="1" min="6" max="7" width="9.25"/>
    <col customWidth="1" min="8" max="8" width="11.38"/>
  </cols>
  <sheetData>
    <row r="1" ht="15.75" customHeight="1">
      <c r="A1" s="8" t="s">
        <v>23</v>
      </c>
      <c r="B1" s="8" t="s">
        <v>24</v>
      </c>
      <c r="C1" s="82" t="s">
        <v>3525</v>
      </c>
      <c r="D1" s="119" t="s">
        <v>26</v>
      </c>
      <c r="E1" s="119" t="s">
        <v>27</v>
      </c>
      <c r="F1" s="83" t="s">
        <v>28</v>
      </c>
      <c r="G1" s="194" t="s">
        <v>25</v>
      </c>
      <c r="H1" s="194" t="s">
        <v>29</v>
      </c>
    </row>
    <row r="2" ht="15.75" customHeight="1">
      <c r="A2" s="28" t="s">
        <v>3526</v>
      </c>
      <c r="C2" s="29"/>
      <c r="D2" s="51"/>
      <c r="E2" s="51"/>
      <c r="F2" s="195"/>
      <c r="G2" s="29"/>
      <c r="H2" s="29"/>
    </row>
    <row r="3" ht="15.75" customHeight="1">
      <c r="A3" s="40" t="s">
        <v>3527</v>
      </c>
      <c r="B3" s="41" t="s">
        <v>3528</v>
      </c>
      <c r="C3" s="196" t="s">
        <v>3529</v>
      </c>
      <c r="D3" s="43" t="s">
        <v>3530</v>
      </c>
      <c r="E3" s="43" t="s">
        <v>3531</v>
      </c>
      <c r="F3" s="44">
        <v>0.21</v>
      </c>
      <c r="G3" s="42" t="s">
        <v>3532</v>
      </c>
      <c r="H3" s="38" t="str">
        <f>IFERROR(VLOOKUP("21100-500-55",STOCK!$B$6:$Q$3762,3,FALSE),"SIN STOCK")</f>
        <v>Menor a 5</v>
      </c>
    </row>
    <row r="4" ht="15.75" customHeight="1">
      <c r="A4" s="33" t="s">
        <v>3527</v>
      </c>
      <c r="B4" s="45" t="s">
        <v>3533</v>
      </c>
      <c r="C4" s="197" t="s">
        <v>3534</v>
      </c>
      <c r="D4" s="36" t="s">
        <v>3535</v>
      </c>
      <c r="E4" s="36" t="s">
        <v>3536</v>
      </c>
      <c r="F4" s="129">
        <v>0.21</v>
      </c>
      <c r="G4" s="68" t="s">
        <v>3537</v>
      </c>
      <c r="H4" s="49" t="str">
        <f>IFERROR(VLOOKUP("21080-500-02",STOCK!$B$6:$Q$3762,3,FALSE),"SIN STOCK")</f>
        <v>Menor a 5</v>
      </c>
    </row>
    <row r="5" ht="15.75" customHeight="1">
      <c r="A5" s="40" t="s">
        <v>3527</v>
      </c>
      <c r="B5" s="52" t="s">
        <v>3538</v>
      </c>
      <c r="C5" s="196" t="s">
        <v>3539</v>
      </c>
      <c r="D5" s="43" t="s">
        <v>3540</v>
      </c>
      <c r="E5" s="43" t="s">
        <v>3541</v>
      </c>
      <c r="F5" s="44">
        <v>0.21</v>
      </c>
      <c r="G5" s="42" t="s">
        <v>3537</v>
      </c>
      <c r="H5" s="49" t="str">
        <f>IFERROR(VLOOKUP("21080-500-55",STOCK!$B$6:$Q$3762,3,FALSE),"SIN STOCK")</f>
        <v>Menor a 5</v>
      </c>
    </row>
    <row r="6" ht="15.75" customHeight="1">
      <c r="A6" s="33" t="s">
        <v>3527</v>
      </c>
      <c r="B6" s="53" t="s">
        <v>3542</v>
      </c>
      <c r="C6" s="197" t="s">
        <v>3543</v>
      </c>
      <c r="D6" s="36" t="s">
        <v>3544</v>
      </c>
      <c r="E6" s="36" t="s">
        <v>3545</v>
      </c>
      <c r="F6" s="129">
        <v>0.21</v>
      </c>
      <c r="G6" s="68" t="s">
        <v>3546</v>
      </c>
      <c r="H6" s="38" t="str">
        <f>IFERROR(VLOOKUP("25400-500-55",STOCK!$B$6:$Q$3762,3,FALSE),"SIN STOCK")</f>
        <v>Mayor a 5</v>
      </c>
    </row>
    <row r="7" ht="15.75" customHeight="1">
      <c r="A7" s="40" t="s">
        <v>3527</v>
      </c>
      <c r="B7" s="52" t="s">
        <v>3547</v>
      </c>
      <c r="C7" s="196" t="s">
        <v>3548</v>
      </c>
      <c r="D7" s="43" t="s">
        <v>3549</v>
      </c>
      <c r="E7" s="43" t="s">
        <v>3550</v>
      </c>
      <c r="F7" s="44">
        <v>0.21</v>
      </c>
      <c r="G7" s="42" t="s">
        <v>3551</v>
      </c>
      <c r="H7" s="38" t="str">
        <f>IFERROR(VLOOKUP("25600-500-55",STOCK!$B$6:$Q$3762,3,FALSE),"SIN STOCK")</f>
        <v>Menor a 5</v>
      </c>
    </row>
    <row r="8" ht="15.75" customHeight="1">
      <c r="A8" s="33" t="s">
        <v>3527</v>
      </c>
      <c r="B8" s="53" t="s">
        <v>3552</v>
      </c>
      <c r="C8" s="197" t="s">
        <v>3553</v>
      </c>
      <c r="D8" s="36" t="s">
        <v>3554</v>
      </c>
      <c r="E8" s="36" t="s">
        <v>3555</v>
      </c>
      <c r="F8" s="129">
        <v>0.21</v>
      </c>
      <c r="G8" s="68" t="s">
        <v>3556</v>
      </c>
      <c r="H8" s="123" t="s">
        <v>3557</v>
      </c>
    </row>
    <row r="9" ht="15.75" customHeight="1">
      <c r="A9" s="40" t="s">
        <v>3527</v>
      </c>
      <c r="B9" s="52" t="s">
        <v>3558</v>
      </c>
      <c r="C9" s="196" t="s">
        <v>3559</v>
      </c>
      <c r="D9" s="43" t="s">
        <v>3560</v>
      </c>
      <c r="E9" s="43" t="s">
        <v>3561</v>
      </c>
      <c r="F9" s="44">
        <v>0.21</v>
      </c>
      <c r="G9" s="42" t="s">
        <v>3562</v>
      </c>
      <c r="H9" s="38" t="str">
        <f>IFERROR(VLOOKUP("21020-500-55",STOCK!$B$6:$Q$3762,3,FALSE),"SIN STOCK")</f>
        <v>Menor a 5</v>
      </c>
    </row>
    <row r="10" ht="15.75" customHeight="1">
      <c r="A10" s="33" t="s">
        <v>3527</v>
      </c>
      <c r="B10" s="45" t="s">
        <v>3563</v>
      </c>
      <c r="C10" s="198" t="s">
        <v>3564</v>
      </c>
      <c r="D10" s="36" t="s">
        <v>3565</v>
      </c>
      <c r="E10" s="36" t="s">
        <v>3566</v>
      </c>
      <c r="F10" s="129">
        <v>0.21</v>
      </c>
      <c r="G10" s="68" t="s">
        <v>3567</v>
      </c>
      <c r="H10" s="46" t="str">
        <f>IFERROR(VLOOKUP("21231-400-55",STOCK!$B$6:$Q$3762,3,FALSE),"SIN STOCK")</f>
        <v>Menor a 5</v>
      </c>
    </row>
    <row r="11" ht="15.75" customHeight="1">
      <c r="A11" s="28" t="s">
        <v>3568</v>
      </c>
      <c r="C11" s="29"/>
      <c r="D11" s="51"/>
      <c r="E11" s="51"/>
      <c r="F11" s="195"/>
      <c r="G11" s="29"/>
      <c r="H11" s="29"/>
    </row>
    <row r="12" ht="15.75" customHeight="1">
      <c r="A12" s="40" t="s">
        <v>3527</v>
      </c>
      <c r="B12" s="41" t="s">
        <v>3569</v>
      </c>
      <c r="C12" s="196" t="s">
        <v>3570</v>
      </c>
      <c r="D12" s="43" t="s">
        <v>3571</v>
      </c>
      <c r="E12" s="43" t="s">
        <v>3572</v>
      </c>
      <c r="F12" s="44">
        <v>0.21</v>
      </c>
      <c r="G12" s="42" t="s">
        <v>3573</v>
      </c>
      <c r="H12" s="38" t="str">
        <f>IFERROR(VLOOKUP("26735-000-55",STOCK!$B$6:$Q$3681,3,FALSE),"SIN STOCK")</f>
        <v>Mayor a 5</v>
      </c>
    </row>
    <row r="13" ht="15.75" customHeight="1">
      <c r="A13" s="33" t="s">
        <v>3527</v>
      </c>
      <c r="B13" s="45" t="s">
        <v>3574</v>
      </c>
      <c r="C13" s="197" t="s">
        <v>3575</v>
      </c>
      <c r="D13" s="36" t="s">
        <v>3576</v>
      </c>
      <c r="E13" s="36" t="s">
        <v>3577</v>
      </c>
      <c r="F13" s="129">
        <v>0.21</v>
      </c>
      <c r="G13" s="68" t="s">
        <v>3578</v>
      </c>
      <c r="H13" s="38" t="str">
        <f>IFERROR(VLOOKUP("26776-000-55",STOCK!$B$6:$Q$3681,3,FALSE),"SIN STOCK")</f>
        <v>Mayor a 5</v>
      </c>
    </row>
    <row r="14" ht="15.75" customHeight="1">
      <c r="A14" s="40" t="s">
        <v>3527</v>
      </c>
      <c r="B14" s="41" t="s">
        <v>3579</v>
      </c>
      <c r="C14" s="196" t="s">
        <v>3580</v>
      </c>
      <c r="D14" s="43" t="s">
        <v>3581</v>
      </c>
      <c r="E14" s="43" t="s">
        <v>3582</v>
      </c>
      <c r="F14" s="44">
        <v>0.21</v>
      </c>
      <c r="G14" s="42" t="s">
        <v>3583</v>
      </c>
      <c r="H14" s="49" t="str">
        <f>IFERROR(VLOOKUP("26774-000-56",STOCK!$B$6:$Q$3681,3,FALSE),"SIN STOCK")</f>
        <v>Menor a 5</v>
      </c>
    </row>
    <row r="15" ht="15.75" customHeight="1">
      <c r="A15" s="33" t="s">
        <v>3527</v>
      </c>
      <c r="B15" s="45" t="s">
        <v>3584</v>
      </c>
      <c r="C15" s="197" t="s">
        <v>3585</v>
      </c>
      <c r="D15" s="36" t="s">
        <v>3586</v>
      </c>
      <c r="E15" s="36" t="s">
        <v>3587</v>
      </c>
      <c r="F15" s="129">
        <v>0.21</v>
      </c>
      <c r="G15" s="68" t="s">
        <v>3588</v>
      </c>
      <c r="H15" s="38" t="str">
        <f>IFERROR(VLOOKUP("26777-000-55",STOCK!$B$6:$Q$3681,3,FALSE),"SIN STOCK")</f>
        <v>Menor a 5</v>
      </c>
    </row>
    <row r="16" ht="15.75" customHeight="1">
      <c r="A16" s="40" t="s">
        <v>3527</v>
      </c>
      <c r="B16" s="41" t="s">
        <v>3589</v>
      </c>
      <c r="C16" s="196" t="s">
        <v>3590</v>
      </c>
      <c r="D16" s="43" t="s">
        <v>3576</v>
      </c>
      <c r="E16" s="43" t="s">
        <v>3577</v>
      </c>
      <c r="F16" s="44">
        <v>0.21</v>
      </c>
      <c r="G16" s="42" t="s">
        <v>3591</v>
      </c>
      <c r="H16" s="38" t="str">
        <f>IFERROR(VLOOKUP("26778-000-55",STOCK!$B$6:$Q$3681,3,FALSE),"SIN STOCK")</f>
        <v>Mayor a 5</v>
      </c>
    </row>
    <row r="17" ht="15.75" customHeight="1">
      <c r="A17" s="33" t="s">
        <v>3527</v>
      </c>
      <c r="B17" s="59" t="s">
        <v>3592</v>
      </c>
      <c r="C17" s="197" t="s">
        <v>3593</v>
      </c>
      <c r="D17" s="36" t="s">
        <v>3594</v>
      </c>
      <c r="E17" s="36" t="s">
        <v>3595</v>
      </c>
      <c r="F17" s="129">
        <v>0.21</v>
      </c>
      <c r="G17" s="68" t="s">
        <v>3596</v>
      </c>
      <c r="H17" s="38" t="str">
        <f>IFERROR(VLOOKUP("24167-000-55",STOCK!$B$6:$Q$3681,3,FALSE),"SIN STOCK")</f>
        <v>Mayor a 5</v>
      </c>
    </row>
    <row r="18" ht="15.75" customHeight="1">
      <c r="A18" s="40" t="s">
        <v>3527</v>
      </c>
      <c r="B18" s="41" t="s">
        <v>3597</v>
      </c>
      <c r="C18" s="199" t="s">
        <v>3598</v>
      </c>
      <c r="D18" s="43" t="s">
        <v>3599</v>
      </c>
      <c r="E18" s="43" t="s">
        <v>3600</v>
      </c>
      <c r="F18" s="44">
        <v>0.21</v>
      </c>
      <c r="G18" s="42" t="s">
        <v>3601</v>
      </c>
      <c r="H18" s="38" t="str">
        <f>IFERROR(VLOOKUP("24166-000-55",STOCK!$B$6:$Q$3681,3,FALSE),"SIN STOCK")</f>
        <v>Mayor a 5</v>
      </c>
    </row>
    <row r="19" ht="15.75" customHeight="1">
      <c r="A19" s="33" t="s">
        <v>3527</v>
      </c>
      <c r="B19" s="200" t="s">
        <v>3602</v>
      </c>
      <c r="C19" s="201" t="s">
        <v>3603</v>
      </c>
      <c r="D19" s="36" t="s">
        <v>3604</v>
      </c>
      <c r="E19" s="36" t="s">
        <v>3605</v>
      </c>
      <c r="F19" s="129">
        <v>0.21</v>
      </c>
      <c r="G19" s="68" t="s">
        <v>3606</v>
      </c>
      <c r="H19" s="38" t="str">
        <f>IFERROR(VLOOKUP("21459-000-55",STOCK!$B$6:$Q$3681,3,FALSE),"SIN STOCK")</f>
        <v>Mayor a 5</v>
      </c>
    </row>
    <row r="20" ht="15.75" customHeight="1">
      <c r="A20" s="40" t="s">
        <v>3527</v>
      </c>
      <c r="B20" s="41" t="s">
        <v>3607</v>
      </c>
      <c r="C20" s="157" t="s">
        <v>3608</v>
      </c>
      <c r="D20" s="43" t="s">
        <v>3609</v>
      </c>
      <c r="E20" s="43" t="s">
        <v>3610</v>
      </c>
      <c r="F20" s="44">
        <v>0.21</v>
      </c>
      <c r="G20" s="42" t="s">
        <v>3611</v>
      </c>
      <c r="H20" s="49" t="str">
        <f>IFERROR(VLOOKUP("21467-000-55",STOCK!$B$6:$Q$3681,3,FALSE),"SIN STOCK")</f>
        <v>Menor a 5</v>
      </c>
    </row>
    <row r="21" ht="15.75" customHeight="1">
      <c r="A21" s="33" t="s">
        <v>3527</v>
      </c>
      <c r="B21" s="59" t="s">
        <v>3612</v>
      </c>
      <c r="C21" s="201" t="s">
        <v>3613</v>
      </c>
      <c r="D21" s="36" t="s">
        <v>3614</v>
      </c>
      <c r="E21" s="36" t="s">
        <v>3615</v>
      </c>
      <c r="F21" s="129">
        <v>0.21</v>
      </c>
      <c r="G21" s="68" t="s">
        <v>3616</v>
      </c>
      <c r="H21" s="49" t="str">
        <f>IFERROR(VLOOKUP("21436-009-55",STOCK!$B$6:$Q$3681,3,FALSE),"SIN STOCK")</f>
        <v>Menor a 5</v>
      </c>
    </row>
    <row r="22" ht="15.75" customHeight="1">
      <c r="A22" s="28" t="s">
        <v>3617</v>
      </c>
      <c r="C22" s="29"/>
      <c r="D22" s="51"/>
      <c r="E22" s="51"/>
      <c r="F22" s="195"/>
      <c r="G22" s="29"/>
      <c r="H22" s="29"/>
    </row>
    <row r="23" ht="15.75" customHeight="1">
      <c r="A23" s="40" t="s">
        <v>3527</v>
      </c>
      <c r="B23" s="41" t="s">
        <v>3618</v>
      </c>
      <c r="C23" s="196" t="s">
        <v>3619</v>
      </c>
      <c r="D23" s="43" t="s">
        <v>3620</v>
      </c>
      <c r="E23" s="43" t="s">
        <v>3621</v>
      </c>
      <c r="F23" s="44">
        <v>0.21</v>
      </c>
      <c r="G23" s="42" t="s">
        <v>3622</v>
      </c>
      <c r="H23" s="49" t="str">
        <f>IFERROR(VLOOKUP("26795-018-56",STOCK!$B$6:$Q$3681,3,FALSE),"SIN STOCK")</f>
        <v>Menor a 5</v>
      </c>
    </row>
    <row r="24" ht="15.75" customHeight="1">
      <c r="A24" s="33" t="s">
        <v>3527</v>
      </c>
      <c r="B24" s="45" t="s">
        <v>3623</v>
      </c>
      <c r="C24" s="197" t="s">
        <v>3624</v>
      </c>
      <c r="D24" s="36" t="s">
        <v>3625</v>
      </c>
      <c r="E24" s="36" t="s">
        <v>3626</v>
      </c>
      <c r="F24" s="129">
        <v>0.21</v>
      </c>
      <c r="G24" s="68" t="s">
        <v>3627</v>
      </c>
      <c r="H24" s="49" t="str">
        <f>IFERROR(VLOOKUP("26792-032-56",STOCK!$B$6:$Q$3681,3,FALSE),"SIN STOCK")</f>
        <v>Menor a 5</v>
      </c>
    </row>
    <row r="25" ht="15.75" customHeight="1">
      <c r="A25" s="40" t="s">
        <v>3527</v>
      </c>
      <c r="B25" s="41" t="s">
        <v>3628</v>
      </c>
      <c r="C25" s="202" t="s">
        <v>3629</v>
      </c>
      <c r="D25" s="43" t="s">
        <v>3630</v>
      </c>
      <c r="E25" s="43" t="s">
        <v>3631</v>
      </c>
      <c r="F25" s="44">
        <v>0.21</v>
      </c>
      <c r="G25" s="42" t="s">
        <v>3627</v>
      </c>
      <c r="H25" s="49" t="str">
        <f>IFERROR(VLOOKUP("26792-024-56",STOCK!$B$6:$Q$3681,3,FALSE),"SIN STOCK")</f>
        <v>Menor a 5</v>
      </c>
    </row>
    <row r="26" ht="15.75" customHeight="1">
      <c r="A26" s="28" t="s">
        <v>3632</v>
      </c>
      <c r="C26" s="29"/>
      <c r="D26" s="51"/>
      <c r="E26" s="51"/>
      <c r="F26" s="195"/>
      <c r="G26" s="29"/>
      <c r="H26" s="29"/>
    </row>
    <row r="27" ht="15.75" customHeight="1">
      <c r="A27" s="40" t="s">
        <v>3527</v>
      </c>
      <c r="B27" s="41" t="s">
        <v>3633</v>
      </c>
      <c r="C27" s="196" t="s">
        <v>3634</v>
      </c>
      <c r="D27" s="43" t="s">
        <v>3635</v>
      </c>
      <c r="E27" s="43" t="s">
        <v>3636</v>
      </c>
      <c r="F27" s="44">
        <v>0.21</v>
      </c>
      <c r="G27" s="42" t="s">
        <v>3637</v>
      </c>
      <c r="H27" s="49" t="str">
        <f>IFERROR(VLOOKUP("16075-000-42",STOCK!$B$6:$Q$3681,3,FALSE),"SIN STOCK")</f>
        <v>Menor a 5</v>
      </c>
    </row>
    <row r="28" ht="15.75" customHeight="1">
      <c r="A28" s="33" t="s">
        <v>3527</v>
      </c>
      <c r="B28" s="45" t="s">
        <v>3638</v>
      </c>
      <c r="C28" s="197" t="s">
        <v>3639</v>
      </c>
      <c r="D28" s="36" t="s">
        <v>3640</v>
      </c>
      <c r="E28" s="36" t="s">
        <v>3641</v>
      </c>
      <c r="F28" s="129">
        <v>0.21</v>
      </c>
      <c r="G28" s="68" t="s">
        <v>3637</v>
      </c>
      <c r="H28" s="38" t="str">
        <f>IFERROR(VLOOKUP("16075-000-56",STOCK!$B$6:$Q$3681,3,FALSE),"SIN STOCK")</f>
        <v>Mayor a 5</v>
      </c>
    </row>
    <row r="29" ht="15.75" customHeight="1">
      <c r="A29" s="40" t="s">
        <v>3527</v>
      </c>
      <c r="B29" s="41" t="s">
        <v>3642</v>
      </c>
      <c r="C29" s="196" t="s">
        <v>3643</v>
      </c>
      <c r="D29" s="43" t="s">
        <v>3635</v>
      </c>
      <c r="E29" s="43" t="s">
        <v>3636</v>
      </c>
      <c r="F29" s="44">
        <v>0.21</v>
      </c>
      <c r="G29" s="42" t="s">
        <v>3637</v>
      </c>
      <c r="H29" s="49" t="str">
        <f>IFERROR(VLOOKUP("16075-000-87",STOCK!$B$6:$Q$3681,3,FALSE),"SIN STOCK")</f>
        <v>Menor a 5</v>
      </c>
    </row>
    <row r="30" ht="15.75" customHeight="1">
      <c r="A30" s="33" t="s">
        <v>3527</v>
      </c>
      <c r="B30" s="45" t="s">
        <v>3644</v>
      </c>
      <c r="C30" s="198" t="s">
        <v>3645</v>
      </c>
      <c r="D30" s="36" t="s">
        <v>3646</v>
      </c>
      <c r="E30" s="36" t="s">
        <v>3647</v>
      </c>
      <c r="F30" s="129">
        <v>0.21</v>
      </c>
      <c r="G30" s="68" t="s">
        <v>3648</v>
      </c>
      <c r="H30" s="38" t="str">
        <f>IFERROR(VLOOKUP("16090-000-55",STOCK!$B$6:$Q$3681,3,FALSE),"SIN STOCK")</f>
        <v>Menor a 5</v>
      </c>
    </row>
    <row r="31" ht="15.75" customHeight="1">
      <c r="A31" s="28" t="s">
        <v>3649</v>
      </c>
      <c r="C31" s="29"/>
      <c r="D31" s="51"/>
      <c r="E31" s="51"/>
      <c r="F31" s="195"/>
      <c r="G31" s="69"/>
      <c r="H31" s="69"/>
    </row>
    <row r="32" ht="15.75" customHeight="1">
      <c r="A32" s="40" t="s">
        <v>3527</v>
      </c>
      <c r="B32" s="41" t="s">
        <v>3650</v>
      </c>
      <c r="C32" s="157" t="s">
        <v>3651</v>
      </c>
      <c r="D32" s="43" t="s">
        <v>3652</v>
      </c>
      <c r="E32" s="43" t="s">
        <v>3653</v>
      </c>
      <c r="F32" s="44">
        <v>0.21</v>
      </c>
      <c r="G32" s="42" t="s">
        <v>3654</v>
      </c>
      <c r="H32" s="49" t="str">
        <f>IFERROR(VLOOKUP("23765-300-55",STOCK!$B$6:$Q$3681,3,FALSE),"SIN STOCK")</f>
        <v>Menor a 5</v>
      </c>
    </row>
    <row r="33" ht="15.75" customHeight="1">
      <c r="A33" s="33" t="s">
        <v>3527</v>
      </c>
      <c r="B33" s="45" t="s">
        <v>3655</v>
      </c>
      <c r="C33" s="201" t="s">
        <v>3656</v>
      </c>
      <c r="D33" s="36" t="s">
        <v>3657</v>
      </c>
      <c r="E33" s="36" t="s">
        <v>3658</v>
      </c>
      <c r="F33" s="129">
        <v>0.21</v>
      </c>
      <c r="G33" s="68" t="s">
        <v>3659</v>
      </c>
      <c r="H33" s="49" t="str">
        <f>IFERROR(VLOOKUP("23783-300-55",STOCK!$B$6:$Q$3681,3,FALSE),"SIN STOCK")</f>
        <v>Menor a 5</v>
      </c>
    </row>
    <row r="34" ht="15.75" customHeight="1">
      <c r="A34" s="28" t="s">
        <v>3660</v>
      </c>
      <c r="C34" s="29"/>
      <c r="D34" s="51"/>
      <c r="E34" s="51"/>
      <c r="F34" s="195"/>
      <c r="G34" s="29"/>
      <c r="H34" s="29"/>
    </row>
    <row r="35" ht="15.75" customHeight="1">
      <c r="A35" s="40" t="s">
        <v>3527</v>
      </c>
      <c r="B35" s="41" t="s">
        <v>3661</v>
      </c>
      <c r="C35" s="196" t="s">
        <v>3662</v>
      </c>
      <c r="D35" s="43" t="s">
        <v>3663</v>
      </c>
      <c r="E35" s="43" t="s">
        <v>3664</v>
      </c>
      <c r="F35" s="44">
        <v>0.21</v>
      </c>
      <c r="G35" s="42" t="s">
        <v>3665</v>
      </c>
      <c r="H35" s="38" t="str">
        <f>IFERROR(VLOOKUP("85055-000-55",STOCK!$B$6:$Q$3681,3,FALSE),"SIN STOCK")</f>
        <v>Mayor a 5</v>
      </c>
    </row>
    <row r="36" ht="15.75" customHeight="1">
      <c r="A36" s="33" t="s">
        <v>3527</v>
      </c>
      <c r="B36" s="45" t="s">
        <v>3666</v>
      </c>
      <c r="C36" s="197" t="s">
        <v>3667</v>
      </c>
      <c r="D36" s="36" t="s">
        <v>3668</v>
      </c>
      <c r="E36" s="36" t="s">
        <v>3669</v>
      </c>
      <c r="F36" s="129">
        <v>0.21</v>
      </c>
      <c r="G36" s="68" t="s">
        <v>3670</v>
      </c>
      <c r="H36" s="38" t="str">
        <f>IFERROR(VLOOKUP("85035-000-55",STOCK!$B$6:$Q$3681,3,FALSE),"SIN STOCK")</f>
        <v>Mayor a 5</v>
      </c>
    </row>
    <row r="37" ht="15.75" customHeight="1">
      <c r="A37" s="40" t="s">
        <v>3527</v>
      </c>
      <c r="B37" s="41" t="s">
        <v>3671</v>
      </c>
      <c r="C37" s="196" t="s">
        <v>3672</v>
      </c>
      <c r="D37" s="43" t="s">
        <v>3668</v>
      </c>
      <c r="E37" s="43" t="s">
        <v>3669</v>
      </c>
      <c r="F37" s="44">
        <v>0.21</v>
      </c>
      <c r="G37" s="42" t="s">
        <v>3670</v>
      </c>
      <c r="H37" s="38" t="str">
        <f>IFERROR(VLOOKUP("85050-000-55",STOCK!$B$6:$Q$3681,3,FALSE),"SIN STOCK")</f>
        <v>Mayor a 5</v>
      </c>
    </row>
    <row r="38" ht="15.75" customHeight="1">
      <c r="A38" s="33" t="s">
        <v>3527</v>
      </c>
      <c r="B38" s="45" t="s">
        <v>3673</v>
      </c>
      <c r="C38" s="197" t="s">
        <v>3674</v>
      </c>
      <c r="D38" s="36" t="s">
        <v>3675</v>
      </c>
      <c r="E38" s="36" t="s">
        <v>3676</v>
      </c>
      <c r="F38" s="129">
        <v>0.21</v>
      </c>
      <c r="G38" s="68" t="s">
        <v>3677</v>
      </c>
      <c r="H38" s="38" t="str">
        <f>IFERROR(VLOOKUP("85060-000-55",STOCK!$B$6:$Q$3681,3,FALSE),"SIN STOCK")</f>
        <v>Mayor a 5</v>
      </c>
    </row>
    <row r="39" ht="15.75" customHeight="1">
      <c r="A39" s="33" t="s">
        <v>3527</v>
      </c>
      <c r="B39" s="45" t="s">
        <v>3678</v>
      </c>
      <c r="C39" s="201" t="s">
        <v>3679</v>
      </c>
      <c r="D39" s="36" t="s">
        <v>2975</v>
      </c>
      <c r="E39" s="58"/>
      <c r="F39" s="203"/>
      <c r="G39" s="68" t="s">
        <v>3680</v>
      </c>
      <c r="H39" s="46" t="str">
        <f>IFERROR(VLOOKUP("21110-500-55",STOCK!$B$6:$Q$3681,3,FALSE),"SIN STOCK")</f>
        <v>SIN STOCK</v>
      </c>
    </row>
    <row r="40" ht="15.75" customHeight="1">
      <c r="A40" s="28" t="s">
        <v>3681</v>
      </c>
      <c r="C40" s="29"/>
      <c r="D40" s="51"/>
      <c r="E40" s="51"/>
      <c r="F40" s="195"/>
      <c r="G40" s="29"/>
      <c r="H40" s="29"/>
    </row>
    <row r="41" ht="15.75" customHeight="1">
      <c r="A41" s="40" t="s">
        <v>3527</v>
      </c>
      <c r="B41" s="204" t="s">
        <v>3682</v>
      </c>
      <c r="C41" s="157" t="s">
        <v>3683</v>
      </c>
      <c r="D41" s="43" t="s">
        <v>3684</v>
      </c>
      <c r="E41" s="43" t="s">
        <v>3685</v>
      </c>
      <c r="F41" s="44">
        <v>0.21</v>
      </c>
      <c r="G41" s="42" t="s">
        <v>3686</v>
      </c>
      <c r="H41" s="38" t="str">
        <f>IFERROR(VLOOKUP("23860-321-55",STOCK!$B$6:$Q$3681,3,FALSE),"SIN STOCK")</f>
        <v>Menor a 5</v>
      </c>
    </row>
    <row r="42" ht="15.75" customHeight="1">
      <c r="A42" s="28" t="s">
        <v>3687</v>
      </c>
      <c r="C42" s="29"/>
      <c r="D42" s="51"/>
      <c r="E42" s="51"/>
      <c r="F42" s="195"/>
      <c r="G42" s="69"/>
      <c r="H42" s="69"/>
    </row>
    <row r="43" ht="15.75" customHeight="1">
      <c r="A43" s="40" t="s">
        <v>3527</v>
      </c>
      <c r="B43" s="41" t="s">
        <v>3688</v>
      </c>
      <c r="C43" s="196" t="s">
        <v>3689</v>
      </c>
      <c r="D43" s="43" t="s">
        <v>3690</v>
      </c>
      <c r="E43" s="43" t="s">
        <v>3691</v>
      </c>
      <c r="F43" s="44">
        <v>0.21</v>
      </c>
      <c r="G43" s="42" t="s">
        <v>3692</v>
      </c>
      <c r="H43" s="38" t="str">
        <f>IFERROR(VLOOKUP("24030-500-55",STOCK!$B$6:$Q$3681,3,FALSE),"SIN STOCK")</f>
        <v>Mayor a 5</v>
      </c>
    </row>
    <row r="44" ht="15.75" customHeight="1">
      <c r="A44" s="33" t="s">
        <v>3527</v>
      </c>
      <c r="B44" s="45" t="s">
        <v>3693</v>
      </c>
      <c r="C44" s="197" t="s">
        <v>3694</v>
      </c>
      <c r="D44" s="36" t="s">
        <v>3695</v>
      </c>
      <c r="E44" s="36" t="s">
        <v>3696</v>
      </c>
      <c r="F44" s="129">
        <v>0.21</v>
      </c>
      <c r="G44" s="68" t="s">
        <v>3697</v>
      </c>
      <c r="H44" s="49" t="str">
        <f>IFERROR(VLOOKUP("24035-500-55",STOCK!$B$6:$Q$3681,3,FALSE),"SIN STOCK")</f>
        <v>Menor a 5</v>
      </c>
    </row>
    <row r="45" ht="15.75" customHeight="1">
      <c r="A45" s="40" t="s">
        <v>3527</v>
      </c>
      <c r="B45" s="41" t="s">
        <v>3698</v>
      </c>
      <c r="C45" s="196" t="s">
        <v>3699</v>
      </c>
      <c r="D45" s="43" t="s">
        <v>3700</v>
      </c>
      <c r="E45" s="43" t="s">
        <v>3701</v>
      </c>
      <c r="F45" s="44">
        <v>0.21</v>
      </c>
      <c r="G45" s="42" t="s">
        <v>3702</v>
      </c>
      <c r="H45" s="38" t="str">
        <f>IFERROR(VLOOKUP("25950-500-55",STOCK!$B$6:$Q$3681,3,FALSE),"SIN STOCK")</f>
        <v>Menor a 5</v>
      </c>
    </row>
    <row r="46" ht="15.75" customHeight="1">
      <c r="A46" s="33" t="s">
        <v>3527</v>
      </c>
      <c r="B46" s="45" t="s">
        <v>3703</v>
      </c>
      <c r="C46" s="197" t="s">
        <v>3704</v>
      </c>
      <c r="D46" s="36" t="s">
        <v>3705</v>
      </c>
      <c r="E46" s="36" t="s">
        <v>3706</v>
      </c>
      <c r="F46" s="129">
        <v>0.21</v>
      </c>
      <c r="G46" s="68" t="s">
        <v>3707</v>
      </c>
      <c r="H46" s="49" t="str">
        <f>IFERROR(VLOOKUP("25993-500-55",STOCK!$B$6:$Q$3681,3,FALSE),"SIN STOCK")</f>
        <v>Menor a 5</v>
      </c>
    </row>
    <row r="47" ht="15.75" customHeight="1">
      <c r="A47" s="40" t="s">
        <v>3527</v>
      </c>
      <c r="B47" s="41" t="s">
        <v>3708</v>
      </c>
      <c r="C47" s="157" t="s">
        <v>3709</v>
      </c>
      <c r="D47" s="43" t="s">
        <v>3710</v>
      </c>
      <c r="E47" s="43" t="s">
        <v>3711</v>
      </c>
      <c r="F47" s="44">
        <v>0.21</v>
      </c>
      <c r="G47" s="42" t="s">
        <v>3692</v>
      </c>
      <c r="H47" s="38" t="str">
        <f>IFERROR(VLOOKUP("24030-300-55",STOCK!$B$6:$Q$3681,3,FALSE),"SIN STOCK")</f>
        <v>Menor a 5</v>
      </c>
    </row>
    <row r="48" ht="15.75" customHeight="1">
      <c r="A48" s="33" t="s">
        <v>3527</v>
      </c>
      <c r="B48" s="45" t="s">
        <v>3712</v>
      </c>
      <c r="C48" s="198" t="s">
        <v>3713</v>
      </c>
      <c r="D48" s="36" t="s">
        <v>3714</v>
      </c>
      <c r="E48" s="36" t="s">
        <v>3715</v>
      </c>
      <c r="F48" s="129">
        <v>0.21</v>
      </c>
      <c r="G48" s="68" t="s">
        <v>3697</v>
      </c>
      <c r="H48" s="46" t="str">
        <f>IFERROR(VLOOKUP("24035-300-55",STOCK!$B$6:$Q$3681,3,FALSE),"SIN STOCK")</f>
        <v>Menor a 5</v>
      </c>
    </row>
    <row r="49" ht="15.75" customHeight="1">
      <c r="A49" s="40" t="s">
        <v>3527</v>
      </c>
      <c r="B49" s="41" t="s">
        <v>3716</v>
      </c>
      <c r="C49" s="157" t="s">
        <v>3717</v>
      </c>
      <c r="D49" s="43" t="s">
        <v>3718</v>
      </c>
      <c r="E49" s="43" t="s">
        <v>3719</v>
      </c>
      <c r="F49" s="44">
        <v>0.21</v>
      </c>
      <c r="G49" s="42" t="s">
        <v>3720</v>
      </c>
      <c r="H49" s="38" t="str">
        <f>IFERROR(VLOOKUP("25910-300-55",STOCK!$B$6:$Q$3681,3,FALSE),"SIN STOCK")</f>
        <v>Mayor a 5</v>
      </c>
    </row>
    <row r="50" ht="15.75" customHeight="1">
      <c r="A50" s="33" t="s">
        <v>3527</v>
      </c>
      <c r="B50" s="45" t="s">
        <v>3721</v>
      </c>
      <c r="C50" s="198" t="s">
        <v>3722</v>
      </c>
      <c r="D50" s="36" t="s">
        <v>3723</v>
      </c>
      <c r="E50" s="36" t="s">
        <v>3724</v>
      </c>
      <c r="F50" s="129">
        <v>0.21</v>
      </c>
      <c r="G50" s="68" t="s">
        <v>3702</v>
      </c>
      <c r="H50" s="46" t="str">
        <f>IFERROR(VLOOKUP("25950-300-55",STOCK!$B$6:$Q$3681,3,FALSE),"SIN STOCK")</f>
        <v>Menor a 5</v>
      </c>
    </row>
    <row r="51" ht="15.75" customHeight="1">
      <c r="A51" s="28" t="s">
        <v>3725</v>
      </c>
      <c r="C51" s="29"/>
      <c r="D51" s="51"/>
      <c r="E51" s="51"/>
      <c r="F51" s="195"/>
      <c r="G51" s="29"/>
      <c r="H51" s="29"/>
    </row>
    <row r="52" ht="15.75" customHeight="1">
      <c r="A52" s="40" t="s">
        <v>3527</v>
      </c>
      <c r="B52" s="41" t="s">
        <v>3726</v>
      </c>
      <c r="C52" s="196" t="s">
        <v>3727</v>
      </c>
      <c r="D52" s="43" t="s">
        <v>3728</v>
      </c>
      <c r="E52" s="43" t="s">
        <v>3729</v>
      </c>
      <c r="F52" s="44">
        <v>0.21</v>
      </c>
      <c r="G52" s="42" t="s">
        <v>3730</v>
      </c>
      <c r="H52" s="38" t="str">
        <f>IFERROR(VLOOKUP("26010-500-55",STOCK!$B$6:$Q$3681,3,FALSE),"SIN STOCK")</f>
        <v>Mayor a 5</v>
      </c>
    </row>
    <row r="53" ht="15.75" customHeight="1">
      <c r="A53" s="33" t="s">
        <v>3527</v>
      </c>
      <c r="B53" s="45" t="s">
        <v>3731</v>
      </c>
      <c r="C53" s="197" t="s">
        <v>3732</v>
      </c>
      <c r="D53" s="36" t="s">
        <v>3733</v>
      </c>
      <c r="E53" s="36" t="s">
        <v>3734</v>
      </c>
      <c r="F53" s="129">
        <v>0.21</v>
      </c>
      <c r="G53" s="68" t="s">
        <v>3735</v>
      </c>
      <c r="H53" s="38" t="str">
        <f>IFERROR(VLOOKUP("20120-500-55",STOCK!$B$6:$Q$3681,3,FALSE),"SIN STOCK")</f>
        <v>Mayor a 5</v>
      </c>
    </row>
    <row r="54" ht="15.75" customHeight="1">
      <c r="A54" s="40" t="s">
        <v>3527</v>
      </c>
      <c r="B54" s="41" t="s">
        <v>3736</v>
      </c>
      <c r="C54" s="196" t="s">
        <v>3737</v>
      </c>
      <c r="D54" s="43" t="s">
        <v>3738</v>
      </c>
      <c r="E54" s="43" t="s">
        <v>3739</v>
      </c>
      <c r="F54" s="44">
        <v>0.21</v>
      </c>
      <c r="G54" s="42" t="s">
        <v>3740</v>
      </c>
      <c r="H54" s="49" t="str">
        <f>IFERROR(VLOOKUP("25900-500-55",STOCK!$B$6:$Q$3681,3,FALSE),"SIN STOCK")</f>
        <v>Menor a 5</v>
      </c>
    </row>
    <row r="55" ht="15.75" customHeight="1">
      <c r="A55" s="33" t="s">
        <v>3527</v>
      </c>
      <c r="B55" s="45" t="s">
        <v>3741</v>
      </c>
      <c r="C55" s="198" t="s">
        <v>3742</v>
      </c>
      <c r="D55" s="36" t="s">
        <v>3743</v>
      </c>
      <c r="E55" s="36" t="s">
        <v>3744</v>
      </c>
      <c r="F55" s="129">
        <v>0.21</v>
      </c>
      <c r="G55" s="68" t="s">
        <v>3745</v>
      </c>
      <c r="H55" s="46" t="str">
        <f>IFERROR(VLOOKUP("26007-319-55",STOCK!$B$6:$Q$3681,3,FALSE),"SIN STOCK")</f>
        <v>Menor a 5</v>
      </c>
    </row>
    <row r="56" ht="15.75" customHeight="1">
      <c r="A56" s="40" t="s">
        <v>3527</v>
      </c>
      <c r="B56" s="41" t="s">
        <v>3746</v>
      </c>
      <c r="C56" s="157" t="s">
        <v>3747</v>
      </c>
      <c r="D56" s="43" t="s">
        <v>3748</v>
      </c>
      <c r="E56" s="43" t="s">
        <v>3749</v>
      </c>
      <c r="F56" s="44">
        <v>0.21</v>
      </c>
      <c r="G56" s="42" t="s">
        <v>3730</v>
      </c>
      <c r="H56" s="46" t="str">
        <f>IFERROR(VLOOKUP("26010-300-55",STOCK!$B$6:$Q$3681,3,FALSE),"SIN STOCK")</f>
        <v>SIN STOCK</v>
      </c>
    </row>
    <row r="57" ht="15.75" customHeight="1">
      <c r="A57" s="33" t="s">
        <v>3527</v>
      </c>
      <c r="B57" s="33" t="s">
        <v>3750</v>
      </c>
      <c r="C57" s="57"/>
      <c r="D57" s="36" t="s">
        <v>2975</v>
      </c>
      <c r="E57" s="36" t="s">
        <v>2975</v>
      </c>
      <c r="F57" s="203"/>
      <c r="G57" s="70"/>
      <c r="H57" s="49" t="str">
        <f>IFERROR(VLOOKUP("23760-000-55",STOCK!$B$6:$Q$3681,3,FALSE),"SIN STOCK")</f>
        <v>Menor a 5</v>
      </c>
    </row>
    <row r="58" ht="15.75" customHeight="1">
      <c r="A58" s="40" t="s">
        <v>3527</v>
      </c>
      <c r="B58" s="41" t="s">
        <v>3751</v>
      </c>
      <c r="C58" s="157" t="s">
        <v>3752</v>
      </c>
      <c r="D58" s="43" t="s">
        <v>3753</v>
      </c>
      <c r="E58" s="43" t="s">
        <v>3754</v>
      </c>
      <c r="F58" s="44">
        <v>0.21</v>
      </c>
      <c r="G58" s="42" t="s">
        <v>3562</v>
      </c>
      <c r="H58" s="49" t="str">
        <f>IFERROR(VLOOKUP("21020-300-55",STOCK!$B$6:$Q$3681,3,FALSE),"SIN STOCK")</f>
        <v>Menor a 5</v>
      </c>
    </row>
    <row r="59" ht="15.75" customHeight="1">
      <c r="A59" s="33" t="s">
        <v>3527</v>
      </c>
      <c r="B59" s="45" t="s">
        <v>3755</v>
      </c>
      <c r="C59" s="198" t="s">
        <v>3756</v>
      </c>
      <c r="D59" s="36" t="s">
        <v>3544</v>
      </c>
      <c r="E59" s="36" t="s">
        <v>3545</v>
      </c>
      <c r="F59" s="129">
        <v>0.21</v>
      </c>
      <c r="G59" s="68" t="s">
        <v>3546</v>
      </c>
      <c r="H59" s="38" t="str">
        <f>IFERROR(VLOOKUP("25400-300-55",STOCK!$B$6:$Q$3681,3,FALSE),"SIN STOCK")</f>
        <v>Menor a 5</v>
      </c>
    </row>
    <row r="60" ht="15.75" customHeight="1">
      <c r="A60" s="40" t="s">
        <v>3527</v>
      </c>
      <c r="B60" s="41" t="s">
        <v>3757</v>
      </c>
      <c r="C60" s="157" t="s">
        <v>3758</v>
      </c>
      <c r="D60" s="43" t="s">
        <v>3759</v>
      </c>
      <c r="E60" s="43" t="s">
        <v>3760</v>
      </c>
      <c r="F60" s="44">
        <v>0.21</v>
      </c>
      <c r="G60" s="42" t="s">
        <v>3551</v>
      </c>
      <c r="H60" s="46" t="str">
        <f>IFERROR(VLOOKUP("25600-300-55",STOCK!$B$6:$Q$3681,3,FALSE),"SIN STOCK")</f>
        <v>Menor a 5</v>
      </c>
    </row>
    <row r="61" ht="15.75" customHeight="1">
      <c r="A61" s="28" t="s">
        <v>3761</v>
      </c>
      <c r="C61" s="29"/>
      <c r="D61" s="51"/>
      <c r="E61" s="51"/>
      <c r="F61" s="195"/>
      <c r="G61" s="29"/>
      <c r="H61" s="29"/>
    </row>
    <row r="62" ht="15.75" customHeight="1">
      <c r="A62" s="40" t="s">
        <v>3527</v>
      </c>
      <c r="B62" s="41" t="s">
        <v>3762</v>
      </c>
      <c r="C62" s="196" t="s">
        <v>3763</v>
      </c>
      <c r="D62" s="43" t="s">
        <v>3764</v>
      </c>
      <c r="E62" s="43" t="s">
        <v>3765</v>
      </c>
      <c r="F62" s="44">
        <v>0.21</v>
      </c>
      <c r="G62" s="42" t="s">
        <v>3766</v>
      </c>
      <c r="H62" s="38" t="str">
        <f>IFERROR(VLOOKUP("29375-000-55",STOCK!$B$6:$Q$3681,3,FALSE),"SIN STOCK")</f>
        <v>Menor a 5</v>
      </c>
    </row>
    <row r="63" ht="15.75" customHeight="1">
      <c r="A63" s="33" t="s">
        <v>3527</v>
      </c>
      <c r="B63" s="45" t="s">
        <v>3767</v>
      </c>
      <c r="C63" s="197" t="s">
        <v>3768</v>
      </c>
      <c r="D63" s="36" t="s">
        <v>3769</v>
      </c>
      <c r="E63" s="36" t="s">
        <v>3770</v>
      </c>
      <c r="F63" s="129">
        <v>0.21</v>
      </c>
      <c r="G63" s="68" t="s">
        <v>3766</v>
      </c>
      <c r="H63" s="38" t="str">
        <f>IFERROR(VLOOKUP("29376-000-55",STOCK!$B$6:$Q$3681,3,FALSE),"SIN STOCK")</f>
        <v>Mayor a 5</v>
      </c>
    </row>
    <row r="64" ht="15.75" customHeight="1">
      <c r="A64" s="40" t="s">
        <v>3527</v>
      </c>
      <c r="B64" s="40" t="s">
        <v>3771</v>
      </c>
      <c r="C64" s="42" t="s">
        <v>3772</v>
      </c>
      <c r="D64" s="43" t="s">
        <v>3773</v>
      </c>
      <c r="E64" s="43" t="s">
        <v>3774</v>
      </c>
      <c r="F64" s="44">
        <v>0.21</v>
      </c>
      <c r="G64" s="205"/>
      <c r="H64" s="38" t="str">
        <f>IFERROR(VLOOKUP("SEMS-3000",STOCK!$B$6:$Q$3681,3,FALSE),"SIN STOCK")</f>
        <v>Menor a 5</v>
      </c>
    </row>
    <row r="65" ht="15.75" customHeight="1">
      <c r="A65" s="28" t="s">
        <v>3775</v>
      </c>
      <c r="C65" s="29"/>
      <c r="D65" s="51"/>
      <c r="E65" s="51"/>
      <c r="F65" s="195"/>
      <c r="G65" s="29"/>
      <c r="H65" s="29"/>
    </row>
    <row r="66" ht="15.75" customHeight="1">
      <c r="A66" s="40" t="s">
        <v>3527</v>
      </c>
      <c r="B66" s="204" t="s">
        <v>3776</v>
      </c>
      <c r="C66" s="157" t="s">
        <v>3777</v>
      </c>
      <c r="D66" s="43" t="s">
        <v>3778</v>
      </c>
      <c r="E66" s="43" t="s">
        <v>3779</v>
      </c>
      <c r="F66" s="44">
        <v>0.21</v>
      </c>
      <c r="G66" s="42" t="s">
        <v>3780</v>
      </c>
      <c r="H66" s="46" t="str">
        <f>IFERROR(VLOOKUP("23956/00",STOCK!$B$6:$Q$3681,3,FALSE),"SIN STOCK")</f>
        <v>Mayor a 5</v>
      </c>
    </row>
    <row r="67" ht="15.75" customHeight="1">
      <c r="A67" s="28" t="s">
        <v>3781</v>
      </c>
      <c r="C67" s="29"/>
      <c r="D67" s="51"/>
      <c r="E67" s="51"/>
      <c r="F67" s="195"/>
      <c r="G67" s="29"/>
      <c r="H67" s="29"/>
    </row>
    <row r="68" ht="15.75" customHeight="1">
      <c r="A68" s="40" t="s">
        <v>3527</v>
      </c>
      <c r="B68" s="204" t="s">
        <v>3782</v>
      </c>
      <c r="C68" s="196" t="s">
        <v>3783</v>
      </c>
      <c r="D68" s="43" t="s">
        <v>3784</v>
      </c>
      <c r="E68" s="43" t="s">
        <v>3785</v>
      </c>
      <c r="F68" s="44">
        <v>0.21</v>
      </c>
      <c r="G68" s="42" t="s">
        <v>3786</v>
      </c>
      <c r="H68" s="38" t="str">
        <f>IFERROR(VLOOKUP("19783-100-55",STOCK!$B$6:$Q$3681,3,FALSE),"SIN STOCK")</f>
        <v>Mayor a 5</v>
      </c>
    </row>
    <row r="69" ht="15.75" customHeight="1">
      <c r="A69" s="28" t="s">
        <v>3787</v>
      </c>
      <c r="C69" s="29"/>
      <c r="D69" s="51"/>
      <c r="E69" s="51"/>
      <c r="F69" s="195"/>
      <c r="G69" s="29"/>
      <c r="H69" s="29"/>
    </row>
    <row r="70" ht="15.75" customHeight="1">
      <c r="A70" s="40" t="s">
        <v>3527</v>
      </c>
      <c r="B70" s="41" t="s">
        <v>3788</v>
      </c>
      <c r="C70" s="196" t="s">
        <v>3789</v>
      </c>
      <c r="D70" s="43" t="s">
        <v>3790</v>
      </c>
      <c r="E70" s="43" t="s">
        <v>3791</v>
      </c>
      <c r="F70" s="44">
        <v>0.21</v>
      </c>
      <c r="G70" s="67" t="s">
        <v>3792</v>
      </c>
      <c r="H70" s="38" t="str">
        <f>IFERROR(VLOOKUP("19746-000-55",STOCK!$B$6:$Q$3681,3,FALSE),"SIN STOCK")</f>
        <v>Mayor a 5</v>
      </c>
    </row>
    <row r="71" ht="15.75" customHeight="1">
      <c r="A71" s="33" t="s">
        <v>3527</v>
      </c>
      <c r="B71" s="45" t="s">
        <v>3793</v>
      </c>
      <c r="C71" s="197" t="s">
        <v>3794</v>
      </c>
      <c r="D71" s="36" t="s">
        <v>3795</v>
      </c>
      <c r="E71" s="36" t="s">
        <v>3796</v>
      </c>
      <c r="F71" s="206">
        <v>0.21</v>
      </c>
      <c r="G71" s="207" t="s">
        <v>3797</v>
      </c>
      <c r="H71" s="38" t="str">
        <f>IFERROR(VLOOKUP("19747-000-55",STOCK!$B$6:$Q$3681,3,FALSE),"SIN STOCK")</f>
        <v>Menor a 5</v>
      </c>
    </row>
    <row r="72" ht="15.75" customHeight="1">
      <c r="A72" s="40" t="s">
        <v>3527</v>
      </c>
      <c r="B72" s="41" t="s">
        <v>3798</v>
      </c>
      <c r="C72" s="157" t="s">
        <v>3799</v>
      </c>
      <c r="D72" s="43" t="s">
        <v>3800</v>
      </c>
      <c r="E72" s="43" t="s">
        <v>3801</v>
      </c>
      <c r="F72" s="44">
        <v>0.21</v>
      </c>
      <c r="G72" s="42" t="s">
        <v>3802</v>
      </c>
      <c r="H72" s="46" t="str">
        <f>IFERROR(VLOOKUP("19850-000-55",STOCK!$B$6:$Q$3681,3,FALSE),"SIN STOCK")</f>
        <v>Menor a 5</v>
      </c>
    </row>
    <row r="73" ht="15.75" customHeight="1">
      <c r="A73" s="28" t="s">
        <v>3803</v>
      </c>
      <c r="C73" s="29"/>
      <c r="D73" s="51"/>
      <c r="E73" s="51"/>
      <c r="F73" s="195"/>
      <c r="G73" s="29"/>
      <c r="H73" s="29"/>
    </row>
    <row r="74" ht="15.75" customHeight="1">
      <c r="A74" s="40" t="s">
        <v>3527</v>
      </c>
      <c r="B74" s="204" t="s">
        <v>3804</v>
      </c>
      <c r="C74" s="157" t="s">
        <v>3805</v>
      </c>
      <c r="D74" s="43" t="s">
        <v>3806</v>
      </c>
      <c r="E74" s="43" t="s">
        <v>3807</v>
      </c>
      <c r="F74" s="44">
        <v>0.21</v>
      </c>
      <c r="G74" s="42" t="s">
        <v>3808</v>
      </c>
      <c r="H74" s="46" t="str">
        <f>IFERROR(VLOOKUP("23720-300-55",STOCK!$B$6:$Q$3681,3,FALSE),"SIN STOCK")</f>
        <v>Menor a 5</v>
      </c>
    </row>
    <row r="75" ht="15.75" customHeight="1">
      <c r="A75" s="28" t="s">
        <v>3809</v>
      </c>
      <c r="C75" s="29"/>
      <c r="D75" s="51"/>
      <c r="E75" s="51"/>
      <c r="F75" s="195"/>
      <c r="G75" s="29"/>
      <c r="H75" s="29"/>
    </row>
    <row r="76" ht="15.75" customHeight="1">
      <c r="A76" s="40" t="s">
        <v>3527</v>
      </c>
      <c r="B76" s="41" t="s">
        <v>3810</v>
      </c>
      <c r="C76" s="208" t="s">
        <v>3811</v>
      </c>
      <c r="D76" s="43" t="s">
        <v>3812</v>
      </c>
      <c r="E76" s="43" t="s">
        <v>3813</v>
      </c>
      <c r="F76" s="44">
        <v>0.21</v>
      </c>
      <c r="G76" s="67" t="s">
        <v>3814</v>
      </c>
      <c r="H76" s="38" t="str">
        <f>IFERROR(VLOOKUP("23200-500-55",STOCK!$B$6:$Q$3681,3,FALSE),"SIN STOCK")</f>
        <v>Menor a 5</v>
      </c>
    </row>
    <row r="77" ht="15.75" customHeight="1">
      <c r="A77" s="33" t="s">
        <v>3527</v>
      </c>
      <c r="B77" s="45" t="s">
        <v>3815</v>
      </c>
      <c r="C77" s="198" t="s">
        <v>3816</v>
      </c>
      <c r="D77" s="36" t="s">
        <v>3817</v>
      </c>
      <c r="E77" s="36" t="s">
        <v>3818</v>
      </c>
      <c r="F77" s="206">
        <v>0.21</v>
      </c>
      <c r="G77" s="207" t="s">
        <v>3819</v>
      </c>
      <c r="H77" s="46" t="str">
        <f>IFERROR(VLOOKUP("25800-321-55",STOCK!$B$6:$Q$3681,3,FALSE),"SIN STOCK")</f>
        <v>Menor a 5</v>
      </c>
    </row>
    <row r="78" ht="15.75" customHeight="1">
      <c r="A78" s="40" t="s">
        <v>3527</v>
      </c>
      <c r="B78" s="41" t="s">
        <v>3820</v>
      </c>
      <c r="C78" s="157" t="s">
        <v>3816</v>
      </c>
      <c r="D78" s="43" t="s">
        <v>3800</v>
      </c>
      <c r="E78" s="43" t="s">
        <v>3801</v>
      </c>
      <c r="F78" s="44">
        <v>0.21</v>
      </c>
      <c r="G78" s="42" t="s">
        <v>3819</v>
      </c>
      <c r="H78" s="38" t="str">
        <f>IFERROR(VLOOKUP("23105-300-55",STOCK!$B$6:$Q$3681,3,FALSE),"SIN STOCK")</f>
        <v>Mayor a 5</v>
      </c>
    </row>
    <row r="79" ht="15.75" customHeight="1">
      <c r="A79" s="28" t="s">
        <v>3821</v>
      </c>
      <c r="C79" s="29"/>
      <c r="D79" s="51"/>
      <c r="E79" s="51"/>
      <c r="F79" s="195"/>
      <c r="G79" s="29"/>
      <c r="H79" s="29"/>
    </row>
    <row r="80" ht="15.75" customHeight="1">
      <c r="A80" s="40" t="s">
        <v>3527</v>
      </c>
      <c r="B80" s="41" t="s">
        <v>3822</v>
      </c>
      <c r="C80" s="202" t="s">
        <v>3823</v>
      </c>
      <c r="D80" s="43" t="s">
        <v>3824</v>
      </c>
      <c r="E80" s="43" t="s">
        <v>3825</v>
      </c>
      <c r="F80" s="44">
        <v>0.21</v>
      </c>
      <c r="G80" s="67" t="s">
        <v>3826</v>
      </c>
      <c r="H80" s="38" t="str">
        <f>IFERROR(VLOOKUP("19791-016-55",STOCK!$B$6:$Q$3681,3,FALSE),"SIN STOCK")</f>
        <v>Menor a 5</v>
      </c>
    </row>
    <row r="81" ht="15.75" customHeight="1">
      <c r="A81" s="33" t="s">
        <v>3527</v>
      </c>
      <c r="B81" s="45" t="s">
        <v>3827</v>
      </c>
      <c r="C81" s="209" t="s">
        <v>3828</v>
      </c>
      <c r="D81" s="36" t="s">
        <v>3829</v>
      </c>
      <c r="E81" s="36" t="s">
        <v>3830</v>
      </c>
      <c r="F81" s="206">
        <v>0.21</v>
      </c>
      <c r="G81" s="207" t="s">
        <v>3831</v>
      </c>
      <c r="H81" s="38" t="str">
        <f>IFERROR(VLOOKUP("19790-516-55",STOCK!$B$6:$Q$3681,3,FALSE),"SIN STOCK")</f>
        <v>Mayor a 5</v>
      </c>
    </row>
    <row r="82" ht="15.75" customHeight="1">
      <c r="A82" s="28" t="s">
        <v>3832</v>
      </c>
      <c r="C82" s="29"/>
      <c r="D82" s="51"/>
      <c r="E82" s="51"/>
      <c r="F82" s="195"/>
      <c r="G82" s="29"/>
      <c r="H82" s="29"/>
    </row>
    <row r="83" ht="15.75" customHeight="1">
      <c r="A83" s="40" t="s">
        <v>3527</v>
      </c>
      <c r="B83" s="41" t="s">
        <v>3833</v>
      </c>
      <c r="C83" s="196" t="s">
        <v>3834</v>
      </c>
      <c r="D83" s="43" t="s">
        <v>3835</v>
      </c>
      <c r="E83" s="43" t="s">
        <v>3836</v>
      </c>
      <c r="F83" s="44">
        <v>0.21</v>
      </c>
      <c r="G83" s="67" t="s">
        <v>3837</v>
      </c>
      <c r="H83" s="38" t="str">
        <f>IFERROR(VLOOKUP("21500-000-29",STOCK!$B$6:$Q$3681,3,FALSE),"SIN STOCK")</f>
        <v>Mayor a 5</v>
      </c>
    </row>
    <row r="84" ht="15.75" customHeight="1">
      <c r="A84" s="33" t="s">
        <v>3527</v>
      </c>
      <c r="B84" s="45" t="s">
        <v>3838</v>
      </c>
      <c r="C84" s="197" t="s">
        <v>3839</v>
      </c>
      <c r="D84" s="36" t="s">
        <v>3840</v>
      </c>
      <c r="E84" s="36" t="s">
        <v>3841</v>
      </c>
      <c r="F84" s="206">
        <v>0.21</v>
      </c>
      <c r="G84" s="207" t="s">
        <v>3842</v>
      </c>
      <c r="H84" s="38" t="str">
        <f>IFERROR(VLOOKUP("21600-000-29",STOCK!$B$6:$Q$3681,3,FALSE),"SIN STOCK")</f>
        <v>Menor a 5</v>
      </c>
    </row>
    <row r="85" ht="15.75" customHeight="1">
      <c r="A85" s="40" t="s">
        <v>3527</v>
      </c>
      <c r="B85" s="41" t="s">
        <v>3843</v>
      </c>
      <c r="C85" s="196" t="s">
        <v>3844</v>
      </c>
      <c r="D85" s="43" t="s">
        <v>3845</v>
      </c>
      <c r="E85" s="43" t="s">
        <v>3846</v>
      </c>
      <c r="F85" s="44">
        <v>0.21</v>
      </c>
      <c r="G85" s="67" t="s">
        <v>3837</v>
      </c>
      <c r="H85" s="38" t="str">
        <f>IFERROR(VLOOKUP("21700-000-29",STOCK!$B$6:$Q$3681,3,FALSE),"SIN STOCK")</f>
        <v>Menor a 5</v>
      </c>
    </row>
    <row r="86" ht="15.75" customHeight="1">
      <c r="A86" s="33" t="s">
        <v>3527</v>
      </c>
      <c r="B86" s="45" t="s">
        <v>3847</v>
      </c>
      <c r="C86" s="210" t="s">
        <v>3848</v>
      </c>
      <c r="D86" s="36" t="s">
        <v>3849</v>
      </c>
      <c r="E86" s="36" t="s">
        <v>3850</v>
      </c>
      <c r="F86" s="206">
        <v>0.21</v>
      </c>
      <c r="G86" s="207" t="s">
        <v>3851</v>
      </c>
      <c r="H86" s="38" t="str">
        <f>IFERROR(VLOOKUP("21800-000-29",STOCK!$B$6:$Q$3681,3,FALSE),"SIN STOCK")</f>
        <v>Mayor a 5</v>
      </c>
    </row>
    <row r="87" ht="15.75" customHeight="1">
      <c r="A87" s="40" t="s">
        <v>3527</v>
      </c>
      <c r="B87" s="41" t="s">
        <v>3852</v>
      </c>
      <c r="C87" s="211" t="s">
        <v>3853</v>
      </c>
      <c r="D87" s="43" t="s">
        <v>3854</v>
      </c>
      <c r="E87" s="43" t="s">
        <v>3855</v>
      </c>
      <c r="F87" s="44">
        <v>0.21</v>
      </c>
      <c r="G87" s="67" t="s">
        <v>3856</v>
      </c>
      <c r="H87" s="38" t="str">
        <f>IFERROR(VLOOKUP("21900-000-29",STOCK!$B$6:$Q$3681,3,FALSE),"SIN STOCK")</f>
        <v>Mayor a 5</v>
      </c>
    </row>
    <row r="88" ht="15.75" customHeight="1">
      <c r="A88" s="33" t="s">
        <v>3527</v>
      </c>
      <c r="B88" s="45" t="s">
        <v>3857</v>
      </c>
      <c r="C88" s="197" t="s">
        <v>3858</v>
      </c>
      <c r="D88" s="36" t="s">
        <v>3854</v>
      </c>
      <c r="E88" s="36" t="s">
        <v>3855</v>
      </c>
      <c r="F88" s="206">
        <v>0.21</v>
      </c>
      <c r="G88" s="207" t="s">
        <v>3837</v>
      </c>
      <c r="H88" s="38" t="str">
        <f>IFERROR(VLOOKUP("21770-000-29",STOCK!$B$6:$Q$3681,3,FALSE),"SIN STOCK")</f>
        <v>Mayor a 5</v>
      </c>
    </row>
    <row r="89" ht="15.75" customHeight="1">
      <c r="A89" s="40" t="s">
        <v>3527</v>
      </c>
      <c r="B89" s="41" t="s">
        <v>3859</v>
      </c>
      <c r="C89" s="196" t="s">
        <v>3860</v>
      </c>
      <c r="D89" s="43" t="s">
        <v>3861</v>
      </c>
      <c r="E89" s="43" t="s">
        <v>3862</v>
      </c>
      <c r="F89" s="44">
        <v>0.21</v>
      </c>
      <c r="G89" s="67" t="s">
        <v>3863</v>
      </c>
      <c r="H89" s="38" t="str">
        <f>IFERROR(VLOOKUP("21900-208-29",STOCK!$B$6:$Q$3681,3,FALSE),"SIN STOCK")</f>
        <v>Mayor a 5</v>
      </c>
    </row>
    <row r="90" ht="15.75" customHeight="1">
      <c r="A90" s="33" t="s">
        <v>3527</v>
      </c>
      <c r="B90" s="45" t="s">
        <v>3864</v>
      </c>
      <c r="C90" s="197" t="s">
        <v>3865</v>
      </c>
      <c r="D90" s="36" t="s">
        <v>3866</v>
      </c>
      <c r="E90" s="36" t="s">
        <v>3867</v>
      </c>
      <c r="F90" s="206">
        <v>0.21</v>
      </c>
      <c r="G90" s="207" t="s">
        <v>3863</v>
      </c>
      <c r="H90" s="38" t="str">
        <f>IFERROR(VLOOKUP("21918-000-29",STOCK!$B$6:$Q$3681,3,FALSE),"SIN STOCK")</f>
        <v>Mayor a 5</v>
      </c>
    </row>
    <row r="91" ht="15.75" customHeight="1">
      <c r="A91" s="40" t="s">
        <v>3527</v>
      </c>
      <c r="B91" s="41" t="s">
        <v>3868</v>
      </c>
      <c r="C91" s="196" t="s">
        <v>3869</v>
      </c>
      <c r="D91" s="43" t="s">
        <v>3870</v>
      </c>
      <c r="E91" s="43" t="s">
        <v>3871</v>
      </c>
      <c r="F91" s="44">
        <v>0.21</v>
      </c>
      <c r="G91" s="67" t="s">
        <v>3863</v>
      </c>
      <c r="H91" s="38" t="str">
        <f>IFERROR(VLOOKUP("21920-000-29",STOCK!$B$6:$Q$3681,3,FALSE),"SIN STOCK")</f>
        <v>Mayor a 5</v>
      </c>
    </row>
    <row r="92" ht="15.75" customHeight="1">
      <c r="A92" s="33" t="s">
        <v>3527</v>
      </c>
      <c r="B92" s="45" t="s">
        <v>3872</v>
      </c>
      <c r="C92" s="197" t="s">
        <v>3873</v>
      </c>
      <c r="D92" s="36" t="s">
        <v>3874</v>
      </c>
      <c r="E92" s="36" t="s">
        <v>3875</v>
      </c>
      <c r="F92" s="206">
        <v>0.21</v>
      </c>
      <c r="G92" s="207" t="s">
        <v>3876</v>
      </c>
      <c r="H92" s="38" t="str">
        <f>IFERROR(VLOOKUP("21922-000-25",STOCK!$B$6:$Q$3681,3,FALSE),"SIN STOCK")</f>
        <v>Mayor a 5</v>
      </c>
    </row>
    <row r="93" ht="15.75" customHeight="1">
      <c r="A93" s="40" t="s">
        <v>3527</v>
      </c>
      <c r="B93" s="41" t="s">
        <v>3877</v>
      </c>
      <c r="C93" s="196" t="s">
        <v>3878</v>
      </c>
      <c r="D93" s="43" t="s">
        <v>3879</v>
      </c>
      <c r="E93" s="43" t="s">
        <v>3880</v>
      </c>
      <c r="F93" s="44">
        <v>0.21</v>
      </c>
      <c r="G93" s="67" t="s">
        <v>3881</v>
      </c>
      <c r="H93" s="38" t="str">
        <f>IFERROR(VLOOKUP("21927-000-29",STOCK!$B$6:$Q$3681,3,FALSE),"SIN STOCK")</f>
        <v>Mayor a 5</v>
      </c>
    </row>
    <row r="94" ht="15.75" customHeight="1">
      <c r="A94" s="33" t="s">
        <v>3527</v>
      </c>
      <c r="B94" s="45" t="s">
        <v>3882</v>
      </c>
      <c r="C94" s="197" t="s">
        <v>3883</v>
      </c>
      <c r="D94" s="36" t="s">
        <v>3879</v>
      </c>
      <c r="E94" s="36" t="s">
        <v>3880</v>
      </c>
      <c r="F94" s="206">
        <v>0.21</v>
      </c>
      <c r="G94" s="207" t="s">
        <v>3884</v>
      </c>
      <c r="H94" s="38" t="str">
        <f>IFERROR(VLOOKUP("21950-000-25",STOCK!$B$6:$Q$3681,3,FALSE),"SIN STOCK")</f>
        <v>Mayor a 5</v>
      </c>
    </row>
    <row r="95" ht="15.75" customHeight="1">
      <c r="A95" s="40" t="s">
        <v>3527</v>
      </c>
      <c r="B95" s="41" t="s">
        <v>3885</v>
      </c>
      <c r="C95" s="196" t="s">
        <v>3886</v>
      </c>
      <c r="D95" s="43" t="s">
        <v>3887</v>
      </c>
      <c r="E95" s="43" t="s">
        <v>3888</v>
      </c>
      <c r="F95" s="44">
        <v>0.21</v>
      </c>
      <c r="G95" s="67" t="s">
        <v>3889</v>
      </c>
      <c r="H95" s="38" t="str">
        <f>IFERROR(VLOOKUP("21980-000-29",STOCK!$B$6:$Q$3681,3,FALSE),"SIN STOCK")</f>
        <v>Mayor a 5</v>
      </c>
    </row>
    <row r="96" ht="15.75" customHeight="1">
      <c r="A96" s="33" t="s">
        <v>3527</v>
      </c>
      <c r="B96" s="45" t="s">
        <v>3890</v>
      </c>
      <c r="C96" s="57"/>
      <c r="D96" s="36" t="s">
        <v>2975</v>
      </c>
      <c r="E96" s="58"/>
      <c r="F96" s="203"/>
      <c r="G96" s="70"/>
      <c r="H96" s="38" t="str">
        <f>IFERROR(VLOOKUP("1974501555/00",STOCK!$B$6:$Q$3681,3,FALSE),"SIN STOCK")</f>
        <v>SIN STOCK</v>
      </c>
    </row>
    <row r="97" ht="15.75" customHeight="1">
      <c r="A97" s="40" t="s">
        <v>3527</v>
      </c>
      <c r="B97" s="40" t="s">
        <v>3891</v>
      </c>
      <c r="C97" s="205"/>
      <c r="D97" s="43" t="s">
        <v>2975</v>
      </c>
      <c r="E97" s="155"/>
      <c r="F97" s="212"/>
      <c r="G97" s="205"/>
      <c r="H97" s="38" t="str">
        <f>IFERROR(VLOOKUP("7214/00",STOCK!$B$6:$Q$3681,3,FALSE),"SIN STOCK")</f>
        <v>Menor a 5</v>
      </c>
    </row>
    <row r="98" ht="15.75" customHeight="1">
      <c r="A98" s="28" t="s">
        <v>3892</v>
      </c>
      <c r="C98" s="29"/>
      <c r="D98" s="51"/>
      <c r="E98" s="51"/>
      <c r="F98" s="195"/>
      <c r="G98" s="29"/>
      <c r="H98" s="29"/>
    </row>
    <row r="99" ht="15.75" customHeight="1">
      <c r="A99" s="40" t="s">
        <v>3527</v>
      </c>
      <c r="B99" s="41" t="s">
        <v>3893</v>
      </c>
      <c r="C99" s="157" t="s">
        <v>3894</v>
      </c>
      <c r="D99" s="43" t="s">
        <v>3895</v>
      </c>
      <c r="E99" s="43" t="s">
        <v>3896</v>
      </c>
      <c r="F99" s="44">
        <v>0.21</v>
      </c>
      <c r="G99" s="42" t="s">
        <v>3897</v>
      </c>
      <c r="H99" s="46" t="str">
        <f>IFERROR(VLOOKUP("23723-300-55",STOCK!$B$6:$Q$3681,3,FALSE),"SIN STOCK")</f>
        <v>Menor a 5</v>
      </c>
    </row>
    <row r="100" ht="15.75" customHeight="1">
      <c r="A100" s="40" t="s">
        <v>3527</v>
      </c>
      <c r="B100" s="41" t="s">
        <v>3898</v>
      </c>
      <c r="C100" s="196" t="s">
        <v>3899</v>
      </c>
      <c r="D100" s="43" t="s">
        <v>3900</v>
      </c>
      <c r="E100" s="43" t="s">
        <v>3901</v>
      </c>
      <c r="F100" s="44">
        <v>0.21</v>
      </c>
      <c r="G100" s="42" t="s">
        <v>3902</v>
      </c>
      <c r="H100" s="46" t="str">
        <f>IFERROR(VLOOKUP("14047-000-55",STOCK!$B$6:$Q$3681,3,FALSE),"SIN STOCK")</f>
        <v>Menor a 5</v>
      </c>
    </row>
    <row r="101" ht="15.75" customHeight="1">
      <c r="A101" s="33" t="s">
        <v>3527</v>
      </c>
      <c r="B101" s="45" t="s">
        <v>3903</v>
      </c>
      <c r="C101" s="197" t="s">
        <v>3904</v>
      </c>
      <c r="D101" s="36" t="s">
        <v>3905</v>
      </c>
      <c r="E101" s="36" t="s">
        <v>3906</v>
      </c>
      <c r="F101" s="129">
        <v>0.21</v>
      </c>
      <c r="G101" s="68" t="s">
        <v>3907</v>
      </c>
      <c r="H101" s="46" t="str">
        <f>IFERROR(VLOOKUP("14041-000-00",STOCK!$B$6:$Q$3681,3,FALSE),"SIN STOCK")</f>
        <v>Menor a 5</v>
      </c>
    </row>
    <row r="102" ht="15.75" customHeight="1">
      <c r="A102" s="28" t="s">
        <v>3908</v>
      </c>
      <c r="C102" s="29"/>
      <c r="D102" s="51"/>
      <c r="E102" s="51"/>
      <c r="F102" s="195"/>
      <c r="G102" s="29"/>
      <c r="H102" s="29"/>
    </row>
    <row r="103" ht="15.75" customHeight="1">
      <c r="A103" s="40" t="s">
        <v>3527</v>
      </c>
      <c r="B103" s="41" t="s">
        <v>3909</v>
      </c>
      <c r="C103" s="202" t="s">
        <v>3910</v>
      </c>
      <c r="D103" s="43" t="s">
        <v>3911</v>
      </c>
      <c r="E103" s="43" t="s">
        <v>3912</v>
      </c>
      <c r="F103" s="44">
        <v>0.21</v>
      </c>
      <c r="G103" s="42" t="s">
        <v>3913</v>
      </c>
      <c r="H103" s="49" t="str">
        <f>IFERROR(VLOOKUP("18820-019-91",STOCK!$B$6:$Q$3681,3,FALSE),"SIN STOCK")</f>
        <v>Menor a 5</v>
      </c>
    </row>
    <row r="104" ht="15.75" customHeight="1">
      <c r="A104" s="33" t="s">
        <v>3527</v>
      </c>
      <c r="B104" s="45" t="s">
        <v>3914</v>
      </c>
      <c r="C104" s="197" t="s">
        <v>3915</v>
      </c>
      <c r="D104" s="36" t="s">
        <v>3916</v>
      </c>
      <c r="E104" s="36" t="s">
        <v>3917</v>
      </c>
      <c r="F104" s="129">
        <v>0.21</v>
      </c>
      <c r="G104" s="68" t="s">
        <v>3918</v>
      </c>
      <c r="H104" s="38" t="str">
        <f>IFERROR(VLOOKUP("18811-000-91",STOCK!$B$6:$Q$3681,3,FALSE),"SIN STOCK")</f>
        <v>Mayor a 5</v>
      </c>
    </row>
    <row r="105" ht="15.75" customHeight="1">
      <c r="A105" s="40" t="s">
        <v>3527</v>
      </c>
      <c r="B105" s="41" t="s">
        <v>3919</v>
      </c>
      <c r="C105" s="196" t="s">
        <v>3920</v>
      </c>
      <c r="D105" s="43" t="s">
        <v>3921</v>
      </c>
      <c r="E105" s="43" t="s">
        <v>3922</v>
      </c>
      <c r="F105" s="44">
        <v>0.21</v>
      </c>
      <c r="G105" s="42" t="s">
        <v>3923</v>
      </c>
      <c r="H105" s="38" t="str">
        <f>IFERROR(VLOOKUP("18822-019-91",STOCK!$B$6:$Q$3681,3,FALSE),"SIN STOCK")</f>
        <v>Mayor a 5</v>
      </c>
    </row>
    <row r="106" ht="15.75" customHeight="1">
      <c r="A106" s="28" t="s">
        <v>3924</v>
      </c>
      <c r="C106" s="29"/>
      <c r="D106" s="51"/>
      <c r="E106" s="51"/>
      <c r="F106" s="195"/>
      <c r="G106" s="29"/>
      <c r="H106" s="29"/>
    </row>
    <row r="107" ht="15.75" customHeight="1">
      <c r="A107" s="40" t="s">
        <v>3527</v>
      </c>
      <c r="B107" s="41" t="s">
        <v>3925</v>
      </c>
      <c r="C107" s="202" t="s">
        <v>3926</v>
      </c>
      <c r="D107" s="43" t="s">
        <v>3911</v>
      </c>
      <c r="E107" s="43" t="s">
        <v>3912</v>
      </c>
      <c r="F107" s="44">
        <v>0.21</v>
      </c>
      <c r="G107" s="42" t="s">
        <v>3913</v>
      </c>
      <c r="H107" s="49" t="str">
        <f>IFERROR(VLOOKUP("18820-019-76",STOCK!$B$6:$Q$3681,3,FALSE),"SIN STOCK")</f>
        <v>Menor a 5</v>
      </c>
    </row>
    <row r="108" ht="15.75" customHeight="1">
      <c r="A108" s="33" t="s">
        <v>3527</v>
      </c>
      <c r="B108" s="45" t="s">
        <v>3927</v>
      </c>
      <c r="C108" s="197" t="s">
        <v>3928</v>
      </c>
      <c r="D108" s="36" t="s">
        <v>3916</v>
      </c>
      <c r="E108" s="36" t="s">
        <v>3917</v>
      </c>
      <c r="F108" s="129">
        <v>0.21</v>
      </c>
      <c r="G108" s="68" t="s">
        <v>3918</v>
      </c>
      <c r="H108" s="38" t="str">
        <f>IFERROR(VLOOKUP("18811-000-76",STOCK!$B$6:$Q$3681,3,FALSE),"SIN STOCK")</f>
        <v>Mayor a 5</v>
      </c>
    </row>
    <row r="109" ht="15.75" customHeight="1">
      <c r="A109" s="40" t="s">
        <v>3527</v>
      </c>
      <c r="B109" s="41" t="s">
        <v>3929</v>
      </c>
      <c r="C109" s="202" t="s">
        <v>3930</v>
      </c>
      <c r="D109" s="43" t="s">
        <v>3921</v>
      </c>
      <c r="E109" s="43" t="s">
        <v>3922</v>
      </c>
      <c r="F109" s="44">
        <v>0.21</v>
      </c>
      <c r="G109" s="42" t="s">
        <v>3923</v>
      </c>
      <c r="H109" s="38" t="str">
        <f>IFERROR(VLOOKUP("18822-019-76",STOCK!$B$6:$Q$3681,3,FALSE),"SIN STOCK")</f>
        <v>Mayor a 5</v>
      </c>
    </row>
    <row r="110" ht="15.75" customHeight="1">
      <c r="A110" s="28" t="s">
        <v>3931</v>
      </c>
      <c r="C110" s="29"/>
      <c r="D110" s="51"/>
      <c r="E110" s="51"/>
      <c r="F110" s="195"/>
      <c r="G110" s="29"/>
      <c r="H110" s="29"/>
    </row>
    <row r="111" ht="15.75" customHeight="1">
      <c r="A111" s="40" t="s">
        <v>3527</v>
      </c>
      <c r="B111" s="41" t="s">
        <v>3932</v>
      </c>
      <c r="C111" s="202" t="s">
        <v>3933</v>
      </c>
      <c r="D111" s="43" t="s">
        <v>3934</v>
      </c>
      <c r="E111" s="43" t="s">
        <v>3935</v>
      </c>
      <c r="F111" s="44">
        <v>0.21</v>
      </c>
      <c r="G111" s="42" t="s">
        <v>3913</v>
      </c>
      <c r="H111" s="49" t="str">
        <f>IFERROR(VLOOKUP("18820-019-55",STOCK!$B$6:$Q$3681,3,FALSE),"SIN STOCK")</f>
        <v>Menor a 5</v>
      </c>
    </row>
    <row r="112" ht="15.75" customHeight="1">
      <c r="A112" s="33" t="s">
        <v>3527</v>
      </c>
      <c r="B112" s="45" t="s">
        <v>3936</v>
      </c>
      <c r="C112" s="197" t="s">
        <v>3937</v>
      </c>
      <c r="D112" s="36" t="s">
        <v>3938</v>
      </c>
      <c r="E112" s="36" t="s">
        <v>3939</v>
      </c>
      <c r="F112" s="129">
        <v>0.21</v>
      </c>
      <c r="G112" s="68" t="s">
        <v>3918</v>
      </c>
      <c r="H112" s="38" t="str">
        <f>IFERROR(VLOOKUP("18811-000-55",STOCK!$B$6:$Q$3681,3,FALSE),"SIN STOCK")</f>
        <v>Mayor a 5</v>
      </c>
    </row>
    <row r="113" ht="15.75" customHeight="1">
      <c r="A113" s="40" t="s">
        <v>3527</v>
      </c>
      <c r="B113" s="41" t="s">
        <v>3940</v>
      </c>
      <c r="C113" s="202" t="s">
        <v>3941</v>
      </c>
      <c r="D113" s="43" t="s">
        <v>3942</v>
      </c>
      <c r="E113" s="43" t="s">
        <v>3943</v>
      </c>
      <c r="F113" s="44">
        <v>0.21</v>
      </c>
      <c r="G113" s="42" t="s">
        <v>3923</v>
      </c>
      <c r="H113" s="38" t="str">
        <f>IFERROR(VLOOKUP("18822-019-55",STOCK!$B$6:$Q$3681,3,FALSE),"SIN STOCK")</f>
        <v>Mayor a 5</v>
      </c>
    </row>
    <row r="114" ht="15.75" customHeight="1">
      <c r="A114" s="33" t="s">
        <v>3527</v>
      </c>
      <c r="B114" s="45" t="s">
        <v>3944</v>
      </c>
      <c r="C114" s="197" t="s">
        <v>3945</v>
      </c>
      <c r="D114" s="36" t="s">
        <v>3946</v>
      </c>
      <c r="E114" s="36" t="s">
        <v>3947</v>
      </c>
      <c r="F114" s="129">
        <v>0.21</v>
      </c>
      <c r="G114" s="68" t="s">
        <v>3948</v>
      </c>
      <c r="H114" s="38" t="str">
        <f>IFERROR(VLOOKUP("18814-022-55",STOCK!$B$6:$Q$3681,3,FALSE),"SIN STOCK")</f>
        <v>Mayor a 5</v>
      </c>
    </row>
    <row r="115" ht="15.75" customHeight="1">
      <c r="A115" s="40" t="s">
        <v>3527</v>
      </c>
      <c r="B115" s="41" t="s">
        <v>3949</v>
      </c>
      <c r="C115" s="202" t="s">
        <v>3950</v>
      </c>
      <c r="D115" s="43" t="s">
        <v>3951</v>
      </c>
      <c r="E115" s="43" t="s">
        <v>3952</v>
      </c>
      <c r="F115" s="44">
        <v>0.21</v>
      </c>
      <c r="G115" s="42" t="s">
        <v>3953</v>
      </c>
      <c r="H115" s="38" t="str">
        <f>IFERROR(VLOOKUP("18817-000-55",STOCK!$B$6:$Q$3681,3,FALSE),"SIN STOCK")</f>
        <v>Mayor a 5</v>
      </c>
    </row>
    <row r="116" ht="15.75" customHeight="1">
      <c r="A116" s="33" t="s">
        <v>3527</v>
      </c>
      <c r="B116" s="45" t="s">
        <v>3954</v>
      </c>
      <c r="C116" s="197" t="s">
        <v>3955</v>
      </c>
      <c r="D116" s="36" t="s">
        <v>3849</v>
      </c>
      <c r="E116" s="36" t="s">
        <v>3850</v>
      </c>
      <c r="F116" s="129">
        <v>0.21</v>
      </c>
      <c r="G116" s="68" t="s">
        <v>3956</v>
      </c>
      <c r="H116" s="38" t="str">
        <f>IFERROR(VLOOKUP("18809-000-55",STOCK!$B$6:$Q$3681,3,FALSE),"SIN STOCK")</f>
        <v>Mayor a 5</v>
      </c>
    </row>
    <row r="117" ht="15.75" customHeight="1">
      <c r="A117" s="40" t="s">
        <v>3527</v>
      </c>
      <c r="B117" s="41" t="s">
        <v>3957</v>
      </c>
      <c r="C117" s="202" t="s">
        <v>3958</v>
      </c>
      <c r="D117" s="43" t="s">
        <v>3959</v>
      </c>
      <c r="E117" s="43" t="s">
        <v>3960</v>
      </c>
      <c r="F117" s="44">
        <v>0.21</v>
      </c>
      <c r="G117" s="42" t="s">
        <v>3961</v>
      </c>
      <c r="H117" s="38" t="str">
        <f>IFERROR(VLOOKUP("18815-018-55",STOCK!$B$6:$Q$3681,3,FALSE),"SIN STOCK")</f>
        <v>Mayor a 5</v>
      </c>
    </row>
    <row r="118" ht="15.75" customHeight="1">
      <c r="A118" s="33" t="s">
        <v>3527</v>
      </c>
      <c r="B118" s="45" t="s">
        <v>3962</v>
      </c>
      <c r="C118" s="197" t="s">
        <v>3963</v>
      </c>
      <c r="D118" s="36" t="s">
        <v>3964</v>
      </c>
      <c r="E118" s="36" t="s">
        <v>3965</v>
      </c>
      <c r="F118" s="129">
        <v>0.21</v>
      </c>
      <c r="G118" s="68" t="s">
        <v>3966</v>
      </c>
      <c r="H118" s="38" t="str">
        <f>IFERROR(VLOOKUP("18807-000-55",STOCK!$B$6:$Q$3681,3,FALSE),"SIN STOCK")</f>
        <v>Mayor a 5</v>
      </c>
    </row>
    <row r="119" ht="15.75" customHeight="1">
      <c r="A119" s="28" t="s">
        <v>3967</v>
      </c>
      <c r="C119" s="29"/>
      <c r="D119" s="51"/>
      <c r="E119" s="51"/>
      <c r="F119" s="195"/>
      <c r="G119" s="29"/>
      <c r="H119" s="29"/>
    </row>
    <row r="120" ht="15.75" customHeight="1">
      <c r="A120" s="33" t="s">
        <v>3527</v>
      </c>
      <c r="B120" s="45" t="s">
        <v>3968</v>
      </c>
      <c r="C120" s="209" t="s">
        <v>3969</v>
      </c>
      <c r="D120" s="36" t="s">
        <v>3554</v>
      </c>
      <c r="E120" s="36" t="s">
        <v>3555</v>
      </c>
      <c r="F120" s="129">
        <v>0.21</v>
      </c>
      <c r="G120" s="68" t="s">
        <v>3970</v>
      </c>
      <c r="H120" s="38" t="str">
        <f>IFERROR(VLOOKUP("19715-300-55",STOCK!$B$6:$Q$3681,3,FALSE),"SIN STOCK")</f>
        <v>Mayor a 5</v>
      </c>
    </row>
    <row r="121" ht="15.75" customHeight="1">
      <c r="A121" s="40" t="s">
        <v>3527</v>
      </c>
      <c r="B121" s="41" t="s">
        <v>3971</v>
      </c>
      <c r="C121" s="196" t="s">
        <v>3972</v>
      </c>
      <c r="D121" s="43" t="s">
        <v>3973</v>
      </c>
      <c r="E121" s="43" t="s">
        <v>3974</v>
      </c>
      <c r="F121" s="44">
        <v>0.21</v>
      </c>
      <c r="G121" s="42" t="s">
        <v>3975</v>
      </c>
      <c r="H121" s="38" t="str">
        <f>IFERROR(VLOOKUP("21406-000-55",STOCK!$B$6:$Q$3681,3,FALSE),"SIN STOCK")</f>
        <v>Menor a 5</v>
      </c>
    </row>
    <row r="122" ht="15.75" customHeight="1">
      <c r="A122" s="33" t="s">
        <v>3527</v>
      </c>
      <c r="B122" s="45" t="s">
        <v>3976</v>
      </c>
      <c r="C122" s="209" t="s">
        <v>3977</v>
      </c>
      <c r="D122" s="36" t="s">
        <v>3978</v>
      </c>
      <c r="E122" s="36" t="s">
        <v>3979</v>
      </c>
      <c r="F122" s="129">
        <v>0.21</v>
      </c>
      <c r="G122" s="68" t="s">
        <v>3980</v>
      </c>
      <c r="H122" s="38" t="str">
        <f>IFERROR(VLOOKUP("20150-500-55",STOCK!$B$6:$Q$3681,3,FALSE),"SIN STOCK")</f>
        <v>Menor a 5</v>
      </c>
    </row>
    <row r="123" ht="15.75" customHeight="1">
      <c r="A123" s="40" t="s">
        <v>3527</v>
      </c>
      <c r="B123" s="41" t="s">
        <v>3981</v>
      </c>
      <c r="C123" s="196" t="s">
        <v>3982</v>
      </c>
      <c r="D123" s="43" t="s">
        <v>3983</v>
      </c>
      <c r="E123" s="43" t="s">
        <v>3984</v>
      </c>
      <c r="F123" s="44">
        <v>0.21</v>
      </c>
      <c r="G123" s="42" t="s">
        <v>3985</v>
      </c>
      <c r="H123" s="38" t="str">
        <f>IFERROR(VLOOKUP("24350-000-55",STOCK!$B$6:$Q$3681,3,FALSE),"SIN STOCK")</f>
        <v>Menor a 5</v>
      </c>
    </row>
    <row r="124" ht="15.75" customHeight="1">
      <c r="A124" s="33" t="s">
        <v>3527</v>
      </c>
      <c r="B124" s="45" t="s">
        <v>3986</v>
      </c>
      <c r="C124" s="209" t="s">
        <v>3987</v>
      </c>
      <c r="D124" s="36" t="s">
        <v>3988</v>
      </c>
      <c r="E124" s="36" t="s">
        <v>3989</v>
      </c>
      <c r="F124" s="129">
        <v>0.21</v>
      </c>
      <c r="G124" s="68" t="s">
        <v>3990</v>
      </c>
      <c r="H124" s="38" t="str">
        <f>IFERROR(VLOOKUP("85070-000-55",STOCK!$B$6:$Q$3681,3,FALSE),"SIN STOCK")</f>
        <v>Mayor a 5</v>
      </c>
    </row>
    <row r="125" ht="15.75" customHeight="1">
      <c r="A125" s="40" t="s">
        <v>3527</v>
      </c>
      <c r="B125" s="41" t="s">
        <v>3991</v>
      </c>
      <c r="C125" s="196" t="s">
        <v>3992</v>
      </c>
      <c r="D125" s="43" t="s">
        <v>3993</v>
      </c>
      <c r="E125" s="43" t="s">
        <v>3994</v>
      </c>
      <c r="F125" s="44">
        <v>0.21</v>
      </c>
      <c r="G125" s="42" t="s">
        <v>3995</v>
      </c>
      <c r="H125" s="49" t="str">
        <f>IFERROR(VLOOKUP("20800-509-55",STOCK!$B$6:$Q$3681,3,FALSE),"SIN STOCK")</f>
        <v>Menor a 5</v>
      </c>
    </row>
    <row r="126" ht="15.75" customHeight="1">
      <c r="A126" s="28" t="s">
        <v>3996</v>
      </c>
      <c r="C126" s="29"/>
      <c r="D126" s="51"/>
      <c r="E126" s="51"/>
      <c r="F126" s="195"/>
      <c r="G126" s="29"/>
      <c r="H126" s="29"/>
    </row>
    <row r="127" ht="15.75" customHeight="1">
      <c r="A127" s="33" t="s">
        <v>3527</v>
      </c>
      <c r="B127" s="45" t="s">
        <v>3997</v>
      </c>
      <c r="C127" s="209" t="s">
        <v>3998</v>
      </c>
      <c r="D127" s="36" t="s">
        <v>3999</v>
      </c>
      <c r="E127" s="36" t="s">
        <v>4000</v>
      </c>
      <c r="F127" s="129">
        <v>0.21</v>
      </c>
      <c r="G127" s="68" t="s">
        <v>4001</v>
      </c>
      <c r="H127" s="38" t="str">
        <f>IFERROR(VLOOKUP("24169-000-55",STOCK!$B$6:$Q$3681,3,FALSE),"SIN STOCK")</f>
        <v>Mayor a 5</v>
      </c>
    </row>
    <row r="128" ht="15.75" customHeight="1">
      <c r="A128" s="40" t="s">
        <v>3527</v>
      </c>
      <c r="B128" s="41" t="s">
        <v>4002</v>
      </c>
      <c r="C128" s="202" t="s">
        <v>4003</v>
      </c>
      <c r="D128" s="43" t="s">
        <v>4004</v>
      </c>
      <c r="E128" s="43" t="s">
        <v>4005</v>
      </c>
      <c r="F128" s="44">
        <v>0.21</v>
      </c>
      <c r="G128" s="42" t="s">
        <v>4006</v>
      </c>
      <c r="H128" s="38" t="str">
        <f>IFERROR(VLOOKUP("24463-000-57",STOCK!$B$6:$Q$3681,3,FALSE),"SIN STOCK")</f>
        <v>Mayor a 5</v>
      </c>
    </row>
    <row r="129" ht="15.75" customHeight="1">
      <c r="A129" s="33" t="s">
        <v>3527</v>
      </c>
      <c r="B129" s="45" t="s">
        <v>4007</v>
      </c>
      <c r="C129" s="209" t="s">
        <v>4008</v>
      </c>
      <c r="D129" s="36" t="s">
        <v>4009</v>
      </c>
      <c r="E129" s="36" t="s">
        <v>4010</v>
      </c>
      <c r="F129" s="129">
        <v>0.21</v>
      </c>
      <c r="G129" s="68" t="s">
        <v>4006</v>
      </c>
      <c r="H129" s="38" t="str">
        <f>IFERROR(VLOOKUP("24463-000-55",STOCK!$B$6:$Q$3681,3,FALSE),"SIN STOCK")</f>
        <v>Mayor a 5</v>
      </c>
    </row>
    <row r="130" ht="15.75" customHeight="1">
      <c r="A130" s="28" t="s">
        <v>4011</v>
      </c>
      <c r="C130" s="29"/>
      <c r="D130" s="51"/>
      <c r="E130" s="51"/>
      <c r="F130" s="195"/>
      <c r="G130" s="29"/>
      <c r="H130" s="29"/>
    </row>
    <row r="131" ht="15.75" customHeight="1">
      <c r="A131" s="40" t="s">
        <v>3527</v>
      </c>
      <c r="B131" s="41" t="s">
        <v>4012</v>
      </c>
      <c r="C131" s="202" t="s">
        <v>4013</v>
      </c>
      <c r="D131" s="43" t="s">
        <v>4014</v>
      </c>
      <c r="E131" s="43" t="s">
        <v>4015</v>
      </c>
      <c r="F131" s="44">
        <v>0.21</v>
      </c>
      <c r="G131" s="42" t="s">
        <v>4016</v>
      </c>
      <c r="H131" s="49" t="str">
        <f>IFERROR(VLOOKUP("21393-070-55",STOCK!$B$6:$Q$3681,3,FALSE),"SIN STOCK")</f>
        <v>Menor a 5</v>
      </c>
    </row>
    <row r="132" ht="15.75" customHeight="1">
      <c r="A132" s="33" t="s">
        <v>3527</v>
      </c>
      <c r="B132" s="45" t="s">
        <v>4017</v>
      </c>
      <c r="C132" s="209" t="s">
        <v>4018</v>
      </c>
      <c r="D132" s="36" t="s">
        <v>4019</v>
      </c>
      <c r="E132" s="36" t="s">
        <v>4020</v>
      </c>
      <c r="F132" s="129">
        <v>0.21</v>
      </c>
      <c r="G132" s="68" t="s">
        <v>4021</v>
      </c>
      <c r="H132" s="49" t="str">
        <f>IFERROR(VLOOKUP("21390-000-55",STOCK!$B$6:$Q$3681,3,FALSE),"SIN STOCK")</f>
        <v>Menor a 5</v>
      </c>
    </row>
    <row r="133" ht="15.75" customHeight="1">
      <c r="A133" s="40" t="s">
        <v>3527</v>
      </c>
      <c r="B133" s="41" t="s">
        <v>4022</v>
      </c>
      <c r="C133" s="213" t="s">
        <v>4023</v>
      </c>
      <c r="D133" s="43" t="s">
        <v>3640</v>
      </c>
      <c r="E133" s="43" t="s">
        <v>3641</v>
      </c>
      <c r="F133" s="44">
        <v>0.21</v>
      </c>
      <c r="G133" s="42" t="s">
        <v>4024</v>
      </c>
      <c r="H133" s="49" t="str">
        <f>IFERROR(VLOOKUP("21394-000-55",STOCK!$B$6:$Q$3681,3,FALSE),"SIN STOCK")</f>
        <v>Menor a 5</v>
      </c>
    </row>
    <row r="134" ht="15.75" customHeight="1">
      <c r="A134" s="28" t="s">
        <v>4025</v>
      </c>
      <c r="C134" s="29"/>
      <c r="D134" s="51"/>
      <c r="E134" s="51"/>
      <c r="F134" s="195"/>
      <c r="G134" s="29"/>
      <c r="H134" s="29"/>
    </row>
    <row r="135" ht="15.75" customHeight="1">
      <c r="A135" s="40" t="s">
        <v>3527</v>
      </c>
      <c r="B135" s="41" t="s">
        <v>4026</v>
      </c>
      <c r="C135" s="199" t="s">
        <v>4027</v>
      </c>
      <c r="D135" s="43" t="s">
        <v>4028</v>
      </c>
      <c r="E135" s="43" t="s">
        <v>4029</v>
      </c>
      <c r="F135" s="44">
        <v>0.21</v>
      </c>
      <c r="G135" s="42" t="s">
        <v>3745</v>
      </c>
      <c r="H135" s="38" t="str">
        <f>IFERROR(VLOOKUP("26007-519-55",STOCK!$B$6:$Q$3681,3,FALSE),"SIN STOCK")</f>
        <v>Menor a 5</v>
      </c>
    </row>
    <row r="136" ht="15.75" customHeight="1">
      <c r="A136" s="33" t="s">
        <v>3527</v>
      </c>
      <c r="B136" s="45" t="s">
        <v>4030</v>
      </c>
      <c r="C136" s="214" t="s">
        <v>4031</v>
      </c>
      <c r="D136" s="36" t="s">
        <v>4032</v>
      </c>
      <c r="E136" s="36" t="s">
        <v>4033</v>
      </c>
      <c r="F136" s="129">
        <v>0.21</v>
      </c>
      <c r="G136" s="68" t="s">
        <v>4034</v>
      </c>
      <c r="H136" s="49" t="str">
        <f>IFERROR(VLOOKUP("26700-000-56",STOCK!$B$6:$Q$3681,3,FALSE),"SIN STOCK")</f>
        <v>Menor a 5</v>
      </c>
    </row>
    <row r="137" ht="15.75" customHeight="1">
      <c r="A137" s="40" t="s">
        <v>3527</v>
      </c>
      <c r="B137" s="41" t="s">
        <v>4035</v>
      </c>
      <c r="C137" s="199" t="s">
        <v>4036</v>
      </c>
      <c r="D137" s="43" t="s">
        <v>4037</v>
      </c>
      <c r="E137" s="43" t="s">
        <v>4038</v>
      </c>
      <c r="F137" s="44">
        <v>0.21</v>
      </c>
      <c r="G137" s="42" t="s">
        <v>4039</v>
      </c>
      <c r="H137" s="49" t="str">
        <f>IFERROR(VLOOKUP("26009-000-56",STOCK!$B$6:$Q$3681,3,FALSE),"SIN STOCK")</f>
        <v>Menor a 5</v>
      </c>
    </row>
    <row r="138" ht="15.75" customHeight="1">
      <c r="A138" s="33" t="s">
        <v>3527</v>
      </c>
      <c r="B138" s="200" t="s">
        <v>4040</v>
      </c>
      <c r="C138" s="209" t="s">
        <v>4041</v>
      </c>
      <c r="D138" s="36" t="s">
        <v>4042</v>
      </c>
      <c r="E138" s="36" t="s">
        <v>4043</v>
      </c>
      <c r="F138" s="129">
        <v>0.21</v>
      </c>
      <c r="G138" s="68" t="s">
        <v>4044</v>
      </c>
      <c r="H138" s="38" t="str">
        <f>IFERROR(VLOOKUP("26706-000-56",STOCK!$B$6:$Q$3681,3,FALSE),"SIN STOCK")</f>
        <v>Menor a 5</v>
      </c>
    </row>
    <row r="139" ht="15.75" customHeight="1">
      <c r="A139" s="40" t="s">
        <v>3527</v>
      </c>
      <c r="B139" s="52" t="s">
        <v>4045</v>
      </c>
      <c r="C139" s="202" t="s">
        <v>4046</v>
      </c>
      <c r="D139" s="43" t="s">
        <v>4047</v>
      </c>
      <c r="E139" s="43" t="s">
        <v>4048</v>
      </c>
      <c r="F139" s="44">
        <v>0.21</v>
      </c>
      <c r="G139" s="42" t="s">
        <v>4049</v>
      </c>
      <c r="H139" s="38" t="str">
        <f>IFERROR(VLOOKUP("23560-500-55",STOCK!$B$6:$Q$3681,3,FALSE),"SIN STOCK")</f>
        <v>Mayor a 5</v>
      </c>
    </row>
    <row r="140" ht="15.75" customHeight="1">
      <c r="A140" s="28" t="s">
        <v>4050</v>
      </c>
      <c r="C140" s="29"/>
      <c r="D140" s="51"/>
      <c r="E140" s="51"/>
      <c r="F140" s="195"/>
      <c r="G140" s="29"/>
      <c r="H140" s="29"/>
    </row>
    <row r="141" ht="15.75" customHeight="1">
      <c r="A141" s="40" t="s">
        <v>3527</v>
      </c>
      <c r="B141" s="41" t="s">
        <v>4051</v>
      </c>
      <c r="C141" s="202" t="s">
        <v>4052</v>
      </c>
      <c r="D141" s="43" t="s">
        <v>4053</v>
      </c>
      <c r="E141" s="43" t="s">
        <v>3983</v>
      </c>
      <c r="F141" s="44">
        <v>0.21</v>
      </c>
      <c r="G141" s="42" t="s">
        <v>4054</v>
      </c>
      <c r="H141" s="38" t="str">
        <f>IFERROR(VLOOKUP("11505-000-55",STOCK!$B$6:$Q$3681,3,FALSE),"SIN STOCK")</f>
        <v>Mayor a 5</v>
      </c>
    </row>
    <row r="142" ht="15.75" customHeight="1">
      <c r="A142" s="33" t="s">
        <v>3527</v>
      </c>
      <c r="B142" s="45" t="s">
        <v>4055</v>
      </c>
      <c r="C142" s="209" t="s">
        <v>4056</v>
      </c>
      <c r="D142" s="36" t="s">
        <v>4057</v>
      </c>
      <c r="E142" s="36" t="s">
        <v>4058</v>
      </c>
      <c r="F142" s="129">
        <v>0.21</v>
      </c>
      <c r="G142" s="68" t="s">
        <v>4059</v>
      </c>
      <c r="H142" s="49" t="str">
        <f>IFERROR(VLOOKUP("14087-000-55",STOCK!$B$6:$Q$3681,3,FALSE),"SIN STOCK")</f>
        <v>Menor a 5</v>
      </c>
    </row>
    <row r="143" ht="15.75" customHeight="1">
      <c r="A143" s="40" t="s">
        <v>3527</v>
      </c>
      <c r="B143" s="41" t="s">
        <v>4060</v>
      </c>
      <c r="C143" s="202" t="s">
        <v>4061</v>
      </c>
      <c r="D143" s="43" t="s">
        <v>4062</v>
      </c>
      <c r="E143" s="43" t="s">
        <v>4063</v>
      </c>
      <c r="F143" s="44">
        <v>0.21</v>
      </c>
      <c r="G143" s="42" t="s">
        <v>4064</v>
      </c>
      <c r="H143" s="38" t="str">
        <f>IFERROR(VLOOKUP("21100-500-55",STOCK!$B$6:$Q$3681,3,FALSE),"SIN STOCK")</f>
        <v>Menor a 5</v>
      </c>
    </row>
    <row r="144" ht="15.75" customHeight="1">
      <c r="A144" s="33" t="s">
        <v>3527</v>
      </c>
      <c r="B144" s="45" t="s">
        <v>4065</v>
      </c>
      <c r="C144" s="209" t="s">
        <v>4066</v>
      </c>
      <c r="D144" s="36" t="s">
        <v>4067</v>
      </c>
      <c r="E144" s="36" t="s">
        <v>4068</v>
      </c>
      <c r="F144" s="129">
        <v>0.21</v>
      </c>
      <c r="G144" s="68" t="s">
        <v>4069</v>
      </c>
      <c r="H144" s="49" t="str">
        <f>IFERROR(VLOOKUP("42040-000-55",STOCK!$B$6:$Q$3681,3,FALSE),"SIN STOCK")</f>
        <v>Menor a 5</v>
      </c>
    </row>
    <row r="145" ht="15.75" customHeight="1">
      <c r="A145" s="33"/>
      <c r="B145" s="45"/>
      <c r="C145" s="214"/>
      <c r="D145" s="215"/>
      <c r="E145" s="215"/>
      <c r="F145" s="215"/>
      <c r="G145" s="215"/>
      <c r="H145" s="215"/>
    </row>
    <row r="146" ht="15.75" customHeight="1">
      <c r="A146" s="33"/>
      <c r="B146" s="45"/>
      <c r="C146" s="214"/>
      <c r="D146" s="215"/>
      <c r="E146" s="215"/>
      <c r="F146" s="215"/>
      <c r="G146" s="215"/>
      <c r="H146" s="215"/>
    </row>
    <row r="147" ht="15.75" customHeight="1">
      <c r="A147" s="33"/>
      <c r="B147" s="45"/>
      <c r="C147" s="214"/>
      <c r="D147" s="215"/>
      <c r="E147" s="215"/>
      <c r="F147" s="215"/>
      <c r="G147" s="215"/>
      <c r="H147" s="215"/>
    </row>
    <row r="148" ht="15.75" customHeight="1">
      <c r="A148" s="33"/>
      <c r="B148" s="45"/>
      <c r="C148" s="214"/>
      <c r="D148" s="215"/>
      <c r="E148" s="215"/>
      <c r="F148" s="215"/>
      <c r="G148" s="215"/>
      <c r="H148" s="215"/>
    </row>
    <row r="149" ht="15.75" customHeight="1">
      <c r="A149" s="33"/>
      <c r="B149" s="45"/>
      <c r="C149" s="214"/>
      <c r="D149" s="215"/>
      <c r="E149" s="215"/>
      <c r="F149" s="215"/>
      <c r="G149" s="215"/>
      <c r="H149" s="215"/>
    </row>
    <row r="150" ht="15.75" customHeight="1">
      <c r="A150" s="33"/>
      <c r="B150" s="45"/>
      <c r="C150" s="214"/>
      <c r="D150" s="215"/>
      <c r="E150" s="215"/>
      <c r="F150" s="215"/>
      <c r="G150" s="215"/>
      <c r="H150" s="215"/>
    </row>
    <row r="151" ht="15.75" customHeight="1">
      <c r="A151" s="33"/>
      <c r="B151" s="45"/>
      <c r="C151" s="214"/>
      <c r="D151" s="215"/>
      <c r="E151" s="215"/>
      <c r="F151" s="215"/>
      <c r="G151" s="215"/>
      <c r="H151" s="215"/>
    </row>
    <row r="152" ht="15.75" customHeight="1">
      <c r="A152" s="33"/>
      <c r="B152" s="45"/>
      <c r="C152" s="214"/>
      <c r="D152" s="215"/>
      <c r="E152" s="215"/>
      <c r="F152" s="215"/>
      <c r="G152" s="215"/>
      <c r="H152" s="215"/>
    </row>
    <row r="153" ht="15.75" customHeight="1">
      <c r="A153" s="33"/>
      <c r="B153" s="45"/>
      <c r="C153" s="214"/>
      <c r="D153" s="215"/>
      <c r="E153" s="215"/>
      <c r="F153" s="215"/>
      <c r="G153" s="215"/>
      <c r="H153" s="215"/>
    </row>
    <row r="154" ht="15.75" customHeight="1">
      <c r="A154" s="33"/>
      <c r="B154" s="45"/>
      <c r="C154" s="214"/>
      <c r="D154" s="215"/>
      <c r="E154" s="215"/>
      <c r="F154" s="215"/>
      <c r="G154" s="215"/>
      <c r="H154" s="215"/>
    </row>
    <row r="155" ht="15.75" customHeight="1">
      <c r="A155" s="33"/>
      <c r="B155" s="45"/>
      <c r="C155" s="214"/>
      <c r="D155" s="215"/>
      <c r="E155" s="215"/>
      <c r="F155" s="215"/>
      <c r="G155" s="215"/>
      <c r="H155" s="215"/>
    </row>
    <row r="156" ht="15.75" customHeight="1">
      <c r="A156" s="33"/>
      <c r="B156" s="45"/>
      <c r="C156" s="214"/>
      <c r="D156" s="215"/>
      <c r="E156" s="215"/>
      <c r="F156" s="215"/>
      <c r="G156" s="215"/>
      <c r="H156" s="215"/>
    </row>
    <row r="157" ht="15.75" customHeight="1">
      <c r="A157" s="33"/>
      <c r="B157" s="45"/>
      <c r="C157" s="214"/>
      <c r="D157" s="215"/>
      <c r="E157" s="215"/>
      <c r="F157" s="215"/>
      <c r="G157" s="215"/>
      <c r="H157" s="215"/>
    </row>
    <row r="158" ht="15.75" customHeight="1">
      <c r="A158" s="33"/>
      <c r="B158" s="45"/>
      <c r="C158" s="214"/>
      <c r="D158" s="215"/>
      <c r="E158" s="215"/>
      <c r="F158" s="215"/>
      <c r="G158" s="215"/>
      <c r="H158" s="215"/>
    </row>
    <row r="159" ht="15.75" customHeight="1">
      <c r="A159" s="33"/>
      <c r="B159" s="45"/>
      <c r="C159" s="214"/>
      <c r="D159" s="215"/>
      <c r="E159" s="215"/>
      <c r="F159" s="215"/>
      <c r="G159" s="215"/>
      <c r="H159" s="215"/>
    </row>
    <row r="160" ht="15.75" customHeight="1">
      <c r="A160" s="33"/>
      <c r="B160" s="45"/>
      <c r="C160" s="214"/>
      <c r="D160" s="215"/>
      <c r="E160" s="215"/>
      <c r="F160" s="215"/>
      <c r="G160" s="215"/>
      <c r="H160" s="215"/>
    </row>
    <row r="161" ht="15.75" customHeight="1">
      <c r="A161" s="33"/>
      <c r="B161" s="45"/>
      <c r="C161" s="214"/>
      <c r="D161" s="215"/>
      <c r="E161" s="215"/>
      <c r="F161" s="215"/>
      <c r="G161" s="215"/>
      <c r="H161" s="215"/>
    </row>
    <row r="162" ht="15.75" customHeight="1">
      <c r="A162" s="33"/>
      <c r="B162" s="45"/>
      <c r="C162" s="214"/>
      <c r="D162" s="215"/>
      <c r="E162" s="215"/>
      <c r="F162" s="215"/>
      <c r="G162" s="215"/>
      <c r="H162" s="215"/>
    </row>
    <row r="163" ht="15.75" customHeight="1">
      <c r="A163" s="33"/>
      <c r="B163" s="45"/>
      <c r="C163" s="214"/>
      <c r="D163" s="215"/>
      <c r="E163" s="215"/>
      <c r="F163" s="215"/>
      <c r="G163" s="215"/>
      <c r="H163" s="215"/>
    </row>
    <row r="164" ht="15.75" customHeight="1">
      <c r="A164" s="33"/>
      <c r="B164" s="45"/>
      <c r="C164" s="214"/>
      <c r="D164" s="215"/>
      <c r="E164" s="215"/>
      <c r="F164" s="215"/>
      <c r="G164" s="215"/>
      <c r="H164" s="215"/>
    </row>
    <row r="165" ht="15.75" customHeight="1">
      <c r="A165" s="33"/>
      <c r="B165" s="45"/>
      <c r="C165" s="214"/>
      <c r="D165" s="215"/>
      <c r="E165" s="215"/>
      <c r="F165" s="215"/>
      <c r="G165" s="215"/>
      <c r="H165" s="215"/>
    </row>
    <row r="166" ht="15.75" customHeight="1">
      <c r="A166" s="33"/>
      <c r="B166" s="45"/>
      <c r="C166" s="214"/>
      <c r="D166" s="215"/>
      <c r="E166" s="215"/>
      <c r="F166" s="215"/>
      <c r="G166" s="215"/>
      <c r="H166" s="215"/>
    </row>
    <row r="167" ht="15.75" customHeight="1">
      <c r="A167" s="33"/>
      <c r="B167" s="45"/>
      <c r="C167" s="214"/>
      <c r="D167" s="215"/>
      <c r="E167" s="215"/>
      <c r="F167" s="215"/>
      <c r="G167" s="215"/>
      <c r="H167" s="215"/>
    </row>
    <row r="168" ht="15.75" customHeight="1">
      <c r="A168" s="33"/>
      <c r="B168" s="45"/>
      <c r="C168" s="214"/>
      <c r="D168" s="215"/>
      <c r="E168" s="215"/>
      <c r="F168" s="215"/>
      <c r="G168" s="215"/>
      <c r="H168" s="215"/>
    </row>
    <row r="169" ht="15.75" customHeight="1">
      <c r="A169" s="33"/>
      <c r="B169" s="45"/>
      <c r="C169" s="214"/>
      <c r="D169" s="215"/>
      <c r="E169" s="215"/>
      <c r="F169" s="215"/>
      <c r="G169" s="215"/>
      <c r="H169" s="215"/>
    </row>
    <row r="170" ht="15.75" customHeight="1">
      <c r="A170" s="33"/>
      <c r="B170" s="45"/>
      <c r="C170" s="214"/>
      <c r="D170" s="215"/>
      <c r="E170" s="215"/>
      <c r="F170" s="215"/>
      <c r="G170" s="215"/>
      <c r="H170" s="215"/>
    </row>
    <row r="171" ht="15.75" customHeight="1">
      <c r="A171" s="33"/>
      <c r="B171" s="45"/>
      <c r="C171" s="214"/>
      <c r="D171" s="215"/>
      <c r="E171" s="215"/>
      <c r="F171" s="215"/>
      <c r="G171" s="215"/>
      <c r="H171" s="215"/>
    </row>
    <row r="172" ht="15.75" customHeight="1">
      <c r="A172" s="33"/>
      <c r="B172" s="45"/>
      <c r="C172" s="214"/>
      <c r="D172" s="215"/>
      <c r="E172" s="215"/>
      <c r="F172" s="215"/>
      <c r="G172" s="215"/>
      <c r="H172" s="215"/>
    </row>
    <row r="173" ht="15.75" customHeight="1">
      <c r="A173" s="33"/>
      <c r="B173" s="45"/>
      <c r="C173" s="214"/>
      <c r="D173" s="215"/>
      <c r="E173" s="215"/>
      <c r="F173" s="215"/>
      <c r="G173" s="215"/>
      <c r="H173" s="215"/>
    </row>
    <row r="174" ht="15.75" customHeight="1">
      <c r="A174" s="33"/>
      <c r="B174" s="45"/>
      <c r="C174" s="214"/>
      <c r="D174" s="215"/>
      <c r="E174" s="215"/>
      <c r="F174" s="215"/>
      <c r="G174" s="215"/>
      <c r="H174" s="215"/>
    </row>
    <row r="175" ht="15.75" customHeight="1">
      <c r="A175" s="33"/>
      <c r="B175" s="45"/>
      <c r="C175" s="214"/>
      <c r="D175" s="215"/>
      <c r="E175" s="215"/>
      <c r="F175" s="215"/>
      <c r="G175" s="215"/>
      <c r="H175" s="215"/>
    </row>
    <row r="176" ht="15.75" customHeight="1">
      <c r="A176" s="33"/>
      <c r="B176" s="45"/>
      <c r="C176" s="214"/>
      <c r="D176" s="215"/>
      <c r="E176" s="215"/>
      <c r="F176" s="215"/>
      <c r="G176" s="215"/>
      <c r="H176" s="215"/>
    </row>
    <row r="177" ht="15.75" customHeight="1">
      <c r="A177" s="33"/>
      <c r="B177" s="45"/>
      <c r="C177" s="214"/>
      <c r="D177" s="215"/>
      <c r="E177" s="215"/>
      <c r="F177" s="215"/>
      <c r="G177" s="215"/>
      <c r="H177" s="215"/>
    </row>
    <row r="178" ht="15.75" customHeight="1">
      <c r="A178" s="33"/>
      <c r="B178" s="45"/>
      <c r="C178" s="214"/>
      <c r="D178" s="215"/>
      <c r="E178" s="215"/>
      <c r="F178" s="215"/>
      <c r="G178" s="215"/>
      <c r="H178" s="215"/>
    </row>
    <row r="179" ht="15.75" customHeight="1">
      <c r="A179" s="33"/>
      <c r="B179" s="45"/>
      <c r="C179" s="214"/>
      <c r="D179" s="215"/>
      <c r="E179" s="215"/>
      <c r="F179" s="215"/>
      <c r="G179" s="215"/>
      <c r="H179" s="215"/>
    </row>
    <row r="180" ht="15.75" customHeight="1">
      <c r="A180" s="33"/>
      <c r="B180" s="45"/>
      <c r="C180" s="214"/>
      <c r="D180" s="215"/>
      <c r="E180" s="215"/>
      <c r="F180" s="215"/>
      <c r="G180" s="215"/>
      <c r="H180" s="215"/>
    </row>
    <row r="181" ht="15.75" customHeight="1">
      <c r="A181" s="33"/>
      <c r="B181" s="45"/>
      <c r="C181" s="214"/>
      <c r="D181" s="215"/>
      <c r="E181" s="215"/>
      <c r="F181" s="215"/>
      <c r="G181" s="215"/>
      <c r="H181" s="215"/>
    </row>
    <row r="182" ht="15.75" customHeight="1">
      <c r="A182" s="33"/>
      <c r="B182" s="45"/>
      <c r="C182" s="214"/>
      <c r="D182" s="215"/>
      <c r="E182" s="215"/>
      <c r="F182" s="215"/>
      <c r="G182" s="215"/>
      <c r="H182" s="215"/>
    </row>
    <row r="183" ht="15.75" customHeight="1">
      <c r="A183" s="33"/>
      <c r="B183" s="45"/>
      <c r="C183" s="214"/>
      <c r="D183" s="215"/>
      <c r="E183" s="215"/>
      <c r="F183" s="215"/>
      <c r="G183" s="215"/>
      <c r="H183" s="215"/>
    </row>
    <row r="184" ht="15.75" customHeight="1">
      <c r="A184" s="33"/>
      <c r="B184" s="45"/>
      <c r="C184" s="214"/>
      <c r="D184" s="215"/>
      <c r="E184" s="215"/>
      <c r="F184" s="215"/>
      <c r="G184" s="215"/>
      <c r="H184" s="215"/>
    </row>
    <row r="185" ht="15.75" customHeight="1">
      <c r="A185" s="33"/>
      <c r="B185" s="45"/>
      <c r="C185" s="214"/>
      <c r="D185" s="215"/>
      <c r="E185" s="215"/>
      <c r="F185" s="215"/>
      <c r="G185" s="215"/>
      <c r="H185" s="215"/>
    </row>
    <row r="186" ht="15.75" customHeight="1">
      <c r="A186" s="33"/>
      <c r="B186" s="45"/>
      <c r="C186" s="214"/>
      <c r="D186" s="215"/>
      <c r="E186" s="215"/>
      <c r="F186" s="215"/>
      <c r="G186" s="215"/>
      <c r="H186" s="215"/>
    </row>
    <row r="187" ht="15.75" customHeight="1">
      <c r="A187" s="33"/>
      <c r="B187" s="45"/>
      <c r="C187" s="214"/>
      <c r="D187" s="215"/>
      <c r="E187" s="215"/>
      <c r="F187" s="215"/>
      <c r="G187" s="215"/>
      <c r="H187" s="215"/>
    </row>
    <row r="188" ht="15.75" customHeight="1">
      <c r="A188" s="33"/>
      <c r="B188" s="45"/>
      <c r="C188" s="214"/>
      <c r="D188" s="215"/>
      <c r="E188" s="215"/>
      <c r="F188" s="215"/>
      <c r="G188" s="215"/>
      <c r="H188" s="215"/>
    </row>
    <row r="189" ht="15.75" customHeight="1">
      <c r="A189" s="33"/>
      <c r="B189" s="45"/>
      <c r="C189" s="214"/>
      <c r="D189" s="215"/>
      <c r="E189" s="215"/>
      <c r="F189" s="215"/>
      <c r="G189" s="215"/>
      <c r="H189" s="215"/>
    </row>
    <row r="190" ht="15.75" customHeight="1">
      <c r="A190" s="33"/>
      <c r="B190" s="45"/>
      <c r="C190" s="214"/>
      <c r="D190" s="215"/>
      <c r="E190" s="215"/>
      <c r="F190" s="215"/>
      <c r="G190" s="215"/>
      <c r="H190" s="215"/>
    </row>
    <row r="191" ht="15.75" customHeight="1">
      <c r="A191" s="33"/>
      <c r="B191" s="45"/>
      <c r="C191" s="214"/>
      <c r="D191" s="215"/>
      <c r="E191" s="215"/>
      <c r="F191" s="215"/>
      <c r="G191" s="215"/>
      <c r="H191" s="215"/>
    </row>
    <row r="192" ht="15.75" customHeight="1">
      <c r="A192" s="33"/>
      <c r="B192" s="45"/>
      <c r="C192" s="214"/>
      <c r="D192" s="215"/>
      <c r="E192" s="215"/>
      <c r="F192" s="215"/>
      <c r="G192" s="215"/>
      <c r="H192" s="215"/>
    </row>
    <row r="193" ht="15.75" customHeight="1">
      <c r="A193" s="33"/>
      <c r="B193" s="45"/>
      <c r="C193" s="214"/>
      <c r="D193" s="215"/>
      <c r="E193" s="215"/>
      <c r="F193" s="215"/>
      <c r="G193" s="215"/>
      <c r="H193" s="215"/>
    </row>
    <row r="194" ht="15.75" customHeight="1">
      <c r="A194" s="33"/>
      <c r="B194" s="45"/>
      <c r="C194" s="214"/>
      <c r="D194" s="215"/>
      <c r="E194" s="215"/>
      <c r="F194" s="215"/>
      <c r="G194" s="215"/>
      <c r="H194" s="215"/>
    </row>
    <row r="195" ht="15.75" customHeight="1">
      <c r="A195" s="33"/>
      <c r="B195" s="45"/>
      <c r="C195" s="214"/>
      <c r="D195" s="215"/>
      <c r="E195" s="215"/>
      <c r="F195" s="215"/>
      <c r="G195" s="215"/>
      <c r="H195" s="215"/>
    </row>
    <row r="196" ht="15.75" customHeight="1">
      <c r="A196" s="33"/>
      <c r="B196" s="45"/>
      <c r="C196" s="214"/>
      <c r="D196" s="215"/>
      <c r="E196" s="215"/>
      <c r="F196" s="215"/>
      <c r="G196" s="215"/>
      <c r="H196" s="215"/>
    </row>
    <row r="197" ht="15.75" customHeight="1">
      <c r="A197" s="33"/>
      <c r="B197" s="45"/>
      <c r="C197" s="214"/>
      <c r="D197" s="215"/>
      <c r="E197" s="215"/>
      <c r="F197" s="215"/>
      <c r="G197" s="215"/>
      <c r="H197" s="215"/>
    </row>
    <row r="198" ht="15.75" customHeight="1">
      <c r="A198" s="33"/>
      <c r="B198" s="45"/>
      <c r="C198" s="214"/>
      <c r="D198" s="215"/>
      <c r="E198" s="215"/>
      <c r="F198" s="215"/>
      <c r="G198" s="215"/>
      <c r="H198" s="215"/>
    </row>
    <row r="199" ht="15.75" customHeight="1">
      <c r="A199" s="33"/>
      <c r="B199" s="45"/>
      <c r="C199" s="214"/>
      <c r="D199" s="215"/>
      <c r="E199" s="215"/>
      <c r="F199" s="215"/>
      <c r="G199" s="215"/>
      <c r="H199" s="215"/>
    </row>
    <row r="200" ht="15.75" customHeight="1">
      <c r="A200" s="33"/>
      <c r="B200" s="45"/>
      <c r="C200" s="214"/>
      <c r="D200" s="215"/>
      <c r="E200" s="215"/>
      <c r="F200" s="215"/>
      <c r="G200" s="215"/>
      <c r="H200" s="215"/>
    </row>
    <row r="201" ht="15.75" customHeight="1">
      <c r="A201" s="33"/>
      <c r="B201" s="45"/>
      <c r="C201" s="214"/>
      <c r="D201" s="215"/>
      <c r="E201" s="215"/>
      <c r="F201" s="215"/>
      <c r="G201" s="215"/>
      <c r="H201" s="215"/>
    </row>
    <row r="202" ht="15.75" customHeight="1">
      <c r="A202" s="33"/>
      <c r="B202" s="45"/>
      <c r="C202" s="214"/>
      <c r="D202" s="215"/>
      <c r="E202" s="215"/>
      <c r="F202" s="215"/>
      <c r="G202" s="215"/>
      <c r="H202" s="215"/>
    </row>
    <row r="203" ht="15.75" customHeight="1">
      <c r="A203" s="33"/>
      <c r="B203" s="45"/>
      <c r="C203" s="214"/>
      <c r="D203" s="215"/>
      <c r="E203" s="215"/>
      <c r="F203" s="215"/>
      <c r="G203" s="215"/>
      <c r="H203" s="215"/>
    </row>
    <row r="204" ht="15.75" customHeight="1">
      <c r="A204" s="33"/>
      <c r="B204" s="45"/>
      <c r="C204" s="214"/>
      <c r="D204" s="215"/>
      <c r="E204" s="215"/>
      <c r="F204" s="215"/>
      <c r="G204" s="215"/>
      <c r="H204" s="215"/>
    </row>
    <row r="205" ht="15.75" customHeight="1">
      <c r="A205" s="33"/>
      <c r="B205" s="45"/>
      <c r="C205" s="214"/>
      <c r="D205" s="215"/>
      <c r="E205" s="215"/>
      <c r="F205" s="215"/>
      <c r="G205" s="215"/>
      <c r="H205" s="215"/>
    </row>
    <row r="206" ht="15.75" customHeight="1">
      <c r="A206" s="33"/>
      <c r="B206" s="45"/>
      <c r="C206" s="214"/>
      <c r="D206" s="215"/>
      <c r="E206" s="215"/>
      <c r="F206" s="215"/>
      <c r="G206" s="215"/>
      <c r="H206" s="215"/>
    </row>
    <row r="207" ht="15.75" customHeight="1">
      <c r="A207" s="33"/>
      <c r="B207" s="45"/>
      <c r="C207" s="214"/>
      <c r="D207" s="215"/>
      <c r="E207" s="215"/>
      <c r="F207" s="215"/>
      <c r="G207" s="215"/>
      <c r="H207" s="215"/>
    </row>
    <row r="208" ht="15.75" customHeight="1">
      <c r="A208" s="33"/>
      <c r="B208" s="45"/>
      <c r="C208" s="214"/>
      <c r="D208" s="215"/>
      <c r="E208" s="215"/>
      <c r="F208" s="215"/>
      <c r="G208" s="215"/>
      <c r="H208" s="215"/>
    </row>
    <row r="209" ht="15.75" customHeight="1">
      <c r="A209" s="33"/>
      <c r="B209" s="45"/>
      <c r="C209" s="214"/>
      <c r="D209" s="215"/>
      <c r="E209" s="215"/>
      <c r="F209" s="215"/>
      <c r="G209" s="215"/>
      <c r="H209" s="215"/>
    </row>
    <row r="210" ht="15.75" customHeight="1">
      <c r="A210" s="33"/>
      <c r="B210" s="45"/>
      <c r="C210" s="214"/>
      <c r="D210" s="215"/>
      <c r="E210" s="215"/>
      <c r="F210" s="215"/>
      <c r="G210" s="215"/>
      <c r="H210" s="215"/>
    </row>
    <row r="211" ht="15.75" customHeight="1">
      <c r="A211" s="33"/>
      <c r="B211" s="45"/>
      <c r="C211" s="214"/>
      <c r="D211" s="215"/>
      <c r="E211" s="215"/>
      <c r="F211" s="215"/>
      <c r="G211" s="215"/>
      <c r="H211" s="215"/>
    </row>
    <row r="212" ht="15.75" customHeight="1">
      <c r="A212" s="33"/>
      <c r="B212" s="45"/>
      <c r="C212" s="214"/>
      <c r="D212" s="215"/>
      <c r="E212" s="215"/>
      <c r="F212" s="215"/>
      <c r="G212" s="215"/>
      <c r="H212" s="215"/>
    </row>
    <row r="213" ht="15.75" customHeight="1">
      <c r="A213" s="33"/>
      <c r="B213" s="45"/>
      <c r="C213" s="214"/>
      <c r="D213" s="215"/>
      <c r="E213" s="215"/>
      <c r="F213" s="215"/>
      <c r="G213" s="215"/>
      <c r="H213" s="215"/>
    </row>
    <row r="214" ht="15.75" customHeight="1">
      <c r="A214" s="33"/>
      <c r="B214" s="45"/>
      <c r="C214" s="214"/>
      <c r="D214" s="215"/>
      <c r="E214" s="215"/>
      <c r="F214" s="215"/>
      <c r="G214" s="215"/>
      <c r="H214" s="215"/>
    </row>
    <row r="215" ht="15.75" customHeight="1">
      <c r="A215" s="33"/>
      <c r="B215" s="45"/>
      <c r="C215" s="214"/>
      <c r="D215" s="215"/>
      <c r="E215" s="215"/>
      <c r="F215" s="215"/>
      <c r="G215" s="215"/>
      <c r="H215" s="215"/>
    </row>
    <row r="216" ht="15.75" customHeight="1">
      <c r="A216" s="33"/>
      <c r="B216" s="45"/>
      <c r="C216" s="214"/>
      <c r="D216" s="215"/>
      <c r="E216" s="215"/>
      <c r="F216" s="215"/>
      <c r="G216" s="215"/>
      <c r="H216" s="215"/>
    </row>
    <row r="217" ht="15.75" customHeight="1">
      <c r="A217" s="33"/>
      <c r="B217" s="45"/>
      <c r="C217" s="214"/>
      <c r="D217" s="215"/>
      <c r="E217" s="215"/>
      <c r="F217" s="215"/>
      <c r="G217" s="215"/>
      <c r="H217" s="215"/>
    </row>
    <row r="218" ht="15.75" customHeight="1">
      <c r="A218" s="33"/>
      <c r="B218" s="45"/>
      <c r="C218" s="214"/>
      <c r="D218" s="215"/>
      <c r="E218" s="215"/>
      <c r="F218" s="215"/>
      <c r="G218" s="215"/>
      <c r="H218" s="215"/>
    </row>
    <row r="219" ht="15.75" customHeight="1">
      <c r="A219" s="33"/>
      <c r="B219" s="45"/>
      <c r="C219" s="214"/>
      <c r="D219" s="215"/>
      <c r="E219" s="215"/>
      <c r="F219" s="215"/>
      <c r="G219" s="215"/>
      <c r="H219" s="215"/>
    </row>
    <row r="220" ht="15.75" customHeight="1">
      <c r="A220" s="33"/>
      <c r="B220" s="45"/>
      <c r="C220" s="214"/>
      <c r="D220" s="215"/>
      <c r="E220" s="215"/>
      <c r="F220" s="215"/>
      <c r="G220" s="215"/>
      <c r="H220" s="215"/>
    </row>
    <row r="221" ht="15.75" customHeight="1">
      <c r="A221" s="33"/>
      <c r="B221" s="45"/>
      <c r="C221" s="214"/>
      <c r="D221" s="215"/>
      <c r="E221" s="215"/>
      <c r="F221" s="215"/>
      <c r="G221" s="215"/>
      <c r="H221" s="215"/>
    </row>
    <row r="222" ht="15.75" customHeight="1">
      <c r="A222" s="33"/>
      <c r="B222" s="45"/>
      <c r="C222" s="214"/>
      <c r="D222" s="215"/>
      <c r="E222" s="215"/>
      <c r="F222" s="215"/>
      <c r="G222" s="215"/>
      <c r="H222" s="215"/>
    </row>
    <row r="223" ht="15.75" customHeight="1">
      <c r="A223" s="33"/>
      <c r="B223" s="45"/>
      <c r="C223" s="214"/>
      <c r="D223" s="215"/>
      <c r="E223" s="215"/>
      <c r="F223" s="215"/>
      <c r="G223" s="215"/>
      <c r="H223" s="215"/>
    </row>
    <row r="224" ht="15.75" customHeight="1">
      <c r="A224" s="33"/>
      <c r="B224" s="45"/>
      <c r="C224" s="214"/>
      <c r="D224" s="215"/>
      <c r="E224" s="215"/>
      <c r="F224" s="215"/>
      <c r="G224" s="215"/>
      <c r="H224" s="215"/>
    </row>
    <row r="225" ht="15.75" customHeight="1">
      <c r="A225" s="33"/>
      <c r="B225" s="45"/>
      <c r="C225" s="214"/>
      <c r="D225" s="215"/>
      <c r="E225" s="215"/>
      <c r="F225" s="215"/>
      <c r="G225" s="215"/>
      <c r="H225" s="215"/>
    </row>
    <row r="226" ht="15.75" customHeight="1">
      <c r="A226" s="33"/>
      <c r="B226" s="45"/>
      <c r="C226" s="214"/>
      <c r="D226" s="215"/>
      <c r="E226" s="215"/>
      <c r="F226" s="215"/>
      <c r="G226" s="215"/>
      <c r="H226" s="215"/>
    </row>
    <row r="227" ht="15.75" customHeight="1">
      <c r="A227" s="33"/>
      <c r="B227" s="45"/>
      <c r="C227" s="214"/>
      <c r="D227" s="215"/>
      <c r="E227" s="215"/>
      <c r="F227" s="215"/>
      <c r="G227" s="215"/>
      <c r="H227" s="215"/>
    </row>
    <row r="228" ht="15.75" customHeight="1">
      <c r="A228" s="33"/>
      <c r="B228" s="45"/>
      <c r="C228" s="214"/>
      <c r="D228" s="215"/>
      <c r="E228" s="215"/>
      <c r="F228" s="215"/>
      <c r="G228" s="215"/>
      <c r="H228" s="215"/>
    </row>
    <row r="229" ht="15.75" customHeight="1">
      <c r="A229" s="33"/>
      <c r="B229" s="45"/>
      <c r="C229" s="214"/>
      <c r="D229" s="215"/>
      <c r="E229" s="215"/>
      <c r="F229" s="215"/>
      <c r="G229" s="215"/>
      <c r="H229" s="215"/>
    </row>
    <row r="230" ht="15.75" customHeight="1">
      <c r="A230" s="33"/>
      <c r="B230" s="45"/>
      <c r="C230" s="214"/>
      <c r="D230" s="215"/>
      <c r="E230" s="215"/>
      <c r="F230" s="215"/>
      <c r="G230" s="215"/>
      <c r="H230" s="215"/>
    </row>
    <row r="231" ht="15.75" customHeight="1">
      <c r="A231" s="33"/>
      <c r="B231" s="45"/>
      <c r="C231" s="214"/>
      <c r="D231" s="215"/>
      <c r="E231" s="215"/>
      <c r="F231" s="215"/>
      <c r="G231" s="215"/>
      <c r="H231" s="215"/>
    </row>
    <row r="232" ht="15.75" customHeight="1">
      <c r="A232" s="33"/>
      <c r="B232" s="45"/>
      <c r="C232" s="214"/>
      <c r="D232" s="215"/>
      <c r="E232" s="215"/>
      <c r="F232" s="215"/>
      <c r="G232" s="215"/>
      <c r="H232" s="215"/>
    </row>
    <row r="233" ht="15.75" customHeight="1">
      <c r="A233" s="33"/>
      <c r="B233" s="45"/>
      <c r="C233" s="214"/>
      <c r="D233" s="215"/>
      <c r="E233" s="215"/>
      <c r="F233" s="215"/>
      <c r="G233" s="215"/>
      <c r="H233" s="215"/>
    </row>
    <row r="234" ht="15.75" customHeight="1">
      <c r="A234" s="33"/>
      <c r="B234" s="45"/>
      <c r="C234" s="214"/>
      <c r="D234" s="215"/>
      <c r="E234" s="215"/>
      <c r="F234" s="215"/>
      <c r="G234" s="215"/>
      <c r="H234" s="215"/>
    </row>
    <row r="235" ht="15.75" customHeight="1">
      <c r="A235" s="33"/>
      <c r="B235" s="45"/>
      <c r="C235" s="214"/>
      <c r="D235" s="215"/>
      <c r="E235" s="215"/>
      <c r="F235" s="215"/>
      <c r="G235" s="215"/>
      <c r="H235" s="215"/>
    </row>
    <row r="236" ht="15.75" customHeight="1">
      <c r="A236" s="33"/>
      <c r="B236" s="45"/>
      <c r="C236" s="214"/>
      <c r="D236" s="215"/>
      <c r="E236" s="215"/>
      <c r="F236" s="215"/>
      <c r="G236" s="215"/>
      <c r="H236" s="215"/>
    </row>
    <row r="237" ht="15.75" customHeight="1">
      <c r="A237" s="33"/>
      <c r="B237" s="45"/>
      <c r="C237" s="214"/>
      <c r="D237" s="215"/>
      <c r="E237" s="215"/>
      <c r="F237" s="215"/>
      <c r="G237" s="215"/>
      <c r="H237" s="215"/>
    </row>
    <row r="238" ht="15.75" customHeight="1">
      <c r="A238" s="33"/>
      <c r="B238" s="45"/>
      <c r="C238" s="214"/>
      <c r="D238" s="215"/>
      <c r="E238" s="215"/>
      <c r="F238" s="215"/>
      <c r="G238" s="215"/>
      <c r="H238" s="215"/>
    </row>
    <row r="239" ht="15.75" customHeight="1">
      <c r="A239" s="33"/>
      <c r="B239" s="45"/>
      <c r="C239" s="214"/>
      <c r="D239" s="215"/>
      <c r="E239" s="215"/>
      <c r="F239" s="215"/>
      <c r="G239" s="215"/>
      <c r="H239" s="215"/>
    </row>
    <row r="240" ht="15.75" customHeight="1">
      <c r="A240" s="33"/>
      <c r="B240" s="45"/>
      <c r="C240" s="214"/>
      <c r="D240" s="215"/>
      <c r="E240" s="215"/>
      <c r="F240" s="215"/>
      <c r="G240" s="215"/>
      <c r="H240" s="215"/>
    </row>
    <row r="241" ht="15.75" customHeight="1">
      <c r="A241" s="33"/>
      <c r="B241" s="45"/>
      <c r="C241" s="214"/>
      <c r="D241" s="215"/>
      <c r="E241" s="215"/>
      <c r="F241" s="215"/>
      <c r="G241" s="215"/>
      <c r="H241" s="215"/>
    </row>
    <row r="242" ht="15.75" customHeight="1">
      <c r="A242" s="33"/>
      <c r="B242" s="45"/>
      <c r="C242" s="214"/>
      <c r="D242" s="215"/>
      <c r="E242" s="215"/>
      <c r="F242" s="215"/>
      <c r="G242" s="215"/>
      <c r="H242" s="215"/>
    </row>
    <row r="243" ht="15.75" customHeight="1">
      <c r="A243" s="33"/>
      <c r="B243" s="45"/>
      <c r="C243" s="214"/>
      <c r="D243" s="215"/>
      <c r="E243" s="215"/>
      <c r="F243" s="215"/>
      <c r="G243" s="215"/>
      <c r="H243" s="215"/>
    </row>
    <row r="244" ht="15.75" customHeight="1">
      <c r="A244" s="33"/>
      <c r="B244" s="45"/>
      <c r="C244" s="214"/>
      <c r="D244" s="215"/>
      <c r="E244" s="215"/>
      <c r="F244" s="215"/>
      <c r="G244" s="215"/>
      <c r="H244" s="215"/>
    </row>
    <row r="245" ht="15.75" customHeight="1">
      <c r="A245" s="33"/>
      <c r="B245" s="45"/>
      <c r="C245" s="214"/>
      <c r="D245" s="215"/>
      <c r="E245" s="215"/>
      <c r="F245" s="215"/>
      <c r="G245" s="215"/>
      <c r="H245" s="215"/>
    </row>
    <row r="246" ht="15.75" customHeight="1">
      <c r="A246" s="33"/>
      <c r="B246" s="45"/>
      <c r="C246" s="214"/>
      <c r="D246" s="215"/>
      <c r="E246" s="215"/>
      <c r="F246" s="215"/>
      <c r="G246" s="215"/>
      <c r="H246" s="215"/>
    </row>
    <row r="247" ht="15.75" customHeight="1">
      <c r="A247" s="33"/>
      <c r="B247" s="45"/>
      <c r="C247" s="214"/>
      <c r="D247" s="215"/>
      <c r="E247" s="215"/>
      <c r="F247" s="215"/>
      <c r="G247" s="215"/>
      <c r="H247" s="215"/>
    </row>
    <row r="248" ht="15.75" customHeight="1">
      <c r="A248" s="33"/>
      <c r="B248" s="45"/>
      <c r="C248" s="214"/>
      <c r="D248" s="215"/>
      <c r="E248" s="215"/>
      <c r="F248" s="215"/>
      <c r="G248" s="215"/>
      <c r="H248" s="215"/>
    </row>
    <row r="249" ht="15.75" customHeight="1">
      <c r="A249" s="33"/>
      <c r="B249" s="45"/>
      <c r="C249" s="214"/>
      <c r="D249" s="215"/>
      <c r="E249" s="215"/>
      <c r="F249" s="215"/>
      <c r="G249" s="215"/>
      <c r="H249" s="215"/>
    </row>
    <row r="250" ht="15.75" customHeight="1">
      <c r="A250" s="33"/>
      <c r="B250" s="45"/>
      <c r="C250" s="214"/>
      <c r="D250" s="215"/>
      <c r="E250" s="215"/>
      <c r="F250" s="215"/>
      <c r="G250" s="215"/>
      <c r="H250" s="215"/>
    </row>
    <row r="251" ht="15.75" customHeight="1">
      <c r="A251" s="33"/>
      <c r="B251" s="45"/>
      <c r="C251" s="214"/>
      <c r="D251" s="215"/>
      <c r="E251" s="215"/>
      <c r="F251" s="215"/>
      <c r="G251" s="215"/>
      <c r="H251" s="215"/>
    </row>
    <row r="252" ht="15.75" customHeight="1">
      <c r="A252" s="33"/>
      <c r="B252" s="45"/>
      <c r="C252" s="214"/>
      <c r="D252" s="215"/>
      <c r="E252" s="215"/>
      <c r="F252" s="215"/>
      <c r="G252" s="215"/>
      <c r="H252" s="215"/>
    </row>
    <row r="253" ht="15.75" customHeight="1">
      <c r="A253" s="33"/>
      <c r="B253" s="45"/>
      <c r="C253" s="214"/>
      <c r="D253" s="215"/>
      <c r="E253" s="215"/>
      <c r="F253" s="215"/>
      <c r="G253" s="215"/>
      <c r="H253" s="215"/>
    </row>
    <row r="254" ht="15.75" customHeight="1">
      <c r="A254" s="33"/>
      <c r="B254" s="45"/>
      <c r="C254" s="214"/>
      <c r="D254" s="215"/>
      <c r="E254" s="215"/>
      <c r="F254" s="215"/>
      <c r="G254" s="215"/>
      <c r="H254" s="215"/>
    </row>
    <row r="255" ht="15.75" customHeight="1">
      <c r="A255" s="33"/>
      <c r="B255" s="45"/>
      <c r="C255" s="214"/>
      <c r="D255" s="215"/>
      <c r="E255" s="215"/>
      <c r="F255" s="215"/>
      <c r="G255" s="215"/>
      <c r="H255" s="215"/>
    </row>
    <row r="256" ht="15.75" customHeight="1">
      <c r="A256" s="33"/>
      <c r="B256" s="45"/>
      <c r="C256" s="214"/>
      <c r="D256" s="215"/>
      <c r="E256" s="215"/>
      <c r="F256" s="215"/>
      <c r="G256" s="215"/>
      <c r="H256" s="215"/>
    </row>
    <row r="257" ht="15.75" customHeight="1">
      <c r="A257" s="33"/>
      <c r="B257" s="45"/>
      <c r="C257" s="214"/>
      <c r="D257" s="215"/>
      <c r="E257" s="215"/>
      <c r="F257" s="215"/>
      <c r="G257" s="215"/>
      <c r="H257" s="215"/>
    </row>
    <row r="258" ht="15.75" customHeight="1">
      <c r="A258" s="33"/>
      <c r="B258" s="45"/>
      <c r="C258" s="214"/>
      <c r="D258" s="215"/>
      <c r="E258" s="215"/>
      <c r="F258" s="215"/>
      <c r="G258" s="215"/>
      <c r="H258" s="215"/>
    </row>
    <row r="259" ht="15.75" customHeight="1">
      <c r="A259" s="33"/>
      <c r="B259" s="45"/>
      <c r="C259" s="214"/>
      <c r="D259" s="215"/>
      <c r="E259" s="215"/>
      <c r="F259" s="215"/>
      <c r="G259" s="215"/>
      <c r="H259" s="215"/>
    </row>
    <row r="260" ht="15.75" customHeight="1">
      <c r="A260" s="33"/>
      <c r="B260" s="45"/>
      <c r="C260" s="214"/>
      <c r="D260" s="215"/>
      <c r="E260" s="215"/>
      <c r="F260" s="215"/>
      <c r="G260" s="215"/>
      <c r="H260" s="215"/>
    </row>
    <row r="261" ht="15.75" customHeight="1">
      <c r="A261" s="33"/>
      <c r="B261" s="45"/>
      <c r="C261" s="214"/>
      <c r="D261" s="215"/>
      <c r="E261" s="215"/>
      <c r="F261" s="215"/>
      <c r="G261" s="215"/>
      <c r="H261" s="215"/>
    </row>
    <row r="262" ht="15.75" customHeight="1">
      <c r="A262" s="33"/>
      <c r="B262" s="45"/>
      <c r="C262" s="214"/>
      <c r="D262" s="215"/>
      <c r="E262" s="215"/>
      <c r="F262" s="215"/>
      <c r="G262" s="215"/>
      <c r="H262" s="215"/>
    </row>
    <row r="263" ht="15.75" customHeight="1">
      <c r="A263" s="33"/>
      <c r="B263" s="45"/>
      <c r="C263" s="214"/>
      <c r="D263" s="215"/>
      <c r="E263" s="215"/>
      <c r="F263" s="215"/>
      <c r="G263" s="215"/>
      <c r="H263" s="215"/>
    </row>
    <row r="264" ht="15.75" customHeight="1">
      <c r="A264" s="33"/>
      <c r="B264" s="45"/>
      <c r="C264" s="214"/>
      <c r="D264" s="215"/>
      <c r="E264" s="215"/>
      <c r="F264" s="215"/>
      <c r="G264" s="215"/>
      <c r="H264" s="215"/>
    </row>
    <row r="265" ht="15.75" customHeight="1">
      <c r="A265" s="33"/>
      <c r="B265" s="45"/>
      <c r="C265" s="214"/>
      <c r="D265" s="215"/>
      <c r="E265" s="215"/>
      <c r="F265" s="215"/>
      <c r="G265" s="215"/>
      <c r="H265" s="215"/>
    </row>
    <row r="266" ht="15.75" customHeight="1">
      <c r="A266" s="33"/>
      <c r="B266" s="45"/>
      <c r="C266" s="214"/>
      <c r="D266" s="215"/>
      <c r="E266" s="215"/>
      <c r="F266" s="215"/>
      <c r="G266" s="215"/>
      <c r="H266" s="215"/>
    </row>
    <row r="267" ht="15.75" customHeight="1">
      <c r="A267" s="33"/>
      <c r="B267" s="45"/>
      <c r="C267" s="214"/>
      <c r="D267" s="215"/>
      <c r="E267" s="215"/>
      <c r="F267" s="215"/>
      <c r="G267" s="215"/>
      <c r="H267" s="215"/>
    </row>
    <row r="268" ht="15.75" customHeight="1">
      <c r="A268" s="33"/>
      <c r="B268" s="45"/>
      <c r="C268" s="214"/>
      <c r="D268" s="215"/>
      <c r="E268" s="215"/>
      <c r="F268" s="215"/>
      <c r="G268" s="215"/>
      <c r="H268" s="215"/>
    </row>
    <row r="269" ht="15.75" customHeight="1">
      <c r="A269" s="33"/>
      <c r="B269" s="45"/>
      <c r="C269" s="214"/>
      <c r="D269" s="215"/>
      <c r="E269" s="215"/>
      <c r="F269" s="215"/>
      <c r="G269" s="215"/>
      <c r="H269" s="215"/>
    </row>
    <row r="270" ht="15.75" customHeight="1">
      <c r="A270" s="33"/>
      <c r="B270" s="45"/>
      <c r="C270" s="214"/>
      <c r="D270" s="215"/>
      <c r="E270" s="215"/>
      <c r="F270" s="215"/>
      <c r="G270" s="215"/>
      <c r="H270" s="215"/>
    </row>
    <row r="271" ht="15.75" customHeight="1">
      <c r="A271" s="33"/>
      <c r="B271" s="45"/>
      <c r="C271" s="214"/>
      <c r="D271" s="215"/>
      <c r="E271" s="215"/>
      <c r="F271" s="215"/>
      <c r="G271" s="215"/>
      <c r="H271" s="215"/>
    </row>
    <row r="272" ht="15.75" customHeight="1">
      <c r="A272" s="33"/>
      <c r="B272" s="45"/>
      <c r="C272" s="214"/>
      <c r="D272" s="215"/>
      <c r="E272" s="215"/>
      <c r="F272" s="215"/>
      <c r="G272" s="215"/>
      <c r="H272" s="215"/>
    </row>
    <row r="273" ht="15.75" customHeight="1">
      <c r="A273" s="33"/>
      <c r="B273" s="45"/>
      <c r="C273" s="214"/>
      <c r="D273" s="215"/>
      <c r="E273" s="215"/>
      <c r="F273" s="215"/>
      <c r="G273" s="215"/>
      <c r="H273" s="215"/>
    </row>
    <row r="274" ht="15.75" customHeight="1">
      <c r="A274" s="33"/>
      <c r="B274" s="45"/>
      <c r="C274" s="214"/>
      <c r="D274" s="215"/>
      <c r="E274" s="215"/>
      <c r="F274" s="215"/>
      <c r="G274" s="215"/>
      <c r="H274" s="215"/>
    </row>
    <row r="275" ht="15.75" customHeight="1">
      <c r="A275" s="33"/>
      <c r="B275" s="45"/>
      <c r="C275" s="214"/>
      <c r="D275" s="215"/>
      <c r="E275" s="215"/>
      <c r="F275" s="215"/>
      <c r="G275" s="215"/>
      <c r="H275" s="215"/>
    </row>
    <row r="276" ht="15.75" customHeight="1">
      <c r="A276" s="33"/>
      <c r="B276" s="45"/>
      <c r="C276" s="214"/>
      <c r="D276" s="215"/>
      <c r="E276" s="215"/>
      <c r="F276" s="215"/>
      <c r="G276" s="215"/>
      <c r="H276" s="215"/>
    </row>
    <row r="277" ht="15.75" customHeight="1">
      <c r="A277" s="33"/>
      <c r="B277" s="45"/>
      <c r="C277" s="214"/>
      <c r="D277" s="215"/>
      <c r="E277" s="215"/>
      <c r="F277" s="215"/>
      <c r="G277" s="215"/>
      <c r="H277" s="215"/>
    </row>
    <row r="278" ht="15.75" customHeight="1">
      <c r="A278" s="33"/>
      <c r="B278" s="45"/>
      <c r="C278" s="214"/>
      <c r="D278" s="215"/>
      <c r="E278" s="215"/>
      <c r="F278" s="215"/>
      <c r="G278" s="215"/>
      <c r="H278" s="215"/>
    </row>
    <row r="279" ht="15.75" customHeight="1">
      <c r="A279" s="33"/>
      <c r="B279" s="45"/>
      <c r="C279" s="214"/>
      <c r="D279" s="215"/>
      <c r="E279" s="215"/>
      <c r="F279" s="215"/>
      <c r="G279" s="215"/>
      <c r="H279" s="215"/>
    </row>
    <row r="280" ht="15.75" customHeight="1">
      <c r="A280" s="33"/>
      <c r="B280" s="45"/>
      <c r="C280" s="214"/>
      <c r="D280" s="215"/>
      <c r="E280" s="215"/>
      <c r="F280" s="215"/>
      <c r="G280" s="215"/>
      <c r="H280" s="215"/>
    </row>
    <row r="281" ht="15.75" customHeight="1">
      <c r="A281" s="33"/>
      <c r="B281" s="45"/>
      <c r="C281" s="214"/>
      <c r="D281" s="215"/>
      <c r="E281" s="215"/>
      <c r="F281" s="215"/>
      <c r="G281" s="215"/>
      <c r="H281" s="215"/>
    </row>
    <row r="282" ht="15.75" customHeight="1">
      <c r="A282" s="33"/>
      <c r="B282" s="45"/>
      <c r="C282" s="214"/>
      <c r="D282" s="215"/>
      <c r="E282" s="215"/>
      <c r="F282" s="215"/>
      <c r="G282" s="215"/>
      <c r="H282" s="215"/>
    </row>
    <row r="283" ht="15.75" customHeight="1">
      <c r="A283" s="33"/>
      <c r="B283" s="45"/>
      <c r="C283" s="214"/>
      <c r="D283" s="215"/>
      <c r="E283" s="215"/>
      <c r="F283" s="215"/>
      <c r="G283" s="215"/>
      <c r="H283" s="215"/>
    </row>
    <row r="284" ht="15.75" customHeight="1">
      <c r="A284" s="33"/>
      <c r="B284" s="45"/>
      <c r="C284" s="214"/>
      <c r="D284" s="215"/>
      <c r="E284" s="215"/>
      <c r="F284" s="215"/>
      <c r="G284" s="215"/>
      <c r="H284" s="215"/>
    </row>
    <row r="285" ht="15.75" customHeight="1">
      <c r="A285" s="33"/>
      <c r="B285" s="45"/>
      <c r="C285" s="214"/>
      <c r="D285" s="215"/>
      <c r="E285" s="215"/>
      <c r="F285" s="215"/>
      <c r="G285" s="215"/>
      <c r="H285" s="215"/>
    </row>
    <row r="286" ht="15.75" customHeight="1">
      <c r="A286" s="33"/>
      <c r="B286" s="45"/>
      <c r="C286" s="214"/>
      <c r="D286" s="215"/>
      <c r="E286" s="215"/>
      <c r="F286" s="215"/>
      <c r="G286" s="215"/>
      <c r="H286" s="215"/>
    </row>
    <row r="287" ht="15.75" customHeight="1">
      <c r="A287" s="33"/>
      <c r="B287" s="45"/>
      <c r="C287" s="214"/>
      <c r="D287" s="215"/>
      <c r="E287" s="215"/>
      <c r="F287" s="215"/>
      <c r="G287" s="215"/>
      <c r="H287" s="215"/>
    </row>
    <row r="288" ht="15.75" customHeight="1">
      <c r="A288" s="33"/>
      <c r="B288" s="45"/>
      <c r="C288" s="214"/>
      <c r="D288" s="215"/>
      <c r="E288" s="215"/>
      <c r="F288" s="215"/>
      <c r="G288" s="215"/>
      <c r="H288" s="215"/>
    </row>
    <row r="289" ht="15.75" customHeight="1">
      <c r="A289" s="33"/>
      <c r="B289" s="45"/>
      <c r="C289" s="214"/>
      <c r="D289" s="215"/>
      <c r="E289" s="215"/>
      <c r="F289" s="215"/>
      <c r="G289" s="215"/>
      <c r="H289" s="215"/>
    </row>
    <row r="290" ht="15.75" customHeight="1">
      <c r="A290" s="33"/>
      <c r="B290" s="45"/>
      <c r="C290" s="214"/>
      <c r="D290" s="215"/>
      <c r="E290" s="215"/>
      <c r="F290" s="215"/>
      <c r="G290" s="215"/>
      <c r="H290" s="215"/>
    </row>
    <row r="291" ht="15.75" customHeight="1">
      <c r="A291" s="33"/>
      <c r="B291" s="45"/>
      <c r="C291" s="214"/>
      <c r="D291" s="215"/>
      <c r="E291" s="215"/>
      <c r="F291" s="215"/>
      <c r="G291" s="215"/>
      <c r="H291" s="215"/>
    </row>
    <row r="292" ht="15.75" customHeight="1">
      <c r="A292" s="33"/>
      <c r="B292" s="45"/>
      <c r="C292" s="214"/>
      <c r="D292" s="215"/>
      <c r="E292" s="215"/>
      <c r="F292" s="215"/>
      <c r="G292" s="215"/>
      <c r="H292" s="215"/>
    </row>
    <row r="293" ht="15.75" customHeight="1">
      <c r="A293" s="33"/>
      <c r="B293" s="45"/>
      <c r="C293" s="214"/>
      <c r="D293" s="215"/>
      <c r="E293" s="215"/>
      <c r="F293" s="215"/>
      <c r="G293" s="215"/>
      <c r="H293" s="215"/>
    </row>
    <row r="294" ht="15.75" customHeight="1">
      <c r="A294" s="33"/>
      <c r="B294" s="45"/>
      <c r="C294" s="214"/>
      <c r="D294" s="215"/>
      <c r="E294" s="215"/>
      <c r="F294" s="215"/>
      <c r="G294" s="215"/>
      <c r="H294" s="215"/>
    </row>
    <row r="295" ht="15.75" customHeight="1">
      <c r="A295" s="33"/>
      <c r="B295" s="45"/>
      <c r="C295" s="214"/>
      <c r="D295" s="215"/>
      <c r="E295" s="215"/>
      <c r="F295" s="215"/>
      <c r="G295" s="215"/>
      <c r="H295" s="215"/>
    </row>
    <row r="296" ht="15.75" customHeight="1">
      <c r="A296" s="33"/>
      <c r="B296" s="45"/>
      <c r="C296" s="214"/>
      <c r="D296" s="215"/>
      <c r="E296" s="215"/>
      <c r="F296" s="215"/>
      <c r="G296" s="215"/>
      <c r="H296" s="215"/>
    </row>
    <row r="297" ht="15.75" customHeight="1">
      <c r="A297" s="33"/>
      <c r="B297" s="45"/>
      <c r="C297" s="214"/>
      <c r="D297" s="215"/>
      <c r="E297" s="215"/>
      <c r="F297" s="215"/>
      <c r="G297" s="215"/>
      <c r="H297" s="215"/>
    </row>
    <row r="298" ht="15.75" customHeight="1">
      <c r="A298" s="33"/>
      <c r="B298" s="45"/>
      <c r="C298" s="214"/>
      <c r="D298" s="215"/>
      <c r="E298" s="215"/>
      <c r="F298" s="215"/>
      <c r="G298" s="215"/>
      <c r="H298" s="215"/>
    </row>
    <row r="299" ht="15.75" customHeight="1">
      <c r="A299" s="33"/>
      <c r="B299" s="45"/>
      <c r="C299" s="214"/>
      <c r="D299" s="215"/>
      <c r="E299" s="215"/>
      <c r="F299" s="215"/>
      <c r="G299" s="215"/>
      <c r="H299" s="215"/>
    </row>
    <row r="300" ht="15.75" customHeight="1">
      <c r="A300" s="33"/>
      <c r="B300" s="45"/>
      <c r="C300" s="214"/>
      <c r="D300" s="215"/>
      <c r="E300" s="215"/>
      <c r="F300" s="215"/>
      <c r="G300" s="215"/>
      <c r="H300" s="215"/>
    </row>
    <row r="301" ht="15.75" customHeight="1">
      <c r="A301" s="33"/>
      <c r="B301" s="45"/>
      <c r="C301" s="214"/>
      <c r="D301" s="215"/>
      <c r="E301" s="215"/>
      <c r="F301" s="215"/>
      <c r="G301" s="215"/>
      <c r="H301" s="215"/>
    </row>
    <row r="302" ht="15.75" customHeight="1">
      <c r="A302" s="33"/>
      <c r="B302" s="45"/>
      <c r="C302" s="214"/>
      <c r="D302" s="215"/>
      <c r="E302" s="215"/>
      <c r="F302" s="215"/>
      <c r="G302" s="215"/>
      <c r="H302" s="215"/>
    </row>
    <row r="303" ht="15.75" customHeight="1">
      <c r="A303" s="33"/>
      <c r="B303" s="45"/>
      <c r="C303" s="214"/>
      <c r="D303" s="215"/>
      <c r="E303" s="215"/>
      <c r="F303" s="215"/>
      <c r="G303" s="215"/>
      <c r="H303" s="215"/>
    </row>
    <row r="304" ht="15.75" customHeight="1">
      <c r="A304" s="33"/>
      <c r="B304" s="45"/>
      <c r="C304" s="214"/>
      <c r="D304" s="215"/>
      <c r="E304" s="215"/>
      <c r="F304" s="215"/>
      <c r="G304" s="215"/>
      <c r="H304" s="215"/>
    </row>
    <row r="305" ht="15.75" customHeight="1">
      <c r="A305" s="33"/>
      <c r="B305" s="45"/>
      <c r="C305" s="214"/>
      <c r="D305" s="215"/>
      <c r="E305" s="215"/>
      <c r="F305" s="215"/>
      <c r="G305" s="215"/>
      <c r="H305" s="215"/>
    </row>
    <row r="306" ht="15.75" customHeight="1">
      <c r="A306" s="33"/>
      <c r="B306" s="45"/>
      <c r="C306" s="214"/>
      <c r="D306" s="215"/>
      <c r="E306" s="215"/>
      <c r="F306" s="215"/>
      <c r="G306" s="215"/>
      <c r="H306" s="215"/>
    </row>
    <row r="307" ht="15.75" customHeight="1">
      <c r="A307" s="33"/>
      <c r="B307" s="45"/>
      <c r="C307" s="214"/>
      <c r="D307" s="215"/>
      <c r="E307" s="215"/>
      <c r="F307" s="215"/>
      <c r="G307" s="215"/>
      <c r="H307" s="215"/>
    </row>
    <row r="308" ht="15.75" customHeight="1">
      <c r="A308" s="33"/>
      <c r="B308" s="45"/>
      <c r="C308" s="214"/>
      <c r="D308" s="215"/>
      <c r="E308" s="215"/>
      <c r="F308" s="215"/>
      <c r="G308" s="215"/>
      <c r="H308" s="215"/>
    </row>
    <row r="309" ht="15.75" customHeight="1">
      <c r="A309" s="33"/>
      <c r="B309" s="45"/>
      <c r="C309" s="214"/>
      <c r="D309" s="215"/>
      <c r="E309" s="215"/>
      <c r="F309" s="215"/>
      <c r="G309" s="215"/>
      <c r="H309" s="215"/>
    </row>
    <row r="310" ht="15.75" customHeight="1">
      <c r="A310" s="33"/>
      <c r="B310" s="45"/>
      <c r="C310" s="214"/>
      <c r="D310" s="215"/>
      <c r="E310" s="215"/>
      <c r="F310" s="215"/>
      <c r="G310" s="215"/>
      <c r="H310" s="215"/>
    </row>
    <row r="311" ht="15.75" customHeight="1">
      <c r="A311" s="33"/>
      <c r="B311" s="45"/>
      <c r="C311" s="214"/>
      <c r="D311" s="215"/>
      <c r="E311" s="215"/>
      <c r="F311" s="215"/>
      <c r="G311" s="215"/>
      <c r="H311" s="215"/>
    </row>
    <row r="312" ht="15.75" customHeight="1">
      <c r="A312" s="33"/>
      <c r="B312" s="45"/>
      <c r="C312" s="214"/>
      <c r="D312" s="215"/>
      <c r="E312" s="215"/>
      <c r="F312" s="215"/>
      <c r="G312" s="215"/>
      <c r="H312" s="215"/>
    </row>
    <row r="313" ht="15.75" customHeight="1">
      <c r="A313" s="33"/>
      <c r="B313" s="45"/>
      <c r="C313" s="214"/>
      <c r="D313" s="215"/>
      <c r="E313" s="215"/>
      <c r="F313" s="215"/>
      <c r="G313" s="215"/>
      <c r="H313" s="215"/>
    </row>
    <row r="314" ht="15.75" customHeight="1">
      <c r="A314" s="33"/>
      <c r="B314" s="45"/>
      <c r="C314" s="214"/>
      <c r="D314" s="215"/>
      <c r="E314" s="215"/>
      <c r="F314" s="215"/>
      <c r="G314" s="215"/>
      <c r="H314" s="215"/>
    </row>
    <row r="315" ht="15.75" customHeight="1">
      <c r="A315" s="33"/>
      <c r="B315" s="45"/>
      <c r="C315" s="214"/>
      <c r="D315" s="215"/>
      <c r="E315" s="215"/>
      <c r="F315" s="215"/>
      <c r="G315" s="215"/>
      <c r="H315" s="215"/>
    </row>
    <row r="316" ht="15.75" customHeight="1">
      <c r="A316" s="33"/>
      <c r="B316" s="45"/>
      <c r="C316" s="214"/>
      <c r="D316" s="215"/>
      <c r="E316" s="215"/>
      <c r="F316" s="215"/>
      <c r="G316" s="215"/>
      <c r="H316" s="215"/>
    </row>
    <row r="317" ht="15.75" customHeight="1">
      <c r="A317" s="33"/>
      <c r="B317" s="45"/>
      <c r="C317" s="214"/>
      <c r="D317" s="215"/>
      <c r="E317" s="215"/>
      <c r="F317" s="215"/>
      <c r="G317" s="215"/>
      <c r="H317" s="215"/>
    </row>
    <row r="318" ht="15.75" customHeight="1">
      <c r="A318" s="33"/>
      <c r="B318" s="45"/>
      <c r="C318" s="214"/>
      <c r="D318" s="215"/>
      <c r="E318" s="215"/>
      <c r="F318" s="215"/>
      <c r="G318" s="215"/>
      <c r="H318" s="215"/>
    </row>
    <row r="319" ht="15.75" customHeight="1">
      <c r="A319" s="33"/>
      <c r="B319" s="45"/>
      <c r="C319" s="214"/>
      <c r="D319" s="215"/>
      <c r="E319" s="215"/>
      <c r="F319" s="215"/>
      <c r="G319" s="215"/>
      <c r="H319" s="215"/>
    </row>
    <row r="320" ht="15.75" customHeight="1">
      <c r="A320" s="33"/>
      <c r="B320" s="45"/>
      <c r="C320" s="214"/>
      <c r="D320" s="215"/>
      <c r="E320" s="215"/>
      <c r="F320" s="215"/>
      <c r="G320" s="215"/>
      <c r="H320" s="215"/>
    </row>
    <row r="321" ht="15.75" customHeight="1">
      <c r="A321" s="33"/>
      <c r="B321" s="45"/>
      <c r="C321" s="214"/>
      <c r="D321" s="215"/>
      <c r="E321" s="215"/>
      <c r="F321" s="215"/>
      <c r="G321" s="215"/>
      <c r="H321" s="215"/>
    </row>
    <row r="322" ht="15.75" customHeight="1">
      <c r="A322" s="33"/>
      <c r="B322" s="45"/>
      <c r="C322" s="214"/>
      <c r="D322" s="215"/>
      <c r="E322" s="215"/>
      <c r="F322" s="215"/>
      <c r="G322" s="215"/>
      <c r="H322" s="215"/>
    </row>
    <row r="323" ht="15.75" customHeight="1">
      <c r="A323" s="33"/>
      <c r="B323" s="45"/>
      <c r="C323" s="214"/>
      <c r="D323" s="215"/>
      <c r="E323" s="215"/>
      <c r="F323" s="215"/>
      <c r="G323" s="215"/>
      <c r="H323" s="215"/>
    </row>
    <row r="324" ht="15.75" customHeight="1">
      <c r="A324" s="33"/>
      <c r="B324" s="45"/>
      <c r="C324" s="214"/>
      <c r="D324" s="215"/>
      <c r="E324" s="215"/>
      <c r="F324" s="215"/>
      <c r="G324" s="215"/>
      <c r="H324" s="215"/>
    </row>
    <row r="325" ht="15.75" customHeight="1">
      <c r="A325" s="33"/>
      <c r="B325" s="45"/>
      <c r="C325" s="214"/>
      <c r="D325" s="215"/>
      <c r="E325" s="215"/>
      <c r="F325" s="215"/>
      <c r="G325" s="215"/>
      <c r="H325" s="215"/>
    </row>
    <row r="326" ht="15.75" customHeight="1">
      <c r="A326" s="33"/>
      <c r="B326" s="45"/>
      <c r="C326" s="214"/>
      <c r="D326" s="215"/>
      <c r="E326" s="215"/>
      <c r="F326" s="215"/>
      <c r="G326" s="215"/>
      <c r="H326" s="215"/>
    </row>
    <row r="327" ht="15.75" customHeight="1">
      <c r="A327" s="33"/>
      <c r="B327" s="45"/>
      <c r="C327" s="214"/>
      <c r="D327" s="215"/>
      <c r="E327" s="215"/>
      <c r="F327" s="215"/>
      <c r="G327" s="215"/>
      <c r="H327" s="215"/>
    </row>
    <row r="328" ht="15.75" customHeight="1">
      <c r="A328" s="33"/>
      <c r="B328" s="45"/>
      <c r="C328" s="214"/>
      <c r="D328" s="215"/>
      <c r="E328" s="215"/>
      <c r="F328" s="215"/>
      <c r="G328" s="215"/>
      <c r="H328" s="215"/>
    </row>
    <row r="329" ht="15.75" customHeight="1">
      <c r="A329" s="33"/>
      <c r="B329" s="45"/>
      <c r="C329" s="214"/>
      <c r="D329" s="215"/>
      <c r="E329" s="215"/>
      <c r="F329" s="215"/>
      <c r="G329" s="215"/>
      <c r="H329" s="215"/>
    </row>
    <row r="330" ht="15.75" customHeight="1">
      <c r="A330" s="33"/>
      <c r="B330" s="45"/>
      <c r="C330" s="214"/>
      <c r="D330" s="215"/>
      <c r="E330" s="215"/>
      <c r="F330" s="215"/>
      <c r="G330" s="215"/>
      <c r="H330" s="215"/>
    </row>
    <row r="331" ht="15.75" customHeight="1">
      <c r="A331" s="33"/>
      <c r="B331" s="45"/>
      <c r="C331" s="214"/>
      <c r="D331" s="215"/>
      <c r="E331" s="215"/>
      <c r="F331" s="215"/>
      <c r="G331" s="215"/>
      <c r="H331" s="215"/>
    </row>
    <row r="332" ht="15.75" customHeight="1">
      <c r="A332" s="33"/>
      <c r="B332" s="45"/>
      <c r="C332" s="214"/>
      <c r="D332" s="215"/>
      <c r="E332" s="215"/>
      <c r="F332" s="215"/>
      <c r="G332" s="215"/>
      <c r="H332" s="215"/>
    </row>
    <row r="333" ht="15.75" customHeight="1">
      <c r="A333" s="33"/>
      <c r="B333" s="45"/>
      <c r="C333" s="214"/>
      <c r="D333" s="215"/>
      <c r="E333" s="215"/>
      <c r="F333" s="215"/>
      <c r="G333" s="215"/>
      <c r="H333" s="215"/>
    </row>
    <row r="334" ht="15.75" customHeight="1">
      <c r="A334" s="33"/>
      <c r="B334" s="45"/>
      <c r="C334" s="214"/>
      <c r="D334" s="215"/>
      <c r="E334" s="215"/>
      <c r="F334" s="215"/>
      <c r="G334" s="215"/>
      <c r="H334" s="215"/>
    </row>
    <row r="335" ht="15.75" customHeight="1">
      <c r="A335" s="33"/>
      <c r="B335" s="45"/>
      <c r="C335" s="214"/>
      <c r="D335" s="215"/>
      <c r="E335" s="215"/>
      <c r="F335" s="215"/>
      <c r="G335" s="215"/>
      <c r="H335" s="215"/>
    </row>
    <row r="336" ht="15.75" customHeight="1">
      <c r="A336" s="33"/>
      <c r="B336" s="45"/>
      <c r="C336" s="214"/>
      <c r="D336" s="215"/>
      <c r="E336" s="215"/>
      <c r="F336" s="215"/>
      <c r="G336" s="215"/>
      <c r="H336" s="215"/>
    </row>
    <row r="337" ht="15.75" customHeight="1">
      <c r="A337" s="33"/>
      <c r="B337" s="45"/>
      <c r="C337" s="214"/>
      <c r="D337" s="215"/>
      <c r="E337" s="215"/>
      <c r="F337" s="215"/>
      <c r="G337" s="215"/>
      <c r="H337" s="215"/>
    </row>
    <row r="338" ht="15.75" customHeight="1">
      <c r="A338" s="33"/>
      <c r="B338" s="45"/>
      <c r="C338" s="214"/>
      <c r="D338" s="215"/>
      <c r="E338" s="215"/>
      <c r="F338" s="215"/>
      <c r="G338" s="215"/>
      <c r="H338" s="215"/>
    </row>
    <row r="339" ht="15.75" customHeight="1">
      <c r="A339" s="33"/>
      <c r="B339" s="45"/>
      <c r="C339" s="214"/>
      <c r="D339" s="215"/>
      <c r="E339" s="215"/>
      <c r="F339" s="215"/>
      <c r="G339" s="215"/>
      <c r="H339" s="215"/>
    </row>
    <row r="340" ht="15.75" customHeight="1">
      <c r="A340" s="33"/>
      <c r="B340" s="45"/>
      <c r="C340" s="214"/>
      <c r="D340" s="215"/>
      <c r="E340" s="215"/>
      <c r="F340" s="215"/>
      <c r="G340" s="215"/>
      <c r="H340" s="215"/>
    </row>
    <row r="341" ht="15.75" customHeight="1">
      <c r="A341" s="33"/>
      <c r="B341" s="45"/>
      <c r="C341" s="214"/>
      <c r="D341" s="215"/>
      <c r="E341" s="215"/>
      <c r="F341" s="215"/>
      <c r="G341" s="215"/>
      <c r="H341" s="215"/>
    </row>
    <row r="342" ht="15.75" customHeight="1">
      <c r="A342" s="33"/>
      <c r="B342" s="45"/>
      <c r="C342" s="214"/>
      <c r="D342" s="215"/>
      <c r="E342" s="215"/>
      <c r="F342" s="215"/>
      <c r="G342" s="215"/>
      <c r="H342" s="215"/>
    </row>
    <row r="343" ht="15.75" customHeight="1">
      <c r="A343" s="33"/>
      <c r="B343" s="45"/>
      <c r="C343" s="214"/>
      <c r="D343" s="215"/>
      <c r="E343" s="215"/>
      <c r="F343" s="215"/>
      <c r="G343" s="215"/>
      <c r="H343" s="215"/>
    </row>
    <row r="344" ht="15.75" customHeight="1">
      <c r="A344" s="33"/>
      <c r="B344" s="45"/>
      <c r="C344" s="214"/>
      <c r="D344" s="215"/>
      <c r="E344" s="215"/>
      <c r="F344" s="215"/>
      <c r="G344" s="215"/>
      <c r="H344" s="215"/>
    </row>
    <row r="345" ht="15.75" customHeight="1">
      <c r="A345" s="33"/>
      <c r="B345" s="45"/>
      <c r="C345" s="214"/>
      <c r="D345" s="215"/>
      <c r="E345" s="215"/>
      <c r="F345" s="215"/>
      <c r="G345" s="215"/>
      <c r="H345" s="215"/>
    </row>
    <row r="346" ht="15.75" customHeight="1">
      <c r="A346" s="33"/>
      <c r="B346" s="45"/>
      <c r="C346" s="214"/>
      <c r="D346" s="215"/>
      <c r="E346" s="215"/>
      <c r="F346" s="215"/>
      <c r="G346" s="215"/>
      <c r="H346" s="215"/>
    </row>
    <row r="347" ht="15.75" customHeight="1">
      <c r="A347" s="33"/>
      <c r="B347" s="45"/>
      <c r="C347" s="214"/>
      <c r="D347" s="215"/>
      <c r="E347" s="215"/>
      <c r="F347" s="215"/>
      <c r="G347" s="215"/>
      <c r="H347" s="215"/>
    </row>
    <row r="348" ht="15.75" customHeight="1">
      <c r="A348" s="33"/>
      <c r="B348" s="45"/>
      <c r="C348" s="214"/>
      <c r="D348" s="215"/>
      <c r="E348" s="215"/>
      <c r="F348" s="215"/>
      <c r="G348" s="215"/>
      <c r="H348" s="215"/>
    </row>
    <row r="349" ht="15.75" customHeight="1">
      <c r="A349" s="33"/>
      <c r="B349" s="45"/>
      <c r="C349" s="214"/>
      <c r="D349" s="215"/>
      <c r="E349" s="215"/>
      <c r="F349" s="215"/>
      <c r="G349" s="215"/>
      <c r="H349" s="215"/>
    </row>
    <row r="350" ht="15.75" customHeight="1">
      <c r="A350" s="33"/>
      <c r="B350" s="45"/>
      <c r="C350" s="214"/>
      <c r="D350" s="215"/>
      <c r="E350" s="215"/>
      <c r="F350" s="215"/>
      <c r="G350" s="215"/>
      <c r="H350" s="215"/>
    </row>
    <row r="351" ht="15.75" customHeight="1">
      <c r="A351" s="33"/>
      <c r="B351" s="45"/>
      <c r="C351" s="214"/>
      <c r="D351" s="215"/>
      <c r="E351" s="215"/>
      <c r="F351" s="215"/>
      <c r="G351" s="215"/>
      <c r="H351" s="215"/>
    </row>
    <row r="352" ht="15.75" customHeight="1">
      <c r="A352" s="33"/>
      <c r="B352" s="45"/>
      <c r="C352" s="214"/>
      <c r="D352" s="215"/>
      <c r="E352" s="215"/>
      <c r="F352" s="215"/>
      <c r="G352" s="215"/>
      <c r="H352" s="215"/>
    </row>
    <row r="353" ht="15.75" customHeight="1">
      <c r="A353" s="33"/>
      <c r="B353" s="45"/>
      <c r="C353" s="214"/>
      <c r="D353" s="215"/>
      <c r="E353" s="215"/>
      <c r="F353" s="215"/>
      <c r="G353" s="215"/>
      <c r="H353" s="215"/>
    </row>
    <row r="354" ht="15.75" customHeight="1">
      <c r="A354" s="33"/>
      <c r="B354" s="45"/>
      <c r="C354" s="214"/>
      <c r="D354" s="215"/>
      <c r="E354" s="215"/>
      <c r="F354" s="215"/>
      <c r="G354" s="215"/>
      <c r="H354" s="215"/>
    </row>
    <row r="355" ht="15.75" customHeight="1">
      <c r="A355" s="33"/>
      <c r="B355" s="45"/>
      <c r="C355" s="214"/>
      <c r="D355" s="215"/>
      <c r="E355" s="215"/>
      <c r="F355" s="215"/>
      <c r="G355" s="215"/>
      <c r="H355" s="215"/>
    </row>
    <row r="356" ht="15.75" customHeight="1">
      <c r="A356" s="33"/>
      <c r="B356" s="45"/>
      <c r="C356" s="214"/>
      <c r="D356" s="215"/>
      <c r="E356" s="215"/>
      <c r="F356" s="215"/>
      <c r="G356" s="215"/>
      <c r="H356" s="215"/>
    </row>
    <row r="357" ht="15.75" customHeight="1">
      <c r="A357" s="33"/>
      <c r="B357" s="45"/>
      <c r="C357" s="214"/>
      <c r="D357" s="215"/>
      <c r="E357" s="215"/>
      <c r="F357" s="215"/>
      <c r="G357" s="215"/>
      <c r="H357" s="215"/>
    </row>
    <row r="358" ht="15.75" customHeight="1">
      <c r="A358" s="33"/>
      <c r="B358" s="45"/>
      <c r="C358" s="214"/>
      <c r="D358" s="215"/>
      <c r="E358" s="215"/>
      <c r="F358" s="215"/>
      <c r="G358" s="215"/>
      <c r="H358" s="215"/>
    </row>
    <row r="359" ht="15.75" customHeight="1">
      <c r="A359" s="33"/>
      <c r="B359" s="45"/>
      <c r="C359" s="214"/>
      <c r="D359" s="215"/>
      <c r="E359" s="215"/>
      <c r="F359" s="215"/>
      <c r="G359" s="215"/>
      <c r="H359" s="215"/>
    </row>
    <row r="360" ht="15.75" customHeight="1">
      <c r="A360" s="33"/>
      <c r="B360" s="45"/>
      <c r="C360" s="214"/>
      <c r="D360" s="215"/>
      <c r="E360" s="215"/>
      <c r="F360" s="215"/>
      <c r="G360" s="215"/>
      <c r="H360" s="215"/>
    </row>
    <row r="361" ht="15.75" customHeight="1">
      <c r="A361" s="33"/>
      <c r="B361" s="45"/>
      <c r="C361" s="214"/>
      <c r="D361" s="215"/>
      <c r="E361" s="215"/>
      <c r="F361" s="215"/>
      <c r="G361" s="215"/>
      <c r="H361" s="215"/>
    </row>
    <row r="362" ht="15.75" customHeight="1">
      <c r="A362" s="33"/>
      <c r="B362" s="45"/>
      <c r="C362" s="214"/>
      <c r="D362" s="215"/>
      <c r="E362" s="215"/>
      <c r="F362" s="215"/>
      <c r="G362" s="215"/>
      <c r="H362" s="215"/>
    </row>
    <row r="363" ht="15.75" customHeight="1">
      <c r="A363" s="33"/>
      <c r="B363" s="45"/>
      <c r="C363" s="214"/>
      <c r="D363" s="215"/>
      <c r="E363" s="215"/>
      <c r="F363" s="215"/>
      <c r="G363" s="215"/>
      <c r="H363" s="215"/>
    </row>
    <row r="364" ht="15.75" customHeight="1">
      <c r="A364" s="33"/>
      <c r="B364" s="45"/>
      <c r="C364" s="214"/>
      <c r="D364" s="215"/>
      <c r="E364" s="215"/>
      <c r="F364" s="215"/>
      <c r="G364" s="215"/>
      <c r="H364" s="215"/>
    </row>
    <row r="365" ht="15.75" customHeight="1">
      <c r="A365" s="33"/>
      <c r="B365" s="45"/>
      <c r="C365" s="214"/>
      <c r="D365" s="215"/>
      <c r="E365" s="215"/>
      <c r="F365" s="215"/>
      <c r="G365" s="215"/>
      <c r="H365" s="215"/>
    </row>
    <row r="366" ht="15.75" customHeight="1">
      <c r="A366" s="33"/>
      <c r="B366" s="45"/>
      <c r="C366" s="214"/>
      <c r="D366" s="215"/>
      <c r="E366" s="215"/>
      <c r="F366" s="215"/>
      <c r="G366" s="215"/>
      <c r="H366" s="215"/>
    </row>
    <row r="367" ht="15.75" customHeight="1">
      <c r="A367" s="33"/>
      <c r="B367" s="45"/>
      <c r="C367" s="214"/>
      <c r="D367" s="215"/>
      <c r="E367" s="215"/>
      <c r="F367" s="215"/>
      <c r="G367" s="215"/>
      <c r="H367" s="215"/>
    </row>
    <row r="368" ht="15.75" customHeight="1">
      <c r="A368" s="33"/>
      <c r="B368" s="45"/>
      <c r="C368" s="214"/>
      <c r="D368" s="215"/>
      <c r="E368" s="215"/>
      <c r="F368" s="215"/>
      <c r="G368" s="215"/>
      <c r="H368" s="215"/>
    </row>
    <row r="369" ht="15.75" customHeight="1">
      <c r="A369" s="33"/>
      <c r="B369" s="45"/>
      <c r="C369" s="214"/>
      <c r="D369" s="215"/>
      <c r="E369" s="215"/>
      <c r="F369" s="215"/>
      <c r="G369" s="215"/>
      <c r="H369" s="215"/>
    </row>
    <row r="370" ht="15.75" customHeight="1">
      <c r="A370" s="33"/>
      <c r="B370" s="45"/>
      <c r="C370" s="214"/>
      <c r="D370" s="215"/>
      <c r="E370" s="215"/>
      <c r="F370" s="215"/>
      <c r="G370" s="215"/>
      <c r="H370" s="215"/>
    </row>
    <row r="371" ht="15.75" customHeight="1">
      <c r="A371" s="33"/>
      <c r="B371" s="45"/>
      <c r="C371" s="214"/>
      <c r="D371" s="215"/>
      <c r="E371" s="215"/>
      <c r="F371" s="215"/>
      <c r="G371" s="215"/>
      <c r="H371" s="215"/>
    </row>
    <row r="372" ht="15.75" customHeight="1">
      <c r="A372" s="33"/>
      <c r="B372" s="45"/>
      <c r="C372" s="214"/>
      <c r="D372" s="215"/>
      <c r="E372" s="215"/>
      <c r="F372" s="215"/>
      <c r="G372" s="215"/>
      <c r="H372" s="215"/>
    </row>
    <row r="373" ht="15.75" customHeight="1">
      <c r="A373" s="33"/>
      <c r="B373" s="45"/>
      <c r="C373" s="214"/>
      <c r="D373" s="215"/>
      <c r="E373" s="215"/>
      <c r="F373" s="215"/>
      <c r="G373" s="215"/>
      <c r="H373" s="215"/>
    </row>
    <row r="374" ht="15.75" customHeight="1">
      <c r="A374" s="33"/>
      <c r="B374" s="45"/>
      <c r="C374" s="214"/>
      <c r="D374" s="215"/>
      <c r="E374" s="215"/>
      <c r="F374" s="215"/>
      <c r="G374" s="215"/>
      <c r="H374" s="215"/>
    </row>
    <row r="375" ht="15.75" customHeight="1">
      <c r="A375" s="33"/>
      <c r="B375" s="45"/>
      <c r="C375" s="214"/>
      <c r="D375" s="215"/>
      <c r="E375" s="215"/>
      <c r="F375" s="215"/>
      <c r="G375" s="215"/>
      <c r="H375" s="215"/>
    </row>
    <row r="376" ht="15.75" customHeight="1">
      <c r="A376" s="33"/>
      <c r="B376" s="45"/>
      <c r="C376" s="214"/>
      <c r="D376" s="215"/>
      <c r="E376" s="215"/>
      <c r="F376" s="215"/>
      <c r="G376" s="215"/>
      <c r="H376" s="215"/>
    </row>
    <row r="377" ht="15.75" customHeight="1">
      <c r="A377" s="33"/>
      <c r="B377" s="45"/>
      <c r="C377" s="214"/>
      <c r="D377" s="215"/>
      <c r="E377" s="215"/>
      <c r="F377" s="215"/>
      <c r="G377" s="215"/>
      <c r="H377" s="215"/>
    </row>
    <row r="378" ht="15.75" customHeight="1">
      <c r="A378" s="33"/>
      <c r="B378" s="45"/>
      <c r="C378" s="214"/>
      <c r="D378" s="215"/>
      <c r="E378" s="215"/>
      <c r="F378" s="215"/>
      <c r="G378" s="215"/>
      <c r="H378" s="215"/>
    </row>
    <row r="379" ht="15.75" customHeight="1">
      <c r="A379" s="33"/>
      <c r="B379" s="45"/>
      <c r="C379" s="214"/>
      <c r="D379" s="215"/>
      <c r="E379" s="215"/>
      <c r="F379" s="215"/>
      <c r="G379" s="215"/>
      <c r="H379" s="215"/>
    </row>
    <row r="380" ht="15.75" customHeight="1">
      <c r="A380" s="33"/>
      <c r="B380" s="45"/>
      <c r="C380" s="214"/>
      <c r="D380" s="215"/>
      <c r="E380" s="215"/>
      <c r="F380" s="215"/>
      <c r="G380" s="215"/>
      <c r="H380" s="215"/>
    </row>
    <row r="381" ht="15.75" customHeight="1">
      <c r="A381" s="33"/>
      <c r="B381" s="45"/>
      <c r="C381" s="214"/>
      <c r="D381" s="215"/>
      <c r="E381" s="215"/>
      <c r="F381" s="215"/>
      <c r="G381" s="215"/>
      <c r="H381" s="215"/>
    </row>
    <row r="382" ht="15.75" customHeight="1">
      <c r="A382" s="33"/>
      <c r="B382" s="45"/>
      <c r="C382" s="214"/>
      <c r="D382" s="215"/>
      <c r="E382" s="215"/>
      <c r="F382" s="215"/>
      <c r="G382" s="215"/>
      <c r="H382" s="215"/>
    </row>
    <row r="383" ht="15.75" customHeight="1">
      <c r="A383" s="33"/>
      <c r="B383" s="45"/>
      <c r="C383" s="214"/>
      <c r="D383" s="215"/>
      <c r="E383" s="215"/>
      <c r="F383" s="215"/>
      <c r="G383" s="215"/>
      <c r="H383" s="215"/>
    </row>
    <row r="384" ht="15.75" customHeight="1">
      <c r="A384" s="33"/>
      <c r="B384" s="45"/>
      <c r="C384" s="214"/>
      <c r="D384" s="215"/>
      <c r="E384" s="215"/>
      <c r="F384" s="215"/>
      <c r="G384" s="215"/>
      <c r="H384" s="215"/>
    </row>
    <row r="385" ht="15.75" customHeight="1">
      <c r="A385" s="33"/>
      <c r="B385" s="45"/>
      <c r="C385" s="214"/>
      <c r="D385" s="215"/>
      <c r="E385" s="215"/>
      <c r="F385" s="215"/>
      <c r="G385" s="215"/>
      <c r="H385" s="215"/>
    </row>
    <row r="386" ht="15.75" customHeight="1">
      <c r="A386" s="33"/>
      <c r="B386" s="45"/>
      <c r="C386" s="214"/>
      <c r="D386" s="215"/>
      <c r="E386" s="215"/>
      <c r="F386" s="215"/>
      <c r="G386" s="215"/>
      <c r="H386" s="215"/>
    </row>
    <row r="387" ht="15.75" customHeight="1">
      <c r="A387" s="33"/>
      <c r="B387" s="45"/>
      <c r="C387" s="214"/>
      <c r="D387" s="215"/>
      <c r="E387" s="215"/>
      <c r="F387" s="215"/>
      <c r="G387" s="215"/>
      <c r="H387" s="215"/>
    </row>
    <row r="388" ht="15.75" customHeight="1">
      <c r="A388" s="33"/>
      <c r="B388" s="45"/>
      <c r="C388" s="214"/>
      <c r="D388" s="215"/>
      <c r="E388" s="215"/>
      <c r="F388" s="215"/>
      <c r="G388" s="215"/>
      <c r="H388" s="215"/>
    </row>
    <row r="389" ht="15.75" customHeight="1">
      <c r="A389" s="33"/>
      <c r="B389" s="45"/>
      <c r="C389" s="214"/>
      <c r="D389" s="215"/>
      <c r="E389" s="215"/>
      <c r="F389" s="215"/>
      <c r="G389" s="215"/>
      <c r="H389" s="215"/>
    </row>
    <row r="390" ht="15.75" customHeight="1">
      <c r="A390" s="33"/>
      <c r="B390" s="45"/>
      <c r="C390" s="214"/>
      <c r="D390" s="215"/>
      <c r="E390" s="215"/>
      <c r="F390" s="215"/>
      <c r="G390" s="215"/>
      <c r="H390" s="215"/>
    </row>
    <row r="391" ht="15.75" customHeight="1">
      <c r="A391" s="33"/>
      <c r="B391" s="45"/>
      <c r="C391" s="214"/>
      <c r="D391" s="215"/>
      <c r="E391" s="215"/>
      <c r="F391" s="215"/>
      <c r="G391" s="215"/>
      <c r="H391" s="215"/>
    </row>
    <row r="392" ht="15.75" customHeight="1">
      <c r="A392" s="33"/>
      <c r="B392" s="45"/>
      <c r="C392" s="214"/>
      <c r="D392" s="215"/>
      <c r="E392" s="215"/>
      <c r="F392" s="215"/>
      <c r="G392" s="215"/>
      <c r="H392" s="215"/>
    </row>
    <row r="393" ht="15.75" customHeight="1">
      <c r="A393" s="33"/>
      <c r="B393" s="45"/>
      <c r="C393" s="214"/>
      <c r="D393" s="215"/>
      <c r="E393" s="215"/>
      <c r="F393" s="215"/>
      <c r="G393" s="215"/>
      <c r="H393" s="215"/>
    </row>
    <row r="394" ht="15.75" customHeight="1">
      <c r="A394" s="33"/>
      <c r="B394" s="45"/>
      <c r="C394" s="214"/>
      <c r="D394" s="215"/>
      <c r="E394" s="215"/>
      <c r="F394" s="215"/>
      <c r="G394" s="215"/>
      <c r="H394" s="215"/>
    </row>
    <row r="395" ht="15.75" customHeight="1">
      <c r="A395" s="33"/>
      <c r="B395" s="45"/>
      <c r="C395" s="214"/>
      <c r="D395" s="215"/>
      <c r="E395" s="215"/>
      <c r="F395" s="215"/>
      <c r="G395" s="215"/>
      <c r="H395" s="215"/>
    </row>
    <row r="396" ht="15.75" customHeight="1">
      <c r="A396" s="33"/>
      <c r="B396" s="45"/>
      <c r="C396" s="214"/>
      <c r="D396" s="215"/>
      <c r="E396" s="215"/>
      <c r="F396" s="215"/>
      <c r="G396" s="215"/>
      <c r="H396" s="215"/>
    </row>
    <row r="397" ht="15.75" customHeight="1">
      <c r="A397" s="33"/>
      <c r="B397" s="45"/>
      <c r="C397" s="214"/>
      <c r="D397" s="215"/>
      <c r="E397" s="215"/>
      <c r="F397" s="215"/>
      <c r="G397" s="215"/>
      <c r="H397" s="215"/>
    </row>
    <row r="398" ht="15.75" customHeight="1">
      <c r="A398" s="33"/>
      <c r="B398" s="45"/>
      <c r="C398" s="214"/>
      <c r="D398" s="215"/>
      <c r="E398" s="215"/>
      <c r="F398" s="215"/>
      <c r="G398" s="215"/>
      <c r="H398" s="215"/>
    </row>
    <row r="399" ht="15.75" customHeight="1">
      <c r="A399" s="33"/>
      <c r="B399" s="45"/>
      <c r="C399" s="214"/>
      <c r="D399" s="215"/>
      <c r="E399" s="215"/>
      <c r="F399" s="215"/>
      <c r="G399" s="215"/>
      <c r="H399" s="215"/>
    </row>
    <row r="400" ht="15.75" customHeight="1">
      <c r="A400" s="33"/>
      <c r="B400" s="45"/>
      <c r="C400" s="214"/>
      <c r="D400" s="215"/>
      <c r="E400" s="215"/>
      <c r="F400" s="215"/>
      <c r="G400" s="215"/>
      <c r="H400" s="215"/>
    </row>
    <row r="401" ht="15.75" customHeight="1">
      <c r="A401" s="33"/>
      <c r="B401" s="45"/>
      <c r="C401" s="214"/>
      <c r="D401" s="215"/>
      <c r="E401" s="215"/>
      <c r="F401" s="215"/>
      <c r="G401" s="215"/>
      <c r="H401" s="215"/>
    </row>
    <row r="402" ht="15.75" customHeight="1">
      <c r="A402" s="33"/>
      <c r="B402" s="45"/>
      <c r="C402" s="214"/>
      <c r="D402" s="215"/>
      <c r="E402" s="215"/>
      <c r="F402" s="215"/>
      <c r="G402" s="215"/>
      <c r="H402" s="215"/>
    </row>
    <row r="403" ht="15.75" customHeight="1">
      <c r="A403" s="33"/>
      <c r="B403" s="45"/>
      <c r="C403" s="214"/>
      <c r="D403" s="215"/>
      <c r="E403" s="215"/>
      <c r="F403" s="215"/>
      <c r="G403" s="215"/>
      <c r="H403" s="215"/>
    </row>
    <row r="404" ht="15.75" customHeight="1">
      <c r="A404" s="33"/>
      <c r="B404" s="45"/>
      <c r="C404" s="214"/>
      <c r="D404" s="215"/>
      <c r="E404" s="215"/>
      <c r="F404" s="215"/>
      <c r="G404" s="215"/>
      <c r="H404" s="215"/>
    </row>
    <row r="405" ht="15.75" customHeight="1">
      <c r="A405" s="33"/>
      <c r="B405" s="45"/>
      <c r="C405" s="214"/>
      <c r="D405" s="215"/>
      <c r="E405" s="215"/>
      <c r="F405" s="215"/>
      <c r="G405" s="215"/>
      <c r="H405" s="215"/>
    </row>
    <row r="406" ht="15.75" customHeight="1">
      <c r="A406" s="33"/>
      <c r="B406" s="45"/>
      <c r="C406" s="214"/>
      <c r="D406" s="215"/>
      <c r="E406" s="215"/>
      <c r="F406" s="215"/>
      <c r="G406" s="215"/>
      <c r="H406" s="215"/>
    </row>
    <row r="407" ht="15.75" customHeight="1">
      <c r="A407" s="33"/>
      <c r="B407" s="45"/>
      <c r="C407" s="214"/>
      <c r="D407" s="215"/>
      <c r="E407" s="215"/>
      <c r="F407" s="215"/>
      <c r="G407" s="215"/>
      <c r="H407" s="215"/>
    </row>
    <row r="408" ht="15.75" customHeight="1">
      <c r="A408" s="33"/>
      <c r="B408" s="45"/>
      <c r="C408" s="214"/>
      <c r="D408" s="215"/>
      <c r="E408" s="215"/>
      <c r="F408" s="215"/>
      <c r="G408" s="215"/>
      <c r="H408" s="215"/>
    </row>
    <row r="409" ht="15.75" customHeight="1">
      <c r="A409" s="33"/>
      <c r="B409" s="45"/>
      <c r="C409" s="214"/>
      <c r="D409" s="215"/>
      <c r="E409" s="215"/>
      <c r="F409" s="215"/>
      <c r="G409" s="215"/>
      <c r="H409" s="215"/>
    </row>
    <row r="410" ht="15.75" customHeight="1">
      <c r="A410" s="33"/>
      <c r="B410" s="45"/>
      <c r="C410" s="214"/>
      <c r="D410" s="215"/>
      <c r="E410" s="215"/>
      <c r="F410" s="215"/>
      <c r="G410" s="215"/>
      <c r="H410" s="215"/>
    </row>
    <row r="411" ht="15.75" customHeight="1">
      <c r="A411" s="33"/>
      <c r="B411" s="45"/>
      <c r="C411" s="214"/>
      <c r="D411" s="215"/>
      <c r="E411" s="215"/>
      <c r="F411" s="215"/>
      <c r="G411" s="215"/>
      <c r="H411" s="215"/>
    </row>
    <row r="412" ht="15.75" customHeight="1">
      <c r="A412" s="33"/>
      <c r="B412" s="45"/>
      <c r="C412" s="214"/>
      <c r="D412" s="215"/>
      <c r="E412" s="215"/>
      <c r="F412" s="215"/>
      <c r="G412" s="215"/>
      <c r="H412" s="215"/>
    </row>
    <row r="413" ht="15.75" customHeight="1">
      <c r="A413" s="33"/>
      <c r="B413" s="45"/>
      <c r="C413" s="214"/>
      <c r="D413" s="215"/>
      <c r="E413" s="215"/>
      <c r="F413" s="215"/>
      <c r="G413" s="215"/>
      <c r="H413" s="215"/>
    </row>
    <row r="414" ht="15.75" customHeight="1">
      <c r="A414" s="33"/>
      <c r="B414" s="45"/>
      <c r="C414" s="214"/>
      <c r="D414" s="215"/>
      <c r="E414" s="215"/>
      <c r="F414" s="215"/>
      <c r="G414" s="215"/>
      <c r="H414" s="215"/>
    </row>
    <row r="415" ht="15.75" customHeight="1">
      <c r="A415" s="33"/>
      <c r="B415" s="45"/>
      <c r="C415" s="214"/>
      <c r="D415" s="215"/>
      <c r="E415" s="215"/>
      <c r="F415" s="215"/>
      <c r="G415" s="215"/>
      <c r="H415" s="215"/>
    </row>
    <row r="416" ht="15.75" customHeight="1">
      <c r="A416" s="33"/>
      <c r="B416" s="45"/>
      <c r="C416" s="214"/>
      <c r="D416" s="215"/>
      <c r="E416" s="215"/>
      <c r="F416" s="215"/>
      <c r="G416" s="215"/>
      <c r="H416" s="215"/>
    </row>
    <row r="417" ht="15.75" customHeight="1">
      <c r="A417" s="33"/>
      <c r="B417" s="45"/>
      <c r="C417" s="214"/>
      <c r="D417" s="215"/>
      <c r="E417" s="215"/>
      <c r="F417" s="215"/>
      <c r="G417" s="215"/>
      <c r="H417" s="215"/>
    </row>
    <row r="418" ht="15.75" customHeight="1">
      <c r="A418" s="33"/>
      <c r="B418" s="45"/>
      <c r="C418" s="214"/>
      <c r="D418" s="215"/>
      <c r="E418" s="215"/>
      <c r="F418" s="215"/>
      <c r="G418" s="215"/>
      <c r="H418" s="215"/>
    </row>
    <row r="419" ht="15.75" customHeight="1">
      <c r="A419" s="33"/>
      <c r="B419" s="45"/>
      <c r="C419" s="214"/>
      <c r="D419" s="215"/>
      <c r="E419" s="215"/>
      <c r="F419" s="215"/>
      <c r="G419" s="215"/>
      <c r="H419" s="215"/>
    </row>
    <row r="420" ht="15.75" customHeight="1">
      <c r="A420" s="33"/>
      <c r="B420" s="45"/>
      <c r="C420" s="214"/>
      <c r="D420" s="215"/>
      <c r="E420" s="215"/>
      <c r="F420" s="215"/>
      <c r="G420" s="215"/>
      <c r="H420" s="215"/>
    </row>
    <row r="421" ht="15.75" customHeight="1">
      <c r="A421" s="33"/>
      <c r="B421" s="45"/>
      <c r="C421" s="214"/>
      <c r="D421" s="215"/>
      <c r="E421" s="215"/>
      <c r="F421" s="215"/>
      <c r="G421" s="215"/>
      <c r="H421" s="215"/>
    </row>
    <row r="422" ht="15.75" customHeight="1">
      <c r="A422" s="33"/>
      <c r="B422" s="45"/>
      <c r="C422" s="214"/>
      <c r="D422" s="215"/>
      <c r="E422" s="215"/>
      <c r="F422" s="215"/>
      <c r="G422" s="215"/>
      <c r="H422" s="215"/>
    </row>
    <row r="423" ht="15.75" customHeight="1">
      <c r="A423" s="33"/>
      <c r="B423" s="45"/>
      <c r="C423" s="214"/>
      <c r="D423" s="215"/>
      <c r="E423" s="215"/>
      <c r="F423" s="215"/>
      <c r="G423" s="215"/>
      <c r="H423" s="215"/>
    </row>
    <row r="424" ht="15.75" customHeight="1">
      <c r="A424" s="33"/>
      <c r="B424" s="45"/>
      <c r="C424" s="214"/>
      <c r="D424" s="215"/>
      <c r="E424" s="215"/>
      <c r="F424" s="215"/>
      <c r="G424" s="215"/>
      <c r="H424" s="215"/>
    </row>
    <row r="425" ht="15.75" customHeight="1">
      <c r="A425" s="33"/>
      <c r="B425" s="45"/>
      <c r="C425" s="214"/>
      <c r="D425" s="215"/>
      <c r="E425" s="215"/>
      <c r="F425" s="215"/>
      <c r="G425" s="215"/>
      <c r="H425" s="215"/>
    </row>
    <row r="426" ht="15.75" customHeight="1">
      <c r="A426" s="33"/>
      <c r="B426" s="45"/>
      <c r="C426" s="214"/>
      <c r="D426" s="215"/>
      <c r="E426" s="215"/>
      <c r="F426" s="215"/>
      <c r="G426" s="215"/>
      <c r="H426" s="215"/>
    </row>
    <row r="427" ht="15.75" customHeight="1">
      <c r="A427" s="33"/>
      <c r="B427" s="45"/>
      <c r="C427" s="214"/>
      <c r="D427" s="215"/>
      <c r="E427" s="215"/>
      <c r="F427" s="215"/>
      <c r="G427" s="215"/>
      <c r="H427" s="215"/>
    </row>
    <row r="428" ht="15.75" customHeight="1">
      <c r="A428" s="33"/>
      <c r="B428" s="45"/>
      <c r="C428" s="214"/>
      <c r="D428" s="215"/>
      <c r="E428" s="215"/>
      <c r="F428" s="215"/>
      <c r="G428" s="215"/>
      <c r="H428" s="215"/>
    </row>
    <row r="429" ht="15.75" customHeight="1">
      <c r="A429" s="33"/>
      <c r="B429" s="45"/>
      <c r="C429" s="214"/>
      <c r="D429" s="215"/>
      <c r="E429" s="215"/>
      <c r="F429" s="215"/>
      <c r="G429" s="215"/>
      <c r="H429" s="215"/>
    </row>
    <row r="430" ht="15.75" customHeight="1">
      <c r="A430" s="33"/>
      <c r="B430" s="45"/>
      <c r="C430" s="214"/>
      <c r="D430" s="215"/>
      <c r="E430" s="215"/>
      <c r="F430" s="215"/>
      <c r="G430" s="215"/>
      <c r="H430" s="215"/>
    </row>
    <row r="431" ht="15.75" customHeight="1">
      <c r="A431" s="33"/>
      <c r="B431" s="45"/>
      <c r="C431" s="214"/>
      <c r="D431" s="215"/>
      <c r="E431" s="215"/>
      <c r="F431" s="215"/>
      <c r="G431" s="215"/>
      <c r="H431" s="215"/>
    </row>
    <row r="432" ht="15.75" customHeight="1">
      <c r="A432" s="33"/>
      <c r="B432" s="45"/>
      <c r="C432" s="214"/>
      <c r="D432" s="215"/>
      <c r="E432" s="215"/>
      <c r="F432" s="215"/>
      <c r="G432" s="215"/>
      <c r="H432" s="215"/>
    </row>
    <row r="433" ht="15.75" customHeight="1">
      <c r="A433" s="33"/>
      <c r="B433" s="45"/>
      <c r="C433" s="214"/>
      <c r="D433" s="215"/>
      <c r="E433" s="215"/>
      <c r="F433" s="215"/>
      <c r="G433" s="215"/>
      <c r="H433" s="215"/>
    </row>
    <row r="434" ht="15.75" customHeight="1">
      <c r="A434" s="33"/>
      <c r="B434" s="45"/>
      <c r="C434" s="214"/>
      <c r="D434" s="215"/>
      <c r="E434" s="215"/>
      <c r="F434" s="215"/>
      <c r="G434" s="215"/>
      <c r="H434" s="215"/>
    </row>
    <row r="435" ht="15.75" customHeight="1">
      <c r="A435" s="33"/>
      <c r="B435" s="45"/>
      <c r="C435" s="214"/>
      <c r="D435" s="215"/>
      <c r="E435" s="215"/>
      <c r="F435" s="215"/>
      <c r="G435" s="215"/>
      <c r="H435" s="215"/>
    </row>
    <row r="436" ht="15.75" customHeight="1">
      <c r="A436" s="33"/>
      <c r="B436" s="45"/>
      <c r="C436" s="214"/>
      <c r="D436" s="215"/>
      <c r="E436" s="215"/>
      <c r="F436" s="215"/>
      <c r="G436" s="215"/>
      <c r="H436" s="215"/>
    </row>
    <row r="437" ht="15.75" customHeight="1">
      <c r="A437" s="33"/>
      <c r="B437" s="45"/>
      <c r="C437" s="214"/>
      <c r="D437" s="215"/>
      <c r="E437" s="215"/>
      <c r="F437" s="215"/>
      <c r="G437" s="215"/>
      <c r="H437" s="215"/>
    </row>
    <row r="438" ht="15.75" customHeight="1">
      <c r="A438" s="33"/>
      <c r="B438" s="45"/>
      <c r="C438" s="214"/>
      <c r="D438" s="215"/>
      <c r="E438" s="215"/>
      <c r="F438" s="215"/>
      <c r="G438" s="215"/>
      <c r="H438" s="215"/>
    </row>
    <row r="439" ht="15.75" customHeight="1">
      <c r="A439" s="33"/>
      <c r="B439" s="45"/>
      <c r="C439" s="214"/>
      <c r="D439" s="215"/>
      <c r="E439" s="215"/>
      <c r="F439" s="215"/>
      <c r="G439" s="215"/>
      <c r="H439" s="215"/>
    </row>
    <row r="440" ht="15.75" customHeight="1">
      <c r="A440" s="33"/>
      <c r="B440" s="45"/>
      <c r="C440" s="214"/>
      <c r="D440" s="215"/>
      <c r="E440" s="215"/>
      <c r="F440" s="215"/>
      <c r="G440" s="215"/>
      <c r="H440" s="215"/>
    </row>
    <row r="441" ht="15.75" customHeight="1">
      <c r="A441" s="33"/>
      <c r="B441" s="45"/>
      <c r="C441" s="214"/>
      <c r="D441" s="215"/>
      <c r="E441" s="215"/>
      <c r="F441" s="215"/>
      <c r="G441" s="215"/>
      <c r="H441" s="215"/>
    </row>
    <row r="442" ht="15.75" customHeight="1">
      <c r="A442" s="33"/>
      <c r="B442" s="45"/>
      <c r="C442" s="214"/>
      <c r="D442" s="215"/>
      <c r="E442" s="215"/>
      <c r="F442" s="215"/>
      <c r="G442" s="215"/>
      <c r="H442" s="215"/>
    </row>
    <row r="443" ht="15.75" customHeight="1">
      <c r="A443" s="33"/>
      <c r="B443" s="45"/>
      <c r="C443" s="214"/>
      <c r="D443" s="215"/>
      <c r="E443" s="215"/>
      <c r="F443" s="215"/>
      <c r="G443" s="215"/>
      <c r="H443" s="215"/>
    </row>
    <row r="444" ht="15.75" customHeight="1">
      <c r="A444" s="33"/>
      <c r="B444" s="45"/>
      <c r="C444" s="214"/>
      <c r="D444" s="215"/>
      <c r="E444" s="215"/>
      <c r="F444" s="215"/>
      <c r="G444" s="215"/>
      <c r="H444" s="215"/>
    </row>
    <row r="445" ht="15.75" customHeight="1">
      <c r="A445" s="33"/>
      <c r="B445" s="45"/>
      <c r="C445" s="214"/>
      <c r="D445" s="215"/>
      <c r="E445" s="215"/>
      <c r="F445" s="215"/>
      <c r="G445" s="215"/>
      <c r="H445" s="215"/>
    </row>
    <row r="446" ht="15.75" customHeight="1">
      <c r="A446" s="33"/>
      <c r="B446" s="45"/>
      <c r="C446" s="214"/>
      <c r="D446" s="215"/>
      <c r="E446" s="215"/>
      <c r="F446" s="215"/>
      <c r="G446" s="215"/>
      <c r="H446" s="215"/>
    </row>
    <row r="447" ht="15.75" customHeight="1">
      <c r="A447" s="33"/>
      <c r="B447" s="45"/>
      <c r="C447" s="214"/>
      <c r="D447" s="215"/>
      <c r="E447" s="215"/>
      <c r="F447" s="215"/>
      <c r="G447" s="215"/>
      <c r="H447" s="215"/>
    </row>
    <row r="448" ht="15.75" customHeight="1">
      <c r="A448" s="33"/>
      <c r="B448" s="45"/>
      <c r="C448" s="214"/>
      <c r="D448" s="215"/>
      <c r="E448" s="215"/>
      <c r="F448" s="215"/>
      <c r="G448" s="215"/>
      <c r="H448" s="215"/>
    </row>
    <row r="449" ht="15.75" customHeight="1">
      <c r="A449" s="33"/>
      <c r="B449" s="45"/>
      <c r="C449" s="214"/>
      <c r="D449" s="215"/>
      <c r="E449" s="215"/>
      <c r="F449" s="215"/>
      <c r="G449" s="215"/>
      <c r="H449" s="215"/>
    </row>
    <row r="450" ht="15.75" customHeight="1">
      <c r="A450" s="33"/>
      <c r="B450" s="45"/>
      <c r="C450" s="214"/>
      <c r="D450" s="215"/>
      <c r="E450" s="215"/>
      <c r="F450" s="215"/>
      <c r="G450" s="215"/>
      <c r="H450" s="215"/>
    </row>
    <row r="451" ht="15.75" customHeight="1">
      <c r="A451" s="33"/>
      <c r="B451" s="45"/>
      <c r="C451" s="214"/>
      <c r="D451" s="215"/>
      <c r="E451" s="215"/>
      <c r="F451" s="215"/>
      <c r="G451" s="215"/>
      <c r="H451" s="215"/>
    </row>
    <row r="452" ht="15.75" customHeight="1">
      <c r="A452" s="33"/>
      <c r="B452" s="45"/>
      <c r="C452" s="214"/>
      <c r="D452" s="215"/>
      <c r="E452" s="215"/>
      <c r="F452" s="215"/>
      <c r="G452" s="215"/>
      <c r="H452" s="215"/>
    </row>
    <row r="453" ht="15.75" customHeight="1">
      <c r="A453" s="33"/>
      <c r="B453" s="45"/>
      <c r="C453" s="214"/>
      <c r="D453" s="215"/>
      <c r="E453" s="215"/>
      <c r="F453" s="215"/>
      <c r="G453" s="215"/>
      <c r="H453" s="215"/>
    </row>
    <row r="454" ht="15.75" customHeight="1">
      <c r="A454" s="33"/>
      <c r="B454" s="45"/>
      <c r="C454" s="214"/>
      <c r="D454" s="215"/>
      <c r="E454" s="215"/>
      <c r="F454" s="215"/>
      <c r="G454" s="215"/>
      <c r="H454" s="215"/>
    </row>
    <row r="455" ht="15.75" customHeight="1">
      <c r="A455" s="33"/>
      <c r="B455" s="45"/>
      <c r="C455" s="214"/>
      <c r="D455" s="215"/>
      <c r="E455" s="215"/>
      <c r="F455" s="215"/>
      <c r="G455" s="215"/>
      <c r="H455" s="215"/>
    </row>
    <row r="456" ht="15.75" customHeight="1">
      <c r="A456" s="33"/>
      <c r="B456" s="45"/>
      <c r="C456" s="214"/>
      <c r="D456" s="215"/>
      <c r="E456" s="215"/>
      <c r="F456" s="215"/>
      <c r="G456" s="215"/>
      <c r="H456" s="215"/>
    </row>
    <row r="457" ht="15.75" customHeight="1">
      <c r="A457" s="33"/>
      <c r="B457" s="45"/>
      <c r="C457" s="214"/>
      <c r="D457" s="215"/>
      <c r="E457" s="215"/>
      <c r="F457" s="215"/>
      <c r="G457" s="215"/>
      <c r="H457" s="215"/>
    </row>
    <row r="458" ht="15.75" customHeight="1">
      <c r="A458" s="33"/>
      <c r="B458" s="45"/>
      <c r="C458" s="214"/>
      <c r="D458" s="215"/>
      <c r="E458" s="215"/>
      <c r="F458" s="215"/>
      <c r="G458" s="215"/>
      <c r="H458" s="215"/>
    </row>
    <row r="459" ht="15.75" customHeight="1">
      <c r="A459" s="33"/>
      <c r="B459" s="45"/>
      <c r="C459" s="214"/>
      <c r="D459" s="215"/>
      <c r="E459" s="215"/>
      <c r="F459" s="215"/>
      <c r="G459" s="215"/>
      <c r="H459" s="215"/>
    </row>
    <row r="460" ht="15.75" customHeight="1">
      <c r="A460" s="33"/>
      <c r="B460" s="45"/>
      <c r="C460" s="214"/>
      <c r="D460" s="215"/>
      <c r="E460" s="215"/>
      <c r="F460" s="215"/>
      <c r="G460" s="215"/>
      <c r="H460" s="215"/>
    </row>
    <row r="461" ht="15.75" customHeight="1">
      <c r="A461" s="33"/>
      <c r="B461" s="45"/>
      <c r="C461" s="214"/>
      <c r="D461" s="215"/>
      <c r="E461" s="215"/>
      <c r="F461" s="215"/>
      <c r="G461" s="215"/>
      <c r="H461" s="215"/>
    </row>
    <row r="462" ht="15.75" customHeight="1">
      <c r="A462" s="33"/>
      <c r="B462" s="45"/>
      <c r="C462" s="214"/>
      <c r="D462" s="215"/>
      <c r="E462" s="215"/>
      <c r="F462" s="215"/>
      <c r="G462" s="215"/>
      <c r="H462" s="215"/>
    </row>
    <row r="463" ht="15.75" customHeight="1">
      <c r="A463" s="33"/>
      <c r="B463" s="45"/>
      <c r="C463" s="214"/>
      <c r="D463" s="215"/>
      <c r="E463" s="215"/>
      <c r="F463" s="215"/>
      <c r="G463" s="215"/>
      <c r="H463" s="215"/>
    </row>
    <row r="464" ht="15.75" customHeight="1">
      <c r="A464" s="33"/>
      <c r="B464" s="45"/>
      <c r="C464" s="214"/>
      <c r="D464" s="215"/>
      <c r="E464" s="215"/>
      <c r="F464" s="215"/>
      <c r="G464" s="215"/>
      <c r="H464" s="215"/>
    </row>
    <row r="465" ht="15.75" customHeight="1">
      <c r="A465" s="33"/>
      <c r="B465" s="45"/>
      <c r="C465" s="214"/>
      <c r="D465" s="215"/>
      <c r="E465" s="215"/>
      <c r="F465" s="215"/>
      <c r="G465" s="215"/>
      <c r="H465" s="215"/>
    </row>
    <row r="466" ht="15.75" customHeight="1">
      <c r="A466" s="33"/>
      <c r="B466" s="45"/>
      <c r="C466" s="214"/>
      <c r="D466" s="215"/>
      <c r="E466" s="215"/>
      <c r="F466" s="215"/>
      <c r="G466" s="215"/>
      <c r="H466" s="215"/>
    </row>
    <row r="467" ht="15.75" customHeight="1">
      <c r="A467" s="33"/>
      <c r="B467" s="45"/>
      <c r="C467" s="214"/>
      <c r="D467" s="215"/>
      <c r="E467" s="215"/>
      <c r="F467" s="215"/>
      <c r="G467" s="215"/>
      <c r="H467" s="215"/>
    </row>
    <row r="468" ht="15.75" customHeight="1">
      <c r="A468" s="33"/>
      <c r="B468" s="45"/>
      <c r="C468" s="214"/>
      <c r="D468" s="215"/>
      <c r="E468" s="215"/>
      <c r="F468" s="215"/>
      <c r="G468" s="215"/>
      <c r="H468" s="215"/>
    </row>
    <row r="469" ht="15.75" customHeight="1">
      <c r="A469" s="33"/>
      <c r="B469" s="45"/>
      <c r="C469" s="214"/>
      <c r="D469" s="215"/>
      <c r="E469" s="215"/>
      <c r="F469" s="215"/>
      <c r="G469" s="215"/>
      <c r="H469" s="215"/>
    </row>
    <row r="470" ht="15.75" customHeight="1">
      <c r="A470" s="33"/>
      <c r="B470" s="45"/>
      <c r="C470" s="214"/>
      <c r="D470" s="215"/>
      <c r="E470" s="215"/>
      <c r="F470" s="215"/>
      <c r="G470" s="215"/>
      <c r="H470" s="215"/>
    </row>
    <row r="471" ht="15.75" customHeight="1">
      <c r="A471" s="33"/>
      <c r="B471" s="45"/>
      <c r="C471" s="214"/>
      <c r="D471" s="215"/>
      <c r="E471" s="215"/>
      <c r="F471" s="215"/>
      <c r="G471" s="215"/>
      <c r="H471" s="215"/>
    </row>
    <row r="472" ht="15.75" customHeight="1">
      <c r="A472" s="33"/>
      <c r="B472" s="45"/>
      <c r="C472" s="214"/>
      <c r="D472" s="215"/>
      <c r="E472" s="215"/>
      <c r="F472" s="215"/>
      <c r="G472" s="215"/>
      <c r="H472" s="215"/>
    </row>
    <row r="473" ht="15.75" customHeight="1">
      <c r="A473" s="33"/>
      <c r="B473" s="45"/>
      <c r="C473" s="214"/>
      <c r="D473" s="215"/>
      <c r="E473" s="215"/>
      <c r="F473" s="215"/>
      <c r="G473" s="215"/>
      <c r="H473" s="215"/>
    </row>
    <row r="474" ht="15.75" customHeight="1">
      <c r="A474" s="33"/>
      <c r="B474" s="45"/>
      <c r="C474" s="214"/>
      <c r="D474" s="215"/>
      <c r="E474" s="215"/>
      <c r="F474" s="215"/>
      <c r="G474" s="215"/>
      <c r="H474" s="215"/>
    </row>
    <row r="475" ht="15.75" customHeight="1">
      <c r="A475" s="33"/>
      <c r="B475" s="45"/>
      <c r="C475" s="214"/>
      <c r="D475" s="215"/>
      <c r="E475" s="215"/>
      <c r="F475" s="215"/>
      <c r="G475" s="215"/>
      <c r="H475" s="215"/>
    </row>
    <row r="476" ht="15.75" customHeight="1">
      <c r="A476" s="33"/>
      <c r="B476" s="45"/>
      <c r="C476" s="214"/>
      <c r="D476" s="215"/>
      <c r="E476" s="215"/>
      <c r="F476" s="215"/>
      <c r="G476" s="215"/>
      <c r="H476" s="215"/>
    </row>
    <row r="477" ht="15.75" customHeight="1">
      <c r="A477" s="33"/>
      <c r="B477" s="45"/>
      <c r="C477" s="214"/>
      <c r="D477" s="215"/>
      <c r="E477" s="215"/>
      <c r="F477" s="215"/>
      <c r="G477" s="215"/>
      <c r="H477" s="215"/>
    </row>
    <row r="478" ht="15.75" customHeight="1">
      <c r="A478" s="33"/>
      <c r="B478" s="45"/>
      <c r="C478" s="214"/>
      <c r="D478" s="215"/>
      <c r="E478" s="215"/>
      <c r="F478" s="215"/>
      <c r="G478" s="215"/>
      <c r="H478" s="215"/>
    </row>
    <row r="479" ht="15.75" customHeight="1">
      <c r="A479" s="33"/>
      <c r="B479" s="45"/>
      <c r="C479" s="214"/>
      <c r="D479" s="215"/>
      <c r="E479" s="215"/>
      <c r="F479" s="215"/>
      <c r="G479" s="215"/>
      <c r="H479" s="215"/>
    </row>
    <row r="480" ht="15.75" customHeight="1">
      <c r="A480" s="33"/>
      <c r="B480" s="45"/>
      <c r="C480" s="214"/>
      <c r="D480" s="215"/>
      <c r="E480" s="215"/>
      <c r="F480" s="215"/>
      <c r="G480" s="215"/>
      <c r="H480" s="215"/>
    </row>
    <row r="481" ht="15.75" customHeight="1">
      <c r="A481" s="33"/>
      <c r="B481" s="45"/>
      <c r="C481" s="214"/>
      <c r="D481" s="215"/>
      <c r="E481" s="215"/>
      <c r="F481" s="215"/>
      <c r="G481" s="215"/>
      <c r="H481" s="215"/>
    </row>
    <row r="482" ht="15.75" customHeight="1">
      <c r="A482" s="33"/>
      <c r="B482" s="45"/>
      <c r="C482" s="214"/>
      <c r="D482" s="215"/>
      <c r="E482" s="215"/>
      <c r="F482" s="215"/>
      <c r="G482" s="215"/>
      <c r="H482" s="215"/>
    </row>
    <row r="483" ht="15.75" customHeight="1">
      <c r="A483" s="33"/>
      <c r="B483" s="45"/>
      <c r="C483" s="214"/>
      <c r="D483" s="215"/>
      <c r="E483" s="215"/>
      <c r="F483" s="215"/>
      <c r="G483" s="215"/>
      <c r="H483" s="215"/>
    </row>
    <row r="484" ht="15.75" customHeight="1">
      <c r="A484" s="33"/>
      <c r="B484" s="45"/>
      <c r="C484" s="214"/>
      <c r="D484" s="215"/>
      <c r="E484" s="215"/>
      <c r="F484" s="215"/>
      <c r="G484" s="215"/>
      <c r="H484" s="215"/>
    </row>
    <row r="485" ht="15.75" customHeight="1">
      <c r="A485" s="33"/>
      <c r="B485" s="45"/>
      <c r="C485" s="214"/>
      <c r="D485" s="215"/>
      <c r="E485" s="215"/>
      <c r="F485" s="215"/>
      <c r="G485" s="215"/>
      <c r="H485" s="215"/>
    </row>
    <row r="486" ht="15.75" customHeight="1">
      <c r="A486" s="33"/>
      <c r="B486" s="45"/>
      <c r="C486" s="214"/>
      <c r="D486" s="215"/>
      <c r="E486" s="215"/>
      <c r="F486" s="215"/>
      <c r="G486" s="215"/>
      <c r="H486" s="215"/>
    </row>
    <row r="487" ht="15.75" customHeight="1">
      <c r="A487" s="33"/>
      <c r="B487" s="45"/>
      <c r="C487" s="214"/>
      <c r="D487" s="215"/>
      <c r="E487" s="215"/>
      <c r="F487" s="215"/>
      <c r="G487" s="215"/>
      <c r="H487" s="215"/>
    </row>
    <row r="488" ht="15.75" customHeight="1">
      <c r="A488" s="33"/>
      <c r="B488" s="45"/>
      <c r="C488" s="214"/>
      <c r="D488" s="215"/>
      <c r="E488" s="215"/>
      <c r="F488" s="215"/>
      <c r="G488" s="215"/>
      <c r="H488" s="215"/>
    </row>
    <row r="489" ht="15.75" customHeight="1">
      <c r="A489" s="33"/>
      <c r="B489" s="45"/>
      <c r="C489" s="214"/>
      <c r="D489" s="215"/>
      <c r="E489" s="215"/>
      <c r="F489" s="215"/>
      <c r="G489" s="215"/>
      <c r="H489" s="215"/>
    </row>
    <row r="490" ht="15.75" customHeight="1">
      <c r="A490" s="33"/>
      <c r="B490" s="45"/>
      <c r="C490" s="214"/>
      <c r="D490" s="215"/>
      <c r="E490" s="215"/>
      <c r="F490" s="215"/>
      <c r="G490" s="215"/>
      <c r="H490" s="215"/>
    </row>
    <row r="491" ht="15.75" customHeight="1">
      <c r="A491" s="33"/>
      <c r="B491" s="45"/>
      <c r="C491" s="214"/>
      <c r="D491" s="215"/>
      <c r="E491" s="215"/>
      <c r="F491" s="215"/>
      <c r="G491" s="215"/>
      <c r="H491" s="215"/>
    </row>
    <row r="492" ht="15.75" customHeight="1">
      <c r="A492" s="33"/>
      <c r="B492" s="45"/>
      <c r="C492" s="214"/>
      <c r="D492" s="215"/>
      <c r="E492" s="215"/>
      <c r="F492" s="215"/>
      <c r="G492" s="215"/>
      <c r="H492" s="215"/>
    </row>
    <row r="493" ht="15.75" customHeight="1">
      <c r="A493" s="33"/>
      <c r="B493" s="45"/>
      <c r="C493" s="214"/>
      <c r="D493" s="215"/>
      <c r="E493" s="215"/>
      <c r="F493" s="215"/>
      <c r="G493" s="215"/>
      <c r="H493" s="215"/>
    </row>
    <row r="494" ht="15.75" customHeight="1">
      <c r="A494" s="33"/>
      <c r="B494" s="45"/>
      <c r="C494" s="214"/>
      <c r="D494" s="215"/>
      <c r="E494" s="215"/>
      <c r="F494" s="215"/>
      <c r="G494" s="215"/>
      <c r="H494" s="215"/>
    </row>
    <row r="495" ht="15.75" customHeight="1">
      <c r="A495" s="33"/>
      <c r="B495" s="45"/>
      <c r="C495" s="214"/>
      <c r="D495" s="215"/>
      <c r="E495" s="215"/>
      <c r="F495" s="215"/>
      <c r="G495" s="215"/>
      <c r="H495" s="215"/>
    </row>
    <row r="496" ht="15.75" customHeight="1">
      <c r="A496" s="33"/>
      <c r="B496" s="45"/>
      <c r="C496" s="214"/>
      <c r="D496" s="215"/>
      <c r="E496" s="215"/>
      <c r="F496" s="215"/>
      <c r="G496" s="215"/>
      <c r="H496" s="215"/>
    </row>
    <row r="497" ht="15.75" customHeight="1">
      <c r="A497" s="33"/>
      <c r="B497" s="45"/>
      <c r="C497" s="214"/>
      <c r="D497" s="215"/>
      <c r="E497" s="215"/>
      <c r="F497" s="215"/>
      <c r="G497" s="215"/>
      <c r="H497" s="215"/>
    </row>
    <row r="498" ht="15.75" customHeight="1">
      <c r="A498" s="33"/>
      <c r="B498" s="45"/>
      <c r="C498" s="214"/>
      <c r="D498" s="215"/>
      <c r="E498" s="215"/>
      <c r="F498" s="215"/>
      <c r="G498" s="215"/>
      <c r="H498" s="215"/>
    </row>
    <row r="499" ht="15.75" customHeight="1">
      <c r="A499" s="33"/>
      <c r="B499" s="45"/>
      <c r="C499" s="214"/>
      <c r="D499" s="215"/>
      <c r="E499" s="215"/>
      <c r="F499" s="215"/>
      <c r="G499" s="215"/>
      <c r="H499" s="215"/>
    </row>
    <row r="500" ht="15.75" customHeight="1">
      <c r="A500" s="33"/>
      <c r="B500" s="45"/>
      <c r="C500" s="214"/>
      <c r="D500" s="215"/>
      <c r="E500" s="215"/>
      <c r="F500" s="215"/>
      <c r="G500" s="215"/>
      <c r="H500" s="215"/>
    </row>
    <row r="501" ht="15.75" customHeight="1">
      <c r="A501" s="33"/>
      <c r="B501" s="45"/>
      <c r="C501" s="214"/>
      <c r="D501" s="215"/>
      <c r="E501" s="215"/>
      <c r="F501" s="215"/>
      <c r="G501" s="215"/>
      <c r="H501" s="215"/>
    </row>
    <row r="502" ht="15.75" customHeight="1">
      <c r="A502" s="33"/>
      <c r="B502" s="45"/>
      <c r="C502" s="214"/>
      <c r="D502" s="215"/>
      <c r="E502" s="215"/>
      <c r="F502" s="215"/>
      <c r="G502" s="215"/>
      <c r="H502" s="215"/>
    </row>
    <row r="503" ht="15.75" customHeight="1">
      <c r="A503" s="33"/>
      <c r="B503" s="45"/>
      <c r="C503" s="214"/>
      <c r="D503" s="215"/>
      <c r="E503" s="215"/>
      <c r="F503" s="215"/>
      <c r="G503" s="215"/>
      <c r="H503" s="215"/>
    </row>
    <row r="504" ht="15.75" customHeight="1">
      <c r="A504" s="33"/>
      <c r="B504" s="45"/>
      <c r="C504" s="214"/>
      <c r="D504" s="215"/>
      <c r="E504" s="215"/>
      <c r="F504" s="215"/>
      <c r="G504" s="215"/>
      <c r="H504" s="215"/>
    </row>
    <row r="505" ht="15.75" customHeight="1">
      <c r="A505" s="33"/>
      <c r="B505" s="45"/>
      <c r="C505" s="214"/>
      <c r="D505" s="215"/>
      <c r="E505" s="215"/>
      <c r="F505" s="215"/>
      <c r="G505" s="215"/>
      <c r="H505" s="215"/>
    </row>
    <row r="506" ht="15.75" customHeight="1">
      <c r="A506" s="33"/>
      <c r="B506" s="45"/>
      <c r="C506" s="214"/>
      <c r="D506" s="215"/>
      <c r="E506" s="215"/>
      <c r="F506" s="215"/>
      <c r="G506" s="215"/>
      <c r="H506" s="215"/>
    </row>
    <row r="507" ht="15.75" customHeight="1">
      <c r="A507" s="33"/>
      <c r="B507" s="45"/>
      <c r="C507" s="214"/>
      <c r="D507" s="215"/>
      <c r="E507" s="215"/>
      <c r="F507" s="215"/>
      <c r="G507" s="215"/>
      <c r="H507" s="215"/>
    </row>
    <row r="508" ht="15.75" customHeight="1">
      <c r="A508" s="33"/>
      <c r="B508" s="45"/>
      <c r="C508" s="214"/>
      <c r="D508" s="215"/>
      <c r="E508" s="215"/>
      <c r="F508" s="215"/>
      <c r="G508" s="215"/>
      <c r="H508" s="215"/>
    </row>
    <row r="509" ht="15.75" customHeight="1">
      <c r="A509" s="33"/>
      <c r="B509" s="45"/>
      <c r="C509" s="214"/>
      <c r="D509" s="215"/>
      <c r="E509" s="215"/>
      <c r="F509" s="215"/>
      <c r="G509" s="215"/>
      <c r="H509" s="215"/>
    </row>
    <row r="510" ht="15.75" customHeight="1">
      <c r="A510" s="33"/>
      <c r="B510" s="45"/>
      <c r="C510" s="214"/>
      <c r="D510" s="215"/>
      <c r="E510" s="215"/>
      <c r="F510" s="215"/>
      <c r="G510" s="215"/>
      <c r="H510" s="215"/>
    </row>
    <row r="511" ht="15.75" customHeight="1">
      <c r="A511" s="33"/>
      <c r="B511" s="45"/>
      <c r="C511" s="214"/>
      <c r="D511" s="215"/>
      <c r="E511" s="215"/>
      <c r="F511" s="215"/>
      <c r="G511" s="215"/>
      <c r="H511" s="215"/>
    </row>
    <row r="512" ht="15.75" customHeight="1">
      <c r="A512" s="33"/>
      <c r="B512" s="45"/>
      <c r="C512" s="214"/>
      <c r="D512" s="215"/>
      <c r="E512" s="215"/>
      <c r="F512" s="215"/>
      <c r="G512" s="215"/>
      <c r="H512" s="215"/>
    </row>
    <row r="513" ht="15.75" customHeight="1">
      <c r="A513" s="33"/>
      <c r="B513" s="45"/>
      <c r="C513" s="214"/>
      <c r="D513" s="215"/>
      <c r="E513" s="215"/>
      <c r="F513" s="215"/>
      <c r="G513" s="215"/>
      <c r="H513" s="215"/>
    </row>
    <row r="514" ht="15.75" customHeight="1">
      <c r="A514" s="33"/>
      <c r="B514" s="45"/>
      <c r="C514" s="214"/>
      <c r="D514" s="215"/>
      <c r="E514" s="215"/>
      <c r="F514" s="215"/>
      <c r="G514" s="215"/>
      <c r="H514" s="215"/>
    </row>
    <row r="515" ht="15.75" customHeight="1">
      <c r="A515" s="33"/>
      <c r="B515" s="45"/>
      <c r="C515" s="214"/>
      <c r="D515" s="215"/>
      <c r="E515" s="215"/>
      <c r="F515" s="215"/>
      <c r="G515" s="215"/>
      <c r="H515" s="215"/>
    </row>
    <row r="516" ht="15.75" customHeight="1">
      <c r="A516" s="33"/>
      <c r="B516" s="45"/>
      <c r="C516" s="214"/>
      <c r="D516" s="215"/>
      <c r="E516" s="215"/>
      <c r="F516" s="215"/>
      <c r="G516" s="215"/>
      <c r="H516" s="215"/>
    </row>
    <row r="517" ht="15.75" customHeight="1">
      <c r="A517" s="33"/>
      <c r="B517" s="45"/>
      <c r="C517" s="214"/>
      <c r="D517" s="215"/>
      <c r="E517" s="215"/>
      <c r="F517" s="215"/>
      <c r="G517" s="215"/>
      <c r="H517" s="215"/>
    </row>
    <row r="518" ht="15.75" customHeight="1">
      <c r="A518" s="33"/>
      <c r="B518" s="45"/>
      <c r="C518" s="214"/>
      <c r="D518" s="215"/>
      <c r="E518" s="215"/>
      <c r="F518" s="215"/>
      <c r="G518" s="215"/>
      <c r="H518" s="215"/>
    </row>
    <row r="519" ht="15.75" customHeight="1">
      <c r="A519" s="33"/>
      <c r="B519" s="45"/>
      <c r="C519" s="214"/>
      <c r="D519" s="215"/>
      <c r="E519" s="215"/>
      <c r="F519" s="215"/>
      <c r="G519" s="215"/>
      <c r="H519" s="215"/>
    </row>
    <row r="520" ht="15.75" customHeight="1">
      <c r="A520" s="33"/>
      <c r="B520" s="45"/>
      <c r="C520" s="214"/>
      <c r="D520" s="215"/>
      <c r="E520" s="215"/>
      <c r="F520" s="215"/>
      <c r="G520" s="215"/>
      <c r="H520" s="215"/>
    </row>
    <row r="521" ht="15.75" customHeight="1">
      <c r="A521" s="33"/>
      <c r="B521" s="45"/>
      <c r="C521" s="214"/>
      <c r="D521" s="215"/>
      <c r="E521" s="215"/>
      <c r="F521" s="215"/>
      <c r="G521" s="215"/>
      <c r="H521" s="215"/>
    </row>
    <row r="522" ht="15.75" customHeight="1">
      <c r="A522" s="33"/>
      <c r="B522" s="45"/>
      <c r="C522" s="214"/>
      <c r="D522" s="215"/>
      <c r="E522" s="215"/>
      <c r="F522" s="215"/>
      <c r="G522" s="215"/>
      <c r="H522" s="215"/>
    </row>
    <row r="523" ht="15.75" customHeight="1">
      <c r="A523" s="33"/>
      <c r="B523" s="45"/>
      <c r="C523" s="214"/>
      <c r="D523" s="215"/>
      <c r="E523" s="215"/>
      <c r="F523" s="215"/>
      <c r="G523" s="215"/>
      <c r="H523" s="215"/>
    </row>
    <row r="524" ht="15.75" customHeight="1">
      <c r="A524" s="33"/>
      <c r="B524" s="45"/>
      <c r="C524" s="214"/>
      <c r="D524" s="215"/>
      <c r="E524" s="215"/>
      <c r="F524" s="215"/>
      <c r="G524" s="215"/>
      <c r="H524" s="215"/>
    </row>
    <row r="525" ht="15.75" customHeight="1">
      <c r="A525" s="33"/>
      <c r="B525" s="45"/>
      <c r="C525" s="214"/>
      <c r="D525" s="215"/>
      <c r="E525" s="215"/>
      <c r="F525" s="215"/>
      <c r="G525" s="215"/>
      <c r="H525" s="215"/>
    </row>
    <row r="526" ht="15.75" customHeight="1">
      <c r="A526" s="33"/>
      <c r="B526" s="45"/>
      <c r="C526" s="214"/>
      <c r="D526" s="215"/>
      <c r="E526" s="215"/>
      <c r="F526" s="215"/>
      <c r="G526" s="215"/>
      <c r="H526" s="215"/>
    </row>
    <row r="527" ht="15.75" customHeight="1">
      <c r="A527" s="33"/>
      <c r="B527" s="45"/>
      <c r="C527" s="214"/>
      <c r="D527" s="215"/>
      <c r="E527" s="215"/>
      <c r="F527" s="215"/>
      <c r="G527" s="215"/>
      <c r="H527" s="215"/>
    </row>
    <row r="528" ht="15.75" customHeight="1">
      <c r="A528" s="33"/>
      <c r="B528" s="45"/>
      <c r="C528" s="214"/>
      <c r="D528" s="215"/>
      <c r="E528" s="215"/>
      <c r="F528" s="215"/>
      <c r="G528" s="215"/>
      <c r="H528" s="215"/>
    </row>
    <row r="529" ht="15.75" customHeight="1">
      <c r="A529" s="33"/>
      <c r="B529" s="45"/>
      <c r="C529" s="214"/>
      <c r="D529" s="215"/>
      <c r="E529" s="215"/>
      <c r="F529" s="215"/>
      <c r="G529" s="215"/>
      <c r="H529" s="215"/>
    </row>
    <row r="530" ht="15.75" customHeight="1">
      <c r="A530" s="33"/>
      <c r="B530" s="45"/>
      <c r="C530" s="214"/>
      <c r="D530" s="215"/>
      <c r="E530" s="215"/>
      <c r="F530" s="215"/>
      <c r="G530" s="215"/>
      <c r="H530" s="215"/>
    </row>
    <row r="531" ht="15.75" customHeight="1">
      <c r="A531" s="33"/>
      <c r="B531" s="45"/>
      <c r="C531" s="214"/>
      <c r="D531" s="215"/>
      <c r="E531" s="215"/>
      <c r="F531" s="215"/>
      <c r="G531" s="215"/>
      <c r="H531" s="215"/>
    </row>
    <row r="532" ht="15.75" customHeight="1">
      <c r="A532" s="33"/>
      <c r="B532" s="45"/>
      <c r="C532" s="214"/>
      <c r="D532" s="215"/>
      <c r="E532" s="215"/>
      <c r="F532" s="215"/>
      <c r="G532" s="215"/>
      <c r="H532" s="215"/>
    </row>
    <row r="533" ht="15.75" customHeight="1">
      <c r="A533" s="33"/>
      <c r="B533" s="45"/>
      <c r="C533" s="214"/>
      <c r="D533" s="215"/>
      <c r="E533" s="215"/>
      <c r="F533" s="215"/>
      <c r="G533" s="215"/>
      <c r="H533" s="215"/>
    </row>
    <row r="534" ht="15.75" customHeight="1">
      <c r="A534" s="33"/>
      <c r="B534" s="45"/>
      <c r="C534" s="214"/>
      <c r="D534" s="215"/>
      <c r="E534" s="215"/>
      <c r="F534" s="215"/>
      <c r="G534" s="215"/>
      <c r="H534" s="215"/>
    </row>
    <row r="535" ht="15.75" customHeight="1">
      <c r="A535" s="33"/>
      <c r="B535" s="45"/>
      <c r="C535" s="214"/>
      <c r="D535" s="215"/>
      <c r="E535" s="215"/>
      <c r="F535" s="215"/>
      <c r="G535" s="215"/>
      <c r="H535" s="215"/>
    </row>
    <row r="536" ht="15.75" customHeight="1">
      <c r="A536" s="33"/>
      <c r="B536" s="45"/>
      <c r="C536" s="214"/>
      <c r="D536" s="215"/>
      <c r="E536" s="215"/>
      <c r="F536" s="215"/>
      <c r="G536" s="215"/>
      <c r="H536" s="215"/>
    </row>
    <row r="537" ht="15.75" customHeight="1">
      <c r="A537" s="33"/>
      <c r="B537" s="45"/>
      <c r="C537" s="214"/>
      <c r="D537" s="215"/>
      <c r="E537" s="215"/>
      <c r="F537" s="215"/>
      <c r="G537" s="215"/>
      <c r="H537" s="215"/>
    </row>
    <row r="538" ht="15.75" customHeight="1">
      <c r="A538" s="33"/>
      <c r="B538" s="45"/>
      <c r="C538" s="214"/>
      <c r="D538" s="215"/>
      <c r="E538" s="215"/>
      <c r="F538" s="215"/>
      <c r="G538" s="215"/>
      <c r="H538" s="215"/>
    </row>
    <row r="539" ht="15.75" customHeight="1">
      <c r="A539" s="33"/>
      <c r="B539" s="45"/>
      <c r="C539" s="214"/>
      <c r="D539" s="215"/>
      <c r="E539" s="215"/>
      <c r="F539" s="215"/>
      <c r="G539" s="215"/>
      <c r="H539" s="215"/>
    </row>
    <row r="540" ht="15.75" customHeight="1">
      <c r="A540" s="33"/>
      <c r="B540" s="45"/>
      <c r="C540" s="214"/>
      <c r="D540" s="215"/>
      <c r="E540" s="215"/>
      <c r="F540" s="215"/>
      <c r="G540" s="215"/>
      <c r="H540" s="215"/>
    </row>
    <row r="541" ht="15.75" customHeight="1">
      <c r="A541" s="33"/>
      <c r="B541" s="45"/>
      <c r="C541" s="214"/>
      <c r="D541" s="215"/>
      <c r="E541" s="215"/>
      <c r="F541" s="215"/>
      <c r="G541" s="215"/>
      <c r="H541" s="215"/>
    </row>
    <row r="542" ht="15.75" customHeight="1">
      <c r="A542" s="33"/>
      <c r="B542" s="45"/>
      <c r="C542" s="214"/>
      <c r="D542" s="215"/>
      <c r="E542" s="215"/>
      <c r="F542" s="215"/>
      <c r="G542" s="215"/>
      <c r="H542" s="215"/>
    </row>
    <row r="543" ht="15.75" customHeight="1">
      <c r="A543" s="33"/>
      <c r="B543" s="45"/>
      <c r="C543" s="214"/>
      <c r="D543" s="215"/>
      <c r="E543" s="215"/>
      <c r="F543" s="215"/>
      <c r="G543" s="215"/>
      <c r="H543" s="215"/>
    </row>
    <row r="544" ht="15.75" customHeight="1">
      <c r="A544" s="33"/>
      <c r="B544" s="45"/>
      <c r="C544" s="214"/>
      <c r="D544" s="215"/>
      <c r="E544" s="215"/>
      <c r="F544" s="215"/>
      <c r="G544" s="215"/>
      <c r="H544" s="215"/>
    </row>
    <row r="545" ht="15.75" customHeight="1">
      <c r="A545" s="33"/>
      <c r="B545" s="45"/>
      <c r="C545" s="214"/>
      <c r="D545" s="215"/>
      <c r="E545" s="215"/>
      <c r="F545" s="215"/>
      <c r="G545" s="215"/>
      <c r="H545" s="215"/>
    </row>
    <row r="546" ht="15.75" customHeight="1">
      <c r="A546" s="33"/>
      <c r="B546" s="45"/>
      <c r="C546" s="214"/>
      <c r="D546" s="215"/>
      <c r="E546" s="215"/>
      <c r="F546" s="215"/>
      <c r="G546" s="215"/>
      <c r="H546" s="215"/>
    </row>
    <row r="547" ht="15.75" customHeight="1">
      <c r="A547" s="33"/>
      <c r="B547" s="45"/>
      <c r="C547" s="214"/>
      <c r="D547" s="215"/>
      <c r="E547" s="215"/>
      <c r="F547" s="215"/>
      <c r="G547" s="215"/>
      <c r="H547" s="215"/>
    </row>
    <row r="548" ht="15.75" customHeight="1">
      <c r="A548" s="33"/>
      <c r="B548" s="45"/>
      <c r="C548" s="214"/>
      <c r="D548" s="215"/>
      <c r="E548" s="215"/>
      <c r="F548" s="215"/>
      <c r="G548" s="215"/>
      <c r="H548" s="215"/>
    </row>
    <row r="549" ht="15.75" customHeight="1">
      <c r="A549" s="33"/>
      <c r="B549" s="45"/>
      <c r="C549" s="214"/>
      <c r="D549" s="215"/>
      <c r="E549" s="215"/>
      <c r="F549" s="215"/>
      <c r="G549" s="215"/>
      <c r="H549" s="215"/>
    </row>
    <row r="550" ht="15.75" customHeight="1">
      <c r="A550" s="33"/>
      <c r="B550" s="45"/>
      <c r="C550" s="214"/>
      <c r="D550" s="215"/>
      <c r="E550" s="215"/>
      <c r="F550" s="215"/>
      <c r="G550" s="215"/>
      <c r="H550" s="215"/>
    </row>
    <row r="551" ht="15.75" customHeight="1">
      <c r="A551" s="33"/>
      <c r="B551" s="45"/>
      <c r="C551" s="214"/>
      <c r="D551" s="215"/>
      <c r="E551" s="215"/>
      <c r="F551" s="215"/>
      <c r="G551" s="215"/>
      <c r="H551" s="215"/>
    </row>
    <row r="552" ht="15.75" customHeight="1">
      <c r="A552" s="33"/>
      <c r="B552" s="45"/>
      <c r="C552" s="214"/>
      <c r="D552" s="215"/>
      <c r="E552" s="215"/>
      <c r="F552" s="215"/>
      <c r="G552" s="215"/>
      <c r="H552" s="215"/>
    </row>
    <row r="553" ht="15.75" customHeight="1">
      <c r="A553" s="33"/>
      <c r="B553" s="45"/>
      <c r="C553" s="214"/>
      <c r="D553" s="215"/>
      <c r="E553" s="215"/>
      <c r="F553" s="215"/>
      <c r="G553" s="215"/>
      <c r="H553" s="215"/>
    </row>
    <row r="554" ht="15.75" customHeight="1">
      <c r="A554" s="33"/>
      <c r="B554" s="45"/>
      <c r="C554" s="214"/>
      <c r="D554" s="215"/>
      <c r="E554" s="215"/>
      <c r="F554" s="215"/>
      <c r="G554" s="215"/>
      <c r="H554" s="215"/>
    </row>
    <row r="555" ht="15.75" customHeight="1">
      <c r="A555" s="33"/>
      <c r="B555" s="45"/>
      <c r="C555" s="214"/>
      <c r="D555" s="215"/>
      <c r="E555" s="215"/>
      <c r="F555" s="215"/>
      <c r="G555" s="215"/>
      <c r="H555" s="215"/>
    </row>
    <row r="556" ht="15.75" customHeight="1">
      <c r="A556" s="33"/>
      <c r="B556" s="45"/>
      <c r="C556" s="214"/>
      <c r="D556" s="215"/>
      <c r="E556" s="215"/>
      <c r="F556" s="215"/>
      <c r="G556" s="215"/>
      <c r="H556" s="215"/>
    </row>
    <row r="557" ht="15.75" customHeight="1">
      <c r="A557" s="33"/>
      <c r="B557" s="45"/>
      <c r="C557" s="214"/>
      <c r="D557" s="215"/>
      <c r="E557" s="215"/>
      <c r="F557" s="215"/>
      <c r="G557" s="215"/>
      <c r="H557" s="215"/>
    </row>
    <row r="558" ht="15.75" customHeight="1">
      <c r="A558" s="33"/>
      <c r="B558" s="45"/>
      <c r="C558" s="214"/>
      <c r="D558" s="215"/>
      <c r="E558" s="215"/>
      <c r="F558" s="215"/>
      <c r="G558" s="215"/>
      <c r="H558" s="215"/>
    </row>
    <row r="559" ht="15.75" customHeight="1">
      <c r="A559" s="33"/>
      <c r="B559" s="45"/>
      <c r="C559" s="214"/>
      <c r="D559" s="215"/>
      <c r="E559" s="215"/>
      <c r="F559" s="215"/>
      <c r="G559" s="215"/>
      <c r="H559" s="215"/>
    </row>
    <row r="560" ht="15.75" customHeight="1">
      <c r="A560" s="33"/>
      <c r="B560" s="45"/>
      <c r="C560" s="214"/>
      <c r="D560" s="215"/>
      <c r="E560" s="215"/>
      <c r="F560" s="215"/>
      <c r="G560" s="215"/>
      <c r="H560" s="215"/>
    </row>
    <row r="561" ht="15.75" customHeight="1">
      <c r="A561" s="33"/>
      <c r="B561" s="45"/>
      <c r="C561" s="214"/>
      <c r="D561" s="215"/>
      <c r="E561" s="215"/>
      <c r="F561" s="215"/>
      <c r="G561" s="215"/>
      <c r="H561" s="215"/>
    </row>
    <row r="562" ht="15.75" customHeight="1">
      <c r="A562" s="33"/>
      <c r="B562" s="45"/>
      <c r="C562" s="214"/>
      <c r="D562" s="215"/>
      <c r="E562" s="215"/>
      <c r="F562" s="215"/>
      <c r="G562" s="215"/>
      <c r="H562" s="215"/>
    </row>
    <row r="563" ht="15.75" customHeight="1">
      <c r="A563" s="33"/>
      <c r="B563" s="45"/>
      <c r="C563" s="214"/>
      <c r="D563" s="215"/>
      <c r="E563" s="215"/>
      <c r="F563" s="215"/>
      <c r="G563" s="215"/>
      <c r="H563" s="215"/>
    </row>
    <row r="564" ht="15.75" customHeight="1">
      <c r="A564" s="33"/>
      <c r="B564" s="45"/>
      <c r="C564" s="214"/>
      <c r="D564" s="215"/>
      <c r="E564" s="215"/>
      <c r="F564" s="215"/>
      <c r="G564" s="215"/>
      <c r="H564" s="215"/>
    </row>
    <row r="565" ht="15.75" customHeight="1">
      <c r="A565" s="33"/>
      <c r="B565" s="45"/>
      <c r="C565" s="214"/>
      <c r="D565" s="215"/>
      <c r="E565" s="215"/>
      <c r="F565" s="215"/>
      <c r="G565" s="215"/>
      <c r="H565" s="215"/>
    </row>
    <row r="566" ht="15.75" customHeight="1">
      <c r="A566" s="33"/>
      <c r="B566" s="45"/>
      <c r="C566" s="214"/>
      <c r="D566" s="215"/>
      <c r="E566" s="215"/>
      <c r="F566" s="215"/>
      <c r="G566" s="215"/>
      <c r="H566" s="215"/>
    </row>
    <row r="567" ht="15.75" customHeight="1">
      <c r="A567" s="33"/>
      <c r="B567" s="45"/>
      <c r="C567" s="214"/>
      <c r="D567" s="215"/>
      <c r="E567" s="215"/>
      <c r="F567" s="215"/>
      <c r="G567" s="215"/>
      <c r="H567" s="215"/>
    </row>
    <row r="568" ht="15.75" customHeight="1">
      <c r="A568" s="33"/>
      <c r="B568" s="45"/>
      <c r="C568" s="214"/>
      <c r="D568" s="215"/>
      <c r="E568" s="215"/>
      <c r="F568" s="215"/>
      <c r="G568" s="215"/>
      <c r="H568" s="215"/>
    </row>
    <row r="569" ht="15.75" customHeight="1">
      <c r="A569" s="33"/>
      <c r="B569" s="45"/>
      <c r="C569" s="214"/>
      <c r="D569" s="215"/>
      <c r="E569" s="215"/>
      <c r="F569" s="215"/>
      <c r="G569" s="215"/>
      <c r="H569" s="215"/>
    </row>
    <row r="570" ht="15.75" customHeight="1">
      <c r="A570" s="33"/>
      <c r="B570" s="45"/>
      <c r="C570" s="214"/>
      <c r="D570" s="215"/>
      <c r="E570" s="215"/>
      <c r="F570" s="215"/>
      <c r="G570" s="215"/>
      <c r="H570" s="215"/>
    </row>
    <row r="571" ht="15.75" customHeight="1">
      <c r="A571" s="33"/>
      <c r="B571" s="45"/>
      <c r="C571" s="214"/>
      <c r="D571" s="215"/>
      <c r="E571" s="215"/>
      <c r="F571" s="215"/>
      <c r="G571" s="215"/>
      <c r="H571" s="215"/>
    </row>
    <row r="572" ht="15.75" customHeight="1">
      <c r="A572" s="33"/>
      <c r="B572" s="45"/>
      <c r="C572" s="214"/>
      <c r="D572" s="215"/>
      <c r="E572" s="215"/>
      <c r="F572" s="215"/>
      <c r="G572" s="215"/>
      <c r="H572" s="215"/>
    </row>
    <row r="573" ht="15.75" customHeight="1">
      <c r="A573" s="33"/>
      <c r="B573" s="45"/>
      <c r="C573" s="214"/>
      <c r="D573" s="215"/>
      <c r="E573" s="215"/>
      <c r="F573" s="215"/>
      <c r="G573" s="215"/>
      <c r="H573" s="215"/>
    </row>
    <row r="574" ht="15.75" customHeight="1">
      <c r="A574" s="33"/>
      <c r="B574" s="45"/>
      <c r="C574" s="214"/>
      <c r="D574" s="215"/>
      <c r="E574" s="215"/>
      <c r="F574" s="215"/>
      <c r="G574" s="215"/>
      <c r="H574" s="215"/>
    </row>
    <row r="575" ht="15.75" customHeight="1">
      <c r="A575" s="33"/>
      <c r="B575" s="45"/>
      <c r="C575" s="214"/>
      <c r="D575" s="215"/>
      <c r="E575" s="215"/>
      <c r="F575" s="215"/>
      <c r="G575" s="215"/>
      <c r="H575" s="215"/>
    </row>
    <row r="576" ht="15.75" customHeight="1">
      <c r="A576" s="33"/>
      <c r="B576" s="45"/>
      <c r="C576" s="214"/>
      <c r="D576" s="215"/>
      <c r="E576" s="215"/>
      <c r="F576" s="215"/>
      <c r="G576" s="215"/>
      <c r="H576" s="215"/>
    </row>
    <row r="577" ht="15.75" customHeight="1">
      <c r="A577" s="33"/>
      <c r="B577" s="45"/>
      <c r="C577" s="214"/>
      <c r="D577" s="215"/>
      <c r="E577" s="215"/>
      <c r="F577" s="215"/>
      <c r="G577" s="215"/>
      <c r="H577" s="215"/>
    </row>
    <row r="578" ht="15.75" customHeight="1">
      <c r="A578" s="33"/>
      <c r="B578" s="45"/>
      <c r="C578" s="214"/>
      <c r="D578" s="215"/>
      <c r="E578" s="215"/>
      <c r="F578" s="215"/>
      <c r="G578" s="215"/>
      <c r="H578" s="215"/>
    </row>
    <row r="579" ht="15.75" customHeight="1">
      <c r="A579" s="33"/>
      <c r="B579" s="45"/>
      <c r="C579" s="214"/>
      <c r="D579" s="215"/>
      <c r="E579" s="215"/>
      <c r="F579" s="215"/>
      <c r="G579" s="215"/>
      <c r="H579" s="215"/>
    </row>
    <row r="580" ht="15.75" customHeight="1">
      <c r="A580" s="33"/>
      <c r="B580" s="45"/>
      <c r="C580" s="214"/>
      <c r="D580" s="215"/>
      <c r="E580" s="215"/>
      <c r="F580" s="215"/>
      <c r="G580" s="215"/>
      <c r="H580" s="215"/>
    </row>
    <row r="581" ht="15.75" customHeight="1">
      <c r="A581" s="33"/>
      <c r="B581" s="45"/>
      <c r="C581" s="214"/>
      <c r="D581" s="215"/>
      <c r="E581" s="215"/>
      <c r="F581" s="215"/>
      <c r="G581" s="215"/>
      <c r="H581" s="215"/>
    </row>
    <row r="582" ht="15.75" customHeight="1">
      <c r="A582" s="33"/>
      <c r="B582" s="45"/>
      <c r="C582" s="214"/>
      <c r="D582" s="215"/>
      <c r="E582" s="215"/>
      <c r="F582" s="215"/>
      <c r="G582" s="215"/>
      <c r="H582" s="215"/>
    </row>
    <row r="583" ht="15.75" customHeight="1">
      <c r="A583" s="33"/>
      <c r="B583" s="45"/>
      <c r="C583" s="214"/>
      <c r="D583" s="215"/>
      <c r="E583" s="215"/>
      <c r="F583" s="215"/>
      <c r="G583" s="215"/>
      <c r="H583" s="215"/>
    </row>
    <row r="584" ht="15.75" customHeight="1">
      <c r="A584" s="33"/>
      <c r="B584" s="45"/>
      <c r="C584" s="214"/>
      <c r="D584" s="215"/>
      <c r="E584" s="215"/>
      <c r="F584" s="215"/>
      <c r="G584" s="215"/>
      <c r="H584" s="215"/>
    </row>
    <row r="585" ht="15.75" customHeight="1">
      <c r="A585" s="33"/>
      <c r="B585" s="45"/>
      <c r="C585" s="214"/>
      <c r="D585" s="215"/>
      <c r="E585" s="215"/>
      <c r="F585" s="215"/>
      <c r="G585" s="215"/>
      <c r="H585" s="215"/>
    </row>
    <row r="586" ht="15.75" customHeight="1">
      <c r="A586" s="33"/>
      <c r="B586" s="45"/>
      <c r="C586" s="214"/>
      <c r="D586" s="215"/>
      <c r="E586" s="215"/>
      <c r="F586" s="215"/>
      <c r="G586" s="215"/>
      <c r="H586" s="215"/>
    </row>
    <row r="587" ht="15.75" customHeight="1">
      <c r="A587" s="33"/>
      <c r="B587" s="45"/>
      <c r="C587" s="214"/>
      <c r="D587" s="215"/>
      <c r="E587" s="215"/>
      <c r="F587" s="215"/>
      <c r="G587" s="215"/>
      <c r="H587" s="215"/>
    </row>
    <row r="588" ht="15.75" customHeight="1">
      <c r="A588" s="33"/>
      <c r="B588" s="45"/>
      <c r="C588" s="214"/>
      <c r="D588" s="215"/>
      <c r="E588" s="215"/>
      <c r="F588" s="215"/>
      <c r="G588" s="215"/>
      <c r="H588" s="215"/>
    </row>
    <row r="589" ht="15.75" customHeight="1">
      <c r="A589" s="33"/>
      <c r="B589" s="45"/>
      <c r="C589" s="214"/>
      <c r="D589" s="215"/>
      <c r="E589" s="215"/>
      <c r="F589" s="215"/>
      <c r="G589" s="215"/>
      <c r="H589" s="215"/>
    </row>
    <row r="590" ht="15.75" customHeight="1">
      <c r="A590" s="33"/>
      <c r="B590" s="45"/>
      <c r="C590" s="214"/>
      <c r="D590" s="215"/>
      <c r="E590" s="215"/>
      <c r="F590" s="215"/>
      <c r="G590" s="215"/>
      <c r="H590" s="215"/>
    </row>
    <row r="591" ht="15.75" customHeight="1">
      <c r="A591" s="33"/>
      <c r="B591" s="45"/>
      <c r="C591" s="214"/>
      <c r="D591" s="215"/>
      <c r="E591" s="215"/>
      <c r="F591" s="215"/>
      <c r="G591" s="215"/>
      <c r="H591" s="215"/>
    </row>
    <row r="592" ht="15.75" customHeight="1">
      <c r="A592" s="33"/>
      <c r="B592" s="45"/>
      <c r="C592" s="214"/>
      <c r="D592" s="215"/>
      <c r="E592" s="215"/>
      <c r="F592" s="215"/>
      <c r="G592" s="215"/>
      <c r="H592" s="215"/>
    </row>
    <row r="593" ht="15.75" customHeight="1">
      <c r="A593" s="33"/>
      <c r="B593" s="45"/>
      <c r="C593" s="214"/>
      <c r="D593" s="215"/>
      <c r="E593" s="215"/>
      <c r="F593" s="215"/>
      <c r="G593" s="215"/>
      <c r="H593" s="215"/>
    </row>
    <row r="594" ht="15.75" customHeight="1">
      <c r="A594" s="33"/>
      <c r="B594" s="45"/>
      <c r="C594" s="214"/>
      <c r="D594" s="215"/>
      <c r="E594" s="215"/>
      <c r="F594" s="215"/>
      <c r="G594" s="215"/>
      <c r="H594" s="215"/>
    </row>
    <row r="595" ht="15.75" customHeight="1">
      <c r="A595" s="33"/>
      <c r="B595" s="45"/>
      <c r="C595" s="214"/>
      <c r="D595" s="215"/>
      <c r="E595" s="215"/>
      <c r="F595" s="215"/>
      <c r="G595" s="215"/>
      <c r="H595" s="215"/>
    </row>
    <row r="596" ht="15.75" customHeight="1">
      <c r="A596" s="33"/>
      <c r="B596" s="45"/>
      <c r="C596" s="214"/>
      <c r="D596" s="215"/>
      <c r="E596" s="215"/>
      <c r="F596" s="215"/>
      <c r="G596" s="215"/>
      <c r="H596" s="215"/>
    </row>
    <row r="597" ht="15.75" customHeight="1">
      <c r="A597" s="33"/>
      <c r="B597" s="45"/>
      <c r="C597" s="214"/>
      <c r="D597" s="215"/>
      <c r="E597" s="215"/>
      <c r="F597" s="215"/>
      <c r="G597" s="215"/>
      <c r="H597" s="215"/>
    </row>
    <row r="598" ht="15.75" customHeight="1">
      <c r="A598" s="33"/>
      <c r="B598" s="45"/>
      <c r="C598" s="214"/>
      <c r="D598" s="215"/>
      <c r="E598" s="215"/>
      <c r="F598" s="215"/>
      <c r="G598" s="215"/>
      <c r="H598" s="215"/>
    </row>
    <row r="599" ht="15.75" customHeight="1">
      <c r="A599" s="33"/>
      <c r="B599" s="45"/>
      <c r="C599" s="214"/>
      <c r="D599" s="215"/>
      <c r="E599" s="215"/>
      <c r="F599" s="215"/>
      <c r="G599" s="215"/>
      <c r="H599" s="215"/>
    </row>
    <row r="600" ht="15.75" customHeight="1">
      <c r="A600" s="33"/>
      <c r="B600" s="45"/>
      <c r="C600" s="214"/>
      <c r="D600" s="215"/>
      <c r="E600" s="215"/>
      <c r="F600" s="215"/>
      <c r="G600" s="215"/>
      <c r="H600" s="215"/>
    </row>
    <row r="601" ht="15.75" customHeight="1">
      <c r="A601" s="33"/>
      <c r="B601" s="45"/>
      <c r="C601" s="214"/>
      <c r="D601" s="215"/>
      <c r="E601" s="215"/>
      <c r="F601" s="215"/>
      <c r="G601" s="215"/>
      <c r="H601" s="215"/>
    </row>
    <row r="602" ht="15.75" customHeight="1">
      <c r="A602" s="33"/>
      <c r="B602" s="45"/>
      <c r="C602" s="214"/>
      <c r="D602" s="215"/>
      <c r="E602" s="215"/>
      <c r="F602" s="215"/>
      <c r="G602" s="215"/>
      <c r="H602" s="215"/>
    </row>
    <row r="603" ht="15.75" customHeight="1">
      <c r="A603" s="33"/>
      <c r="B603" s="45"/>
      <c r="C603" s="214"/>
      <c r="D603" s="215"/>
      <c r="E603" s="215"/>
      <c r="F603" s="215"/>
      <c r="G603" s="215"/>
      <c r="H603" s="215"/>
    </row>
    <row r="604" ht="15.75" customHeight="1">
      <c r="A604" s="33"/>
      <c r="B604" s="45"/>
      <c r="C604" s="214"/>
      <c r="D604" s="215"/>
      <c r="E604" s="215"/>
      <c r="F604" s="215"/>
      <c r="G604" s="215"/>
      <c r="H604" s="215"/>
    </row>
    <row r="605" ht="15.75" customHeight="1">
      <c r="A605" s="33"/>
      <c r="B605" s="45"/>
      <c r="C605" s="214"/>
      <c r="D605" s="215"/>
      <c r="E605" s="215"/>
      <c r="F605" s="215"/>
      <c r="G605" s="215"/>
      <c r="H605" s="215"/>
    </row>
    <row r="606" ht="15.75" customHeight="1">
      <c r="A606" s="33"/>
      <c r="B606" s="45"/>
      <c r="C606" s="214"/>
      <c r="D606" s="215"/>
      <c r="E606" s="215"/>
      <c r="F606" s="215"/>
      <c r="G606" s="215"/>
      <c r="H606" s="215"/>
    </row>
    <row r="607" ht="15.75" customHeight="1">
      <c r="A607" s="33"/>
      <c r="B607" s="45"/>
      <c r="C607" s="214"/>
      <c r="D607" s="215"/>
      <c r="E607" s="215"/>
      <c r="F607" s="215"/>
      <c r="G607" s="215"/>
      <c r="H607" s="215"/>
    </row>
    <row r="608" ht="15.75" customHeight="1">
      <c r="A608" s="33"/>
      <c r="B608" s="45"/>
      <c r="C608" s="214"/>
      <c r="D608" s="215"/>
      <c r="E608" s="215"/>
      <c r="F608" s="215"/>
      <c r="G608" s="215"/>
      <c r="H608" s="215"/>
    </row>
    <row r="609" ht="15.75" customHeight="1">
      <c r="A609" s="33"/>
      <c r="B609" s="45"/>
      <c r="C609" s="214"/>
      <c r="D609" s="215"/>
      <c r="E609" s="215"/>
      <c r="F609" s="215"/>
      <c r="G609" s="215"/>
      <c r="H609" s="215"/>
    </row>
    <row r="610" ht="15.75" customHeight="1">
      <c r="A610" s="33"/>
      <c r="B610" s="45"/>
      <c r="C610" s="214"/>
      <c r="D610" s="215"/>
      <c r="E610" s="215"/>
      <c r="F610" s="215"/>
      <c r="G610" s="215"/>
      <c r="H610" s="215"/>
    </row>
    <row r="611" ht="15.75" customHeight="1">
      <c r="A611" s="33"/>
      <c r="B611" s="45"/>
      <c r="C611" s="214"/>
      <c r="D611" s="215"/>
      <c r="E611" s="215"/>
      <c r="F611" s="215"/>
      <c r="G611" s="215"/>
      <c r="H611" s="215"/>
    </row>
    <row r="612" ht="15.75" customHeight="1">
      <c r="A612" s="33"/>
      <c r="B612" s="45"/>
      <c r="C612" s="214"/>
      <c r="D612" s="215"/>
      <c r="E612" s="215"/>
      <c r="F612" s="215"/>
      <c r="G612" s="215"/>
      <c r="H612" s="215"/>
    </row>
    <row r="613" ht="15.75" customHeight="1">
      <c r="A613" s="33"/>
      <c r="B613" s="45"/>
      <c r="C613" s="214"/>
      <c r="D613" s="215"/>
      <c r="E613" s="215"/>
      <c r="F613" s="215"/>
      <c r="G613" s="215"/>
      <c r="H613" s="215"/>
    </row>
    <row r="614" ht="15.75" customHeight="1">
      <c r="A614" s="33"/>
      <c r="B614" s="45"/>
      <c r="C614" s="214"/>
      <c r="D614" s="215"/>
      <c r="E614" s="215"/>
      <c r="F614" s="215"/>
      <c r="G614" s="215"/>
      <c r="H614" s="215"/>
    </row>
    <row r="615" ht="15.75" customHeight="1">
      <c r="A615" s="33"/>
      <c r="B615" s="45"/>
      <c r="C615" s="214"/>
      <c r="D615" s="215"/>
      <c r="E615" s="215"/>
      <c r="F615" s="215"/>
      <c r="G615" s="215"/>
      <c r="H615" s="215"/>
    </row>
    <row r="616" ht="15.75" customHeight="1">
      <c r="A616" s="33"/>
      <c r="B616" s="45"/>
      <c r="C616" s="214"/>
      <c r="D616" s="215"/>
      <c r="E616" s="215"/>
      <c r="F616" s="215"/>
      <c r="G616" s="215"/>
      <c r="H616" s="215"/>
    </row>
    <row r="617" ht="15.75" customHeight="1">
      <c r="A617" s="33"/>
      <c r="B617" s="45"/>
      <c r="C617" s="214"/>
      <c r="D617" s="215"/>
      <c r="E617" s="215"/>
      <c r="F617" s="215"/>
      <c r="G617" s="215"/>
      <c r="H617" s="215"/>
    </row>
    <row r="618" ht="15.75" customHeight="1">
      <c r="A618" s="33"/>
      <c r="B618" s="45"/>
      <c r="C618" s="214"/>
      <c r="D618" s="215"/>
      <c r="E618" s="215"/>
      <c r="F618" s="215"/>
      <c r="G618" s="215"/>
      <c r="H618" s="215"/>
    </row>
    <row r="619" ht="15.75" customHeight="1">
      <c r="A619" s="33"/>
      <c r="B619" s="45"/>
      <c r="C619" s="214"/>
      <c r="D619" s="215"/>
      <c r="E619" s="215"/>
      <c r="F619" s="215"/>
      <c r="G619" s="215"/>
      <c r="H619" s="215"/>
    </row>
    <row r="620" ht="15.75" customHeight="1">
      <c r="A620" s="33"/>
      <c r="B620" s="45"/>
      <c r="C620" s="214"/>
      <c r="D620" s="215"/>
      <c r="E620" s="215"/>
      <c r="F620" s="215"/>
      <c r="G620" s="215"/>
      <c r="H620" s="215"/>
    </row>
    <row r="621" ht="15.75" customHeight="1">
      <c r="A621" s="33"/>
      <c r="B621" s="45"/>
      <c r="C621" s="214"/>
      <c r="D621" s="215"/>
      <c r="E621" s="215"/>
      <c r="F621" s="215"/>
      <c r="G621" s="215"/>
      <c r="H621" s="215"/>
    </row>
    <row r="622" ht="15.75" customHeight="1">
      <c r="A622" s="33"/>
      <c r="B622" s="45"/>
      <c r="C622" s="214"/>
      <c r="D622" s="215"/>
      <c r="E622" s="215"/>
      <c r="F622" s="215"/>
      <c r="G622" s="215"/>
      <c r="H622" s="215"/>
    </row>
    <row r="623" ht="15.75" customHeight="1">
      <c r="A623" s="33"/>
      <c r="B623" s="45"/>
      <c r="C623" s="214"/>
      <c r="D623" s="215"/>
      <c r="E623" s="215"/>
      <c r="F623" s="215"/>
      <c r="G623" s="215"/>
      <c r="H623" s="215"/>
    </row>
    <row r="624" ht="15.75" customHeight="1">
      <c r="A624" s="33"/>
      <c r="B624" s="45"/>
      <c r="C624" s="214"/>
      <c r="D624" s="215"/>
      <c r="E624" s="215"/>
      <c r="F624" s="215"/>
      <c r="G624" s="215"/>
      <c r="H624" s="215"/>
    </row>
    <row r="625" ht="15.75" customHeight="1">
      <c r="A625" s="33"/>
      <c r="B625" s="45"/>
      <c r="C625" s="214"/>
      <c r="D625" s="215"/>
      <c r="E625" s="215"/>
      <c r="F625" s="215"/>
      <c r="G625" s="215"/>
      <c r="H625" s="215"/>
    </row>
    <row r="626" ht="15.75" customHeight="1">
      <c r="A626" s="33"/>
      <c r="B626" s="45"/>
      <c r="C626" s="214"/>
      <c r="D626" s="215"/>
      <c r="E626" s="215"/>
      <c r="F626" s="215"/>
      <c r="G626" s="215"/>
      <c r="H626" s="215"/>
    </row>
    <row r="627" ht="15.75" customHeight="1">
      <c r="A627" s="33"/>
      <c r="B627" s="45"/>
      <c r="C627" s="214"/>
      <c r="D627" s="215"/>
      <c r="E627" s="215"/>
      <c r="F627" s="215"/>
      <c r="G627" s="215"/>
      <c r="H627" s="215"/>
    </row>
    <row r="628" ht="15.75" customHeight="1">
      <c r="A628" s="33"/>
      <c r="B628" s="45"/>
      <c r="C628" s="214"/>
      <c r="D628" s="215"/>
      <c r="E628" s="215"/>
      <c r="F628" s="215"/>
      <c r="G628" s="215"/>
      <c r="H628" s="215"/>
    </row>
    <row r="629" ht="15.75" customHeight="1">
      <c r="A629" s="33"/>
      <c r="B629" s="45"/>
      <c r="C629" s="214"/>
      <c r="D629" s="215"/>
      <c r="E629" s="215"/>
      <c r="F629" s="215"/>
      <c r="G629" s="215"/>
      <c r="H629" s="215"/>
    </row>
    <row r="630" ht="15.75" customHeight="1">
      <c r="A630" s="33"/>
      <c r="B630" s="45"/>
      <c r="C630" s="214"/>
      <c r="D630" s="215"/>
      <c r="E630" s="215"/>
      <c r="F630" s="215"/>
      <c r="G630" s="215"/>
      <c r="H630" s="215"/>
    </row>
    <row r="631" ht="15.75" customHeight="1">
      <c r="A631" s="33"/>
      <c r="B631" s="45"/>
      <c r="C631" s="214"/>
      <c r="D631" s="215"/>
      <c r="E631" s="215"/>
      <c r="F631" s="215"/>
      <c r="G631" s="215"/>
      <c r="H631" s="215"/>
    </row>
    <row r="632" ht="15.75" customHeight="1">
      <c r="A632" s="33"/>
      <c r="B632" s="45"/>
      <c r="C632" s="214"/>
      <c r="D632" s="215"/>
      <c r="E632" s="215"/>
      <c r="F632" s="215"/>
      <c r="G632" s="215"/>
      <c r="H632" s="215"/>
    </row>
    <row r="633" ht="15.75" customHeight="1">
      <c r="A633" s="33"/>
      <c r="B633" s="45"/>
      <c r="C633" s="214"/>
      <c r="D633" s="215"/>
      <c r="E633" s="215"/>
      <c r="F633" s="215"/>
      <c r="G633" s="215"/>
      <c r="H633" s="215"/>
    </row>
    <row r="634" ht="15.75" customHeight="1">
      <c r="A634" s="33"/>
      <c r="B634" s="45"/>
      <c r="C634" s="214"/>
      <c r="D634" s="215"/>
      <c r="E634" s="215"/>
      <c r="F634" s="215"/>
      <c r="G634" s="215"/>
      <c r="H634" s="215"/>
    </row>
    <row r="635" ht="15.75" customHeight="1">
      <c r="A635" s="33"/>
      <c r="B635" s="45"/>
      <c r="C635" s="214"/>
      <c r="D635" s="215"/>
      <c r="E635" s="215"/>
      <c r="F635" s="215"/>
      <c r="G635" s="215"/>
      <c r="H635" s="215"/>
    </row>
    <row r="636" ht="15.75" customHeight="1">
      <c r="A636" s="33"/>
      <c r="B636" s="45"/>
      <c r="C636" s="214"/>
      <c r="D636" s="215"/>
      <c r="E636" s="215"/>
      <c r="F636" s="215"/>
      <c r="G636" s="215"/>
      <c r="H636" s="215"/>
    </row>
    <row r="637" ht="15.75" customHeight="1">
      <c r="A637" s="33"/>
      <c r="B637" s="45"/>
      <c r="C637" s="214"/>
      <c r="D637" s="215"/>
      <c r="E637" s="215"/>
      <c r="F637" s="215"/>
      <c r="G637" s="215"/>
      <c r="H637" s="215"/>
    </row>
    <row r="638" ht="15.75" customHeight="1">
      <c r="A638" s="33"/>
      <c r="B638" s="45"/>
      <c r="C638" s="214"/>
      <c r="D638" s="215"/>
      <c r="E638" s="215"/>
      <c r="F638" s="215"/>
      <c r="G638" s="215"/>
      <c r="H638" s="215"/>
    </row>
    <row r="639" ht="15.75" customHeight="1">
      <c r="A639" s="33"/>
      <c r="B639" s="45"/>
      <c r="C639" s="214"/>
      <c r="D639" s="215"/>
      <c r="E639" s="215"/>
      <c r="F639" s="215"/>
      <c r="G639" s="215"/>
      <c r="H639" s="215"/>
    </row>
    <row r="640" ht="15.75" customHeight="1">
      <c r="A640" s="33"/>
      <c r="B640" s="45"/>
      <c r="C640" s="214"/>
      <c r="D640" s="215"/>
      <c r="E640" s="215"/>
      <c r="F640" s="215"/>
      <c r="G640" s="215"/>
      <c r="H640" s="215"/>
    </row>
    <row r="641" ht="15.75" customHeight="1">
      <c r="A641" s="33"/>
      <c r="B641" s="45"/>
      <c r="C641" s="214"/>
      <c r="D641" s="215"/>
      <c r="E641" s="215"/>
      <c r="F641" s="215"/>
      <c r="G641" s="215"/>
      <c r="H641" s="215"/>
    </row>
    <row r="642" ht="15.75" customHeight="1">
      <c r="A642" s="33"/>
      <c r="B642" s="45"/>
      <c r="C642" s="214"/>
      <c r="D642" s="215"/>
      <c r="E642" s="215"/>
      <c r="F642" s="215"/>
      <c r="G642" s="215"/>
      <c r="H642" s="215"/>
    </row>
    <row r="643" ht="15.75" customHeight="1">
      <c r="A643" s="33"/>
      <c r="B643" s="45"/>
      <c r="C643" s="214"/>
      <c r="D643" s="215"/>
      <c r="E643" s="215"/>
      <c r="F643" s="215"/>
      <c r="G643" s="215"/>
      <c r="H643" s="215"/>
    </row>
    <row r="644" ht="15.75" customHeight="1">
      <c r="A644" s="33"/>
      <c r="B644" s="45"/>
      <c r="C644" s="214"/>
      <c r="D644" s="215"/>
      <c r="E644" s="215"/>
      <c r="F644" s="215"/>
      <c r="G644" s="215"/>
      <c r="H644" s="215"/>
    </row>
    <row r="645" ht="15.75" customHeight="1">
      <c r="A645" s="33"/>
      <c r="B645" s="45"/>
      <c r="C645" s="214"/>
      <c r="D645" s="215"/>
      <c r="E645" s="215"/>
      <c r="F645" s="215"/>
      <c r="G645" s="215"/>
      <c r="H645" s="215"/>
    </row>
    <row r="646" ht="15.75" customHeight="1">
      <c r="A646" s="33"/>
      <c r="B646" s="45"/>
      <c r="C646" s="214"/>
      <c r="D646" s="215"/>
      <c r="E646" s="215"/>
      <c r="F646" s="215"/>
      <c r="G646" s="215"/>
      <c r="H646" s="215"/>
    </row>
    <row r="647" ht="15.75" customHeight="1">
      <c r="A647" s="33"/>
      <c r="B647" s="45"/>
      <c r="C647" s="214"/>
      <c r="D647" s="215"/>
      <c r="E647" s="215"/>
      <c r="F647" s="215"/>
      <c r="G647" s="215"/>
      <c r="H647" s="215"/>
    </row>
    <row r="648" ht="15.75" customHeight="1">
      <c r="A648" s="33"/>
      <c r="B648" s="45"/>
      <c r="C648" s="214"/>
      <c r="D648" s="215"/>
      <c r="E648" s="215"/>
      <c r="F648" s="215"/>
      <c r="G648" s="215"/>
      <c r="H648" s="215"/>
    </row>
    <row r="649" ht="15.75" customHeight="1">
      <c r="A649" s="33"/>
      <c r="B649" s="45"/>
      <c r="C649" s="214"/>
      <c r="D649" s="215"/>
      <c r="E649" s="215"/>
      <c r="F649" s="215"/>
      <c r="G649" s="215"/>
      <c r="H649" s="215"/>
    </row>
    <row r="650" ht="15.75" customHeight="1">
      <c r="A650" s="33"/>
      <c r="B650" s="45"/>
      <c r="C650" s="214"/>
      <c r="D650" s="215"/>
      <c r="E650" s="215"/>
      <c r="F650" s="215"/>
      <c r="G650" s="215"/>
      <c r="H650" s="215"/>
    </row>
    <row r="651" ht="15.75" customHeight="1">
      <c r="A651" s="33"/>
      <c r="B651" s="45"/>
      <c r="C651" s="214"/>
      <c r="D651" s="215"/>
      <c r="E651" s="215"/>
      <c r="F651" s="215"/>
      <c r="G651" s="215"/>
      <c r="H651" s="215"/>
    </row>
    <row r="652" ht="15.75" customHeight="1">
      <c r="A652" s="33"/>
      <c r="B652" s="45"/>
      <c r="C652" s="214"/>
      <c r="D652" s="215"/>
      <c r="E652" s="215"/>
      <c r="F652" s="215"/>
      <c r="G652" s="215"/>
      <c r="H652" s="215"/>
    </row>
    <row r="653" ht="15.75" customHeight="1">
      <c r="A653" s="33"/>
      <c r="B653" s="45"/>
      <c r="C653" s="214"/>
      <c r="D653" s="215"/>
      <c r="E653" s="215"/>
      <c r="F653" s="215"/>
      <c r="G653" s="215"/>
      <c r="H653" s="215"/>
    </row>
    <row r="654" ht="15.75" customHeight="1">
      <c r="A654" s="33"/>
      <c r="B654" s="45"/>
      <c r="C654" s="214"/>
      <c r="D654" s="215"/>
      <c r="E654" s="215"/>
      <c r="F654" s="215"/>
      <c r="G654" s="215"/>
      <c r="H654" s="215"/>
    </row>
    <row r="655" ht="15.75" customHeight="1">
      <c r="A655" s="33"/>
      <c r="B655" s="45"/>
      <c r="C655" s="214"/>
      <c r="D655" s="215"/>
      <c r="E655" s="215"/>
      <c r="F655" s="215"/>
      <c r="G655" s="215"/>
      <c r="H655" s="215"/>
    </row>
    <row r="656" ht="15.75" customHeight="1">
      <c r="A656" s="33"/>
      <c r="B656" s="45"/>
      <c r="C656" s="214"/>
      <c r="D656" s="215"/>
      <c r="E656" s="215"/>
      <c r="F656" s="215"/>
      <c r="G656" s="215"/>
      <c r="H656" s="215"/>
    </row>
    <row r="657" ht="15.75" customHeight="1">
      <c r="A657" s="33"/>
      <c r="B657" s="45"/>
      <c r="C657" s="214"/>
      <c r="D657" s="215"/>
      <c r="E657" s="215"/>
      <c r="F657" s="215"/>
      <c r="G657" s="215"/>
      <c r="H657" s="215"/>
    </row>
    <row r="658" ht="15.75" customHeight="1">
      <c r="A658" s="33"/>
      <c r="B658" s="45"/>
      <c r="C658" s="214"/>
      <c r="D658" s="215"/>
      <c r="E658" s="215"/>
      <c r="F658" s="215"/>
      <c r="G658" s="215"/>
      <c r="H658" s="215"/>
    </row>
    <row r="659" ht="15.75" customHeight="1">
      <c r="A659" s="33"/>
      <c r="B659" s="45"/>
      <c r="C659" s="214"/>
      <c r="D659" s="215"/>
      <c r="E659" s="215"/>
      <c r="F659" s="215"/>
      <c r="G659" s="215"/>
      <c r="H659" s="215"/>
    </row>
    <row r="660" ht="15.75" customHeight="1">
      <c r="A660" s="33"/>
      <c r="B660" s="45"/>
      <c r="C660" s="214"/>
      <c r="D660" s="215"/>
      <c r="E660" s="215"/>
      <c r="F660" s="215"/>
      <c r="G660" s="215"/>
      <c r="H660" s="215"/>
    </row>
    <row r="661" ht="15.75" customHeight="1">
      <c r="A661" s="33"/>
      <c r="B661" s="45"/>
      <c r="C661" s="214"/>
      <c r="D661" s="215"/>
      <c r="E661" s="215"/>
      <c r="F661" s="215"/>
      <c r="G661" s="215"/>
      <c r="H661" s="215"/>
    </row>
    <row r="662" ht="15.75" customHeight="1">
      <c r="A662" s="33"/>
      <c r="B662" s="45"/>
      <c r="C662" s="214"/>
      <c r="D662" s="215"/>
      <c r="E662" s="215"/>
      <c r="F662" s="215"/>
      <c r="G662" s="215"/>
      <c r="H662" s="215"/>
    </row>
    <row r="663" ht="15.75" customHeight="1">
      <c r="A663" s="33"/>
      <c r="B663" s="45"/>
      <c r="C663" s="214"/>
      <c r="D663" s="215"/>
      <c r="E663" s="215"/>
      <c r="F663" s="215"/>
      <c r="G663" s="215"/>
      <c r="H663" s="215"/>
    </row>
    <row r="664" ht="15.75" customHeight="1">
      <c r="A664" s="33"/>
      <c r="B664" s="45"/>
      <c r="C664" s="214"/>
      <c r="D664" s="215"/>
      <c r="E664" s="215"/>
      <c r="F664" s="215"/>
      <c r="G664" s="215"/>
      <c r="H664" s="215"/>
    </row>
    <row r="665" ht="15.75" customHeight="1">
      <c r="A665" s="33"/>
      <c r="B665" s="45"/>
      <c r="C665" s="214"/>
      <c r="D665" s="215"/>
      <c r="E665" s="215"/>
      <c r="F665" s="215"/>
      <c r="G665" s="215"/>
      <c r="H665" s="215"/>
    </row>
    <row r="666" ht="15.75" customHeight="1">
      <c r="A666" s="33"/>
      <c r="B666" s="45"/>
      <c r="C666" s="214"/>
      <c r="D666" s="215"/>
      <c r="E666" s="215"/>
      <c r="F666" s="215"/>
      <c r="G666" s="215"/>
      <c r="H666" s="215"/>
    </row>
    <row r="667" ht="15.75" customHeight="1">
      <c r="A667" s="33"/>
      <c r="B667" s="45"/>
      <c r="C667" s="214"/>
      <c r="D667" s="215"/>
      <c r="E667" s="215"/>
      <c r="F667" s="215"/>
      <c r="G667" s="215"/>
      <c r="H667" s="215"/>
    </row>
    <row r="668" ht="15.75" customHeight="1">
      <c r="A668" s="33"/>
      <c r="B668" s="45"/>
      <c r="C668" s="214"/>
      <c r="D668" s="215"/>
      <c r="E668" s="215"/>
      <c r="F668" s="215"/>
      <c r="G668" s="215"/>
      <c r="H668" s="215"/>
    </row>
    <row r="669" ht="15.75" customHeight="1">
      <c r="A669" s="33"/>
      <c r="B669" s="45"/>
      <c r="C669" s="214"/>
      <c r="D669" s="215"/>
      <c r="E669" s="215"/>
      <c r="F669" s="215"/>
      <c r="G669" s="215"/>
      <c r="H669" s="215"/>
    </row>
    <row r="670" ht="15.75" customHeight="1">
      <c r="A670" s="33"/>
      <c r="B670" s="45"/>
      <c r="C670" s="214"/>
      <c r="D670" s="215"/>
      <c r="E670" s="215"/>
      <c r="F670" s="215"/>
      <c r="G670" s="215"/>
      <c r="H670" s="215"/>
    </row>
    <row r="671" ht="15.75" customHeight="1">
      <c r="A671" s="33"/>
      <c r="B671" s="45"/>
      <c r="C671" s="214"/>
      <c r="D671" s="215"/>
      <c r="E671" s="215"/>
      <c r="F671" s="215"/>
      <c r="G671" s="215"/>
      <c r="H671" s="215"/>
    </row>
    <row r="672" ht="15.75" customHeight="1">
      <c r="A672" s="33"/>
      <c r="B672" s="45"/>
      <c r="C672" s="214"/>
      <c r="D672" s="215"/>
      <c r="E672" s="215"/>
      <c r="F672" s="215"/>
      <c r="G672" s="215"/>
      <c r="H672" s="215"/>
    </row>
    <row r="673" ht="15.75" customHeight="1">
      <c r="A673" s="33"/>
      <c r="B673" s="45"/>
      <c r="C673" s="214"/>
      <c r="D673" s="215"/>
      <c r="E673" s="215"/>
      <c r="F673" s="215"/>
      <c r="G673" s="215"/>
      <c r="H673" s="215"/>
    </row>
    <row r="674" ht="15.75" customHeight="1">
      <c r="A674" s="33"/>
      <c r="B674" s="45"/>
      <c r="C674" s="214"/>
      <c r="D674" s="215"/>
      <c r="E674" s="215"/>
      <c r="F674" s="215"/>
      <c r="G674" s="215"/>
      <c r="H674" s="215"/>
    </row>
    <row r="675" ht="15.75" customHeight="1">
      <c r="A675" s="33"/>
      <c r="B675" s="45"/>
      <c r="C675" s="214"/>
      <c r="D675" s="215"/>
      <c r="E675" s="215"/>
      <c r="F675" s="215"/>
      <c r="G675" s="215"/>
      <c r="H675" s="215"/>
    </row>
    <row r="676" ht="15.75" customHeight="1">
      <c r="A676" s="33"/>
      <c r="B676" s="45"/>
      <c r="C676" s="214"/>
      <c r="D676" s="215"/>
      <c r="E676" s="215"/>
      <c r="F676" s="215"/>
      <c r="G676" s="215"/>
      <c r="H676" s="215"/>
    </row>
    <row r="677" ht="15.75" customHeight="1">
      <c r="A677" s="33"/>
      <c r="B677" s="45"/>
      <c r="C677" s="214"/>
      <c r="D677" s="215"/>
      <c r="E677" s="215"/>
      <c r="F677" s="215"/>
      <c r="G677" s="215"/>
      <c r="H677" s="215"/>
    </row>
    <row r="678" ht="15.75" customHeight="1">
      <c r="A678" s="33"/>
      <c r="B678" s="45"/>
      <c r="C678" s="214"/>
      <c r="D678" s="215"/>
      <c r="E678" s="215"/>
      <c r="F678" s="215"/>
      <c r="G678" s="215"/>
      <c r="H678" s="215"/>
    </row>
    <row r="679" ht="15.75" customHeight="1">
      <c r="A679" s="33"/>
      <c r="B679" s="45"/>
      <c r="C679" s="214"/>
      <c r="D679" s="215"/>
      <c r="E679" s="215"/>
      <c r="F679" s="215"/>
      <c r="G679" s="215"/>
      <c r="H679" s="215"/>
    </row>
    <row r="680" ht="15.75" customHeight="1">
      <c r="A680" s="33"/>
      <c r="B680" s="45"/>
      <c r="C680" s="214"/>
      <c r="D680" s="215"/>
      <c r="E680" s="215"/>
      <c r="F680" s="215"/>
      <c r="G680" s="215"/>
      <c r="H680" s="215"/>
    </row>
    <row r="681" ht="15.75" customHeight="1">
      <c r="A681" s="33"/>
      <c r="B681" s="45"/>
      <c r="C681" s="214"/>
      <c r="D681" s="215"/>
      <c r="E681" s="215"/>
      <c r="F681" s="215"/>
      <c r="G681" s="215"/>
      <c r="H681" s="215"/>
    </row>
    <row r="682" ht="15.75" customHeight="1">
      <c r="A682" s="33"/>
      <c r="B682" s="45"/>
      <c r="C682" s="214"/>
      <c r="D682" s="215"/>
      <c r="E682" s="215"/>
      <c r="F682" s="215"/>
      <c r="G682" s="215"/>
      <c r="H682" s="215"/>
    </row>
    <row r="683" ht="15.75" customHeight="1">
      <c r="A683" s="33"/>
      <c r="B683" s="45"/>
      <c r="C683" s="214"/>
      <c r="D683" s="215"/>
      <c r="E683" s="215"/>
      <c r="F683" s="215"/>
      <c r="G683" s="215"/>
      <c r="H683" s="215"/>
    </row>
    <row r="684" ht="15.75" customHeight="1">
      <c r="A684" s="33"/>
      <c r="B684" s="45"/>
      <c r="C684" s="214"/>
      <c r="D684" s="215"/>
      <c r="E684" s="215"/>
      <c r="F684" s="215"/>
      <c r="G684" s="215"/>
      <c r="H684" s="215"/>
    </row>
    <row r="685" ht="15.75" customHeight="1">
      <c r="A685" s="33"/>
      <c r="B685" s="45"/>
      <c r="C685" s="214"/>
      <c r="D685" s="215"/>
      <c r="E685" s="215"/>
      <c r="F685" s="215"/>
      <c r="G685" s="215"/>
      <c r="H685" s="215"/>
    </row>
    <row r="686" ht="15.75" customHeight="1">
      <c r="A686" s="33"/>
      <c r="B686" s="45"/>
      <c r="C686" s="214"/>
      <c r="D686" s="215"/>
      <c r="E686" s="215"/>
      <c r="F686" s="215"/>
      <c r="G686" s="215"/>
      <c r="H686" s="215"/>
    </row>
    <row r="687" ht="15.75" customHeight="1">
      <c r="A687" s="33"/>
      <c r="B687" s="45"/>
      <c r="C687" s="214"/>
      <c r="D687" s="215"/>
      <c r="E687" s="215"/>
      <c r="F687" s="215"/>
      <c r="G687" s="215"/>
      <c r="H687" s="215"/>
    </row>
    <row r="688" ht="15.75" customHeight="1">
      <c r="A688" s="33"/>
      <c r="B688" s="45"/>
      <c r="C688" s="214"/>
      <c r="D688" s="215"/>
      <c r="E688" s="215"/>
      <c r="F688" s="215"/>
      <c r="G688" s="215"/>
      <c r="H688" s="215"/>
    </row>
    <row r="689" ht="15.75" customHeight="1">
      <c r="A689" s="33"/>
      <c r="B689" s="45"/>
      <c r="C689" s="214"/>
      <c r="D689" s="215"/>
      <c r="E689" s="215"/>
      <c r="F689" s="215"/>
      <c r="G689" s="215"/>
      <c r="H689" s="215"/>
    </row>
    <row r="690" ht="15.75" customHeight="1">
      <c r="A690" s="33"/>
      <c r="B690" s="45"/>
      <c r="C690" s="214"/>
      <c r="D690" s="215"/>
      <c r="E690" s="215"/>
      <c r="F690" s="215"/>
      <c r="G690" s="215"/>
      <c r="H690" s="215"/>
    </row>
    <row r="691" ht="15.75" customHeight="1">
      <c r="A691" s="33"/>
      <c r="B691" s="45"/>
      <c r="C691" s="214"/>
      <c r="D691" s="215"/>
      <c r="E691" s="215"/>
      <c r="F691" s="215"/>
      <c r="G691" s="215"/>
      <c r="H691" s="215"/>
    </row>
    <row r="692" ht="15.75" customHeight="1">
      <c r="A692" s="33"/>
      <c r="B692" s="45"/>
      <c r="C692" s="214"/>
      <c r="D692" s="215"/>
      <c r="E692" s="215"/>
      <c r="F692" s="215"/>
      <c r="G692" s="215"/>
      <c r="H692" s="215"/>
    </row>
    <row r="693" ht="15.75" customHeight="1">
      <c r="A693" s="33"/>
      <c r="B693" s="45"/>
      <c r="C693" s="214"/>
      <c r="D693" s="215"/>
      <c r="E693" s="215"/>
      <c r="F693" s="215"/>
      <c r="G693" s="215"/>
      <c r="H693" s="215"/>
    </row>
    <row r="694" ht="15.75" customHeight="1">
      <c r="A694" s="33"/>
      <c r="B694" s="45"/>
      <c r="C694" s="214"/>
      <c r="D694" s="215"/>
      <c r="E694" s="215"/>
      <c r="F694" s="215"/>
      <c r="G694" s="215"/>
      <c r="H694" s="215"/>
    </row>
    <row r="695" ht="15.75" customHeight="1">
      <c r="A695" s="33"/>
      <c r="B695" s="45"/>
      <c r="C695" s="214"/>
      <c r="D695" s="215"/>
      <c r="E695" s="215"/>
      <c r="F695" s="215"/>
      <c r="G695" s="215"/>
      <c r="H695" s="215"/>
    </row>
    <row r="696" ht="15.75" customHeight="1">
      <c r="A696" s="33"/>
      <c r="B696" s="45"/>
      <c r="C696" s="214"/>
      <c r="D696" s="215"/>
      <c r="E696" s="215"/>
      <c r="F696" s="215"/>
      <c r="G696" s="215"/>
      <c r="H696" s="215"/>
    </row>
    <row r="697" ht="15.75" customHeight="1">
      <c r="A697" s="33"/>
      <c r="B697" s="45"/>
      <c r="C697" s="214"/>
      <c r="D697" s="215"/>
      <c r="E697" s="215"/>
      <c r="F697" s="215"/>
      <c r="G697" s="215"/>
      <c r="H697" s="215"/>
    </row>
    <row r="698" ht="15.75" customHeight="1">
      <c r="A698" s="33"/>
      <c r="B698" s="45"/>
      <c r="C698" s="214"/>
      <c r="D698" s="215"/>
      <c r="E698" s="215"/>
      <c r="F698" s="215"/>
      <c r="G698" s="215"/>
      <c r="H698" s="215"/>
    </row>
    <row r="699" ht="15.75" customHeight="1">
      <c r="A699" s="33"/>
      <c r="B699" s="45"/>
      <c r="C699" s="214"/>
      <c r="D699" s="215"/>
      <c r="E699" s="215"/>
      <c r="F699" s="215"/>
      <c r="G699" s="215"/>
      <c r="H699" s="215"/>
    </row>
    <row r="700" ht="15.75" customHeight="1">
      <c r="A700" s="33"/>
      <c r="B700" s="45"/>
      <c r="C700" s="214"/>
      <c r="D700" s="215"/>
      <c r="E700" s="215"/>
      <c r="F700" s="215"/>
      <c r="G700" s="215"/>
      <c r="H700" s="215"/>
    </row>
    <row r="701" ht="15.75" customHeight="1">
      <c r="A701" s="33"/>
      <c r="B701" s="45"/>
      <c r="C701" s="214"/>
      <c r="D701" s="215"/>
      <c r="E701" s="215"/>
      <c r="F701" s="215"/>
      <c r="G701" s="215"/>
      <c r="H701" s="215"/>
    </row>
    <row r="702" ht="15.75" customHeight="1">
      <c r="A702" s="33"/>
      <c r="B702" s="45"/>
      <c r="C702" s="214"/>
      <c r="D702" s="215"/>
      <c r="E702" s="215"/>
      <c r="F702" s="215"/>
      <c r="G702" s="215"/>
      <c r="H702" s="215"/>
    </row>
    <row r="703" ht="15.75" customHeight="1">
      <c r="A703" s="33"/>
      <c r="B703" s="45"/>
      <c r="C703" s="214"/>
      <c r="D703" s="215"/>
      <c r="E703" s="215"/>
      <c r="F703" s="215"/>
      <c r="G703" s="215"/>
      <c r="H703" s="215"/>
    </row>
    <row r="704" ht="15.75" customHeight="1">
      <c r="A704" s="33"/>
      <c r="B704" s="45"/>
      <c r="C704" s="214"/>
      <c r="D704" s="215"/>
      <c r="E704" s="215"/>
      <c r="F704" s="215"/>
      <c r="G704" s="215"/>
      <c r="H704" s="215"/>
    </row>
    <row r="705" ht="15.75" customHeight="1">
      <c r="A705" s="33"/>
      <c r="B705" s="45"/>
      <c r="C705" s="214"/>
      <c r="D705" s="215"/>
      <c r="E705" s="215"/>
      <c r="F705" s="215"/>
      <c r="G705" s="215"/>
      <c r="H705" s="215"/>
    </row>
    <row r="706" ht="15.75" customHeight="1">
      <c r="A706" s="33"/>
      <c r="B706" s="45"/>
      <c r="C706" s="214"/>
      <c r="D706" s="215"/>
      <c r="E706" s="215"/>
      <c r="F706" s="215"/>
      <c r="G706" s="215"/>
      <c r="H706" s="215"/>
    </row>
    <row r="707" ht="15.75" customHeight="1">
      <c r="A707" s="33"/>
      <c r="B707" s="45"/>
      <c r="C707" s="214"/>
      <c r="D707" s="215"/>
      <c r="E707" s="215"/>
      <c r="F707" s="215"/>
      <c r="G707" s="215"/>
      <c r="H707" s="215"/>
    </row>
    <row r="708" ht="15.75" customHeight="1">
      <c r="A708" s="33"/>
      <c r="B708" s="45"/>
      <c r="C708" s="214"/>
      <c r="D708" s="215"/>
      <c r="E708" s="215"/>
      <c r="F708" s="215"/>
      <c r="G708" s="215"/>
      <c r="H708" s="215"/>
    </row>
    <row r="709" ht="15.75" customHeight="1">
      <c r="A709" s="33"/>
      <c r="B709" s="45"/>
      <c r="C709" s="214"/>
      <c r="D709" s="215"/>
      <c r="E709" s="215"/>
      <c r="F709" s="215"/>
      <c r="G709" s="215"/>
      <c r="H709" s="215"/>
    </row>
    <row r="710" ht="15.75" customHeight="1">
      <c r="A710" s="33"/>
      <c r="B710" s="45"/>
      <c r="C710" s="214"/>
      <c r="D710" s="215"/>
      <c r="E710" s="215"/>
      <c r="F710" s="215"/>
      <c r="G710" s="215"/>
      <c r="H710" s="215"/>
    </row>
    <row r="711" ht="15.75" customHeight="1">
      <c r="A711" s="33"/>
      <c r="B711" s="45"/>
      <c r="C711" s="214"/>
      <c r="D711" s="215"/>
      <c r="E711" s="215"/>
      <c r="F711" s="215"/>
      <c r="G711" s="215"/>
      <c r="H711" s="215"/>
    </row>
    <row r="712" ht="15.75" customHeight="1">
      <c r="A712" s="33"/>
      <c r="B712" s="45"/>
      <c r="C712" s="214"/>
      <c r="D712" s="215"/>
      <c r="E712" s="215"/>
      <c r="F712" s="215"/>
      <c r="G712" s="215"/>
      <c r="H712" s="215"/>
    </row>
    <row r="713" ht="15.75" customHeight="1">
      <c r="A713" s="33"/>
      <c r="B713" s="45"/>
      <c r="C713" s="214"/>
      <c r="D713" s="215"/>
      <c r="E713" s="215"/>
      <c r="F713" s="215"/>
      <c r="G713" s="215"/>
      <c r="H713" s="215"/>
    </row>
    <row r="714" ht="15.75" customHeight="1">
      <c r="A714" s="33"/>
      <c r="B714" s="45"/>
      <c r="C714" s="214"/>
      <c r="D714" s="215"/>
      <c r="E714" s="215"/>
      <c r="F714" s="215"/>
      <c r="G714" s="215"/>
      <c r="H714" s="215"/>
    </row>
    <row r="715" ht="15.75" customHeight="1">
      <c r="A715" s="33"/>
      <c r="B715" s="45"/>
      <c r="C715" s="214"/>
      <c r="D715" s="215"/>
      <c r="E715" s="215"/>
      <c r="F715" s="215"/>
      <c r="G715" s="215"/>
      <c r="H715" s="215"/>
    </row>
    <row r="716" ht="15.75" customHeight="1">
      <c r="A716" s="33"/>
      <c r="B716" s="45"/>
      <c r="C716" s="214"/>
      <c r="D716" s="215"/>
      <c r="E716" s="215"/>
      <c r="F716" s="215"/>
      <c r="G716" s="215"/>
      <c r="H716" s="215"/>
    </row>
    <row r="717" ht="15.75" customHeight="1">
      <c r="A717" s="33"/>
      <c r="B717" s="45"/>
      <c r="C717" s="214"/>
      <c r="D717" s="215"/>
      <c r="E717" s="215"/>
      <c r="F717" s="215"/>
      <c r="G717" s="215"/>
      <c r="H717" s="215"/>
    </row>
    <row r="718" ht="15.75" customHeight="1">
      <c r="A718" s="33"/>
      <c r="B718" s="45"/>
      <c r="C718" s="214"/>
      <c r="D718" s="215"/>
      <c r="E718" s="215"/>
      <c r="F718" s="215"/>
      <c r="G718" s="215"/>
      <c r="H718" s="215"/>
    </row>
    <row r="719" ht="15.75" customHeight="1">
      <c r="A719" s="33"/>
      <c r="B719" s="45"/>
      <c r="C719" s="214"/>
      <c r="D719" s="215"/>
      <c r="E719" s="215"/>
      <c r="F719" s="215"/>
      <c r="G719" s="215"/>
      <c r="H719" s="215"/>
    </row>
    <row r="720" ht="15.75" customHeight="1">
      <c r="A720" s="33"/>
      <c r="B720" s="45"/>
      <c r="C720" s="214"/>
      <c r="D720" s="215"/>
      <c r="E720" s="215"/>
      <c r="F720" s="215"/>
      <c r="G720" s="215"/>
      <c r="H720" s="215"/>
    </row>
    <row r="721" ht="15.75" customHeight="1">
      <c r="A721" s="33"/>
      <c r="B721" s="45"/>
      <c r="C721" s="214"/>
      <c r="D721" s="215"/>
      <c r="E721" s="215"/>
      <c r="F721" s="215"/>
      <c r="G721" s="215"/>
      <c r="H721" s="215"/>
    </row>
    <row r="722" ht="15.75" customHeight="1">
      <c r="A722" s="33"/>
      <c r="B722" s="45"/>
      <c r="C722" s="214"/>
      <c r="D722" s="215"/>
      <c r="E722" s="215"/>
      <c r="F722" s="215"/>
      <c r="G722" s="215"/>
      <c r="H722" s="215"/>
    </row>
    <row r="723" ht="15.75" customHeight="1">
      <c r="A723" s="33"/>
      <c r="B723" s="45"/>
      <c r="C723" s="214"/>
      <c r="D723" s="215"/>
      <c r="E723" s="215"/>
      <c r="F723" s="215"/>
      <c r="G723" s="215"/>
      <c r="H723" s="215"/>
    </row>
    <row r="724" ht="15.75" customHeight="1">
      <c r="A724" s="33"/>
      <c r="B724" s="45"/>
      <c r="C724" s="214"/>
      <c r="D724" s="215"/>
      <c r="E724" s="215"/>
      <c r="F724" s="215"/>
      <c r="G724" s="215"/>
      <c r="H724" s="215"/>
    </row>
    <row r="725" ht="15.75" customHeight="1">
      <c r="A725" s="33"/>
      <c r="B725" s="45"/>
      <c r="C725" s="214"/>
      <c r="D725" s="215"/>
      <c r="E725" s="215"/>
      <c r="F725" s="215"/>
      <c r="G725" s="215"/>
      <c r="H725" s="215"/>
    </row>
    <row r="726" ht="15.75" customHeight="1">
      <c r="A726" s="33"/>
      <c r="B726" s="45"/>
      <c r="C726" s="214"/>
      <c r="D726" s="215"/>
      <c r="E726" s="215"/>
      <c r="F726" s="215"/>
      <c r="G726" s="215"/>
      <c r="H726" s="215"/>
    </row>
    <row r="727" ht="15.75" customHeight="1">
      <c r="A727" s="33"/>
      <c r="B727" s="45"/>
      <c r="C727" s="214"/>
      <c r="D727" s="215"/>
      <c r="E727" s="215"/>
      <c r="F727" s="215"/>
      <c r="G727" s="215"/>
      <c r="H727" s="215"/>
    </row>
    <row r="728" ht="15.75" customHeight="1">
      <c r="A728" s="33"/>
      <c r="B728" s="45"/>
      <c r="C728" s="214"/>
      <c r="D728" s="215"/>
      <c r="E728" s="215"/>
      <c r="F728" s="215"/>
      <c r="G728" s="215"/>
      <c r="H728" s="215"/>
    </row>
    <row r="729" ht="15.75" customHeight="1">
      <c r="A729" s="33"/>
      <c r="B729" s="45"/>
      <c r="C729" s="214"/>
      <c r="D729" s="215"/>
      <c r="E729" s="215"/>
      <c r="F729" s="215"/>
      <c r="G729" s="215"/>
      <c r="H729" s="215"/>
    </row>
    <row r="730" ht="15.75" customHeight="1">
      <c r="A730" s="33"/>
      <c r="B730" s="45"/>
      <c r="C730" s="214"/>
      <c r="D730" s="215"/>
      <c r="E730" s="215"/>
      <c r="F730" s="215"/>
      <c r="G730" s="215"/>
      <c r="H730" s="215"/>
    </row>
    <row r="731" ht="15.75" customHeight="1">
      <c r="A731" s="33"/>
      <c r="B731" s="45"/>
      <c r="C731" s="214"/>
      <c r="D731" s="215"/>
      <c r="E731" s="215"/>
      <c r="F731" s="215"/>
      <c r="G731" s="215"/>
      <c r="H731" s="215"/>
    </row>
    <row r="732" ht="15.75" customHeight="1">
      <c r="A732" s="33"/>
      <c r="B732" s="45"/>
      <c r="C732" s="214"/>
      <c r="D732" s="215"/>
      <c r="E732" s="215"/>
      <c r="F732" s="215"/>
      <c r="G732" s="215"/>
      <c r="H732" s="215"/>
    </row>
    <row r="733" ht="15.75" customHeight="1">
      <c r="A733" s="33"/>
      <c r="B733" s="45"/>
      <c r="C733" s="214"/>
      <c r="D733" s="215"/>
      <c r="E733" s="215"/>
      <c r="F733" s="215"/>
      <c r="G733" s="215"/>
      <c r="H733" s="215"/>
    </row>
  </sheetData>
  <mergeCells count="26">
    <mergeCell ref="A2:B2"/>
    <mergeCell ref="A11:B11"/>
    <mergeCell ref="A22:B22"/>
    <mergeCell ref="A26:B26"/>
    <mergeCell ref="A31:B31"/>
    <mergeCell ref="A34:B34"/>
    <mergeCell ref="A40:B40"/>
    <mergeCell ref="A42:B42"/>
    <mergeCell ref="A51:B51"/>
    <mergeCell ref="A61:B61"/>
    <mergeCell ref="A65:B65"/>
    <mergeCell ref="A67:B67"/>
    <mergeCell ref="A69:B69"/>
    <mergeCell ref="A73:B73"/>
    <mergeCell ref="A119:B119"/>
    <mergeCell ref="A126:B126"/>
    <mergeCell ref="A130:B130"/>
    <mergeCell ref="A134:B134"/>
    <mergeCell ref="A140:B140"/>
    <mergeCell ref="A75:B75"/>
    <mergeCell ref="A79:B79"/>
    <mergeCell ref="A82:B82"/>
    <mergeCell ref="A98:B98"/>
    <mergeCell ref="A102:B102"/>
    <mergeCell ref="A106:B106"/>
    <mergeCell ref="A110:B110"/>
  </mergeCells>
  <conditionalFormatting sqref="E1:H733">
    <cfRule type="containsText" dxfId="1" priority="1" operator="containsText" text="Mayor a 5">
      <formula>NOT(ISERROR(SEARCH(("Mayor a 5"),(E1))))</formula>
    </cfRule>
  </conditionalFormatting>
  <conditionalFormatting sqref="E1:H733">
    <cfRule type="containsText" dxfId="3" priority="2" operator="containsText" text="SIN STOCK">
      <formula>NOT(ISERROR(SEARCH(("SIN STOCK"),(E1))))</formula>
    </cfRule>
  </conditionalFormatting>
  <conditionalFormatting sqref="E1:H733">
    <cfRule type="containsText" dxfId="2" priority="3" operator="containsText" text="Menor a 5">
      <formula>NOT(ISERROR(SEARCH(("Menor a 5"),(E1))))</formula>
    </cfRule>
  </conditionalFormatting>
  <hyperlinks>
    <hyperlink r:id="rId1" ref="B3"/>
    <hyperlink r:id="rId2" ref="B4"/>
    <hyperlink r:id="rId3" ref="B5"/>
    <hyperlink r:id="rId4" ref="B6"/>
    <hyperlink r:id="rId5" ref="B7"/>
    <hyperlink r:id="rId6" ref="B8"/>
    <hyperlink r:id="rId7" ref="B9"/>
    <hyperlink r:id="rId8" ref="B10"/>
    <hyperlink r:id="rId9" ref="B12"/>
    <hyperlink r:id="rId10" ref="B13"/>
    <hyperlink r:id="rId11" ref="B14"/>
    <hyperlink r:id="rId12" ref="B15"/>
    <hyperlink r:id="rId13" ref="B16"/>
    <hyperlink r:id="rId14" ref="B17"/>
    <hyperlink r:id="rId15" ref="B18"/>
    <hyperlink r:id="rId16" ref="B19"/>
    <hyperlink r:id="rId17" ref="B20"/>
    <hyperlink r:id="rId18" ref="B21"/>
    <hyperlink r:id="rId19" ref="B23"/>
    <hyperlink r:id="rId20" ref="B24"/>
    <hyperlink r:id="rId21" ref="B25"/>
    <hyperlink r:id="rId22" ref="B27"/>
    <hyperlink r:id="rId23" ref="B28"/>
    <hyperlink r:id="rId24" ref="B29"/>
    <hyperlink r:id="rId25" ref="B30"/>
    <hyperlink r:id="rId26" ref="B32"/>
    <hyperlink r:id="rId27" ref="B33"/>
    <hyperlink r:id="rId28" ref="B35"/>
    <hyperlink r:id="rId29" ref="B36"/>
    <hyperlink r:id="rId30" ref="B37"/>
    <hyperlink r:id="rId31" ref="B38"/>
    <hyperlink r:id="rId32" ref="B39"/>
    <hyperlink r:id="rId33" ref="B41"/>
    <hyperlink r:id="rId34" ref="B43"/>
    <hyperlink r:id="rId35" ref="B44"/>
    <hyperlink r:id="rId36" ref="B45"/>
    <hyperlink r:id="rId37" ref="B46"/>
    <hyperlink r:id="rId38" ref="B47"/>
    <hyperlink r:id="rId39" ref="B48"/>
    <hyperlink r:id="rId40" ref="B49"/>
    <hyperlink r:id="rId41" ref="B50"/>
    <hyperlink r:id="rId42" ref="B52"/>
    <hyperlink r:id="rId43" ref="B53"/>
    <hyperlink r:id="rId44" ref="B54"/>
    <hyperlink r:id="rId45" ref="B55"/>
    <hyperlink r:id="rId46" ref="B56"/>
    <hyperlink r:id="rId47" ref="B58"/>
    <hyperlink r:id="rId48" ref="B59"/>
    <hyperlink r:id="rId49" ref="B60"/>
    <hyperlink r:id="rId50" ref="B62"/>
    <hyperlink r:id="rId51" ref="B63"/>
    <hyperlink r:id="rId52" ref="B66"/>
    <hyperlink r:id="rId53" ref="B68"/>
    <hyperlink r:id="rId54" ref="B70"/>
    <hyperlink r:id="rId55" ref="B71"/>
    <hyperlink r:id="rId56" ref="B72"/>
    <hyperlink r:id="rId57" ref="B74"/>
    <hyperlink r:id="rId58" ref="B76"/>
    <hyperlink r:id="rId59" ref="B77"/>
    <hyperlink r:id="rId60" ref="B78"/>
    <hyperlink r:id="rId61" ref="B80"/>
    <hyperlink r:id="rId62" ref="B81"/>
    <hyperlink r:id="rId63" ref="B83"/>
    <hyperlink r:id="rId64" ref="B84"/>
    <hyperlink r:id="rId65" ref="B85"/>
    <hyperlink r:id="rId66" ref="B86"/>
    <hyperlink r:id="rId67" ref="B87"/>
    <hyperlink r:id="rId68" ref="B88"/>
    <hyperlink r:id="rId69" ref="B89"/>
    <hyperlink r:id="rId70" ref="B90"/>
    <hyperlink r:id="rId71" ref="B91"/>
    <hyperlink r:id="rId72" ref="B92"/>
    <hyperlink r:id="rId73" ref="B93"/>
    <hyperlink r:id="rId74" ref="B94"/>
    <hyperlink r:id="rId75" ref="B95"/>
    <hyperlink r:id="rId76" ref="B99"/>
    <hyperlink r:id="rId77" ref="B100"/>
    <hyperlink r:id="rId78" ref="B101"/>
    <hyperlink r:id="rId79" ref="B103"/>
    <hyperlink r:id="rId80" ref="B104"/>
    <hyperlink r:id="rId81" ref="B105"/>
    <hyperlink r:id="rId82" ref="B107"/>
    <hyperlink r:id="rId83" ref="B108"/>
    <hyperlink r:id="rId84" ref="B109"/>
    <hyperlink r:id="rId85" ref="B111"/>
    <hyperlink r:id="rId86" ref="B112"/>
    <hyperlink r:id="rId87" ref="B113"/>
    <hyperlink r:id="rId88" ref="B114"/>
    <hyperlink r:id="rId89" ref="B115"/>
    <hyperlink r:id="rId90" ref="B116"/>
    <hyperlink r:id="rId91" ref="B117"/>
    <hyperlink r:id="rId92" ref="B118"/>
    <hyperlink r:id="rId93" ref="B120"/>
    <hyperlink r:id="rId94" ref="B121"/>
    <hyperlink r:id="rId95" ref="B122"/>
    <hyperlink r:id="rId96" ref="B123"/>
    <hyperlink r:id="rId97" ref="B124"/>
    <hyperlink r:id="rId98" ref="B125"/>
    <hyperlink r:id="rId99" ref="B127"/>
    <hyperlink r:id="rId100" ref="B128"/>
    <hyperlink r:id="rId101" ref="B129"/>
    <hyperlink r:id="rId102" ref="B131"/>
    <hyperlink r:id="rId103" ref="B132"/>
    <hyperlink r:id="rId104" ref="B133"/>
    <hyperlink r:id="rId105" ref="B135"/>
    <hyperlink r:id="rId106" ref="B136"/>
    <hyperlink r:id="rId107" ref="B137"/>
    <hyperlink r:id="rId108" ref="B138"/>
    <hyperlink r:id="rId109" ref="B139"/>
    <hyperlink r:id="rId110" ref="B141"/>
    <hyperlink r:id="rId111" ref="B142"/>
    <hyperlink r:id="rId112" ref="B143"/>
    <hyperlink r:id="rId113" ref="B144"/>
  </hyperlinks>
  <printOptions/>
  <pageMargins bottom="0.75" footer="0.0" header="0.0" left="0.7" right="0.7" top="0.75"/>
  <pageSetup orientation="landscape"/>
  <drawing r:id="rId11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0"/>
  <cols>
    <col customWidth="1" min="1" max="1" width="13.25"/>
    <col customWidth="1" min="2" max="2" width="21.5"/>
    <col customWidth="1" min="3" max="3" width="74.0"/>
    <col customWidth="1" min="4" max="4" width="15.0"/>
    <col customWidth="1" min="5" max="5" width="14.25"/>
    <col customWidth="1" min="6" max="7" width="9.25"/>
  </cols>
  <sheetData>
    <row r="1">
      <c r="A1" s="216"/>
      <c r="B1" s="217" t="s">
        <v>24</v>
      </c>
      <c r="C1" s="217" t="s">
        <v>25</v>
      </c>
      <c r="D1" s="119" t="s">
        <v>26</v>
      </c>
      <c r="E1" s="119" t="s">
        <v>27</v>
      </c>
      <c r="F1" s="218" t="s">
        <v>28</v>
      </c>
      <c r="G1" s="217" t="s">
        <v>29</v>
      </c>
      <c r="H1" s="131"/>
      <c r="I1" s="131"/>
      <c r="J1" s="131"/>
      <c r="K1" s="131"/>
      <c r="L1" s="131"/>
      <c r="M1" s="131"/>
      <c r="N1" s="131"/>
      <c r="O1" s="131"/>
      <c r="P1" s="131"/>
      <c r="Q1" s="131"/>
      <c r="R1" s="131"/>
      <c r="S1" s="131"/>
    </row>
    <row r="2">
      <c r="A2" s="219" t="s">
        <v>4070</v>
      </c>
      <c r="B2" s="87"/>
      <c r="C2" s="87"/>
      <c r="D2" s="220"/>
      <c r="E2" s="220"/>
      <c r="F2" s="109"/>
      <c r="G2" s="87"/>
      <c r="H2" s="131"/>
      <c r="I2" s="131"/>
      <c r="J2" s="131"/>
      <c r="K2" s="131"/>
      <c r="L2" s="131"/>
      <c r="M2" s="131"/>
      <c r="N2" s="131"/>
      <c r="O2" s="131"/>
      <c r="P2" s="131"/>
      <c r="Q2" s="131"/>
      <c r="R2" s="131"/>
      <c r="S2" s="131"/>
    </row>
    <row r="3">
      <c r="A3" s="221" t="s">
        <v>4071</v>
      </c>
      <c r="B3" s="222"/>
      <c r="C3" s="222"/>
      <c r="D3" s="223"/>
      <c r="E3" s="223"/>
      <c r="F3" s="224"/>
      <c r="G3" s="118"/>
      <c r="H3" s="131"/>
      <c r="I3" s="131"/>
      <c r="J3" s="131"/>
      <c r="K3" s="131"/>
      <c r="L3" s="131"/>
      <c r="M3" s="131"/>
      <c r="N3" s="131"/>
      <c r="O3" s="131"/>
      <c r="P3" s="131"/>
      <c r="Q3" s="131"/>
      <c r="R3" s="131"/>
      <c r="S3" s="131"/>
    </row>
    <row r="4">
      <c r="A4" s="139" t="s">
        <v>4072</v>
      </c>
      <c r="B4" s="139" t="s">
        <v>4073</v>
      </c>
      <c r="C4" s="94" t="s">
        <v>4074</v>
      </c>
      <c r="D4" s="96" t="s">
        <v>4075</v>
      </c>
      <c r="E4" s="96" t="s">
        <v>4076</v>
      </c>
      <c r="F4" s="97">
        <v>0.21</v>
      </c>
      <c r="G4" s="131"/>
      <c r="H4" s="131"/>
      <c r="I4" s="131"/>
      <c r="J4" s="131"/>
      <c r="K4" s="131"/>
      <c r="L4" s="131"/>
      <c r="M4" s="131"/>
      <c r="N4" s="131"/>
      <c r="O4" s="131"/>
      <c r="P4" s="131"/>
      <c r="Q4" s="131"/>
      <c r="R4" s="131"/>
      <c r="S4" s="131"/>
    </row>
    <row r="5">
      <c r="A5" s="143" t="s">
        <v>4072</v>
      </c>
      <c r="B5" s="143" t="s">
        <v>4077</v>
      </c>
      <c r="C5" s="99" t="s">
        <v>4078</v>
      </c>
      <c r="D5" s="101" t="s">
        <v>4079</v>
      </c>
      <c r="E5" s="101" t="s">
        <v>4080</v>
      </c>
      <c r="F5" s="102">
        <v>0.21</v>
      </c>
      <c r="G5" s="131"/>
      <c r="H5" s="131"/>
      <c r="I5" s="131"/>
      <c r="J5" s="131"/>
      <c r="K5" s="131"/>
      <c r="L5" s="131"/>
      <c r="M5" s="131"/>
      <c r="N5" s="131"/>
      <c r="O5" s="131"/>
      <c r="P5" s="131"/>
      <c r="Q5" s="131"/>
      <c r="R5" s="131"/>
      <c r="S5" s="131"/>
    </row>
    <row r="6">
      <c r="A6" s="139" t="s">
        <v>4072</v>
      </c>
      <c r="B6" s="139" t="s">
        <v>4081</v>
      </c>
      <c r="C6" s="94" t="s">
        <v>4078</v>
      </c>
      <c r="D6" s="96" t="s">
        <v>4082</v>
      </c>
      <c r="E6" s="96" t="s">
        <v>4083</v>
      </c>
      <c r="F6" s="97">
        <v>0.21</v>
      </c>
      <c r="G6" s="131"/>
      <c r="H6" s="131"/>
      <c r="I6" s="131"/>
      <c r="J6" s="131"/>
      <c r="K6" s="131"/>
      <c r="L6" s="131"/>
      <c r="M6" s="131"/>
      <c r="N6" s="131"/>
      <c r="O6" s="131"/>
      <c r="P6" s="131"/>
      <c r="Q6" s="131"/>
      <c r="R6" s="131"/>
      <c r="S6" s="131"/>
    </row>
    <row r="7">
      <c r="A7" s="143" t="s">
        <v>4072</v>
      </c>
      <c r="B7" s="143" t="s">
        <v>4084</v>
      </c>
      <c r="C7" s="99" t="s">
        <v>4074</v>
      </c>
      <c r="D7" s="101" t="s">
        <v>4085</v>
      </c>
      <c r="E7" s="101" t="s">
        <v>4086</v>
      </c>
      <c r="F7" s="102">
        <v>0.21</v>
      </c>
      <c r="G7" s="131"/>
      <c r="H7" s="131"/>
      <c r="I7" s="131"/>
      <c r="J7" s="131"/>
      <c r="K7" s="131"/>
      <c r="L7" s="131"/>
      <c r="M7" s="131"/>
      <c r="N7" s="131"/>
      <c r="O7" s="131"/>
      <c r="P7" s="131"/>
      <c r="Q7" s="131"/>
      <c r="R7" s="131"/>
      <c r="S7" s="131"/>
    </row>
    <row r="8">
      <c r="A8" s="139" t="s">
        <v>4072</v>
      </c>
      <c r="B8" s="139" t="s">
        <v>4087</v>
      </c>
      <c r="C8" s="94" t="s">
        <v>4088</v>
      </c>
      <c r="D8" s="96" t="s">
        <v>4089</v>
      </c>
      <c r="E8" s="96" t="s">
        <v>4090</v>
      </c>
      <c r="F8" s="97">
        <v>0.21</v>
      </c>
      <c r="G8" s="131"/>
      <c r="H8" s="131"/>
      <c r="I8" s="131"/>
      <c r="J8" s="131"/>
      <c r="K8" s="131"/>
      <c r="L8" s="131"/>
      <c r="M8" s="131"/>
      <c r="N8" s="131"/>
      <c r="O8" s="131"/>
      <c r="P8" s="131"/>
      <c r="Q8" s="131"/>
      <c r="R8" s="131"/>
      <c r="S8" s="131"/>
    </row>
    <row r="9">
      <c r="A9" s="221" t="s">
        <v>4091</v>
      </c>
      <c r="B9" s="222"/>
      <c r="C9" s="222"/>
      <c r="D9" s="223"/>
      <c r="E9" s="223"/>
      <c r="F9" s="224"/>
      <c r="G9" s="118"/>
      <c r="H9" s="131"/>
      <c r="I9" s="131"/>
      <c r="J9" s="131"/>
      <c r="K9" s="131"/>
      <c r="L9" s="131"/>
      <c r="M9" s="131"/>
      <c r="N9" s="131"/>
      <c r="O9" s="131"/>
      <c r="P9" s="131"/>
      <c r="Q9" s="131"/>
      <c r="R9" s="131"/>
      <c r="S9" s="131"/>
    </row>
    <row r="10">
      <c r="A10" s="139" t="s">
        <v>4072</v>
      </c>
      <c r="B10" s="139" t="s">
        <v>4092</v>
      </c>
      <c r="C10" s="94" t="s">
        <v>4093</v>
      </c>
      <c r="D10" s="96" t="s">
        <v>4094</v>
      </c>
      <c r="E10" s="96" t="s">
        <v>4095</v>
      </c>
      <c r="F10" s="97">
        <v>0.21</v>
      </c>
      <c r="G10" s="131"/>
      <c r="H10" s="131"/>
      <c r="I10" s="131"/>
      <c r="J10" s="131"/>
      <c r="K10" s="131"/>
      <c r="L10" s="131"/>
      <c r="M10" s="131"/>
      <c r="N10" s="131"/>
      <c r="O10" s="131"/>
      <c r="P10" s="131"/>
      <c r="Q10" s="131"/>
      <c r="R10" s="131"/>
      <c r="S10" s="131"/>
    </row>
    <row r="11">
      <c r="A11" s="143" t="s">
        <v>4072</v>
      </c>
      <c r="B11" s="143" t="s">
        <v>4096</v>
      </c>
      <c r="C11" s="99" t="s">
        <v>4097</v>
      </c>
      <c r="D11" s="101" t="s">
        <v>4098</v>
      </c>
      <c r="E11" s="101" t="s">
        <v>4099</v>
      </c>
      <c r="F11" s="102">
        <v>0.21</v>
      </c>
      <c r="G11" s="131"/>
      <c r="H11" s="131"/>
      <c r="I11" s="131"/>
      <c r="J11" s="131"/>
      <c r="K11" s="131"/>
      <c r="L11" s="131"/>
      <c r="M11" s="131"/>
      <c r="N11" s="131"/>
      <c r="O11" s="131"/>
      <c r="P11" s="131"/>
      <c r="Q11" s="131"/>
      <c r="R11" s="131"/>
      <c r="S11" s="131"/>
    </row>
    <row r="12">
      <c r="A12" s="139" t="s">
        <v>4072</v>
      </c>
      <c r="B12" s="139" t="s">
        <v>4100</v>
      </c>
      <c r="C12" s="94" t="s">
        <v>4101</v>
      </c>
      <c r="D12" s="96" t="s">
        <v>4102</v>
      </c>
      <c r="E12" s="96" t="s">
        <v>4103</v>
      </c>
      <c r="F12" s="97">
        <v>0.21</v>
      </c>
      <c r="G12" s="131"/>
      <c r="H12" s="131"/>
      <c r="I12" s="131"/>
      <c r="J12" s="131"/>
      <c r="K12" s="131"/>
      <c r="L12" s="131"/>
      <c r="M12" s="131"/>
      <c r="N12" s="131"/>
      <c r="O12" s="131"/>
      <c r="P12" s="131"/>
      <c r="Q12" s="131"/>
      <c r="R12" s="131"/>
      <c r="S12" s="131"/>
    </row>
    <row r="13">
      <c r="A13" s="143" t="s">
        <v>4072</v>
      </c>
      <c r="B13" s="143" t="s">
        <v>4104</v>
      </c>
      <c r="C13" s="99" t="s">
        <v>4105</v>
      </c>
      <c r="D13" s="101" t="s">
        <v>4106</v>
      </c>
      <c r="E13" s="101" t="s">
        <v>4107</v>
      </c>
      <c r="F13" s="102">
        <v>0.21</v>
      </c>
      <c r="G13" s="131"/>
      <c r="H13" s="131"/>
      <c r="I13" s="131"/>
      <c r="J13" s="131"/>
      <c r="K13" s="131"/>
      <c r="L13" s="131"/>
      <c r="M13" s="131"/>
      <c r="N13" s="131"/>
      <c r="O13" s="131"/>
      <c r="P13" s="131"/>
      <c r="Q13" s="131"/>
      <c r="R13" s="131"/>
      <c r="S13" s="131"/>
    </row>
    <row r="14">
      <c r="A14" s="139" t="s">
        <v>4072</v>
      </c>
      <c r="B14" s="139" t="s">
        <v>4108</v>
      </c>
      <c r="C14" s="94" t="s">
        <v>4109</v>
      </c>
      <c r="D14" s="96" t="s">
        <v>4110</v>
      </c>
      <c r="E14" s="96" t="s">
        <v>4111</v>
      </c>
      <c r="F14" s="97">
        <v>0.21</v>
      </c>
      <c r="G14" s="131"/>
      <c r="H14" s="131"/>
      <c r="I14" s="131"/>
      <c r="J14" s="131"/>
      <c r="K14" s="131"/>
      <c r="L14" s="131"/>
      <c r="M14" s="131"/>
      <c r="N14" s="131"/>
      <c r="O14" s="131"/>
      <c r="P14" s="131"/>
      <c r="Q14" s="131"/>
      <c r="R14" s="131"/>
      <c r="S14" s="131"/>
    </row>
    <row r="15">
      <c r="A15" s="221" t="s">
        <v>4112</v>
      </c>
      <c r="B15" s="222"/>
      <c r="C15" s="222"/>
      <c r="D15" s="223"/>
      <c r="E15" s="223"/>
      <c r="F15" s="224"/>
      <c r="G15" s="118"/>
      <c r="H15" s="131"/>
      <c r="I15" s="131"/>
      <c r="J15" s="131"/>
      <c r="K15" s="131"/>
      <c r="L15" s="131"/>
      <c r="M15" s="131"/>
      <c r="N15" s="131"/>
      <c r="O15" s="131"/>
      <c r="P15" s="131"/>
      <c r="Q15" s="131"/>
      <c r="R15" s="131"/>
      <c r="S15" s="131"/>
    </row>
    <row r="16">
      <c r="A16" s="139" t="s">
        <v>4072</v>
      </c>
      <c r="B16" s="139" t="s">
        <v>4113</v>
      </c>
      <c r="C16" s="94" t="s">
        <v>4114</v>
      </c>
      <c r="D16" s="96" t="s">
        <v>4115</v>
      </c>
      <c r="E16" s="96" t="s">
        <v>4116</v>
      </c>
      <c r="F16" s="97">
        <v>0.21</v>
      </c>
      <c r="G16" s="131"/>
      <c r="H16" s="131"/>
      <c r="I16" s="131"/>
      <c r="J16" s="131"/>
      <c r="K16" s="131"/>
      <c r="L16" s="131"/>
      <c r="M16" s="131"/>
      <c r="N16" s="131"/>
      <c r="O16" s="131"/>
      <c r="P16" s="131"/>
      <c r="Q16" s="131"/>
      <c r="R16" s="131"/>
      <c r="S16" s="131"/>
    </row>
    <row r="17">
      <c r="A17" s="143" t="s">
        <v>4072</v>
      </c>
      <c r="B17" s="143" t="s">
        <v>4117</v>
      </c>
      <c r="C17" s="99" t="s">
        <v>4118</v>
      </c>
      <c r="D17" s="101" t="s">
        <v>4119</v>
      </c>
      <c r="E17" s="101" t="s">
        <v>4120</v>
      </c>
      <c r="F17" s="102">
        <v>0.21</v>
      </c>
      <c r="G17" s="131"/>
      <c r="H17" s="131"/>
      <c r="I17" s="131"/>
      <c r="J17" s="131"/>
      <c r="K17" s="131"/>
      <c r="L17" s="131"/>
      <c r="M17" s="131"/>
      <c r="N17" s="131"/>
      <c r="O17" s="131"/>
      <c r="P17" s="131"/>
      <c r="Q17" s="131"/>
      <c r="R17" s="131"/>
      <c r="S17" s="131"/>
    </row>
    <row r="18">
      <c r="A18" s="139" t="s">
        <v>4072</v>
      </c>
      <c r="B18" s="139" t="s">
        <v>4121</v>
      </c>
      <c r="C18" s="94" t="s">
        <v>4122</v>
      </c>
      <c r="D18" s="96" t="s">
        <v>2068</v>
      </c>
      <c r="E18" s="96" t="s">
        <v>2068</v>
      </c>
      <c r="F18" s="97">
        <v>0.21</v>
      </c>
      <c r="G18" s="131"/>
      <c r="H18" s="131"/>
      <c r="I18" s="131"/>
      <c r="J18" s="131"/>
      <c r="K18" s="131"/>
      <c r="L18" s="131"/>
      <c r="M18" s="131"/>
      <c r="N18" s="131"/>
      <c r="O18" s="131"/>
      <c r="P18" s="131"/>
      <c r="Q18" s="131"/>
      <c r="R18" s="131"/>
      <c r="S18" s="131"/>
    </row>
    <row r="19">
      <c r="A19" s="221" t="s">
        <v>4123</v>
      </c>
      <c r="B19" s="222"/>
      <c r="C19" s="222"/>
      <c r="D19" s="223"/>
      <c r="E19" s="223"/>
      <c r="F19" s="224"/>
      <c r="G19" s="118"/>
      <c r="H19" s="131"/>
      <c r="I19" s="131"/>
      <c r="J19" s="131"/>
      <c r="K19" s="131"/>
      <c r="L19" s="131"/>
      <c r="M19" s="131"/>
      <c r="N19" s="131"/>
      <c r="O19" s="131"/>
      <c r="P19" s="131"/>
      <c r="Q19" s="131"/>
      <c r="R19" s="131"/>
      <c r="S19" s="131"/>
    </row>
    <row r="20">
      <c r="A20" s="139" t="s">
        <v>4072</v>
      </c>
      <c r="B20" s="139" t="s">
        <v>4124</v>
      </c>
      <c r="C20" s="94" t="s">
        <v>4125</v>
      </c>
      <c r="D20" s="96" t="s">
        <v>4126</v>
      </c>
      <c r="E20" s="96" t="s">
        <v>4127</v>
      </c>
      <c r="F20" s="97">
        <v>0.21</v>
      </c>
      <c r="G20" s="131"/>
      <c r="H20" s="131"/>
      <c r="I20" s="131"/>
      <c r="J20" s="131"/>
      <c r="K20" s="131"/>
      <c r="L20" s="131"/>
      <c r="M20" s="131"/>
      <c r="N20" s="131"/>
      <c r="O20" s="131"/>
      <c r="P20" s="131"/>
      <c r="Q20" s="131"/>
      <c r="R20" s="131"/>
      <c r="S20" s="131"/>
    </row>
    <row r="21">
      <c r="A21" s="143" t="s">
        <v>4072</v>
      </c>
      <c r="B21" s="143" t="s">
        <v>4128</v>
      </c>
      <c r="C21" s="99" t="s">
        <v>4129</v>
      </c>
      <c r="D21" s="101" t="s">
        <v>4130</v>
      </c>
      <c r="E21" s="101" t="s">
        <v>4131</v>
      </c>
      <c r="F21" s="102">
        <v>0.21</v>
      </c>
      <c r="G21" s="131"/>
      <c r="H21" s="131"/>
      <c r="I21" s="131"/>
      <c r="J21" s="131"/>
      <c r="K21" s="131"/>
      <c r="L21" s="131"/>
      <c r="M21" s="131"/>
      <c r="N21" s="131"/>
      <c r="O21" s="131"/>
      <c r="P21" s="131"/>
      <c r="Q21" s="131"/>
      <c r="R21" s="131"/>
      <c r="S21" s="131"/>
    </row>
    <row r="22">
      <c r="A22" s="139" t="s">
        <v>4072</v>
      </c>
      <c r="B22" s="139" t="s">
        <v>4132</v>
      </c>
      <c r="C22" s="94" t="s">
        <v>4133</v>
      </c>
      <c r="D22" s="96" t="s">
        <v>4134</v>
      </c>
      <c r="E22" s="96" t="s">
        <v>4135</v>
      </c>
      <c r="F22" s="97">
        <v>0.21</v>
      </c>
      <c r="G22" s="131"/>
      <c r="H22" s="131"/>
      <c r="I22" s="131"/>
      <c r="J22" s="131"/>
      <c r="K22" s="131"/>
      <c r="L22" s="131"/>
      <c r="M22" s="131"/>
      <c r="N22" s="131"/>
      <c r="O22" s="131"/>
      <c r="P22" s="131"/>
      <c r="Q22" s="131"/>
      <c r="R22" s="131"/>
      <c r="S22" s="131"/>
    </row>
    <row r="23">
      <c r="A23" s="143" t="s">
        <v>4072</v>
      </c>
      <c r="B23" s="143" t="s">
        <v>4136</v>
      </c>
      <c r="C23" s="99" t="s">
        <v>4137</v>
      </c>
      <c r="D23" s="101" t="s">
        <v>4138</v>
      </c>
      <c r="E23" s="101" t="s">
        <v>4139</v>
      </c>
      <c r="F23" s="102">
        <v>0.21</v>
      </c>
      <c r="G23" s="131"/>
      <c r="H23" s="131"/>
      <c r="I23" s="131"/>
      <c r="J23" s="131"/>
      <c r="K23" s="131"/>
      <c r="L23" s="131"/>
      <c r="M23" s="131"/>
      <c r="N23" s="131"/>
      <c r="O23" s="131"/>
      <c r="P23" s="131"/>
      <c r="Q23" s="131"/>
      <c r="R23" s="131"/>
      <c r="S23" s="131"/>
    </row>
    <row r="24">
      <c r="A24" s="139" t="s">
        <v>4072</v>
      </c>
      <c r="B24" s="139" t="s">
        <v>4140</v>
      </c>
      <c r="C24" s="94" t="s">
        <v>4141</v>
      </c>
      <c r="D24" s="96" t="s">
        <v>4142</v>
      </c>
      <c r="E24" s="96" t="s">
        <v>4143</v>
      </c>
      <c r="F24" s="97">
        <v>0.21</v>
      </c>
      <c r="G24" s="131"/>
      <c r="H24" s="131"/>
      <c r="I24" s="131"/>
      <c r="J24" s="131"/>
      <c r="K24" s="131"/>
      <c r="L24" s="131"/>
      <c r="M24" s="131"/>
      <c r="N24" s="131"/>
      <c r="O24" s="131"/>
      <c r="P24" s="131"/>
      <c r="Q24" s="131"/>
      <c r="R24" s="131"/>
      <c r="S24" s="131"/>
    </row>
    <row r="25">
      <c r="A25" s="143" t="s">
        <v>4072</v>
      </c>
      <c r="B25" s="143" t="s">
        <v>4144</v>
      </c>
      <c r="C25" s="99" t="s">
        <v>4145</v>
      </c>
      <c r="D25" s="101" t="s">
        <v>4146</v>
      </c>
      <c r="E25" s="101" t="s">
        <v>4147</v>
      </c>
      <c r="F25" s="102">
        <v>0.21</v>
      </c>
      <c r="G25" s="131"/>
      <c r="H25" s="131"/>
      <c r="I25" s="131"/>
      <c r="J25" s="131"/>
      <c r="K25" s="131"/>
      <c r="L25" s="131"/>
      <c r="M25" s="131"/>
      <c r="N25" s="131"/>
      <c r="O25" s="131"/>
      <c r="P25" s="131"/>
      <c r="Q25" s="131"/>
      <c r="R25" s="131"/>
      <c r="S25" s="131"/>
    </row>
    <row r="26">
      <c r="A26" s="139" t="s">
        <v>4072</v>
      </c>
      <c r="B26" s="139" t="s">
        <v>4148</v>
      </c>
      <c r="C26" s="94" t="s">
        <v>4149</v>
      </c>
      <c r="D26" s="96" t="s">
        <v>4146</v>
      </c>
      <c r="E26" s="96" t="s">
        <v>4147</v>
      </c>
      <c r="F26" s="97">
        <v>0.21</v>
      </c>
      <c r="G26" s="131"/>
      <c r="H26" s="131"/>
      <c r="I26" s="131"/>
      <c r="J26" s="131"/>
      <c r="K26" s="131"/>
      <c r="L26" s="131"/>
      <c r="M26" s="131"/>
      <c r="N26" s="131"/>
      <c r="O26" s="131"/>
      <c r="P26" s="131"/>
      <c r="Q26" s="131"/>
      <c r="R26" s="131"/>
      <c r="S26" s="131"/>
    </row>
    <row r="27">
      <c r="A27" s="221" t="s">
        <v>4150</v>
      </c>
      <c r="B27" s="222"/>
      <c r="C27" s="222"/>
      <c r="D27" s="223"/>
      <c r="E27" s="223"/>
      <c r="F27" s="224"/>
      <c r="G27" s="118"/>
      <c r="H27" s="131"/>
      <c r="I27" s="131"/>
      <c r="J27" s="131"/>
      <c r="K27" s="131"/>
      <c r="L27" s="131"/>
      <c r="M27" s="131"/>
      <c r="N27" s="131"/>
      <c r="O27" s="131"/>
      <c r="P27" s="131"/>
      <c r="Q27" s="131"/>
      <c r="R27" s="131"/>
      <c r="S27" s="131"/>
    </row>
    <row r="28">
      <c r="A28" s="139" t="s">
        <v>4072</v>
      </c>
      <c r="B28" s="139" t="s">
        <v>4151</v>
      </c>
      <c r="C28" s="94" t="s">
        <v>4152</v>
      </c>
      <c r="D28" s="96" t="s">
        <v>4153</v>
      </c>
      <c r="E28" s="96" t="s">
        <v>4154</v>
      </c>
      <c r="F28" s="97">
        <v>0.21</v>
      </c>
      <c r="G28" s="131"/>
      <c r="H28" s="131"/>
      <c r="I28" s="131"/>
      <c r="J28" s="131"/>
      <c r="K28" s="131"/>
      <c r="L28" s="131"/>
      <c r="M28" s="131"/>
      <c r="N28" s="131"/>
      <c r="O28" s="131"/>
      <c r="P28" s="131"/>
      <c r="Q28" s="131"/>
      <c r="R28" s="131"/>
      <c r="S28" s="131"/>
    </row>
    <row r="29">
      <c r="A29" s="143" t="s">
        <v>4072</v>
      </c>
      <c r="B29" s="143" t="s">
        <v>4155</v>
      </c>
      <c r="C29" s="99" t="s">
        <v>4156</v>
      </c>
      <c r="D29" s="101" t="s">
        <v>4157</v>
      </c>
      <c r="E29" s="101" t="s">
        <v>4158</v>
      </c>
      <c r="F29" s="102">
        <v>0.21</v>
      </c>
      <c r="G29" s="131"/>
      <c r="H29" s="131"/>
      <c r="I29" s="131"/>
      <c r="J29" s="131"/>
      <c r="K29" s="131"/>
      <c r="L29" s="131"/>
      <c r="M29" s="131"/>
      <c r="N29" s="131"/>
      <c r="O29" s="131"/>
      <c r="P29" s="131"/>
      <c r="Q29" s="131"/>
      <c r="R29" s="131"/>
      <c r="S29" s="131"/>
    </row>
    <row r="30">
      <c r="A30" s="139" t="s">
        <v>4072</v>
      </c>
      <c r="B30" s="139" t="s">
        <v>4159</v>
      </c>
      <c r="C30" s="94" t="s">
        <v>4160</v>
      </c>
      <c r="D30" s="96" t="s">
        <v>4161</v>
      </c>
      <c r="E30" s="96" t="s">
        <v>4162</v>
      </c>
      <c r="F30" s="97">
        <v>0.21</v>
      </c>
      <c r="G30" s="131"/>
      <c r="H30" s="131"/>
      <c r="I30" s="131"/>
      <c r="J30" s="131"/>
      <c r="K30" s="131"/>
      <c r="L30" s="131"/>
      <c r="M30" s="131"/>
      <c r="N30" s="131"/>
      <c r="O30" s="131"/>
      <c r="P30" s="131"/>
      <c r="Q30" s="131"/>
      <c r="R30" s="131"/>
      <c r="S30" s="131"/>
    </row>
    <row r="31">
      <c r="A31" s="143" t="s">
        <v>4072</v>
      </c>
      <c r="B31" s="143" t="s">
        <v>4163</v>
      </c>
      <c r="C31" s="99" t="s">
        <v>4164</v>
      </c>
      <c r="D31" s="101" t="s">
        <v>4165</v>
      </c>
      <c r="E31" s="101" t="s">
        <v>4166</v>
      </c>
      <c r="F31" s="102">
        <v>0.21</v>
      </c>
      <c r="G31" s="131"/>
      <c r="H31" s="131"/>
      <c r="I31" s="131"/>
      <c r="J31" s="131"/>
      <c r="K31" s="131"/>
      <c r="L31" s="131"/>
      <c r="M31" s="131"/>
      <c r="N31" s="131"/>
      <c r="O31" s="131"/>
      <c r="P31" s="131"/>
      <c r="Q31" s="131"/>
      <c r="R31" s="131"/>
      <c r="S31" s="131"/>
    </row>
    <row r="32">
      <c r="A32" s="139" t="s">
        <v>4072</v>
      </c>
      <c r="B32" s="139" t="s">
        <v>4167</v>
      </c>
      <c r="C32" s="94" t="s">
        <v>4168</v>
      </c>
      <c r="D32" s="96" t="s">
        <v>4169</v>
      </c>
      <c r="E32" s="96" t="s">
        <v>4170</v>
      </c>
      <c r="F32" s="97">
        <v>0.21</v>
      </c>
      <c r="G32" s="131"/>
      <c r="H32" s="131"/>
      <c r="I32" s="131"/>
      <c r="J32" s="131"/>
      <c r="K32" s="131"/>
      <c r="L32" s="131"/>
      <c r="M32" s="131"/>
      <c r="N32" s="131"/>
      <c r="O32" s="131"/>
      <c r="P32" s="131"/>
      <c r="Q32" s="131"/>
      <c r="R32" s="131"/>
      <c r="S32" s="131"/>
    </row>
    <row r="33">
      <c r="A33" s="221" t="s">
        <v>4171</v>
      </c>
      <c r="B33" s="222"/>
      <c r="C33" s="222"/>
      <c r="D33" s="223"/>
      <c r="E33" s="223"/>
      <c r="F33" s="224"/>
      <c r="G33" s="118"/>
      <c r="H33" s="131"/>
      <c r="I33" s="131"/>
      <c r="J33" s="131"/>
      <c r="K33" s="131"/>
      <c r="L33" s="131"/>
      <c r="M33" s="131"/>
      <c r="N33" s="131"/>
      <c r="O33" s="131"/>
      <c r="P33" s="131"/>
      <c r="Q33" s="131"/>
      <c r="R33" s="131"/>
      <c r="S33" s="131"/>
    </row>
    <row r="34">
      <c r="A34" s="139" t="s">
        <v>4072</v>
      </c>
      <c r="B34" s="139" t="s">
        <v>4172</v>
      </c>
      <c r="C34" s="94" t="s">
        <v>4173</v>
      </c>
      <c r="D34" s="96" t="s">
        <v>4174</v>
      </c>
      <c r="E34" s="96" t="s">
        <v>4175</v>
      </c>
      <c r="F34" s="97">
        <v>0.21</v>
      </c>
      <c r="G34" s="131"/>
      <c r="H34" s="131"/>
      <c r="I34" s="131"/>
      <c r="J34" s="131"/>
      <c r="K34" s="131"/>
      <c r="L34" s="131"/>
      <c r="M34" s="131"/>
      <c r="N34" s="131"/>
      <c r="O34" s="131"/>
      <c r="P34" s="131"/>
      <c r="Q34" s="131"/>
      <c r="R34" s="131"/>
      <c r="S34" s="131"/>
    </row>
    <row r="35">
      <c r="A35" s="143" t="s">
        <v>4072</v>
      </c>
      <c r="B35" s="143" t="s">
        <v>4176</v>
      </c>
      <c r="C35" s="99" t="s">
        <v>4177</v>
      </c>
      <c r="D35" s="101" t="s">
        <v>4178</v>
      </c>
      <c r="E35" s="101" t="s">
        <v>4179</v>
      </c>
      <c r="F35" s="102">
        <v>0.21</v>
      </c>
      <c r="G35" s="131"/>
      <c r="H35" s="131"/>
      <c r="I35" s="131"/>
      <c r="J35" s="131"/>
      <c r="K35" s="131"/>
      <c r="L35" s="131"/>
      <c r="M35" s="131"/>
      <c r="N35" s="131"/>
      <c r="O35" s="131"/>
      <c r="P35" s="131"/>
      <c r="Q35" s="131"/>
      <c r="R35" s="131"/>
      <c r="S35" s="131"/>
    </row>
    <row r="36">
      <c r="A36" s="139" t="s">
        <v>4072</v>
      </c>
      <c r="B36" s="139" t="s">
        <v>4180</v>
      </c>
      <c r="C36" s="94" t="s">
        <v>4177</v>
      </c>
      <c r="D36" s="225"/>
      <c r="E36" s="225"/>
      <c r="F36" s="226"/>
      <c r="G36" s="131"/>
      <c r="H36" s="131"/>
      <c r="I36" s="131"/>
      <c r="J36" s="131"/>
      <c r="K36" s="131"/>
      <c r="L36" s="131"/>
      <c r="M36" s="131"/>
      <c r="N36" s="131"/>
      <c r="O36" s="131"/>
      <c r="P36" s="131"/>
      <c r="Q36" s="131"/>
      <c r="R36" s="131"/>
      <c r="S36" s="131"/>
    </row>
    <row r="37">
      <c r="A37" s="143" t="s">
        <v>4072</v>
      </c>
      <c r="B37" s="143" t="s">
        <v>4181</v>
      </c>
      <c r="C37" s="99" t="s">
        <v>4182</v>
      </c>
      <c r="D37" s="101" t="s">
        <v>4183</v>
      </c>
      <c r="E37" s="101" t="s">
        <v>4184</v>
      </c>
      <c r="F37" s="102">
        <v>0.21</v>
      </c>
      <c r="G37" s="131"/>
      <c r="H37" s="131"/>
      <c r="I37" s="131"/>
      <c r="J37" s="131"/>
      <c r="K37" s="131"/>
      <c r="L37" s="131"/>
      <c r="M37" s="131"/>
      <c r="N37" s="131"/>
      <c r="O37" s="131"/>
      <c r="P37" s="131"/>
      <c r="Q37" s="131"/>
      <c r="R37" s="131"/>
      <c r="S37" s="131"/>
    </row>
    <row r="38">
      <c r="A38" s="139" t="s">
        <v>4072</v>
      </c>
      <c r="B38" s="139" t="s">
        <v>4185</v>
      </c>
      <c r="C38" s="94" t="s">
        <v>4186</v>
      </c>
      <c r="D38" s="96" t="s">
        <v>4187</v>
      </c>
      <c r="E38" s="96" t="s">
        <v>4188</v>
      </c>
      <c r="F38" s="97">
        <v>0.21</v>
      </c>
      <c r="G38" s="131"/>
      <c r="H38" s="131"/>
      <c r="I38" s="131"/>
      <c r="J38" s="131"/>
      <c r="K38" s="131"/>
      <c r="L38" s="131"/>
      <c r="M38" s="131"/>
      <c r="N38" s="131"/>
      <c r="O38" s="131"/>
      <c r="P38" s="131"/>
      <c r="Q38" s="131"/>
      <c r="R38" s="131"/>
      <c r="S38" s="131"/>
    </row>
    <row r="39">
      <c r="A39" s="143" t="s">
        <v>4072</v>
      </c>
      <c r="B39" s="143" t="s">
        <v>4189</v>
      </c>
      <c r="C39" s="99" t="s">
        <v>4190</v>
      </c>
      <c r="D39" s="101" t="s">
        <v>4187</v>
      </c>
      <c r="E39" s="101" t="s">
        <v>4188</v>
      </c>
      <c r="F39" s="102">
        <v>0.21</v>
      </c>
      <c r="G39" s="131"/>
      <c r="H39" s="131"/>
      <c r="I39" s="131"/>
      <c r="J39" s="131"/>
      <c r="K39" s="131"/>
      <c r="L39" s="131"/>
      <c r="M39" s="131"/>
      <c r="N39" s="131"/>
      <c r="O39" s="131"/>
      <c r="P39" s="131"/>
      <c r="Q39" s="131"/>
      <c r="R39" s="131"/>
      <c r="S39" s="131"/>
    </row>
    <row r="40">
      <c r="A40" s="139" t="s">
        <v>4072</v>
      </c>
      <c r="B40" s="139" t="s">
        <v>4191</v>
      </c>
      <c r="C40" s="94" t="s">
        <v>4192</v>
      </c>
      <c r="D40" s="96" t="s">
        <v>4193</v>
      </c>
      <c r="E40" s="96" t="s">
        <v>4194</v>
      </c>
      <c r="F40" s="97">
        <v>0.21</v>
      </c>
      <c r="G40" s="131"/>
      <c r="H40" s="131"/>
      <c r="I40" s="131"/>
      <c r="J40" s="131"/>
      <c r="K40" s="131"/>
      <c r="L40" s="131"/>
      <c r="M40" s="131"/>
      <c r="N40" s="131"/>
      <c r="O40" s="131"/>
      <c r="P40" s="131"/>
      <c r="Q40" s="131"/>
      <c r="R40" s="131"/>
      <c r="S40" s="131"/>
    </row>
    <row r="41">
      <c r="A41" s="143" t="s">
        <v>4072</v>
      </c>
      <c r="B41" s="143" t="s">
        <v>4195</v>
      </c>
      <c r="C41" s="99" t="s">
        <v>4196</v>
      </c>
      <c r="D41" s="101" t="s">
        <v>4193</v>
      </c>
      <c r="E41" s="101" t="s">
        <v>4194</v>
      </c>
      <c r="F41" s="102">
        <v>0.21</v>
      </c>
      <c r="G41" s="131"/>
      <c r="H41" s="131"/>
      <c r="I41" s="131"/>
      <c r="J41" s="131"/>
      <c r="K41" s="131"/>
      <c r="L41" s="131"/>
      <c r="M41" s="131"/>
      <c r="N41" s="131"/>
      <c r="O41" s="131"/>
      <c r="P41" s="131"/>
      <c r="Q41" s="131"/>
      <c r="R41" s="131"/>
      <c r="S41" s="131"/>
    </row>
    <row r="42">
      <c r="A42" s="221" t="s">
        <v>4197</v>
      </c>
      <c r="B42" s="222"/>
      <c r="C42" s="222"/>
      <c r="D42" s="223"/>
      <c r="E42" s="223"/>
      <c r="F42" s="224"/>
      <c r="G42" s="118"/>
      <c r="H42" s="131"/>
      <c r="I42" s="131"/>
      <c r="J42" s="131"/>
      <c r="K42" s="131"/>
      <c r="L42" s="131"/>
      <c r="M42" s="131"/>
      <c r="N42" s="131"/>
      <c r="O42" s="131"/>
      <c r="P42" s="131"/>
      <c r="Q42" s="131"/>
      <c r="R42" s="131"/>
      <c r="S42" s="131"/>
    </row>
    <row r="43">
      <c r="A43" s="139" t="s">
        <v>4072</v>
      </c>
      <c r="B43" s="139" t="s">
        <v>4198</v>
      </c>
      <c r="C43" s="94" t="s">
        <v>4199</v>
      </c>
      <c r="D43" s="96" t="s">
        <v>4200</v>
      </c>
      <c r="E43" s="96" t="s">
        <v>4201</v>
      </c>
      <c r="F43" s="97">
        <v>0.21</v>
      </c>
      <c r="G43" s="131"/>
      <c r="H43" s="131"/>
      <c r="I43" s="131"/>
      <c r="J43" s="131"/>
      <c r="K43" s="131"/>
      <c r="L43" s="131"/>
      <c r="M43" s="131"/>
      <c r="N43" s="131"/>
      <c r="O43" s="131"/>
      <c r="P43" s="131"/>
      <c r="Q43" s="131"/>
      <c r="R43" s="131"/>
      <c r="S43" s="131"/>
    </row>
    <row r="44">
      <c r="A44" s="143" t="s">
        <v>4072</v>
      </c>
      <c r="B44" s="143" t="s">
        <v>4202</v>
      </c>
      <c r="C44" s="99" t="s">
        <v>4203</v>
      </c>
      <c r="D44" s="101" t="s">
        <v>4204</v>
      </c>
      <c r="E44" s="101" t="s">
        <v>4205</v>
      </c>
      <c r="F44" s="102">
        <v>0.21</v>
      </c>
      <c r="G44" s="131"/>
      <c r="H44" s="131"/>
      <c r="I44" s="131"/>
      <c r="J44" s="131"/>
      <c r="K44" s="131"/>
      <c r="L44" s="131"/>
      <c r="M44" s="131"/>
      <c r="N44" s="131"/>
      <c r="O44" s="131"/>
      <c r="P44" s="131"/>
      <c r="Q44" s="131"/>
      <c r="R44" s="131"/>
      <c r="S44" s="131"/>
    </row>
    <row r="45">
      <c r="A45" s="131"/>
      <c r="B45" s="131"/>
      <c r="C45" s="131"/>
      <c r="D45" s="81"/>
      <c r="E45" s="81"/>
      <c r="F45" s="131"/>
      <c r="G45" s="131"/>
      <c r="H45" s="131"/>
      <c r="I45" s="131"/>
      <c r="J45" s="131"/>
      <c r="K45" s="131"/>
      <c r="L45" s="131"/>
      <c r="M45" s="131"/>
      <c r="N45" s="131"/>
      <c r="O45" s="131"/>
      <c r="P45" s="131"/>
      <c r="Q45" s="131"/>
      <c r="R45" s="131"/>
      <c r="S45" s="131"/>
    </row>
    <row r="46">
      <c r="A46" s="131"/>
      <c r="B46" s="131"/>
      <c r="C46" s="131"/>
      <c r="D46" s="227"/>
      <c r="E46" s="81"/>
      <c r="F46" s="228"/>
      <c r="G46" s="131"/>
      <c r="H46" s="131"/>
      <c r="I46" s="131"/>
      <c r="J46" s="131"/>
      <c r="K46" s="131"/>
      <c r="L46" s="131"/>
      <c r="M46" s="131"/>
      <c r="N46" s="131"/>
      <c r="O46" s="131"/>
      <c r="P46" s="131"/>
      <c r="Q46" s="131"/>
      <c r="R46" s="131"/>
      <c r="S46" s="131"/>
    </row>
    <row r="47">
      <c r="A47" s="131"/>
      <c r="B47" s="131"/>
      <c r="C47" s="131"/>
      <c r="D47" s="81"/>
      <c r="E47" s="81"/>
      <c r="F47" s="131"/>
      <c r="G47" s="131"/>
      <c r="H47" s="131"/>
      <c r="I47" s="131"/>
      <c r="J47" s="131"/>
      <c r="K47" s="131"/>
      <c r="L47" s="131"/>
      <c r="M47" s="131"/>
      <c r="N47" s="131"/>
      <c r="O47" s="131"/>
      <c r="P47" s="131"/>
      <c r="Q47" s="131"/>
      <c r="R47" s="131"/>
      <c r="S47" s="131"/>
    </row>
    <row r="48">
      <c r="A48" s="131"/>
      <c r="B48" s="131"/>
      <c r="C48" s="131"/>
      <c r="D48" s="227"/>
      <c r="E48" s="81"/>
      <c r="F48" s="228"/>
      <c r="G48" s="131"/>
      <c r="H48" s="131"/>
      <c r="I48" s="131"/>
      <c r="J48" s="131"/>
      <c r="K48" s="131"/>
      <c r="L48" s="131"/>
      <c r="M48" s="131"/>
      <c r="N48" s="131"/>
      <c r="O48" s="131"/>
      <c r="P48" s="131"/>
      <c r="Q48" s="131"/>
      <c r="R48" s="131"/>
      <c r="S48" s="131"/>
    </row>
    <row r="49">
      <c r="A49" s="131"/>
      <c r="B49" s="131"/>
      <c r="C49" s="131"/>
      <c r="D49" s="81"/>
      <c r="E49" s="81"/>
      <c r="F49" s="131"/>
      <c r="G49" s="131"/>
      <c r="H49" s="131"/>
      <c r="I49" s="131"/>
      <c r="J49" s="131"/>
      <c r="K49" s="131"/>
      <c r="L49" s="131"/>
      <c r="M49" s="131"/>
      <c r="N49" s="131"/>
      <c r="O49" s="131"/>
      <c r="P49" s="131"/>
      <c r="Q49" s="131"/>
      <c r="R49" s="131"/>
      <c r="S49" s="131"/>
    </row>
    <row r="50">
      <c r="A50" s="131"/>
      <c r="B50" s="131"/>
      <c r="C50" s="131"/>
      <c r="D50" s="227"/>
      <c r="E50" s="81"/>
      <c r="F50" s="228"/>
      <c r="G50" s="131"/>
      <c r="H50" s="131"/>
      <c r="I50" s="131"/>
      <c r="J50" s="131"/>
      <c r="K50" s="131"/>
      <c r="L50" s="131"/>
      <c r="M50" s="131"/>
      <c r="N50" s="131"/>
      <c r="O50" s="131"/>
      <c r="P50" s="131"/>
      <c r="Q50" s="131"/>
      <c r="R50" s="131"/>
      <c r="S50" s="131"/>
    </row>
    <row r="51">
      <c r="A51" s="131"/>
      <c r="B51" s="131"/>
      <c r="C51" s="131"/>
      <c r="D51" s="81"/>
      <c r="E51" s="81"/>
      <c r="F51" s="131"/>
      <c r="G51" s="131"/>
      <c r="H51" s="131"/>
      <c r="I51" s="131"/>
      <c r="J51" s="131"/>
      <c r="K51" s="131"/>
      <c r="L51" s="131"/>
      <c r="M51" s="131"/>
      <c r="N51" s="131"/>
      <c r="O51" s="131"/>
      <c r="P51" s="131"/>
      <c r="Q51" s="131"/>
      <c r="R51" s="131"/>
      <c r="S51" s="131"/>
    </row>
    <row r="52">
      <c r="A52" s="131"/>
      <c r="B52" s="131"/>
      <c r="C52" s="131"/>
      <c r="D52" s="81"/>
      <c r="E52" s="81"/>
      <c r="F52" s="131"/>
      <c r="G52" s="131"/>
      <c r="H52" s="131"/>
      <c r="I52" s="131"/>
      <c r="J52" s="131"/>
      <c r="K52" s="131"/>
      <c r="L52" s="131"/>
      <c r="M52" s="131"/>
      <c r="N52" s="131"/>
      <c r="O52" s="131"/>
      <c r="P52" s="131"/>
      <c r="Q52" s="131"/>
      <c r="R52" s="131"/>
      <c r="S52" s="131"/>
    </row>
    <row r="53">
      <c r="A53" s="131"/>
      <c r="B53" s="131"/>
      <c r="C53" s="131"/>
      <c r="D53" s="227"/>
      <c r="E53" s="81"/>
      <c r="F53" s="228"/>
      <c r="G53" s="131"/>
      <c r="H53" s="131"/>
      <c r="I53" s="131"/>
      <c r="J53" s="131"/>
      <c r="K53" s="131"/>
      <c r="L53" s="131"/>
      <c r="M53" s="131"/>
      <c r="N53" s="131"/>
      <c r="O53" s="131"/>
      <c r="P53" s="131"/>
      <c r="Q53" s="131"/>
      <c r="R53" s="131"/>
      <c r="S53" s="131"/>
    </row>
    <row r="54">
      <c r="A54" s="131"/>
      <c r="B54" s="131"/>
      <c r="C54" s="131"/>
      <c r="D54" s="81"/>
      <c r="E54" s="81"/>
      <c r="F54" s="131"/>
      <c r="G54" s="131"/>
      <c r="H54" s="131"/>
      <c r="I54" s="131"/>
      <c r="J54" s="131"/>
      <c r="K54" s="131"/>
      <c r="L54" s="131"/>
      <c r="M54" s="131"/>
      <c r="N54" s="131"/>
      <c r="O54" s="131"/>
      <c r="P54" s="131"/>
      <c r="Q54" s="131"/>
      <c r="R54" s="131"/>
      <c r="S54" s="131"/>
    </row>
    <row r="55">
      <c r="A55" s="131"/>
      <c r="B55" s="131"/>
      <c r="C55" s="131"/>
      <c r="D55" s="227"/>
      <c r="E55" s="81"/>
      <c r="F55" s="228"/>
      <c r="G55" s="131"/>
      <c r="H55" s="131"/>
      <c r="I55" s="131"/>
      <c r="J55" s="131"/>
      <c r="K55" s="131"/>
      <c r="L55" s="131"/>
      <c r="M55" s="131"/>
      <c r="N55" s="131"/>
      <c r="O55" s="131"/>
      <c r="P55" s="131"/>
      <c r="Q55" s="131"/>
      <c r="R55" s="131"/>
      <c r="S55" s="131"/>
    </row>
    <row r="56">
      <c r="A56" s="131"/>
      <c r="B56" s="131"/>
      <c r="C56" s="131"/>
      <c r="D56" s="81"/>
      <c r="E56" s="81"/>
      <c r="F56" s="131"/>
      <c r="G56" s="131"/>
      <c r="H56" s="131"/>
      <c r="I56" s="131"/>
      <c r="J56" s="131"/>
      <c r="K56" s="131"/>
      <c r="L56" s="131"/>
      <c r="M56" s="131"/>
      <c r="N56" s="131"/>
      <c r="O56" s="131"/>
      <c r="P56" s="131"/>
      <c r="Q56" s="131"/>
      <c r="R56" s="131"/>
      <c r="S56" s="131"/>
    </row>
    <row r="57">
      <c r="A57" s="131"/>
      <c r="B57" s="131"/>
      <c r="C57" s="131"/>
      <c r="D57" s="227"/>
      <c r="E57" s="81"/>
      <c r="F57" s="228"/>
      <c r="G57" s="131"/>
      <c r="H57" s="131"/>
      <c r="I57" s="131"/>
      <c r="J57" s="131"/>
      <c r="K57" s="131"/>
      <c r="L57" s="131"/>
      <c r="M57" s="131"/>
      <c r="N57" s="131"/>
      <c r="O57" s="131"/>
      <c r="P57" s="131"/>
      <c r="Q57" s="131"/>
      <c r="R57" s="131"/>
      <c r="S57" s="131"/>
    </row>
    <row r="58">
      <c r="A58" s="131"/>
      <c r="B58" s="131"/>
      <c r="C58" s="131"/>
      <c r="D58" s="81"/>
      <c r="E58" s="81"/>
      <c r="F58" s="131"/>
      <c r="G58" s="131"/>
      <c r="H58" s="131"/>
      <c r="I58" s="131"/>
      <c r="J58" s="131"/>
      <c r="K58" s="131"/>
      <c r="L58" s="131"/>
      <c r="M58" s="131"/>
      <c r="N58" s="131"/>
      <c r="O58" s="131"/>
      <c r="P58" s="131"/>
      <c r="Q58" s="131"/>
      <c r="R58" s="131"/>
      <c r="S58" s="131"/>
    </row>
    <row r="59">
      <c r="A59" s="131"/>
      <c r="B59" s="131"/>
      <c r="C59" s="131"/>
      <c r="D59" s="227"/>
      <c r="E59" s="81"/>
      <c r="F59" s="228"/>
      <c r="G59" s="131"/>
      <c r="H59" s="131"/>
      <c r="I59" s="131"/>
      <c r="J59" s="131"/>
      <c r="K59" s="131"/>
      <c r="L59" s="131"/>
      <c r="M59" s="131"/>
      <c r="N59" s="131"/>
      <c r="O59" s="131"/>
      <c r="P59" s="131"/>
      <c r="Q59" s="131"/>
      <c r="R59" s="131"/>
      <c r="S59" s="131"/>
    </row>
    <row r="60">
      <c r="A60" s="131"/>
      <c r="B60" s="131"/>
      <c r="C60" s="131"/>
      <c r="D60" s="81"/>
      <c r="E60" s="81"/>
      <c r="F60" s="131"/>
      <c r="G60" s="131"/>
      <c r="H60" s="131"/>
      <c r="I60" s="131"/>
      <c r="J60" s="131"/>
      <c r="K60" s="131"/>
      <c r="L60" s="131"/>
      <c r="M60" s="131"/>
      <c r="N60" s="131"/>
      <c r="O60" s="131"/>
      <c r="P60" s="131"/>
      <c r="Q60" s="131"/>
      <c r="R60" s="131"/>
      <c r="S60" s="131"/>
    </row>
    <row r="61">
      <c r="A61" s="131"/>
      <c r="B61" s="131"/>
      <c r="C61" s="131"/>
      <c r="D61" s="81"/>
      <c r="E61" s="81"/>
      <c r="F61" s="228"/>
      <c r="G61" s="131"/>
      <c r="H61" s="131"/>
      <c r="I61" s="131"/>
      <c r="J61" s="131"/>
      <c r="K61" s="131"/>
      <c r="L61" s="131"/>
      <c r="M61" s="131"/>
      <c r="N61" s="131"/>
      <c r="O61" s="131"/>
      <c r="P61" s="131"/>
      <c r="Q61" s="131"/>
      <c r="R61" s="131"/>
      <c r="S61" s="131"/>
    </row>
    <row r="62">
      <c r="A62" s="131"/>
      <c r="B62" s="131"/>
      <c r="C62" s="131"/>
      <c r="D62" s="81"/>
      <c r="E62" s="81"/>
      <c r="F62" s="131"/>
      <c r="G62" s="131"/>
      <c r="H62" s="131"/>
      <c r="I62" s="131"/>
      <c r="J62" s="131"/>
      <c r="K62" s="131"/>
      <c r="L62" s="131"/>
      <c r="M62" s="131"/>
      <c r="N62" s="131"/>
      <c r="O62" s="131"/>
      <c r="P62" s="131"/>
      <c r="Q62" s="131"/>
      <c r="R62" s="131"/>
      <c r="S62" s="131"/>
    </row>
    <row r="63">
      <c r="A63" s="131"/>
      <c r="B63" s="131"/>
      <c r="C63" s="184"/>
      <c r="D63" s="227"/>
      <c r="E63" s="81"/>
      <c r="F63" s="229"/>
      <c r="G63" s="131"/>
      <c r="H63" s="131"/>
      <c r="I63" s="131"/>
      <c r="J63" s="131"/>
      <c r="K63" s="131"/>
      <c r="L63" s="131"/>
      <c r="M63" s="131"/>
      <c r="N63" s="131"/>
      <c r="O63" s="131"/>
      <c r="P63" s="131"/>
      <c r="Q63" s="131"/>
      <c r="R63" s="131"/>
      <c r="S63" s="131"/>
    </row>
    <row r="64">
      <c r="A64" s="131"/>
      <c r="B64" s="131"/>
      <c r="C64" s="131"/>
      <c r="D64" s="81"/>
      <c r="E64" s="81"/>
      <c r="F64" s="228"/>
      <c r="G64" s="131"/>
      <c r="H64" s="131"/>
      <c r="I64" s="131"/>
      <c r="J64" s="131"/>
      <c r="K64" s="131"/>
      <c r="L64" s="131"/>
      <c r="M64" s="131"/>
      <c r="N64" s="131"/>
      <c r="O64" s="131"/>
      <c r="P64" s="131"/>
      <c r="Q64" s="131"/>
      <c r="R64" s="131"/>
      <c r="S64" s="131"/>
    </row>
    <row r="65">
      <c r="A65" s="131"/>
      <c r="B65" s="131"/>
      <c r="C65" s="131"/>
      <c r="D65" s="81"/>
      <c r="E65" s="81"/>
      <c r="F65" s="228"/>
      <c r="G65" s="131"/>
      <c r="H65" s="131"/>
      <c r="I65" s="131"/>
      <c r="J65" s="131"/>
      <c r="K65" s="131"/>
      <c r="L65" s="131"/>
      <c r="M65" s="131"/>
      <c r="N65" s="131"/>
      <c r="O65" s="131"/>
      <c r="P65" s="131"/>
      <c r="Q65" s="131"/>
      <c r="R65" s="131"/>
      <c r="S65" s="131"/>
    </row>
    <row r="66">
      <c r="A66" s="131"/>
      <c r="B66" s="131"/>
      <c r="C66" s="131"/>
      <c r="D66" s="81"/>
      <c r="E66" s="81"/>
      <c r="F66" s="228"/>
      <c r="G66" s="131"/>
      <c r="H66" s="131"/>
      <c r="I66" s="131"/>
      <c r="J66" s="131"/>
      <c r="K66" s="131"/>
      <c r="L66" s="131"/>
      <c r="M66" s="131"/>
      <c r="N66" s="131"/>
      <c r="O66" s="131"/>
      <c r="P66" s="131"/>
      <c r="Q66" s="131"/>
      <c r="R66" s="131"/>
      <c r="S66" s="131"/>
    </row>
    <row r="67">
      <c r="A67" s="131"/>
      <c r="B67" s="131"/>
      <c r="C67" s="131"/>
      <c r="D67" s="81"/>
      <c r="E67" s="81"/>
      <c r="F67" s="131"/>
      <c r="G67" s="131"/>
      <c r="H67" s="131"/>
      <c r="I67" s="131"/>
      <c r="J67" s="131"/>
      <c r="K67" s="131"/>
      <c r="L67" s="131"/>
      <c r="M67" s="131"/>
      <c r="N67" s="131"/>
      <c r="O67" s="131"/>
      <c r="P67" s="131"/>
      <c r="Q67" s="131"/>
      <c r="R67" s="131"/>
      <c r="S67" s="131"/>
    </row>
    <row r="68">
      <c r="A68" s="131"/>
      <c r="B68" s="131"/>
      <c r="C68" s="131"/>
      <c r="D68" s="81"/>
      <c r="E68" s="81"/>
      <c r="F68" s="131"/>
      <c r="G68" s="131"/>
      <c r="H68" s="131"/>
      <c r="I68" s="131"/>
      <c r="J68" s="131"/>
      <c r="K68" s="131"/>
      <c r="L68" s="131"/>
      <c r="M68" s="131"/>
      <c r="N68" s="131"/>
      <c r="O68" s="131"/>
      <c r="P68" s="131"/>
      <c r="Q68" s="131"/>
      <c r="R68" s="131"/>
      <c r="S68" s="131"/>
    </row>
    <row r="69">
      <c r="A69" s="131"/>
      <c r="B69" s="131"/>
      <c r="C69" s="131"/>
      <c r="D69" s="81"/>
      <c r="E69" s="81"/>
      <c r="F69" s="131"/>
      <c r="G69" s="131"/>
      <c r="H69" s="131"/>
      <c r="I69" s="131"/>
      <c r="J69" s="131"/>
      <c r="K69" s="131"/>
      <c r="L69" s="131"/>
      <c r="M69" s="131"/>
      <c r="N69" s="131"/>
      <c r="O69" s="131"/>
      <c r="P69" s="131"/>
      <c r="Q69" s="131"/>
      <c r="R69" s="131"/>
      <c r="S69" s="131"/>
    </row>
    <row r="70">
      <c r="A70" s="131"/>
      <c r="B70" s="131"/>
      <c r="C70" s="131"/>
      <c r="D70" s="227"/>
      <c r="E70" s="81"/>
      <c r="F70" s="131"/>
      <c r="G70" s="131"/>
      <c r="H70" s="131"/>
      <c r="I70" s="131"/>
      <c r="J70" s="131"/>
      <c r="K70" s="131"/>
      <c r="L70" s="131"/>
      <c r="M70" s="131"/>
      <c r="N70" s="131"/>
      <c r="O70" s="131"/>
      <c r="P70" s="131"/>
      <c r="Q70" s="131"/>
      <c r="R70" s="131"/>
      <c r="S70" s="131"/>
    </row>
    <row r="71">
      <c r="A71" s="131"/>
      <c r="B71" s="131"/>
      <c r="C71" s="131"/>
      <c r="D71" s="227"/>
      <c r="E71" s="81"/>
      <c r="F71" s="131"/>
      <c r="G71" s="131"/>
      <c r="H71" s="131"/>
      <c r="I71" s="131"/>
      <c r="J71" s="131"/>
      <c r="K71" s="131"/>
      <c r="L71" s="131"/>
      <c r="M71" s="131"/>
      <c r="N71" s="131"/>
      <c r="O71" s="131"/>
      <c r="P71" s="131"/>
      <c r="Q71" s="131"/>
      <c r="R71" s="131"/>
      <c r="S71" s="131"/>
    </row>
    <row r="72">
      <c r="A72" s="131"/>
      <c r="B72" s="131"/>
      <c r="C72" s="131"/>
      <c r="D72" s="81"/>
      <c r="E72" s="81"/>
      <c r="F72" s="131"/>
      <c r="G72" s="131"/>
      <c r="H72" s="131"/>
      <c r="I72" s="131"/>
      <c r="J72" s="131"/>
      <c r="K72" s="131"/>
      <c r="L72" s="131"/>
      <c r="M72" s="131"/>
      <c r="N72" s="131"/>
      <c r="O72" s="131"/>
      <c r="P72" s="131"/>
      <c r="Q72" s="131"/>
      <c r="R72" s="131"/>
      <c r="S72" s="131"/>
    </row>
    <row r="73">
      <c r="A73" s="131"/>
      <c r="B73" s="131"/>
      <c r="C73" s="131"/>
      <c r="D73" s="81"/>
      <c r="E73" s="81"/>
      <c r="F73" s="131"/>
      <c r="G73" s="131"/>
      <c r="H73" s="131"/>
      <c r="I73" s="131"/>
      <c r="J73" s="131"/>
      <c r="K73" s="131"/>
      <c r="L73" s="131"/>
      <c r="M73" s="131"/>
      <c r="N73" s="131"/>
      <c r="O73" s="131"/>
      <c r="P73" s="131"/>
      <c r="Q73" s="131"/>
      <c r="R73" s="131"/>
      <c r="S73" s="131"/>
    </row>
    <row r="74">
      <c r="A74" s="131"/>
      <c r="B74" s="131"/>
      <c r="C74" s="131"/>
      <c r="D74" s="81"/>
      <c r="E74" s="81"/>
      <c r="F74" s="131"/>
      <c r="G74" s="131"/>
      <c r="H74" s="131"/>
      <c r="I74" s="131"/>
      <c r="J74" s="131"/>
      <c r="K74" s="131"/>
      <c r="L74" s="131"/>
      <c r="M74" s="131"/>
      <c r="N74" s="131"/>
      <c r="O74" s="131"/>
      <c r="P74" s="131"/>
      <c r="Q74" s="131"/>
      <c r="R74" s="131"/>
      <c r="S74" s="131"/>
    </row>
    <row r="75">
      <c r="A75" s="131"/>
      <c r="B75" s="131"/>
      <c r="C75" s="131"/>
      <c r="D75" s="81"/>
      <c r="E75" s="81"/>
      <c r="F75" s="131"/>
      <c r="G75" s="131"/>
      <c r="H75" s="131"/>
      <c r="I75" s="131"/>
      <c r="J75" s="131"/>
      <c r="K75" s="131"/>
      <c r="L75" s="131"/>
      <c r="M75" s="131"/>
      <c r="N75" s="131"/>
      <c r="O75" s="131"/>
      <c r="P75" s="131"/>
      <c r="Q75" s="131"/>
      <c r="R75" s="131"/>
      <c r="S75" s="131"/>
    </row>
    <row r="76">
      <c r="A76" s="131"/>
      <c r="B76" s="131"/>
      <c r="C76" s="131"/>
      <c r="D76" s="227"/>
      <c r="E76" s="81"/>
      <c r="F76" s="131"/>
      <c r="G76" s="131"/>
      <c r="H76" s="131"/>
      <c r="I76" s="131"/>
      <c r="J76" s="131"/>
      <c r="K76" s="131"/>
      <c r="L76" s="131"/>
      <c r="M76" s="131"/>
      <c r="N76" s="131"/>
      <c r="O76" s="131"/>
      <c r="P76" s="131"/>
      <c r="Q76" s="131"/>
      <c r="R76" s="131"/>
      <c r="S76" s="131"/>
    </row>
    <row r="77">
      <c r="A77" s="131"/>
      <c r="B77" s="131"/>
      <c r="C77" s="131"/>
      <c r="D77" s="227"/>
      <c r="E77" s="81"/>
      <c r="F77" s="131"/>
      <c r="G77" s="131"/>
      <c r="H77" s="131"/>
      <c r="I77" s="131"/>
      <c r="J77" s="131"/>
      <c r="K77" s="131"/>
      <c r="L77" s="131"/>
      <c r="M77" s="131"/>
      <c r="N77" s="131"/>
      <c r="O77" s="131"/>
      <c r="P77" s="131"/>
      <c r="Q77" s="131"/>
      <c r="R77" s="131"/>
      <c r="S77" s="131"/>
    </row>
    <row r="78">
      <c r="A78" s="131"/>
      <c r="B78" s="131"/>
      <c r="C78" s="131"/>
      <c r="D78" s="81"/>
      <c r="E78" s="81"/>
      <c r="F78" s="131"/>
      <c r="G78" s="131"/>
      <c r="H78" s="131"/>
      <c r="I78" s="131"/>
      <c r="J78" s="131"/>
      <c r="K78" s="131"/>
      <c r="L78" s="131"/>
      <c r="M78" s="131"/>
      <c r="N78" s="131"/>
      <c r="O78" s="131"/>
      <c r="P78" s="131"/>
      <c r="Q78" s="131"/>
      <c r="R78" s="131"/>
      <c r="S78" s="131"/>
    </row>
    <row r="79">
      <c r="A79" s="131"/>
      <c r="B79" s="131"/>
      <c r="C79" s="131"/>
      <c r="D79" s="81"/>
      <c r="E79" s="81"/>
      <c r="F79" s="131"/>
      <c r="G79" s="131"/>
      <c r="H79" s="131"/>
      <c r="I79" s="131"/>
      <c r="J79" s="131"/>
      <c r="K79" s="131"/>
      <c r="L79" s="131"/>
      <c r="M79" s="131"/>
      <c r="N79" s="131"/>
      <c r="O79" s="131"/>
      <c r="P79" s="131"/>
      <c r="Q79" s="131"/>
      <c r="R79" s="131"/>
      <c r="S79" s="131"/>
    </row>
    <row r="80">
      <c r="A80" s="131"/>
      <c r="B80" s="131"/>
      <c r="C80" s="131"/>
      <c r="D80" s="227"/>
      <c r="E80" s="81"/>
      <c r="F80" s="131"/>
      <c r="G80" s="131"/>
      <c r="H80" s="131"/>
      <c r="I80" s="131"/>
      <c r="J80" s="131"/>
      <c r="K80" s="131"/>
      <c r="L80" s="131"/>
      <c r="M80" s="131"/>
      <c r="N80" s="131"/>
      <c r="O80" s="131"/>
      <c r="P80" s="131"/>
      <c r="Q80" s="131"/>
      <c r="R80" s="131"/>
      <c r="S80" s="131"/>
    </row>
    <row r="81">
      <c r="A81" s="131"/>
      <c r="B81" s="131"/>
      <c r="C81" s="131"/>
      <c r="D81" s="227"/>
      <c r="E81" s="81"/>
      <c r="F81" s="131"/>
      <c r="G81" s="131"/>
      <c r="H81" s="131"/>
      <c r="I81" s="131"/>
      <c r="J81" s="131"/>
      <c r="K81" s="131"/>
      <c r="L81" s="131"/>
      <c r="M81" s="131"/>
      <c r="N81" s="131"/>
      <c r="O81" s="131"/>
      <c r="P81" s="131"/>
      <c r="Q81" s="131"/>
      <c r="R81" s="131"/>
      <c r="S81" s="131"/>
    </row>
    <row r="82">
      <c r="A82" s="131"/>
      <c r="B82" s="131"/>
      <c r="C82" s="131"/>
      <c r="D82" s="81"/>
      <c r="E82" s="81"/>
      <c r="F82" s="131"/>
      <c r="G82" s="131"/>
      <c r="H82" s="131"/>
      <c r="I82" s="131"/>
      <c r="J82" s="131"/>
      <c r="K82" s="131"/>
      <c r="L82" s="131"/>
      <c r="M82" s="131"/>
      <c r="N82" s="131"/>
      <c r="O82" s="131"/>
      <c r="P82" s="131"/>
      <c r="Q82" s="131"/>
      <c r="R82" s="131"/>
      <c r="S82" s="131"/>
    </row>
    <row r="83">
      <c r="A83" s="131"/>
      <c r="B83" s="131"/>
      <c r="C83" s="131"/>
      <c r="D83" s="227"/>
      <c r="E83" s="81"/>
      <c r="F83" s="131"/>
      <c r="G83" s="131"/>
      <c r="H83" s="131"/>
      <c r="I83" s="131"/>
      <c r="J83" s="131"/>
      <c r="K83" s="131"/>
      <c r="L83" s="131"/>
      <c r="M83" s="131"/>
      <c r="N83" s="131"/>
      <c r="O83" s="131"/>
      <c r="P83" s="131"/>
      <c r="Q83" s="131"/>
      <c r="R83" s="131"/>
      <c r="S83" s="131"/>
    </row>
    <row r="84">
      <c r="A84" s="131"/>
      <c r="B84" s="131"/>
      <c r="C84" s="131"/>
      <c r="D84" s="227"/>
      <c r="E84" s="81"/>
      <c r="F84" s="131"/>
      <c r="G84" s="131"/>
      <c r="H84" s="131"/>
      <c r="I84" s="131"/>
      <c r="J84" s="131"/>
      <c r="K84" s="131"/>
      <c r="L84" s="131"/>
      <c r="M84" s="131"/>
      <c r="N84" s="131"/>
      <c r="O84" s="131"/>
      <c r="P84" s="131"/>
      <c r="Q84" s="131"/>
      <c r="R84" s="131"/>
      <c r="S84" s="131"/>
    </row>
    <row r="85">
      <c r="A85" s="131"/>
      <c r="B85" s="131"/>
      <c r="C85" s="131"/>
      <c r="D85" s="227"/>
      <c r="E85" s="81"/>
      <c r="F85" s="131"/>
      <c r="G85" s="131"/>
      <c r="H85" s="131"/>
      <c r="I85" s="131"/>
      <c r="J85" s="131"/>
      <c r="K85" s="131"/>
      <c r="L85" s="131"/>
      <c r="M85" s="131"/>
      <c r="N85" s="131"/>
      <c r="O85" s="131"/>
      <c r="P85" s="131"/>
      <c r="Q85" s="131"/>
      <c r="R85" s="131"/>
      <c r="S85" s="131"/>
    </row>
    <row r="86">
      <c r="A86" s="131"/>
      <c r="B86" s="131"/>
      <c r="C86" s="131"/>
      <c r="D86" s="227"/>
      <c r="E86" s="81"/>
      <c r="F86" s="131"/>
      <c r="G86" s="131"/>
      <c r="H86" s="131"/>
      <c r="I86" s="131"/>
      <c r="J86" s="131"/>
      <c r="K86" s="131"/>
      <c r="L86" s="131"/>
      <c r="M86" s="131"/>
      <c r="N86" s="131"/>
      <c r="O86" s="131"/>
      <c r="P86" s="131"/>
      <c r="Q86" s="131"/>
      <c r="R86" s="131"/>
      <c r="S86" s="131"/>
    </row>
    <row r="87">
      <c r="A87" s="131"/>
      <c r="B87" s="131"/>
      <c r="C87" s="131"/>
      <c r="D87" s="227"/>
      <c r="E87" s="81"/>
      <c r="F87" s="131"/>
      <c r="G87" s="131"/>
      <c r="H87" s="131"/>
      <c r="I87" s="131"/>
      <c r="J87" s="131"/>
      <c r="K87" s="131"/>
      <c r="L87" s="131"/>
      <c r="M87" s="131"/>
      <c r="N87" s="131"/>
      <c r="O87" s="131"/>
      <c r="P87" s="131"/>
      <c r="Q87" s="131"/>
      <c r="R87" s="131"/>
      <c r="S87" s="131"/>
    </row>
    <row r="88">
      <c r="A88" s="131"/>
      <c r="B88" s="131"/>
      <c r="C88" s="131"/>
      <c r="D88" s="227"/>
      <c r="E88" s="81"/>
      <c r="F88" s="131"/>
      <c r="G88" s="131"/>
      <c r="H88" s="131"/>
      <c r="I88" s="131"/>
      <c r="J88" s="131"/>
      <c r="K88" s="131"/>
      <c r="L88" s="131"/>
      <c r="M88" s="131"/>
      <c r="N88" s="131"/>
      <c r="O88" s="131"/>
      <c r="P88" s="131"/>
      <c r="Q88" s="131"/>
      <c r="R88" s="131"/>
      <c r="S88" s="131"/>
    </row>
    <row r="89">
      <c r="A89" s="131"/>
      <c r="B89" s="131"/>
      <c r="C89" s="131"/>
      <c r="D89" s="227"/>
      <c r="E89" s="81"/>
      <c r="F89" s="131"/>
      <c r="G89" s="131"/>
      <c r="H89" s="131"/>
      <c r="I89" s="131"/>
      <c r="J89" s="131"/>
      <c r="K89" s="131"/>
      <c r="L89" s="131"/>
      <c r="M89" s="131"/>
      <c r="N89" s="131"/>
      <c r="O89" s="131"/>
      <c r="P89" s="131"/>
      <c r="Q89" s="131"/>
      <c r="R89" s="131"/>
      <c r="S89" s="131"/>
    </row>
    <row r="90">
      <c r="A90" s="131"/>
      <c r="B90" s="131"/>
      <c r="C90" s="131"/>
      <c r="D90" s="227"/>
      <c r="E90" s="81"/>
      <c r="F90" s="131"/>
      <c r="G90" s="131"/>
      <c r="H90" s="131"/>
      <c r="I90" s="131"/>
      <c r="J90" s="131"/>
      <c r="K90" s="131"/>
      <c r="L90" s="131"/>
      <c r="M90" s="131"/>
      <c r="N90" s="131"/>
      <c r="O90" s="131"/>
      <c r="P90" s="131"/>
      <c r="Q90" s="131"/>
      <c r="R90" s="131"/>
      <c r="S90" s="131"/>
    </row>
    <row r="91">
      <c r="A91" s="131"/>
      <c r="B91" s="131"/>
      <c r="C91" s="131"/>
      <c r="D91" s="227"/>
      <c r="E91" s="81"/>
      <c r="F91" s="131"/>
      <c r="G91" s="131"/>
      <c r="H91" s="131"/>
      <c r="I91" s="131"/>
      <c r="J91" s="131"/>
      <c r="K91" s="131"/>
      <c r="L91" s="131"/>
      <c r="M91" s="131"/>
      <c r="N91" s="131"/>
      <c r="O91" s="131"/>
      <c r="P91" s="131"/>
      <c r="Q91" s="131"/>
      <c r="R91" s="131"/>
      <c r="S91" s="131"/>
    </row>
    <row r="92">
      <c r="A92" s="131"/>
      <c r="B92" s="131"/>
      <c r="C92" s="131"/>
      <c r="D92" s="227"/>
      <c r="E92" s="81"/>
      <c r="F92" s="131"/>
      <c r="G92" s="131"/>
      <c r="H92" s="131"/>
      <c r="I92" s="131"/>
      <c r="J92" s="131"/>
      <c r="K92" s="131"/>
      <c r="L92" s="131"/>
      <c r="M92" s="131"/>
      <c r="N92" s="131"/>
      <c r="O92" s="131"/>
      <c r="P92" s="131"/>
      <c r="Q92" s="131"/>
      <c r="R92" s="131"/>
      <c r="S92" s="131"/>
    </row>
    <row r="93">
      <c r="A93" s="131"/>
      <c r="B93" s="131"/>
      <c r="C93" s="131"/>
      <c r="D93" s="227"/>
      <c r="E93" s="81"/>
      <c r="F93" s="131"/>
      <c r="G93" s="131"/>
      <c r="H93" s="131"/>
      <c r="I93" s="131"/>
      <c r="J93" s="131"/>
      <c r="K93" s="131"/>
      <c r="L93" s="131"/>
      <c r="M93" s="131"/>
      <c r="N93" s="131"/>
      <c r="O93" s="131"/>
      <c r="P93" s="131"/>
      <c r="Q93" s="131"/>
      <c r="R93" s="131"/>
      <c r="S93" s="131"/>
    </row>
    <row r="94">
      <c r="A94" s="131"/>
      <c r="B94" s="131"/>
      <c r="C94" s="131"/>
      <c r="D94" s="227"/>
      <c r="E94" s="81"/>
      <c r="F94" s="131"/>
      <c r="G94" s="131"/>
      <c r="H94" s="131"/>
      <c r="I94" s="131"/>
      <c r="J94" s="131"/>
      <c r="K94" s="131"/>
      <c r="L94" s="131"/>
      <c r="M94" s="131"/>
      <c r="N94" s="131"/>
      <c r="O94" s="131"/>
      <c r="P94" s="131"/>
      <c r="Q94" s="131"/>
      <c r="R94" s="131"/>
      <c r="S94" s="131"/>
    </row>
    <row r="95">
      <c r="A95" s="131"/>
      <c r="B95" s="131"/>
      <c r="C95" s="131"/>
      <c r="D95" s="227"/>
      <c r="E95" s="81"/>
      <c r="F95" s="131"/>
      <c r="G95" s="131"/>
      <c r="H95" s="131"/>
      <c r="I95" s="131"/>
      <c r="J95" s="131"/>
      <c r="K95" s="131"/>
      <c r="L95" s="131"/>
      <c r="M95" s="131"/>
      <c r="N95" s="131"/>
      <c r="O95" s="131"/>
      <c r="P95" s="131"/>
      <c r="Q95" s="131"/>
      <c r="R95" s="131"/>
      <c r="S95" s="131"/>
    </row>
    <row r="96">
      <c r="A96" s="131"/>
      <c r="B96" s="131"/>
      <c r="C96" s="131"/>
      <c r="D96" s="227"/>
      <c r="E96" s="81"/>
      <c r="F96" s="131"/>
      <c r="G96" s="131"/>
      <c r="H96" s="131"/>
      <c r="I96" s="131"/>
      <c r="J96" s="131"/>
      <c r="K96" s="131"/>
      <c r="L96" s="131"/>
      <c r="M96" s="131"/>
      <c r="N96" s="131"/>
      <c r="O96" s="131"/>
      <c r="P96" s="131"/>
      <c r="Q96" s="131"/>
      <c r="R96" s="131"/>
      <c r="S96" s="131"/>
    </row>
    <row r="97">
      <c r="A97" s="131"/>
      <c r="B97" s="131"/>
      <c r="C97" s="131"/>
      <c r="D97" s="81"/>
      <c r="E97" s="81"/>
      <c r="F97" s="131"/>
      <c r="G97" s="131"/>
      <c r="H97" s="131"/>
      <c r="I97" s="131"/>
      <c r="J97" s="131"/>
      <c r="K97" s="131"/>
      <c r="L97" s="131"/>
      <c r="M97" s="131"/>
      <c r="N97" s="131"/>
      <c r="O97" s="131"/>
      <c r="P97" s="131"/>
      <c r="Q97" s="131"/>
      <c r="R97" s="131"/>
      <c r="S97" s="131"/>
    </row>
    <row r="98">
      <c r="A98" s="131"/>
      <c r="B98" s="131"/>
      <c r="C98" s="131"/>
      <c r="D98" s="81"/>
      <c r="E98" s="81"/>
      <c r="F98" s="131"/>
      <c r="G98" s="131"/>
      <c r="H98" s="131"/>
      <c r="I98" s="131"/>
      <c r="J98" s="131"/>
      <c r="K98" s="131"/>
      <c r="L98" s="131"/>
      <c r="M98" s="131"/>
      <c r="N98" s="131"/>
      <c r="O98" s="131"/>
      <c r="P98" s="131"/>
      <c r="Q98" s="131"/>
      <c r="R98" s="131"/>
      <c r="S98" s="131"/>
    </row>
    <row r="99">
      <c r="A99" s="131"/>
      <c r="B99" s="131"/>
      <c r="C99" s="131"/>
      <c r="D99" s="81"/>
      <c r="E99" s="81"/>
      <c r="F99" s="131"/>
      <c r="G99" s="131"/>
      <c r="H99" s="131"/>
      <c r="I99" s="131"/>
      <c r="J99" s="131"/>
      <c r="K99" s="131"/>
      <c r="L99" s="131"/>
      <c r="M99" s="131"/>
      <c r="N99" s="131"/>
      <c r="O99" s="131"/>
      <c r="P99" s="131"/>
      <c r="Q99" s="131"/>
      <c r="R99" s="131"/>
      <c r="S99" s="131"/>
    </row>
    <row r="100">
      <c r="A100" s="131"/>
      <c r="B100" s="131"/>
      <c r="C100" s="131"/>
      <c r="D100" s="81"/>
      <c r="E100" s="81"/>
      <c r="F100" s="131"/>
      <c r="G100" s="131"/>
      <c r="H100" s="131"/>
      <c r="I100" s="131"/>
      <c r="J100" s="131"/>
      <c r="K100" s="131"/>
      <c r="L100" s="131"/>
      <c r="M100" s="131"/>
      <c r="N100" s="131"/>
      <c r="O100" s="131"/>
      <c r="P100" s="131"/>
      <c r="Q100" s="131"/>
      <c r="R100" s="131"/>
      <c r="S100" s="131"/>
    </row>
    <row r="101">
      <c r="A101" s="131"/>
      <c r="B101" s="131"/>
      <c r="C101" s="131"/>
      <c r="D101" s="227"/>
      <c r="E101" s="81"/>
      <c r="F101" s="131"/>
      <c r="G101" s="131"/>
      <c r="H101" s="131"/>
      <c r="I101" s="131"/>
      <c r="J101" s="131"/>
      <c r="K101" s="131"/>
      <c r="L101" s="131"/>
      <c r="M101" s="131"/>
      <c r="N101" s="131"/>
      <c r="O101" s="131"/>
      <c r="P101" s="131"/>
      <c r="Q101" s="131"/>
      <c r="R101" s="131"/>
      <c r="S101" s="131"/>
    </row>
    <row r="102">
      <c r="A102" s="131"/>
      <c r="B102" s="131"/>
      <c r="C102" s="131"/>
      <c r="D102" s="81"/>
      <c r="E102" s="81"/>
      <c r="F102" s="131"/>
      <c r="G102" s="131"/>
      <c r="H102" s="131"/>
      <c r="I102" s="131"/>
      <c r="J102" s="131"/>
      <c r="K102" s="131"/>
      <c r="L102" s="131"/>
      <c r="M102" s="131"/>
      <c r="N102" s="131"/>
      <c r="O102" s="131"/>
      <c r="P102" s="131"/>
      <c r="Q102" s="131"/>
      <c r="R102" s="131"/>
      <c r="S102" s="131"/>
    </row>
    <row r="103">
      <c r="A103" s="131"/>
      <c r="B103" s="131"/>
      <c r="C103" s="131"/>
      <c r="D103" s="81"/>
      <c r="E103" s="81"/>
      <c r="F103" s="131"/>
      <c r="G103" s="131"/>
      <c r="H103" s="131"/>
      <c r="I103" s="131"/>
      <c r="J103" s="131"/>
      <c r="K103" s="131"/>
      <c r="L103" s="131"/>
      <c r="M103" s="131"/>
      <c r="N103" s="131"/>
      <c r="O103" s="131"/>
      <c r="P103" s="131"/>
      <c r="Q103" s="131"/>
      <c r="R103" s="131"/>
      <c r="S103" s="131"/>
    </row>
    <row r="104">
      <c r="A104" s="131"/>
      <c r="B104" s="131"/>
      <c r="C104" s="131"/>
      <c r="D104" s="227"/>
      <c r="E104" s="81"/>
      <c r="F104" s="131"/>
      <c r="G104" s="131"/>
      <c r="H104" s="131"/>
      <c r="I104" s="131"/>
      <c r="J104" s="131"/>
      <c r="K104" s="131"/>
      <c r="L104" s="131"/>
      <c r="M104" s="131"/>
      <c r="N104" s="131"/>
      <c r="O104" s="131"/>
      <c r="P104" s="131"/>
      <c r="Q104" s="131"/>
      <c r="R104" s="131"/>
      <c r="S104" s="131"/>
    </row>
    <row r="105">
      <c r="A105" s="131"/>
      <c r="B105" s="131"/>
      <c r="C105" s="131"/>
      <c r="D105" s="81"/>
      <c r="E105" s="81"/>
      <c r="F105" s="131"/>
      <c r="G105" s="131"/>
      <c r="H105" s="131"/>
      <c r="I105" s="131"/>
      <c r="J105" s="131"/>
      <c r="K105" s="131"/>
      <c r="L105" s="131"/>
      <c r="M105" s="131"/>
      <c r="N105" s="131"/>
      <c r="O105" s="131"/>
      <c r="P105" s="131"/>
      <c r="Q105" s="131"/>
      <c r="R105" s="131"/>
      <c r="S105" s="131"/>
    </row>
    <row r="106">
      <c r="A106" s="131"/>
      <c r="B106" s="131"/>
      <c r="C106" s="131"/>
      <c r="D106" s="81"/>
      <c r="E106" s="81"/>
      <c r="F106" s="131"/>
      <c r="G106" s="131"/>
      <c r="H106" s="131"/>
      <c r="I106" s="131"/>
      <c r="J106" s="131"/>
      <c r="K106" s="131"/>
      <c r="L106" s="131"/>
      <c r="M106" s="131"/>
      <c r="N106" s="131"/>
      <c r="O106" s="131"/>
      <c r="P106" s="131"/>
      <c r="Q106" s="131"/>
      <c r="R106" s="131"/>
      <c r="S106" s="131"/>
    </row>
    <row r="107">
      <c r="A107" s="131"/>
      <c r="B107" s="131"/>
      <c r="C107" s="131"/>
      <c r="D107" s="81"/>
      <c r="E107" s="81"/>
      <c r="F107" s="131"/>
      <c r="G107" s="131"/>
      <c r="H107" s="131"/>
      <c r="I107" s="131"/>
      <c r="J107" s="131"/>
      <c r="K107" s="131"/>
      <c r="L107" s="131"/>
      <c r="M107" s="131"/>
      <c r="N107" s="131"/>
      <c r="O107" s="131"/>
      <c r="P107" s="131"/>
      <c r="Q107" s="131"/>
      <c r="R107" s="131"/>
      <c r="S107" s="131"/>
    </row>
    <row r="108">
      <c r="A108" s="131"/>
      <c r="B108" s="131"/>
      <c r="C108" s="131"/>
      <c r="D108" s="227"/>
      <c r="E108" s="81"/>
      <c r="F108" s="131"/>
      <c r="G108" s="131"/>
      <c r="H108" s="131"/>
      <c r="I108" s="131"/>
      <c r="J108" s="131"/>
      <c r="K108" s="131"/>
      <c r="L108" s="131"/>
      <c r="M108" s="131"/>
      <c r="N108" s="131"/>
      <c r="O108" s="131"/>
      <c r="P108" s="131"/>
      <c r="Q108" s="131"/>
      <c r="R108" s="131"/>
      <c r="S108" s="131"/>
    </row>
    <row r="109">
      <c r="A109" s="131"/>
      <c r="B109" s="131"/>
      <c r="C109" s="131"/>
      <c r="D109" s="81"/>
      <c r="E109" s="81"/>
      <c r="F109" s="131"/>
      <c r="G109" s="131"/>
      <c r="H109" s="131"/>
      <c r="I109" s="131"/>
      <c r="J109" s="131"/>
      <c r="K109" s="131"/>
      <c r="L109" s="131"/>
      <c r="M109" s="131"/>
      <c r="N109" s="131"/>
      <c r="O109" s="131"/>
      <c r="P109" s="131"/>
      <c r="Q109" s="131"/>
      <c r="R109" s="131"/>
      <c r="S109" s="131"/>
    </row>
    <row r="110">
      <c r="A110" s="131"/>
      <c r="B110" s="131"/>
      <c r="C110" s="131"/>
      <c r="D110" s="81"/>
      <c r="E110" s="81"/>
      <c r="F110" s="131"/>
      <c r="G110" s="131"/>
      <c r="H110" s="131"/>
      <c r="I110" s="131"/>
      <c r="J110" s="131"/>
      <c r="K110" s="131"/>
      <c r="L110" s="131"/>
      <c r="M110" s="131"/>
      <c r="N110" s="131"/>
      <c r="O110" s="131"/>
      <c r="P110" s="131"/>
      <c r="Q110" s="131"/>
      <c r="R110" s="131"/>
      <c r="S110" s="131"/>
    </row>
    <row r="111">
      <c r="A111" s="131"/>
      <c r="B111" s="131"/>
      <c r="C111" s="131"/>
      <c r="D111" s="81"/>
      <c r="E111" s="81"/>
      <c r="F111" s="131"/>
      <c r="G111" s="131"/>
      <c r="H111" s="131"/>
      <c r="I111" s="131"/>
      <c r="J111" s="131"/>
      <c r="K111" s="131"/>
      <c r="L111" s="131"/>
      <c r="M111" s="131"/>
      <c r="N111" s="131"/>
      <c r="O111" s="131"/>
      <c r="P111" s="131"/>
      <c r="Q111" s="131"/>
      <c r="R111" s="131"/>
      <c r="S111" s="131"/>
    </row>
    <row r="112">
      <c r="A112" s="131"/>
      <c r="B112" s="131"/>
      <c r="C112" s="131"/>
      <c r="D112" s="227"/>
      <c r="E112" s="81"/>
      <c r="F112" s="131"/>
      <c r="G112" s="131"/>
      <c r="H112" s="131"/>
      <c r="I112" s="131"/>
      <c r="J112" s="131"/>
      <c r="K112" s="131"/>
      <c r="L112" s="131"/>
      <c r="M112" s="131"/>
      <c r="N112" s="131"/>
      <c r="O112" s="131"/>
      <c r="P112" s="131"/>
      <c r="Q112" s="131"/>
      <c r="R112" s="131"/>
      <c r="S112" s="131"/>
    </row>
    <row r="113">
      <c r="A113" s="131"/>
      <c r="B113" s="131"/>
      <c r="C113" s="131"/>
      <c r="D113" s="81"/>
      <c r="E113" s="81"/>
      <c r="F113" s="131"/>
      <c r="G113" s="131"/>
      <c r="H113" s="131"/>
      <c r="I113" s="131"/>
      <c r="J113" s="131"/>
      <c r="K113" s="131"/>
      <c r="L113" s="131"/>
      <c r="M113" s="131"/>
      <c r="N113" s="131"/>
      <c r="O113" s="131"/>
      <c r="P113" s="131"/>
      <c r="Q113" s="131"/>
      <c r="R113" s="131"/>
      <c r="S113" s="131"/>
    </row>
    <row r="114">
      <c r="A114" s="131"/>
      <c r="B114" s="131"/>
      <c r="C114" s="131"/>
      <c r="D114" s="227"/>
      <c r="E114" s="81"/>
      <c r="F114" s="131"/>
      <c r="G114" s="131"/>
      <c r="H114" s="131"/>
      <c r="I114" s="131"/>
      <c r="J114" s="131"/>
      <c r="K114" s="131"/>
      <c r="L114" s="131"/>
      <c r="M114" s="131"/>
      <c r="N114" s="131"/>
      <c r="O114" s="131"/>
      <c r="P114" s="131"/>
      <c r="Q114" s="131"/>
      <c r="R114" s="131"/>
      <c r="S114" s="131"/>
    </row>
    <row r="115">
      <c r="A115" s="131"/>
      <c r="B115" s="131"/>
      <c r="C115" s="131"/>
      <c r="D115" s="81"/>
      <c r="E115" s="81"/>
      <c r="F115" s="131"/>
      <c r="G115" s="131"/>
      <c r="H115" s="131"/>
      <c r="I115" s="131"/>
      <c r="J115" s="131"/>
      <c r="K115" s="131"/>
      <c r="L115" s="131"/>
      <c r="M115" s="131"/>
      <c r="N115" s="131"/>
      <c r="O115" s="131"/>
      <c r="P115" s="131"/>
      <c r="Q115" s="131"/>
      <c r="R115" s="131"/>
      <c r="S115" s="131"/>
    </row>
    <row r="116">
      <c r="A116" s="131"/>
      <c r="B116" s="131"/>
      <c r="C116" s="131"/>
      <c r="D116" s="227"/>
      <c r="E116" s="81"/>
      <c r="F116" s="131"/>
      <c r="G116" s="131"/>
      <c r="H116" s="131"/>
      <c r="I116" s="131"/>
      <c r="J116" s="131"/>
      <c r="K116" s="131"/>
      <c r="L116" s="131"/>
      <c r="M116" s="131"/>
      <c r="N116" s="131"/>
      <c r="O116" s="131"/>
      <c r="P116" s="131"/>
      <c r="Q116" s="131"/>
      <c r="R116" s="131"/>
      <c r="S116" s="131"/>
    </row>
    <row r="117">
      <c r="A117" s="131"/>
      <c r="B117" s="131"/>
      <c r="C117" s="131"/>
      <c r="D117" s="81"/>
      <c r="E117" s="81"/>
      <c r="F117" s="131"/>
      <c r="G117" s="131"/>
      <c r="H117" s="131"/>
      <c r="I117" s="131"/>
      <c r="J117" s="131"/>
      <c r="K117" s="131"/>
      <c r="L117" s="131"/>
      <c r="M117" s="131"/>
      <c r="N117" s="131"/>
      <c r="O117" s="131"/>
      <c r="P117" s="131"/>
      <c r="Q117" s="131"/>
      <c r="R117" s="131"/>
      <c r="S117" s="131"/>
    </row>
    <row r="118">
      <c r="A118" s="131"/>
      <c r="B118" s="131"/>
      <c r="C118" s="131"/>
      <c r="D118" s="227"/>
      <c r="E118" s="81"/>
      <c r="F118" s="131"/>
      <c r="G118" s="131"/>
      <c r="H118" s="131"/>
      <c r="I118" s="131"/>
      <c r="J118" s="131"/>
      <c r="K118" s="131"/>
      <c r="L118" s="131"/>
      <c r="M118" s="131"/>
      <c r="N118" s="131"/>
      <c r="O118" s="131"/>
      <c r="P118" s="131"/>
      <c r="Q118" s="131"/>
      <c r="R118" s="131"/>
      <c r="S118" s="131"/>
    </row>
    <row r="119">
      <c r="A119" s="131"/>
      <c r="B119" s="131"/>
      <c r="C119" s="131"/>
      <c r="D119" s="81"/>
      <c r="E119" s="81"/>
      <c r="F119" s="131"/>
      <c r="G119" s="131"/>
      <c r="H119" s="131"/>
      <c r="I119" s="131"/>
      <c r="J119" s="131"/>
      <c r="K119" s="131"/>
      <c r="L119" s="131"/>
      <c r="M119" s="131"/>
      <c r="N119" s="131"/>
      <c r="O119" s="131"/>
      <c r="P119" s="131"/>
      <c r="Q119" s="131"/>
      <c r="R119" s="131"/>
      <c r="S119" s="131"/>
    </row>
    <row r="120">
      <c r="A120" s="131"/>
      <c r="B120" s="131"/>
      <c r="C120" s="131"/>
      <c r="D120" s="227"/>
      <c r="E120" s="81"/>
      <c r="F120" s="131"/>
      <c r="G120" s="131"/>
      <c r="H120" s="131"/>
      <c r="I120" s="131"/>
      <c r="J120" s="131"/>
      <c r="K120" s="131"/>
      <c r="L120" s="131"/>
      <c r="M120" s="131"/>
      <c r="N120" s="131"/>
      <c r="O120" s="131"/>
      <c r="P120" s="131"/>
      <c r="Q120" s="131"/>
      <c r="R120" s="131"/>
      <c r="S120" s="131"/>
    </row>
    <row r="121">
      <c r="A121" s="131"/>
      <c r="B121" s="131"/>
      <c r="C121" s="131"/>
      <c r="D121" s="81"/>
      <c r="E121" s="81"/>
      <c r="F121" s="131"/>
      <c r="G121" s="131"/>
      <c r="H121" s="131"/>
      <c r="I121" s="131"/>
      <c r="J121" s="131"/>
      <c r="K121" s="131"/>
      <c r="L121" s="131"/>
      <c r="M121" s="131"/>
      <c r="N121" s="131"/>
      <c r="O121" s="131"/>
      <c r="P121" s="131"/>
      <c r="Q121" s="131"/>
      <c r="R121" s="131"/>
      <c r="S121" s="131"/>
    </row>
    <row r="122">
      <c r="A122" s="131"/>
      <c r="B122" s="131"/>
      <c r="C122" s="131"/>
      <c r="D122" s="227"/>
      <c r="E122" s="81"/>
      <c r="F122" s="131"/>
      <c r="G122" s="131"/>
      <c r="H122" s="131"/>
      <c r="I122" s="131"/>
      <c r="J122" s="131"/>
      <c r="K122" s="131"/>
      <c r="L122" s="131"/>
      <c r="M122" s="131"/>
      <c r="N122" s="131"/>
      <c r="O122" s="131"/>
      <c r="P122" s="131"/>
      <c r="Q122" s="131"/>
      <c r="R122" s="131"/>
      <c r="S122" s="131"/>
    </row>
    <row r="123">
      <c r="A123" s="131"/>
      <c r="B123" s="131"/>
      <c r="C123" s="131"/>
      <c r="D123" s="81"/>
      <c r="E123" s="81"/>
      <c r="F123" s="131"/>
      <c r="G123" s="131"/>
      <c r="H123" s="131"/>
      <c r="I123" s="131"/>
      <c r="J123" s="131"/>
      <c r="K123" s="131"/>
      <c r="L123" s="131"/>
      <c r="M123" s="131"/>
      <c r="N123" s="131"/>
      <c r="O123" s="131"/>
      <c r="P123" s="131"/>
      <c r="Q123" s="131"/>
      <c r="R123" s="131"/>
      <c r="S123" s="131"/>
    </row>
    <row r="124">
      <c r="A124" s="131"/>
      <c r="B124" s="131"/>
      <c r="C124" s="131"/>
      <c r="D124" s="227"/>
      <c r="E124" s="81"/>
      <c r="F124" s="131"/>
      <c r="G124" s="131"/>
      <c r="H124" s="131"/>
      <c r="I124" s="131"/>
      <c r="J124" s="131"/>
      <c r="K124" s="131"/>
      <c r="L124" s="131"/>
      <c r="M124" s="131"/>
      <c r="N124" s="131"/>
      <c r="O124" s="131"/>
      <c r="P124" s="131"/>
      <c r="Q124" s="131"/>
      <c r="R124" s="131"/>
      <c r="S124" s="131"/>
    </row>
    <row r="125">
      <c r="A125" s="131"/>
      <c r="B125" s="131"/>
      <c r="C125" s="131"/>
      <c r="D125" s="81"/>
      <c r="E125" s="81"/>
      <c r="F125" s="131"/>
      <c r="G125" s="131"/>
      <c r="H125" s="131"/>
      <c r="I125" s="131"/>
      <c r="J125" s="131"/>
      <c r="K125" s="131"/>
      <c r="L125" s="131"/>
      <c r="M125" s="131"/>
      <c r="N125" s="131"/>
      <c r="O125" s="131"/>
      <c r="P125" s="131"/>
      <c r="Q125" s="131"/>
      <c r="R125" s="131"/>
      <c r="S125" s="131"/>
    </row>
    <row r="126">
      <c r="A126" s="131"/>
      <c r="B126" s="131"/>
      <c r="C126" s="131"/>
      <c r="D126" s="81"/>
      <c r="E126" s="81"/>
      <c r="F126" s="131"/>
      <c r="G126" s="131"/>
      <c r="H126" s="131"/>
      <c r="I126" s="131"/>
      <c r="J126" s="131"/>
      <c r="K126" s="131"/>
      <c r="L126" s="131"/>
      <c r="M126" s="131"/>
      <c r="N126" s="131"/>
      <c r="O126" s="131"/>
      <c r="P126" s="131"/>
      <c r="Q126" s="131"/>
      <c r="R126" s="131"/>
      <c r="S126" s="131"/>
    </row>
    <row r="127">
      <c r="A127" s="131"/>
      <c r="B127" s="131"/>
      <c r="C127" s="131"/>
      <c r="D127" s="227"/>
      <c r="E127" s="81"/>
      <c r="F127" s="131"/>
      <c r="G127" s="131"/>
      <c r="H127" s="131"/>
      <c r="I127" s="131"/>
      <c r="J127" s="131"/>
      <c r="K127" s="131"/>
      <c r="L127" s="131"/>
      <c r="M127" s="131"/>
      <c r="N127" s="131"/>
      <c r="O127" s="131"/>
      <c r="P127" s="131"/>
      <c r="Q127" s="131"/>
      <c r="R127" s="131"/>
      <c r="S127" s="131"/>
    </row>
    <row r="128">
      <c r="A128" s="131"/>
      <c r="B128" s="131"/>
      <c r="C128" s="131"/>
      <c r="D128" s="81"/>
      <c r="E128" s="81"/>
      <c r="F128" s="131"/>
      <c r="G128" s="131"/>
      <c r="H128" s="131"/>
      <c r="I128" s="131"/>
      <c r="J128" s="131"/>
      <c r="K128" s="131"/>
      <c r="L128" s="131"/>
      <c r="M128" s="131"/>
      <c r="N128" s="131"/>
      <c r="O128" s="131"/>
      <c r="P128" s="131"/>
      <c r="Q128" s="131"/>
      <c r="R128" s="131"/>
      <c r="S128" s="131"/>
    </row>
    <row r="129">
      <c r="A129" s="131"/>
      <c r="B129" s="131"/>
      <c r="C129" s="131"/>
      <c r="D129" s="227"/>
      <c r="E129" s="81"/>
      <c r="F129" s="131"/>
      <c r="G129" s="131"/>
      <c r="H129" s="131"/>
      <c r="I129" s="131"/>
      <c r="J129" s="131"/>
      <c r="K129" s="131"/>
      <c r="L129" s="131"/>
      <c r="M129" s="131"/>
      <c r="N129" s="131"/>
      <c r="O129" s="131"/>
      <c r="P129" s="131"/>
      <c r="Q129" s="131"/>
      <c r="R129" s="131"/>
      <c r="S129" s="131"/>
    </row>
    <row r="130">
      <c r="A130" s="131"/>
      <c r="B130" s="131"/>
      <c r="C130" s="131"/>
      <c r="D130" s="81"/>
      <c r="E130" s="81"/>
      <c r="F130" s="131"/>
      <c r="G130" s="131"/>
      <c r="H130" s="131"/>
      <c r="I130" s="131"/>
      <c r="J130" s="131"/>
      <c r="K130" s="131"/>
      <c r="L130" s="131"/>
      <c r="M130" s="131"/>
      <c r="N130" s="131"/>
      <c r="O130" s="131"/>
      <c r="P130" s="131"/>
      <c r="Q130" s="131"/>
      <c r="R130" s="131"/>
      <c r="S130" s="131"/>
    </row>
    <row r="131">
      <c r="A131" s="131"/>
      <c r="B131" s="131"/>
      <c r="C131" s="131"/>
      <c r="D131" s="81"/>
      <c r="E131" s="81"/>
      <c r="F131" s="131"/>
      <c r="G131" s="131"/>
      <c r="H131" s="131"/>
      <c r="I131" s="131"/>
      <c r="J131" s="131"/>
      <c r="K131" s="131"/>
      <c r="L131" s="131"/>
      <c r="M131" s="131"/>
      <c r="N131" s="131"/>
      <c r="O131" s="131"/>
      <c r="P131" s="131"/>
      <c r="Q131" s="131"/>
      <c r="R131" s="131"/>
      <c r="S131" s="131"/>
    </row>
    <row r="132">
      <c r="A132" s="131"/>
      <c r="B132" s="131"/>
      <c r="C132" s="131"/>
      <c r="D132" s="227"/>
      <c r="E132" s="81"/>
      <c r="F132" s="131"/>
      <c r="G132" s="131"/>
      <c r="H132" s="131"/>
      <c r="I132" s="131"/>
      <c r="J132" s="131"/>
      <c r="K132" s="131"/>
      <c r="L132" s="131"/>
      <c r="M132" s="131"/>
      <c r="N132" s="131"/>
      <c r="O132" s="131"/>
      <c r="P132" s="131"/>
      <c r="Q132" s="131"/>
      <c r="R132" s="131"/>
      <c r="S132" s="131"/>
    </row>
    <row r="133">
      <c r="A133" s="131"/>
      <c r="B133" s="131"/>
      <c r="C133" s="131"/>
      <c r="D133" s="81"/>
      <c r="E133" s="81"/>
      <c r="F133" s="131"/>
      <c r="G133" s="131"/>
      <c r="H133" s="131"/>
      <c r="I133" s="131"/>
      <c r="J133" s="131"/>
      <c r="K133" s="131"/>
      <c r="L133" s="131"/>
      <c r="M133" s="131"/>
      <c r="N133" s="131"/>
      <c r="O133" s="131"/>
      <c r="P133" s="131"/>
      <c r="Q133" s="131"/>
      <c r="R133" s="131"/>
      <c r="S133" s="131"/>
    </row>
    <row r="134">
      <c r="A134" s="131"/>
      <c r="B134" s="131"/>
      <c r="C134" s="131"/>
      <c r="D134" s="81"/>
      <c r="E134" s="81"/>
      <c r="F134" s="131"/>
      <c r="G134" s="131"/>
      <c r="H134" s="131"/>
      <c r="I134" s="131"/>
      <c r="J134" s="131"/>
      <c r="K134" s="131"/>
      <c r="L134" s="131"/>
      <c r="M134" s="131"/>
      <c r="N134" s="131"/>
      <c r="O134" s="131"/>
      <c r="P134" s="131"/>
      <c r="Q134" s="131"/>
      <c r="R134" s="131"/>
      <c r="S134" s="131"/>
    </row>
    <row r="135">
      <c r="A135" s="131"/>
      <c r="B135" s="131"/>
      <c r="C135" s="131"/>
      <c r="D135" s="81"/>
      <c r="E135" s="81"/>
      <c r="F135" s="131"/>
      <c r="G135" s="131"/>
      <c r="H135" s="131"/>
      <c r="I135" s="131"/>
      <c r="J135" s="131"/>
      <c r="K135" s="131"/>
      <c r="L135" s="131"/>
      <c r="M135" s="131"/>
      <c r="N135" s="131"/>
      <c r="O135" s="131"/>
      <c r="P135" s="131"/>
      <c r="Q135" s="131"/>
      <c r="R135" s="131"/>
      <c r="S135" s="131"/>
    </row>
    <row r="136">
      <c r="A136" s="131"/>
      <c r="B136" s="131"/>
      <c r="C136" s="131"/>
      <c r="D136" s="227"/>
      <c r="E136" s="81"/>
      <c r="F136" s="131"/>
      <c r="G136" s="131"/>
      <c r="H136" s="131"/>
      <c r="I136" s="131"/>
      <c r="J136" s="131"/>
      <c r="K136" s="131"/>
      <c r="L136" s="131"/>
      <c r="M136" s="131"/>
      <c r="N136" s="131"/>
      <c r="O136" s="131"/>
      <c r="P136" s="131"/>
      <c r="Q136" s="131"/>
      <c r="R136" s="131"/>
      <c r="S136" s="131"/>
    </row>
    <row r="137">
      <c r="A137" s="131"/>
      <c r="B137" s="131"/>
      <c r="C137" s="131"/>
      <c r="D137" s="81"/>
      <c r="E137" s="81"/>
      <c r="F137" s="131"/>
      <c r="G137" s="131"/>
      <c r="H137" s="131"/>
      <c r="I137" s="131"/>
      <c r="J137" s="131"/>
      <c r="K137" s="131"/>
      <c r="L137" s="131"/>
      <c r="M137" s="131"/>
      <c r="N137" s="131"/>
      <c r="O137" s="131"/>
      <c r="P137" s="131"/>
      <c r="Q137" s="131"/>
      <c r="R137" s="131"/>
      <c r="S137" s="131"/>
    </row>
    <row r="138">
      <c r="A138" s="131"/>
      <c r="B138" s="131"/>
      <c r="C138" s="131"/>
      <c r="D138" s="227"/>
      <c r="E138" s="81"/>
      <c r="F138" s="131"/>
      <c r="G138" s="131"/>
      <c r="H138" s="131"/>
      <c r="I138" s="131"/>
      <c r="J138" s="131"/>
      <c r="K138" s="131"/>
      <c r="L138" s="131"/>
      <c r="M138" s="131"/>
      <c r="N138" s="131"/>
      <c r="O138" s="131"/>
      <c r="P138" s="131"/>
      <c r="Q138" s="131"/>
      <c r="R138" s="131"/>
      <c r="S138" s="131"/>
    </row>
    <row r="139">
      <c r="A139" s="131"/>
      <c r="B139" s="131"/>
      <c r="C139" s="131"/>
      <c r="D139" s="81"/>
      <c r="E139" s="81"/>
      <c r="F139" s="131"/>
      <c r="G139" s="131"/>
      <c r="H139" s="131"/>
      <c r="I139" s="131"/>
      <c r="J139" s="131"/>
      <c r="K139" s="131"/>
      <c r="L139" s="131"/>
      <c r="M139" s="131"/>
      <c r="N139" s="131"/>
      <c r="O139" s="131"/>
      <c r="P139" s="131"/>
      <c r="Q139" s="131"/>
      <c r="R139" s="131"/>
      <c r="S139" s="131"/>
    </row>
    <row r="140">
      <c r="A140" s="131"/>
      <c r="B140" s="131"/>
      <c r="C140" s="131"/>
      <c r="D140" s="81"/>
      <c r="E140" s="81"/>
      <c r="F140" s="131"/>
      <c r="G140" s="131"/>
      <c r="H140" s="131"/>
      <c r="I140" s="131"/>
      <c r="J140" s="131"/>
      <c r="K140" s="131"/>
      <c r="L140" s="131"/>
      <c r="M140" s="131"/>
      <c r="N140" s="131"/>
      <c r="O140" s="131"/>
      <c r="P140" s="131"/>
      <c r="Q140" s="131"/>
      <c r="R140" s="131"/>
      <c r="S140" s="131"/>
    </row>
    <row r="141">
      <c r="A141" s="131"/>
      <c r="B141" s="131"/>
      <c r="C141" s="131"/>
      <c r="D141" s="81"/>
      <c r="E141" s="81"/>
      <c r="F141" s="131"/>
      <c r="G141" s="131"/>
      <c r="H141" s="131"/>
      <c r="I141" s="131"/>
      <c r="J141" s="131"/>
      <c r="K141" s="131"/>
      <c r="L141" s="131"/>
      <c r="M141" s="131"/>
      <c r="N141" s="131"/>
      <c r="O141" s="131"/>
      <c r="P141" s="131"/>
      <c r="Q141" s="131"/>
      <c r="R141" s="131"/>
      <c r="S141" s="131"/>
    </row>
    <row r="142">
      <c r="A142" s="131"/>
      <c r="B142" s="131"/>
      <c r="C142" s="131"/>
      <c r="D142" s="227"/>
      <c r="E142" s="81"/>
      <c r="F142" s="131"/>
      <c r="G142" s="131"/>
      <c r="H142" s="131"/>
      <c r="I142" s="131"/>
      <c r="J142" s="131"/>
      <c r="K142" s="131"/>
      <c r="L142" s="131"/>
      <c r="M142" s="131"/>
      <c r="N142" s="131"/>
      <c r="O142" s="131"/>
      <c r="P142" s="131"/>
      <c r="Q142" s="131"/>
      <c r="R142" s="131"/>
      <c r="S142" s="131"/>
    </row>
    <row r="143">
      <c r="A143" s="131"/>
      <c r="B143" s="131"/>
      <c r="C143" s="131"/>
      <c r="D143" s="81"/>
      <c r="E143" s="81"/>
      <c r="F143" s="131"/>
      <c r="G143" s="131"/>
      <c r="H143" s="131"/>
      <c r="I143" s="131"/>
      <c r="J143" s="131"/>
      <c r="K143" s="131"/>
      <c r="L143" s="131"/>
      <c r="M143" s="131"/>
      <c r="N143" s="131"/>
      <c r="O143" s="131"/>
      <c r="P143" s="131"/>
      <c r="Q143" s="131"/>
      <c r="R143" s="131"/>
      <c r="S143" s="131"/>
    </row>
    <row r="144">
      <c r="A144" s="131"/>
      <c r="B144" s="131"/>
      <c r="C144" s="131"/>
      <c r="D144" s="227"/>
      <c r="E144" s="81"/>
      <c r="F144" s="131"/>
      <c r="G144" s="131"/>
      <c r="H144" s="131"/>
      <c r="I144" s="131"/>
      <c r="J144" s="131"/>
      <c r="K144" s="131"/>
      <c r="L144" s="131"/>
      <c r="M144" s="131"/>
      <c r="N144" s="131"/>
      <c r="O144" s="131"/>
      <c r="P144" s="131"/>
      <c r="Q144" s="131"/>
      <c r="R144" s="131"/>
      <c r="S144" s="131"/>
    </row>
    <row r="145">
      <c r="A145" s="131"/>
      <c r="B145" s="131"/>
      <c r="C145" s="131"/>
      <c r="D145" s="81"/>
      <c r="E145" s="81"/>
      <c r="F145" s="131"/>
      <c r="G145" s="131"/>
      <c r="H145" s="131"/>
      <c r="I145" s="131"/>
      <c r="J145" s="131"/>
      <c r="K145" s="131"/>
      <c r="L145" s="131"/>
      <c r="M145" s="131"/>
      <c r="N145" s="131"/>
      <c r="O145" s="131"/>
      <c r="P145" s="131"/>
      <c r="Q145" s="131"/>
      <c r="R145" s="131"/>
      <c r="S145" s="131"/>
    </row>
    <row r="146">
      <c r="A146" s="131"/>
      <c r="B146" s="131"/>
      <c r="C146" s="131"/>
      <c r="D146" s="81"/>
      <c r="E146" s="81"/>
      <c r="F146" s="131"/>
      <c r="G146" s="131"/>
      <c r="H146" s="131"/>
      <c r="I146" s="131"/>
      <c r="J146" s="131"/>
      <c r="K146" s="131"/>
      <c r="L146" s="131"/>
      <c r="M146" s="131"/>
      <c r="N146" s="131"/>
      <c r="O146" s="131"/>
      <c r="P146" s="131"/>
      <c r="Q146" s="131"/>
      <c r="R146" s="131"/>
      <c r="S146" s="131"/>
    </row>
    <row r="147">
      <c r="A147" s="131"/>
      <c r="B147" s="131"/>
      <c r="C147" s="131"/>
      <c r="D147" s="81"/>
      <c r="E147" s="81"/>
      <c r="F147" s="131"/>
      <c r="G147" s="131"/>
      <c r="H147" s="131"/>
      <c r="I147" s="131"/>
      <c r="J147" s="131"/>
      <c r="K147" s="131"/>
      <c r="L147" s="131"/>
      <c r="M147" s="131"/>
      <c r="N147" s="131"/>
      <c r="O147" s="131"/>
      <c r="P147" s="131"/>
      <c r="Q147" s="131"/>
      <c r="R147" s="131"/>
      <c r="S147" s="131"/>
    </row>
    <row r="148">
      <c r="A148" s="131"/>
      <c r="B148" s="131"/>
      <c r="C148" s="131"/>
      <c r="D148" s="81"/>
      <c r="E148" s="81"/>
      <c r="F148" s="131"/>
      <c r="G148" s="131"/>
      <c r="H148" s="131"/>
      <c r="I148" s="131"/>
      <c r="J148" s="131"/>
      <c r="K148" s="131"/>
      <c r="L148" s="131"/>
      <c r="M148" s="131"/>
      <c r="N148" s="131"/>
      <c r="O148" s="131"/>
      <c r="P148" s="131"/>
      <c r="Q148" s="131"/>
      <c r="R148" s="131"/>
      <c r="S148" s="131"/>
    </row>
    <row r="149">
      <c r="A149" s="131"/>
      <c r="B149" s="131"/>
      <c r="C149" s="131"/>
      <c r="D149" s="81"/>
      <c r="E149" s="81"/>
      <c r="F149" s="131"/>
      <c r="G149" s="131"/>
      <c r="H149" s="131"/>
      <c r="I149" s="131"/>
      <c r="J149" s="131"/>
      <c r="K149" s="131"/>
      <c r="L149" s="131"/>
      <c r="M149" s="131"/>
      <c r="N149" s="131"/>
      <c r="O149" s="131"/>
      <c r="P149" s="131"/>
      <c r="Q149" s="131"/>
      <c r="R149" s="131"/>
      <c r="S149" s="131"/>
    </row>
    <row r="150">
      <c r="A150" s="131"/>
      <c r="B150" s="131"/>
      <c r="C150" s="131"/>
      <c r="D150" s="81"/>
      <c r="E150" s="81"/>
      <c r="F150" s="131"/>
      <c r="G150" s="131"/>
      <c r="H150" s="131"/>
      <c r="I150" s="131"/>
      <c r="J150" s="131"/>
      <c r="K150" s="131"/>
      <c r="L150" s="131"/>
      <c r="M150" s="131"/>
      <c r="N150" s="131"/>
      <c r="O150" s="131"/>
      <c r="P150" s="131"/>
      <c r="Q150" s="131"/>
      <c r="R150" s="131"/>
      <c r="S150" s="131"/>
    </row>
    <row r="151">
      <c r="A151" s="131"/>
      <c r="B151" s="131"/>
      <c r="C151" s="131"/>
      <c r="D151" s="81"/>
      <c r="E151" s="81"/>
      <c r="F151" s="131"/>
      <c r="G151" s="131"/>
      <c r="H151" s="131"/>
      <c r="I151" s="131"/>
      <c r="J151" s="131"/>
      <c r="K151" s="131"/>
      <c r="L151" s="131"/>
      <c r="M151" s="131"/>
      <c r="N151" s="131"/>
      <c r="O151" s="131"/>
      <c r="P151" s="131"/>
      <c r="Q151" s="131"/>
      <c r="R151" s="131"/>
      <c r="S151" s="131"/>
    </row>
    <row r="152">
      <c r="A152" s="131"/>
      <c r="B152" s="131"/>
      <c r="C152" s="131"/>
      <c r="D152" s="81"/>
      <c r="E152" s="81"/>
      <c r="F152" s="131"/>
      <c r="G152" s="131"/>
      <c r="H152" s="131"/>
      <c r="I152" s="131"/>
      <c r="J152" s="131"/>
      <c r="K152" s="131"/>
      <c r="L152" s="131"/>
      <c r="M152" s="131"/>
      <c r="N152" s="131"/>
      <c r="O152" s="131"/>
      <c r="P152" s="131"/>
      <c r="Q152" s="131"/>
      <c r="R152" s="131"/>
      <c r="S152" s="131"/>
    </row>
    <row r="153">
      <c r="A153" s="131"/>
      <c r="B153" s="131"/>
      <c r="C153" s="131"/>
      <c r="D153" s="81"/>
      <c r="E153" s="81"/>
      <c r="F153" s="131"/>
      <c r="G153" s="131"/>
      <c r="H153" s="131"/>
      <c r="I153" s="131"/>
      <c r="J153" s="131"/>
      <c r="K153" s="131"/>
      <c r="L153" s="131"/>
      <c r="M153" s="131"/>
      <c r="N153" s="131"/>
      <c r="O153" s="131"/>
      <c r="P153" s="131"/>
      <c r="Q153" s="131"/>
      <c r="R153" s="131"/>
      <c r="S153" s="131"/>
    </row>
    <row r="154">
      <c r="A154" s="131"/>
      <c r="B154" s="131"/>
      <c r="C154" s="131"/>
      <c r="D154" s="81"/>
      <c r="E154" s="81"/>
      <c r="F154" s="131"/>
      <c r="G154" s="131"/>
      <c r="H154" s="131"/>
      <c r="I154" s="131"/>
      <c r="J154" s="131"/>
      <c r="K154" s="131"/>
      <c r="L154" s="131"/>
      <c r="M154" s="131"/>
      <c r="N154" s="131"/>
      <c r="O154" s="131"/>
      <c r="P154" s="131"/>
      <c r="Q154" s="131"/>
      <c r="R154" s="131"/>
      <c r="S154" s="131"/>
    </row>
    <row r="155">
      <c r="A155" s="131"/>
      <c r="B155" s="131"/>
      <c r="C155" s="131"/>
      <c r="D155" s="81"/>
      <c r="E155" s="81"/>
      <c r="F155" s="131"/>
      <c r="G155" s="131"/>
      <c r="H155" s="131"/>
      <c r="I155" s="131"/>
      <c r="J155" s="131"/>
      <c r="K155" s="131"/>
      <c r="L155" s="131"/>
      <c r="M155" s="131"/>
      <c r="N155" s="131"/>
      <c r="O155" s="131"/>
      <c r="P155" s="131"/>
      <c r="Q155" s="131"/>
      <c r="R155" s="131"/>
      <c r="S155" s="131"/>
    </row>
    <row r="156">
      <c r="A156" s="131"/>
      <c r="B156" s="131"/>
      <c r="C156" s="131"/>
      <c r="D156" s="81"/>
      <c r="E156" s="81"/>
      <c r="F156" s="131"/>
      <c r="G156" s="131"/>
      <c r="H156" s="131"/>
      <c r="I156" s="131"/>
      <c r="J156" s="131"/>
      <c r="K156" s="131"/>
      <c r="L156" s="131"/>
      <c r="M156" s="131"/>
      <c r="N156" s="131"/>
      <c r="O156" s="131"/>
      <c r="P156" s="131"/>
      <c r="Q156" s="131"/>
      <c r="R156" s="131"/>
      <c r="S156" s="131"/>
    </row>
    <row r="157">
      <c r="A157" s="131"/>
      <c r="B157" s="131"/>
      <c r="C157" s="131"/>
      <c r="D157" s="81"/>
      <c r="E157" s="81"/>
      <c r="F157" s="131"/>
      <c r="G157" s="131"/>
      <c r="H157" s="131"/>
      <c r="I157" s="131"/>
      <c r="J157" s="131"/>
      <c r="K157" s="131"/>
      <c r="L157" s="131"/>
      <c r="M157" s="131"/>
      <c r="N157" s="131"/>
      <c r="O157" s="131"/>
      <c r="P157" s="131"/>
      <c r="Q157" s="131"/>
      <c r="R157" s="131"/>
      <c r="S157" s="131"/>
    </row>
    <row r="158">
      <c r="A158" s="131"/>
      <c r="B158" s="131"/>
      <c r="C158" s="131"/>
      <c r="D158" s="81"/>
      <c r="E158" s="81"/>
      <c r="F158" s="131"/>
      <c r="G158" s="131"/>
      <c r="H158" s="131"/>
      <c r="I158" s="131"/>
      <c r="J158" s="131"/>
      <c r="K158" s="131"/>
      <c r="L158" s="131"/>
      <c r="M158" s="131"/>
      <c r="N158" s="131"/>
      <c r="O158" s="131"/>
      <c r="P158" s="131"/>
      <c r="Q158" s="131"/>
      <c r="R158" s="131"/>
      <c r="S158" s="131"/>
    </row>
    <row r="159">
      <c r="A159" s="131"/>
      <c r="B159" s="131"/>
      <c r="C159" s="131"/>
      <c r="D159" s="81"/>
      <c r="E159" s="81"/>
      <c r="F159" s="131"/>
      <c r="G159" s="131"/>
      <c r="H159" s="131"/>
      <c r="I159" s="131"/>
      <c r="J159" s="131"/>
      <c r="K159" s="131"/>
      <c r="L159" s="131"/>
      <c r="M159" s="131"/>
      <c r="N159" s="131"/>
      <c r="O159" s="131"/>
      <c r="P159" s="131"/>
      <c r="Q159" s="131"/>
      <c r="R159" s="131"/>
      <c r="S159" s="131"/>
    </row>
    <row r="160">
      <c r="A160" s="131"/>
      <c r="B160" s="131"/>
      <c r="C160" s="131"/>
      <c r="D160" s="81"/>
      <c r="E160" s="81"/>
      <c r="F160" s="131"/>
      <c r="G160" s="131"/>
      <c r="H160" s="131"/>
      <c r="I160" s="131"/>
      <c r="J160" s="131"/>
      <c r="K160" s="131"/>
      <c r="L160" s="131"/>
      <c r="M160" s="131"/>
      <c r="N160" s="131"/>
      <c r="O160" s="131"/>
      <c r="P160" s="131"/>
      <c r="Q160" s="131"/>
      <c r="R160" s="131"/>
      <c r="S160" s="131"/>
    </row>
    <row r="161">
      <c r="A161" s="131"/>
      <c r="B161" s="131"/>
      <c r="C161" s="131"/>
      <c r="D161" s="81"/>
      <c r="E161" s="81"/>
      <c r="F161" s="131"/>
      <c r="G161" s="131"/>
      <c r="H161" s="131"/>
      <c r="I161" s="131"/>
      <c r="J161" s="131"/>
      <c r="K161" s="131"/>
      <c r="L161" s="131"/>
      <c r="M161" s="131"/>
      <c r="N161" s="131"/>
      <c r="O161" s="131"/>
      <c r="P161" s="131"/>
      <c r="Q161" s="131"/>
      <c r="R161" s="131"/>
      <c r="S161" s="131"/>
    </row>
    <row r="162">
      <c r="A162" s="131"/>
      <c r="B162" s="131"/>
      <c r="C162" s="131"/>
      <c r="D162" s="81"/>
      <c r="E162" s="81"/>
      <c r="F162" s="131"/>
      <c r="G162" s="131"/>
      <c r="H162" s="131"/>
      <c r="I162" s="131"/>
      <c r="J162" s="131"/>
      <c r="K162" s="131"/>
      <c r="L162" s="131"/>
      <c r="M162" s="131"/>
      <c r="N162" s="131"/>
      <c r="O162" s="131"/>
      <c r="P162" s="131"/>
      <c r="Q162" s="131"/>
      <c r="R162" s="131"/>
      <c r="S162" s="131"/>
    </row>
    <row r="163">
      <c r="A163" s="131"/>
      <c r="B163" s="131"/>
      <c r="C163" s="131"/>
      <c r="D163" s="81"/>
      <c r="E163" s="81"/>
      <c r="F163" s="131"/>
      <c r="G163" s="131"/>
      <c r="H163" s="131"/>
      <c r="I163" s="131"/>
      <c r="J163" s="131"/>
      <c r="K163" s="131"/>
      <c r="L163" s="131"/>
      <c r="M163" s="131"/>
      <c r="N163" s="131"/>
      <c r="O163" s="131"/>
      <c r="P163" s="131"/>
      <c r="Q163" s="131"/>
      <c r="R163" s="131"/>
      <c r="S163" s="131"/>
    </row>
    <row r="164">
      <c r="A164" s="131"/>
      <c r="B164" s="131"/>
      <c r="C164" s="131"/>
      <c r="D164" s="81"/>
      <c r="E164" s="81"/>
      <c r="F164" s="131"/>
      <c r="G164" s="131"/>
      <c r="H164" s="131"/>
      <c r="I164" s="131"/>
      <c r="J164" s="131"/>
      <c r="K164" s="131"/>
      <c r="L164" s="131"/>
      <c r="M164" s="131"/>
      <c r="N164" s="131"/>
      <c r="O164" s="131"/>
      <c r="P164" s="131"/>
      <c r="Q164" s="131"/>
      <c r="R164" s="131"/>
      <c r="S164" s="131"/>
    </row>
    <row r="165">
      <c r="A165" s="131"/>
      <c r="B165" s="131"/>
      <c r="C165" s="131"/>
      <c r="D165" s="81"/>
      <c r="E165" s="81"/>
      <c r="F165" s="131"/>
      <c r="G165" s="131"/>
      <c r="H165" s="131"/>
      <c r="I165" s="131"/>
      <c r="J165" s="131"/>
      <c r="K165" s="131"/>
      <c r="L165" s="131"/>
      <c r="M165" s="131"/>
      <c r="N165" s="131"/>
      <c r="O165" s="131"/>
      <c r="P165" s="131"/>
      <c r="Q165" s="131"/>
      <c r="R165" s="131"/>
      <c r="S165" s="131"/>
    </row>
    <row r="166">
      <c r="A166" s="131"/>
      <c r="B166" s="131"/>
      <c r="C166" s="131"/>
      <c r="D166" s="81"/>
      <c r="E166" s="81"/>
      <c r="F166" s="131"/>
      <c r="G166" s="131"/>
      <c r="H166" s="131"/>
      <c r="I166" s="131"/>
      <c r="J166" s="131"/>
      <c r="K166" s="131"/>
      <c r="L166" s="131"/>
      <c r="M166" s="131"/>
      <c r="N166" s="131"/>
      <c r="O166" s="131"/>
      <c r="P166" s="131"/>
      <c r="Q166" s="131"/>
      <c r="R166" s="131"/>
      <c r="S166" s="131"/>
    </row>
    <row r="167">
      <c r="A167" s="131"/>
      <c r="B167" s="131"/>
      <c r="C167" s="131"/>
      <c r="D167" s="81"/>
      <c r="E167" s="81"/>
      <c r="F167" s="131"/>
      <c r="G167" s="131"/>
      <c r="H167" s="131"/>
      <c r="I167" s="131"/>
      <c r="J167" s="131"/>
      <c r="K167" s="131"/>
      <c r="L167" s="131"/>
      <c r="M167" s="131"/>
      <c r="N167" s="131"/>
      <c r="O167" s="131"/>
      <c r="P167" s="131"/>
      <c r="Q167" s="131"/>
      <c r="R167" s="131"/>
      <c r="S167" s="131"/>
    </row>
    <row r="168">
      <c r="A168" s="131"/>
      <c r="B168" s="131"/>
      <c r="C168" s="131"/>
      <c r="D168" s="81"/>
      <c r="E168" s="81"/>
      <c r="F168" s="131"/>
      <c r="G168" s="131"/>
      <c r="H168" s="131"/>
      <c r="I168" s="131"/>
      <c r="J168" s="131"/>
      <c r="K168" s="131"/>
      <c r="L168" s="131"/>
      <c r="M168" s="131"/>
      <c r="N168" s="131"/>
      <c r="O168" s="131"/>
      <c r="P168" s="131"/>
      <c r="Q168" s="131"/>
      <c r="R168" s="131"/>
      <c r="S168" s="131"/>
    </row>
    <row r="169">
      <c r="A169" s="131"/>
      <c r="B169" s="131"/>
      <c r="C169" s="131"/>
      <c r="D169" s="81"/>
      <c r="E169" s="81"/>
      <c r="F169" s="131"/>
      <c r="G169" s="131"/>
      <c r="H169" s="131"/>
      <c r="I169" s="131"/>
      <c r="J169" s="131"/>
      <c r="K169" s="131"/>
      <c r="L169" s="131"/>
      <c r="M169" s="131"/>
      <c r="N169" s="131"/>
      <c r="O169" s="131"/>
      <c r="P169" s="131"/>
      <c r="Q169" s="131"/>
      <c r="R169" s="131"/>
      <c r="S169" s="131"/>
    </row>
    <row r="170">
      <c r="A170" s="131"/>
      <c r="B170" s="131"/>
      <c r="C170" s="131"/>
      <c r="D170" s="81"/>
      <c r="E170" s="81"/>
      <c r="F170" s="131"/>
      <c r="G170" s="131"/>
      <c r="H170" s="131"/>
      <c r="I170" s="131"/>
      <c r="J170" s="131"/>
      <c r="K170" s="131"/>
      <c r="L170" s="131"/>
      <c r="M170" s="131"/>
      <c r="N170" s="131"/>
      <c r="O170" s="131"/>
      <c r="P170" s="131"/>
      <c r="Q170" s="131"/>
      <c r="R170" s="131"/>
      <c r="S170" s="131"/>
    </row>
    <row r="171">
      <c r="A171" s="131"/>
      <c r="B171" s="131"/>
      <c r="C171" s="131"/>
      <c r="D171" s="81"/>
      <c r="E171" s="81"/>
      <c r="F171" s="131"/>
      <c r="G171" s="131"/>
      <c r="H171" s="131"/>
      <c r="I171" s="131"/>
      <c r="J171" s="131"/>
      <c r="K171" s="131"/>
      <c r="L171" s="131"/>
      <c r="M171" s="131"/>
      <c r="N171" s="131"/>
      <c r="O171" s="131"/>
      <c r="P171" s="131"/>
      <c r="Q171" s="131"/>
      <c r="R171" s="131"/>
      <c r="S171" s="131"/>
    </row>
    <row r="172">
      <c r="A172" s="131"/>
      <c r="B172" s="131"/>
      <c r="C172" s="131"/>
      <c r="D172" s="81"/>
      <c r="E172" s="81"/>
      <c r="F172" s="131"/>
      <c r="G172" s="131"/>
      <c r="H172" s="131"/>
      <c r="I172" s="131"/>
      <c r="J172" s="131"/>
      <c r="K172" s="131"/>
      <c r="L172" s="131"/>
      <c r="M172" s="131"/>
      <c r="N172" s="131"/>
      <c r="O172" s="131"/>
      <c r="P172" s="131"/>
      <c r="Q172" s="131"/>
      <c r="R172" s="131"/>
      <c r="S172" s="131"/>
    </row>
    <row r="173">
      <c r="A173" s="131"/>
      <c r="B173" s="131"/>
      <c r="C173" s="131"/>
      <c r="D173" s="81"/>
      <c r="E173" s="81"/>
      <c r="F173" s="131"/>
      <c r="G173" s="131"/>
      <c r="H173" s="131"/>
      <c r="I173" s="131"/>
      <c r="J173" s="131"/>
      <c r="K173" s="131"/>
      <c r="L173" s="131"/>
      <c r="M173" s="131"/>
      <c r="N173" s="131"/>
      <c r="O173" s="131"/>
      <c r="P173" s="131"/>
      <c r="Q173" s="131"/>
      <c r="R173" s="131"/>
      <c r="S173" s="131"/>
    </row>
    <row r="174">
      <c r="A174" s="131"/>
      <c r="B174" s="131"/>
      <c r="C174" s="131"/>
      <c r="D174" s="81"/>
      <c r="E174" s="81"/>
      <c r="F174" s="131"/>
      <c r="G174" s="131"/>
      <c r="H174" s="131"/>
      <c r="I174" s="131"/>
      <c r="J174" s="131"/>
      <c r="K174" s="131"/>
      <c r="L174" s="131"/>
      <c r="M174" s="131"/>
      <c r="N174" s="131"/>
      <c r="O174" s="131"/>
      <c r="P174" s="131"/>
      <c r="Q174" s="131"/>
      <c r="R174" s="131"/>
      <c r="S174" s="131"/>
    </row>
    <row r="175">
      <c r="A175" s="131"/>
      <c r="B175" s="131"/>
      <c r="C175" s="131"/>
      <c r="D175" s="81"/>
      <c r="E175" s="81"/>
      <c r="F175" s="131"/>
      <c r="G175" s="131"/>
      <c r="H175" s="131"/>
      <c r="I175" s="131"/>
      <c r="J175" s="131"/>
      <c r="K175" s="131"/>
      <c r="L175" s="131"/>
      <c r="M175" s="131"/>
      <c r="N175" s="131"/>
      <c r="O175" s="131"/>
      <c r="P175" s="131"/>
      <c r="Q175" s="131"/>
      <c r="R175" s="131"/>
      <c r="S175" s="131"/>
    </row>
    <row r="176">
      <c r="A176" s="131"/>
      <c r="B176" s="131"/>
      <c r="C176" s="131"/>
      <c r="D176" s="81"/>
      <c r="E176" s="81"/>
      <c r="F176" s="131"/>
      <c r="G176" s="131"/>
      <c r="H176" s="131"/>
      <c r="I176" s="131"/>
      <c r="J176" s="131"/>
      <c r="K176" s="131"/>
      <c r="L176" s="131"/>
      <c r="M176" s="131"/>
      <c r="N176" s="131"/>
      <c r="O176" s="131"/>
      <c r="P176" s="131"/>
      <c r="Q176" s="131"/>
      <c r="R176" s="131"/>
      <c r="S176" s="131"/>
    </row>
    <row r="177">
      <c r="A177" s="131"/>
      <c r="B177" s="131"/>
      <c r="C177" s="131"/>
      <c r="D177" s="81"/>
      <c r="E177" s="81"/>
      <c r="F177" s="131"/>
      <c r="G177" s="131"/>
      <c r="H177" s="131"/>
      <c r="I177" s="131"/>
      <c r="J177" s="131"/>
      <c r="K177" s="131"/>
      <c r="L177" s="131"/>
      <c r="M177" s="131"/>
      <c r="N177" s="131"/>
      <c r="O177" s="131"/>
      <c r="P177" s="131"/>
      <c r="Q177" s="131"/>
      <c r="R177" s="131"/>
      <c r="S177" s="131"/>
    </row>
    <row r="178">
      <c r="A178" s="131"/>
      <c r="B178" s="131"/>
      <c r="C178" s="131"/>
      <c r="D178" s="81"/>
      <c r="E178" s="81"/>
      <c r="F178" s="131"/>
      <c r="G178" s="131"/>
      <c r="H178" s="131"/>
      <c r="I178" s="131"/>
      <c r="J178" s="131"/>
      <c r="K178" s="131"/>
      <c r="L178" s="131"/>
      <c r="M178" s="131"/>
      <c r="N178" s="131"/>
      <c r="O178" s="131"/>
      <c r="P178" s="131"/>
      <c r="Q178" s="131"/>
      <c r="R178" s="131"/>
      <c r="S178" s="131"/>
    </row>
    <row r="179">
      <c r="A179" s="131"/>
      <c r="B179" s="131"/>
      <c r="C179" s="131"/>
      <c r="D179" s="81"/>
      <c r="E179" s="81"/>
      <c r="F179" s="131"/>
      <c r="G179" s="131"/>
      <c r="H179" s="131"/>
      <c r="I179" s="131"/>
      <c r="J179" s="131"/>
      <c r="K179" s="131"/>
      <c r="L179" s="131"/>
      <c r="M179" s="131"/>
      <c r="N179" s="131"/>
      <c r="O179" s="131"/>
      <c r="P179" s="131"/>
      <c r="Q179" s="131"/>
      <c r="R179" s="131"/>
      <c r="S179" s="131"/>
    </row>
    <row r="180">
      <c r="A180" s="131"/>
      <c r="B180" s="131"/>
      <c r="C180" s="131"/>
      <c r="D180" s="81"/>
      <c r="E180" s="81"/>
      <c r="F180" s="131"/>
      <c r="G180" s="131"/>
      <c r="H180" s="131"/>
      <c r="I180" s="131"/>
      <c r="J180" s="131"/>
      <c r="K180" s="131"/>
      <c r="L180" s="131"/>
      <c r="M180" s="131"/>
      <c r="N180" s="131"/>
      <c r="O180" s="131"/>
      <c r="P180" s="131"/>
      <c r="Q180" s="131"/>
      <c r="R180" s="131"/>
      <c r="S180" s="131"/>
    </row>
    <row r="181">
      <c r="A181" s="131"/>
      <c r="B181" s="131"/>
      <c r="C181" s="131"/>
      <c r="D181" s="81"/>
      <c r="E181" s="81"/>
      <c r="F181" s="131"/>
      <c r="G181" s="131"/>
      <c r="H181" s="131"/>
      <c r="I181" s="131"/>
      <c r="J181" s="131"/>
      <c r="K181" s="131"/>
      <c r="L181" s="131"/>
      <c r="M181" s="131"/>
      <c r="N181" s="131"/>
      <c r="O181" s="131"/>
      <c r="P181" s="131"/>
      <c r="Q181" s="131"/>
      <c r="R181" s="131"/>
      <c r="S181" s="131"/>
    </row>
    <row r="182">
      <c r="A182" s="131"/>
      <c r="B182" s="131"/>
      <c r="C182" s="131"/>
      <c r="D182" s="81"/>
      <c r="E182" s="81"/>
      <c r="F182" s="131"/>
      <c r="G182" s="131"/>
      <c r="H182" s="131"/>
      <c r="I182" s="131"/>
      <c r="J182" s="131"/>
      <c r="K182" s="131"/>
      <c r="L182" s="131"/>
      <c r="M182" s="131"/>
      <c r="N182" s="131"/>
      <c r="O182" s="131"/>
      <c r="P182" s="131"/>
      <c r="Q182" s="131"/>
      <c r="R182" s="131"/>
      <c r="S182" s="131"/>
    </row>
    <row r="183">
      <c r="A183" s="131"/>
      <c r="B183" s="131"/>
      <c r="C183" s="131"/>
      <c r="D183" s="81"/>
      <c r="E183" s="81"/>
      <c r="F183" s="131"/>
      <c r="G183" s="131"/>
      <c r="H183" s="131"/>
      <c r="I183" s="131"/>
      <c r="J183" s="131"/>
      <c r="K183" s="131"/>
      <c r="L183" s="131"/>
      <c r="M183" s="131"/>
      <c r="N183" s="131"/>
      <c r="O183" s="131"/>
      <c r="P183" s="131"/>
      <c r="Q183" s="131"/>
      <c r="R183" s="131"/>
      <c r="S183" s="131"/>
    </row>
    <row r="184">
      <c r="A184" s="131"/>
      <c r="B184" s="131"/>
      <c r="C184" s="131"/>
      <c r="D184" s="81"/>
      <c r="E184" s="81"/>
      <c r="F184" s="131"/>
      <c r="G184" s="131"/>
      <c r="H184" s="131"/>
      <c r="I184" s="131"/>
      <c r="J184" s="131"/>
      <c r="K184" s="131"/>
      <c r="L184" s="131"/>
      <c r="M184" s="131"/>
      <c r="N184" s="131"/>
      <c r="O184" s="131"/>
      <c r="P184" s="131"/>
      <c r="Q184" s="131"/>
      <c r="R184" s="131"/>
      <c r="S184" s="131"/>
    </row>
    <row r="185">
      <c r="A185" s="131"/>
      <c r="B185" s="131"/>
      <c r="C185" s="131"/>
      <c r="D185" s="81"/>
      <c r="E185" s="81"/>
      <c r="F185" s="131"/>
      <c r="G185" s="131"/>
      <c r="H185" s="131"/>
      <c r="I185" s="131"/>
      <c r="J185" s="131"/>
      <c r="K185" s="131"/>
      <c r="L185" s="131"/>
      <c r="M185" s="131"/>
      <c r="N185" s="131"/>
      <c r="O185" s="131"/>
      <c r="P185" s="131"/>
      <c r="Q185" s="131"/>
      <c r="R185" s="131"/>
      <c r="S185" s="131"/>
    </row>
    <row r="186">
      <c r="A186" s="131"/>
      <c r="B186" s="131"/>
      <c r="C186" s="131"/>
      <c r="D186" s="81"/>
      <c r="E186" s="81"/>
      <c r="F186" s="131"/>
      <c r="G186" s="131"/>
      <c r="H186" s="131"/>
      <c r="I186" s="131"/>
      <c r="J186" s="131"/>
      <c r="K186" s="131"/>
      <c r="L186" s="131"/>
      <c r="M186" s="131"/>
      <c r="N186" s="131"/>
      <c r="O186" s="131"/>
      <c r="P186" s="131"/>
      <c r="Q186" s="131"/>
      <c r="R186" s="131"/>
      <c r="S186" s="131"/>
    </row>
    <row r="187">
      <c r="A187" s="131"/>
      <c r="B187" s="131"/>
      <c r="C187" s="131"/>
      <c r="D187" s="81"/>
      <c r="E187" s="81"/>
      <c r="F187" s="131"/>
      <c r="G187" s="131"/>
      <c r="H187" s="131"/>
      <c r="I187" s="131"/>
      <c r="J187" s="131"/>
      <c r="K187" s="131"/>
      <c r="L187" s="131"/>
      <c r="M187" s="131"/>
      <c r="N187" s="131"/>
      <c r="O187" s="131"/>
      <c r="P187" s="131"/>
      <c r="Q187" s="131"/>
      <c r="R187" s="131"/>
      <c r="S187" s="131"/>
    </row>
    <row r="188">
      <c r="A188" s="131"/>
      <c r="B188" s="131"/>
      <c r="C188" s="131"/>
      <c r="D188" s="81"/>
      <c r="E188" s="81"/>
      <c r="F188" s="131"/>
      <c r="G188" s="131"/>
      <c r="H188" s="131"/>
      <c r="I188" s="131"/>
      <c r="J188" s="131"/>
      <c r="K188" s="131"/>
      <c r="L188" s="131"/>
      <c r="M188" s="131"/>
      <c r="N188" s="131"/>
      <c r="O188" s="131"/>
      <c r="P188" s="131"/>
      <c r="Q188" s="131"/>
      <c r="R188" s="131"/>
      <c r="S188" s="131"/>
    </row>
    <row r="189">
      <c r="A189" s="131"/>
      <c r="B189" s="131"/>
      <c r="C189" s="131"/>
      <c r="D189" s="81"/>
      <c r="E189" s="81"/>
      <c r="F189" s="131"/>
      <c r="G189" s="131"/>
      <c r="H189" s="131"/>
      <c r="I189" s="131"/>
      <c r="J189" s="131"/>
      <c r="K189" s="131"/>
      <c r="L189" s="131"/>
      <c r="M189" s="131"/>
      <c r="N189" s="131"/>
      <c r="O189" s="131"/>
      <c r="P189" s="131"/>
      <c r="Q189" s="131"/>
      <c r="R189" s="131"/>
      <c r="S189" s="131"/>
    </row>
    <row r="190">
      <c r="A190" s="131"/>
      <c r="B190" s="131"/>
      <c r="C190" s="131"/>
      <c r="D190" s="81"/>
      <c r="E190" s="81"/>
      <c r="F190" s="131"/>
      <c r="G190" s="131"/>
      <c r="H190" s="131"/>
      <c r="I190" s="131"/>
      <c r="J190" s="131"/>
      <c r="K190" s="131"/>
      <c r="L190" s="131"/>
      <c r="M190" s="131"/>
      <c r="N190" s="131"/>
      <c r="O190" s="131"/>
      <c r="P190" s="131"/>
      <c r="Q190" s="131"/>
      <c r="R190" s="131"/>
      <c r="S190" s="131"/>
    </row>
    <row r="191">
      <c r="A191" s="131"/>
      <c r="B191" s="131"/>
      <c r="C191" s="131"/>
      <c r="D191" s="81"/>
      <c r="E191" s="81"/>
      <c r="F191" s="131"/>
      <c r="G191" s="131"/>
      <c r="H191" s="131"/>
      <c r="I191" s="131"/>
      <c r="J191" s="131"/>
      <c r="K191" s="131"/>
      <c r="L191" s="131"/>
      <c r="M191" s="131"/>
      <c r="N191" s="131"/>
      <c r="O191" s="131"/>
      <c r="P191" s="131"/>
      <c r="Q191" s="131"/>
      <c r="R191" s="131"/>
      <c r="S191" s="131"/>
    </row>
    <row r="192">
      <c r="A192" s="131"/>
      <c r="B192" s="131"/>
      <c r="C192" s="131"/>
      <c r="D192" s="81"/>
      <c r="E192" s="81"/>
      <c r="F192" s="131"/>
      <c r="G192" s="131"/>
      <c r="H192" s="131"/>
      <c r="I192" s="131"/>
      <c r="J192" s="131"/>
      <c r="K192" s="131"/>
      <c r="L192" s="131"/>
      <c r="M192" s="131"/>
      <c r="N192" s="131"/>
      <c r="O192" s="131"/>
      <c r="P192" s="131"/>
      <c r="Q192" s="131"/>
      <c r="R192" s="131"/>
      <c r="S192" s="131"/>
    </row>
    <row r="193">
      <c r="A193" s="131"/>
      <c r="B193" s="131"/>
      <c r="C193" s="131"/>
      <c r="D193" s="81"/>
      <c r="E193" s="81"/>
      <c r="F193" s="131"/>
      <c r="G193" s="131"/>
      <c r="H193" s="131"/>
      <c r="I193" s="131"/>
      <c r="J193" s="131"/>
      <c r="K193" s="131"/>
      <c r="L193" s="131"/>
      <c r="M193" s="131"/>
      <c r="N193" s="131"/>
      <c r="O193" s="131"/>
      <c r="P193" s="131"/>
      <c r="Q193" s="131"/>
      <c r="R193" s="131"/>
      <c r="S193" s="131"/>
    </row>
    <row r="194">
      <c r="A194" s="131"/>
      <c r="B194" s="131"/>
      <c r="C194" s="131"/>
      <c r="D194" s="81"/>
      <c r="E194" s="81"/>
      <c r="F194" s="131"/>
      <c r="G194" s="131"/>
      <c r="H194" s="131"/>
      <c r="I194" s="131"/>
      <c r="J194" s="131"/>
      <c r="K194" s="131"/>
      <c r="L194" s="131"/>
      <c r="M194" s="131"/>
      <c r="N194" s="131"/>
      <c r="O194" s="131"/>
      <c r="P194" s="131"/>
      <c r="Q194" s="131"/>
      <c r="R194" s="131"/>
      <c r="S194" s="131"/>
    </row>
    <row r="195">
      <c r="A195" s="131"/>
      <c r="B195" s="131"/>
      <c r="C195" s="131"/>
      <c r="D195" s="81"/>
      <c r="E195" s="81"/>
      <c r="F195" s="131"/>
      <c r="G195" s="131"/>
      <c r="H195" s="131"/>
      <c r="I195" s="131"/>
      <c r="J195" s="131"/>
      <c r="K195" s="131"/>
      <c r="L195" s="131"/>
      <c r="M195" s="131"/>
      <c r="N195" s="131"/>
      <c r="O195" s="131"/>
      <c r="P195" s="131"/>
      <c r="Q195" s="131"/>
      <c r="R195" s="131"/>
      <c r="S195" s="131"/>
    </row>
    <row r="196">
      <c r="A196" s="131"/>
      <c r="B196" s="131"/>
      <c r="C196" s="131"/>
      <c r="D196" s="81"/>
      <c r="E196" s="81"/>
      <c r="F196" s="131"/>
      <c r="G196" s="131"/>
      <c r="H196" s="131"/>
      <c r="I196" s="131"/>
      <c r="J196" s="131"/>
      <c r="K196" s="131"/>
      <c r="L196" s="131"/>
      <c r="M196" s="131"/>
      <c r="N196" s="131"/>
      <c r="O196" s="131"/>
      <c r="P196" s="131"/>
      <c r="Q196" s="131"/>
      <c r="R196" s="131"/>
      <c r="S196" s="131"/>
    </row>
    <row r="197">
      <c r="A197" s="131"/>
      <c r="B197" s="131"/>
      <c r="C197" s="131"/>
      <c r="D197" s="81"/>
      <c r="E197" s="81"/>
      <c r="F197" s="131"/>
      <c r="G197" s="131"/>
      <c r="H197" s="131"/>
      <c r="I197" s="131"/>
      <c r="J197" s="131"/>
      <c r="K197" s="131"/>
      <c r="L197" s="131"/>
      <c r="M197" s="131"/>
      <c r="N197" s="131"/>
      <c r="O197" s="131"/>
      <c r="P197" s="131"/>
      <c r="Q197" s="131"/>
      <c r="R197" s="131"/>
      <c r="S197" s="131"/>
    </row>
    <row r="198">
      <c r="A198" s="131"/>
      <c r="B198" s="131"/>
      <c r="C198" s="131"/>
      <c r="D198" s="81"/>
      <c r="E198" s="81"/>
      <c r="F198" s="131"/>
      <c r="G198" s="131"/>
      <c r="H198" s="131"/>
      <c r="I198" s="131"/>
      <c r="J198" s="131"/>
      <c r="K198" s="131"/>
      <c r="L198" s="131"/>
      <c r="M198" s="131"/>
      <c r="N198" s="131"/>
      <c r="O198" s="131"/>
      <c r="P198" s="131"/>
      <c r="Q198" s="131"/>
      <c r="R198" s="131"/>
      <c r="S198" s="131"/>
    </row>
    <row r="199">
      <c r="A199" s="131"/>
      <c r="B199" s="131"/>
      <c r="C199" s="131"/>
      <c r="D199" s="81"/>
      <c r="E199" s="81"/>
      <c r="F199" s="131"/>
      <c r="G199" s="131"/>
      <c r="H199" s="131"/>
      <c r="I199" s="131"/>
      <c r="J199" s="131"/>
      <c r="K199" s="131"/>
      <c r="L199" s="131"/>
      <c r="M199" s="131"/>
      <c r="N199" s="131"/>
      <c r="O199" s="131"/>
      <c r="P199" s="131"/>
      <c r="Q199" s="131"/>
      <c r="R199" s="131"/>
      <c r="S199" s="131"/>
    </row>
    <row r="200">
      <c r="A200" s="131"/>
      <c r="B200" s="131"/>
      <c r="C200" s="131"/>
      <c r="D200" s="81"/>
      <c r="E200" s="81"/>
      <c r="F200" s="131"/>
      <c r="G200" s="131"/>
      <c r="H200" s="131"/>
      <c r="I200" s="131"/>
      <c r="J200" s="131"/>
      <c r="K200" s="131"/>
      <c r="L200" s="131"/>
      <c r="M200" s="131"/>
      <c r="N200" s="131"/>
      <c r="O200" s="131"/>
      <c r="P200" s="131"/>
      <c r="Q200" s="131"/>
      <c r="R200" s="131"/>
      <c r="S200" s="131"/>
    </row>
    <row r="201">
      <c r="A201" s="131"/>
      <c r="B201" s="131"/>
      <c r="C201" s="131"/>
      <c r="D201" s="81"/>
      <c r="E201" s="81"/>
      <c r="F201" s="131"/>
      <c r="G201" s="131"/>
      <c r="H201" s="131"/>
      <c r="I201" s="131"/>
      <c r="J201" s="131"/>
      <c r="K201" s="131"/>
      <c r="L201" s="131"/>
      <c r="M201" s="131"/>
      <c r="N201" s="131"/>
      <c r="O201" s="131"/>
      <c r="P201" s="131"/>
      <c r="Q201" s="131"/>
      <c r="R201" s="131"/>
      <c r="S201" s="131"/>
    </row>
    <row r="202">
      <c r="A202" s="131"/>
      <c r="B202" s="131"/>
      <c r="C202" s="131"/>
      <c r="D202" s="81"/>
      <c r="E202" s="81"/>
      <c r="F202" s="131"/>
      <c r="G202" s="131"/>
      <c r="H202" s="131"/>
      <c r="I202" s="131"/>
      <c r="J202" s="131"/>
      <c r="K202" s="131"/>
      <c r="L202" s="131"/>
      <c r="M202" s="131"/>
      <c r="N202" s="131"/>
      <c r="O202" s="131"/>
      <c r="P202" s="131"/>
      <c r="Q202" s="131"/>
      <c r="R202" s="131"/>
      <c r="S202" s="131"/>
    </row>
    <row r="203">
      <c r="A203" s="131"/>
      <c r="B203" s="131"/>
      <c r="C203" s="131"/>
      <c r="D203" s="81"/>
      <c r="E203" s="81"/>
      <c r="F203" s="131"/>
      <c r="G203" s="131"/>
      <c r="H203" s="131"/>
      <c r="I203" s="131"/>
      <c r="J203" s="131"/>
      <c r="K203" s="131"/>
      <c r="L203" s="131"/>
      <c r="M203" s="131"/>
      <c r="N203" s="131"/>
      <c r="O203" s="131"/>
      <c r="P203" s="131"/>
      <c r="Q203" s="131"/>
      <c r="R203" s="131"/>
      <c r="S203" s="131"/>
    </row>
    <row r="204">
      <c r="A204" s="131"/>
      <c r="B204" s="131"/>
      <c r="C204" s="131"/>
      <c r="D204" s="81"/>
      <c r="E204" s="81"/>
      <c r="F204" s="131"/>
      <c r="G204" s="131"/>
      <c r="H204" s="131"/>
      <c r="I204" s="131"/>
      <c r="J204" s="131"/>
      <c r="K204" s="131"/>
      <c r="L204" s="131"/>
      <c r="M204" s="131"/>
      <c r="N204" s="131"/>
      <c r="O204" s="131"/>
      <c r="P204" s="131"/>
      <c r="Q204" s="131"/>
      <c r="R204" s="131"/>
      <c r="S204" s="131"/>
    </row>
    <row r="205">
      <c r="A205" s="131"/>
      <c r="B205" s="131"/>
      <c r="C205" s="131"/>
      <c r="D205" s="81"/>
      <c r="E205" s="81"/>
      <c r="F205" s="131"/>
      <c r="G205" s="131"/>
      <c r="H205" s="131"/>
      <c r="I205" s="131"/>
      <c r="J205" s="131"/>
      <c r="K205" s="131"/>
      <c r="L205" s="131"/>
      <c r="M205" s="131"/>
      <c r="N205" s="131"/>
      <c r="O205" s="131"/>
      <c r="P205" s="131"/>
      <c r="Q205" s="131"/>
      <c r="R205" s="131"/>
      <c r="S205" s="131"/>
    </row>
    <row r="206">
      <c r="A206" s="131"/>
      <c r="B206" s="131"/>
      <c r="C206" s="131"/>
      <c r="D206" s="81"/>
      <c r="E206" s="81"/>
      <c r="F206" s="131"/>
      <c r="G206" s="131"/>
      <c r="H206" s="131"/>
      <c r="I206" s="131"/>
      <c r="J206" s="131"/>
      <c r="K206" s="131"/>
      <c r="L206" s="131"/>
      <c r="M206" s="131"/>
      <c r="N206" s="131"/>
      <c r="O206" s="131"/>
      <c r="P206" s="131"/>
      <c r="Q206" s="131"/>
      <c r="R206" s="131"/>
      <c r="S206" s="131"/>
    </row>
    <row r="207">
      <c r="A207" s="131"/>
      <c r="B207" s="131"/>
      <c r="C207" s="131"/>
      <c r="D207" s="81"/>
      <c r="E207" s="81"/>
      <c r="F207" s="131"/>
      <c r="G207" s="131"/>
      <c r="H207" s="131"/>
      <c r="I207" s="131"/>
      <c r="J207" s="131"/>
      <c r="K207" s="131"/>
      <c r="L207" s="131"/>
      <c r="M207" s="131"/>
      <c r="N207" s="131"/>
      <c r="O207" s="131"/>
      <c r="P207" s="131"/>
      <c r="Q207" s="131"/>
      <c r="R207" s="131"/>
      <c r="S207" s="131"/>
    </row>
    <row r="208">
      <c r="A208" s="131"/>
      <c r="B208" s="131"/>
      <c r="C208" s="131"/>
      <c r="D208" s="81"/>
      <c r="E208" s="81"/>
      <c r="F208" s="131"/>
      <c r="G208" s="131"/>
      <c r="H208" s="131"/>
      <c r="I208" s="131"/>
      <c r="J208" s="131"/>
      <c r="K208" s="131"/>
      <c r="L208" s="131"/>
      <c r="M208" s="131"/>
      <c r="N208" s="131"/>
      <c r="O208" s="131"/>
      <c r="P208" s="131"/>
      <c r="Q208" s="131"/>
      <c r="R208" s="131"/>
      <c r="S208" s="131"/>
    </row>
    <row r="209">
      <c r="A209" s="131"/>
      <c r="B209" s="131"/>
      <c r="C209" s="131"/>
      <c r="D209" s="81"/>
      <c r="E209" s="81"/>
      <c r="F209" s="131"/>
      <c r="G209" s="131"/>
      <c r="H209" s="131"/>
      <c r="I209" s="131"/>
      <c r="J209" s="131"/>
      <c r="K209" s="131"/>
      <c r="L209" s="131"/>
      <c r="M209" s="131"/>
      <c r="N209" s="131"/>
      <c r="O209" s="131"/>
      <c r="P209" s="131"/>
      <c r="Q209" s="131"/>
      <c r="R209" s="131"/>
      <c r="S209" s="131"/>
    </row>
    <row r="210">
      <c r="A210" s="131"/>
      <c r="B210" s="131"/>
      <c r="C210" s="131"/>
      <c r="D210" s="81"/>
      <c r="E210" s="81"/>
      <c r="F210" s="131"/>
      <c r="G210" s="131"/>
      <c r="H210" s="131"/>
      <c r="I210" s="131"/>
      <c r="J210" s="131"/>
      <c r="K210" s="131"/>
      <c r="L210" s="131"/>
      <c r="M210" s="131"/>
      <c r="N210" s="131"/>
      <c r="O210" s="131"/>
      <c r="P210" s="131"/>
      <c r="Q210" s="131"/>
      <c r="R210" s="131"/>
      <c r="S210" s="131"/>
    </row>
    <row r="211">
      <c r="A211" s="131"/>
      <c r="B211" s="131"/>
      <c r="C211" s="131"/>
      <c r="D211" s="81"/>
      <c r="E211" s="81"/>
      <c r="F211" s="131"/>
      <c r="G211" s="131"/>
      <c r="H211" s="131"/>
      <c r="I211" s="131"/>
      <c r="J211" s="131"/>
      <c r="K211" s="131"/>
      <c r="L211" s="131"/>
      <c r="M211" s="131"/>
      <c r="N211" s="131"/>
      <c r="O211" s="131"/>
      <c r="P211" s="131"/>
      <c r="Q211" s="131"/>
      <c r="R211" s="131"/>
      <c r="S211" s="131"/>
    </row>
    <row r="212">
      <c r="A212" s="131"/>
      <c r="B212" s="131"/>
      <c r="C212" s="131"/>
      <c r="D212" s="81"/>
      <c r="E212" s="81"/>
      <c r="F212" s="131"/>
      <c r="G212" s="131"/>
      <c r="H212" s="131"/>
      <c r="I212" s="131"/>
      <c r="J212" s="131"/>
      <c r="K212" s="131"/>
      <c r="L212" s="131"/>
      <c r="M212" s="131"/>
      <c r="N212" s="131"/>
      <c r="O212" s="131"/>
      <c r="P212" s="131"/>
      <c r="Q212" s="131"/>
      <c r="R212" s="131"/>
      <c r="S212" s="131"/>
    </row>
    <row r="213">
      <c r="A213" s="131"/>
      <c r="B213" s="131"/>
      <c r="C213" s="131"/>
      <c r="D213" s="81"/>
      <c r="E213" s="81"/>
      <c r="F213" s="131"/>
      <c r="G213" s="131"/>
      <c r="H213" s="131"/>
      <c r="I213" s="131"/>
      <c r="J213" s="131"/>
      <c r="K213" s="131"/>
      <c r="L213" s="131"/>
      <c r="M213" s="131"/>
      <c r="N213" s="131"/>
      <c r="O213" s="131"/>
      <c r="P213" s="131"/>
      <c r="Q213" s="131"/>
      <c r="R213" s="131"/>
      <c r="S213" s="131"/>
    </row>
    <row r="214">
      <c r="A214" s="131"/>
      <c r="B214" s="131"/>
      <c r="C214" s="131"/>
      <c r="D214" s="81"/>
      <c r="E214" s="81"/>
      <c r="F214" s="131"/>
      <c r="G214" s="131"/>
      <c r="H214" s="131"/>
      <c r="I214" s="131"/>
      <c r="J214" s="131"/>
      <c r="K214" s="131"/>
      <c r="L214" s="131"/>
      <c r="M214" s="131"/>
      <c r="N214" s="131"/>
      <c r="O214" s="131"/>
      <c r="P214" s="131"/>
      <c r="Q214" s="131"/>
      <c r="R214" s="131"/>
      <c r="S214" s="131"/>
    </row>
    <row r="215">
      <c r="A215" s="131"/>
      <c r="B215" s="131"/>
      <c r="C215" s="131"/>
      <c r="D215" s="81"/>
      <c r="E215" s="81"/>
      <c r="F215" s="131"/>
      <c r="G215" s="131"/>
      <c r="H215" s="131"/>
      <c r="I215" s="131"/>
      <c r="J215" s="131"/>
      <c r="K215" s="131"/>
      <c r="L215" s="131"/>
      <c r="M215" s="131"/>
      <c r="N215" s="131"/>
      <c r="O215" s="131"/>
      <c r="P215" s="131"/>
      <c r="Q215" s="131"/>
      <c r="R215" s="131"/>
      <c r="S215" s="131"/>
    </row>
    <row r="216">
      <c r="A216" s="131"/>
      <c r="B216" s="131"/>
      <c r="C216" s="131"/>
      <c r="D216" s="81"/>
      <c r="E216" s="81"/>
      <c r="F216" s="131"/>
      <c r="G216" s="131"/>
      <c r="H216" s="131"/>
      <c r="I216" s="131"/>
      <c r="J216" s="131"/>
      <c r="K216" s="131"/>
      <c r="L216" s="131"/>
      <c r="M216" s="131"/>
      <c r="N216" s="131"/>
      <c r="O216" s="131"/>
      <c r="P216" s="131"/>
      <c r="Q216" s="131"/>
      <c r="R216" s="131"/>
      <c r="S216" s="131"/>
    </row>
    <row r="217">
      <c r="A217" s="131"/>
      <c r="B217" s="131"/>
      <c r="C217" s="131"/>
      <c r="D217" s="81"/>
      <c r="E217" s="81"/>
      <c r="F217" s="131"/>
      <c r="G217" s="131"/>
      <c r="H217" s="131"/>
      <c r="I217" s="131"/>
      <c r="J217" s="131"/>
      <c r="K217" s="131"/>
      <c r="L217" s="131"/>
      <c r="M217" s="131"/>
      <c r="N217" s="131"/>
      <c r="O217" s="131"/>
      <c r="P217" s="131"/>
      <c r="Q217" s="131"/>
      <c r="R217" s="131"/>
      <c r="S217" s="131"/>
    </row>
    <row r="218">
      <c r="A218" s="131"/>
      <c r="B218" s="131"/>
      <c r="C218" s="131"/>
      <c r="D218" s="81"/>
      <c r="E218" s="81"/>
      <c r="F218" s="131"/>
      <c r="G218" s="131"/>
      <c r="H218" s="131"/>
      <c r="I218" s="131"/>
      <c r="J218" s="131"/>
      <c r="K218" s="131"/>
      <c r="L218" s="131"/>
      <c r="M218" s="131"/>
      <c r="N218" s="131"/>
      <c r="O218" s="131"/>
      <c r="P218" s="131"/>
      <c r="Q218" s="131"/>
      <c r="R218" s="131"/>
      <c r="S218" s="131"/>
    </row>
    <row r="219">
      <c r="A219" s="131"/>
      <c r="B219" s="131"/>
      <c r="C219" s="131"/>
      <c r="D219" s="81"/>
      <c r="E219" s="81"/>
      <c r="F219" s="131"/>
      <c r="G219" s="131"/>
      <c r="H219" s="131"/>
      <c r="I219" s="131"/>
      <c r="J219" s="131"/>
      <c r="K219" s="131"/>
      <c r="L219" s="131"/>
      <c r="M219" s="131"/>
      <c r="N219" s="131"/>
      <c r="O219" s="131"/>
      <c r="P219" s="131"/>
      <c r="Q219" s="131"/>
      <c r="R219" s="131"/>
      <c r="S219" s="131"/>
    </row>
    <row r="220">
      <c r="A220" s="131"/>
      <c r="B220" s="131"/>
      <c r="C220" s="131"/>
      <c r="D220" s="81"/>
      <c r="E220" s="81"/>
      <c r="F220" s="131"/>
      <c r="G220" s="131"/>
      <c r="H220" s="131"/>
      <c r="I220" s="131"/>
      <c r="J220" s="131"/>
      <c r="K220" s="131"/>
      <c r="L220" s="131"/>
      <c r="M220" s="131"/>
      <c r="N220" s="131"/>
      <c r="O220" s="131"/>
      <c r="P220" s="131"/>
      <c r="Q220" s="131"/>
      <c r="R220" s="131"/>
      <c r="S220" s="131"/>
    </row>
    <row r="221">
      <c r="A221" s="131"/>
      <c r="B221" s="131"/>
      <c r="C221" s="131"/>
      <c r="D221" s="81"/>
      <c r="E221" s="81"/>
      <c r="F221" s="131"/>
      <c r="G221" s="131"/>
      <c r="H221" s="131"/>
      <c r="I221" s="131"/>
      <c r="J221" s="131"/>
      <c r="K221" s="131"/>
      <c r="L221" s="131"/>
      <c r="M221" s="131"/>
      <c r="N221" s="131"/>
      <c r="O221" s="131"/>
      <c r="P221" s="131"/>
      <c r="Q221" s="131"/>
      <c r="R221" s="131"/>
      <c r="S221" s="131"/>
    </row>
    <row r="222">
      <c r="A222" s="131"/>
      <c r="B222" s="131"/>
      <c r="C222" s="131"/>
      <c r="D222" s="81"/>
      <c r="E222" s="81"/>
      <c r="F222" s="131"/>
      <c r="G222" s="131"/>
      <c r="H222" s="131"/>
      <c r="I222" s="131"/>
      <c r="J222" s="131"/>
      <c r="K222" s="131"/>
      <c r="L222" s="131"/>
      <c r="M222" s="131"/>
      <c r="N222" s="131"/>
      <c r="O222" s="131"/>
      <c r="P222" s="131"/>
      <c r="Q222" s="131"/>
      <c r="R222" s="131"/>
      <c r="S222" s="131"/>
    </row>
    <row r="223">
      <c r="A223" s="131"/>
      <c r="B223" s="131"/>
      <c r="C223" s="131"/>
      <c r="D223" s="81"/>
      <c r="E223" s="81"/>
      <c r="F223" s="131"/>
      <c r="G223" s="131"/>
      <c r="H223" s="131"/>
      <c r="I223" s="131"/>
      <c r="J223" s="131"/>
      <c r="K223" s="131"/>
      <c r="L223" s="131"/>
      <c r="M223" s="131"/>
      <c r="N223" s="131"/>
      <c r="O223" s="131"/>
      <c r="P223" s="131"/>
      <c r="Q223" s="131"/>
      <c r="R223" s="131"/>
      <c r="S223" s="131"/>
    </row>
    <row r="224">
      <c r="A224" s="131"/>
      <c r="B224" s="131"/>
      <c r="C224" s="131"/>
      <c r="D224" s="81"/>
      <c r="E224" s="81"/>
      <c r="F224" s="131"/>
      <c r="G224" s="131"/>
      <c r="H224" s="131"/>
      <c r="I224" s="131"/>
      <c r="J224" s="131"/>
      <c r="K224" s="131"/>
      <c r="L224" s="131"/>
      <c r="M224" s="131"/>
      <c r="N224" s="131"/>
      <c r="O224" s="131"/>
      <c r="P224" s="131"/>
      <c r="Q224" s="131"/>
      <c r="R224" s="131"/>
      <c r="S224" s="131"/>
    </row>
    <row r="225">
      <c r="A225" s="131"/>
      <c r="B225" s="131"/>
      <c r="C225" s="131"/>
      <c r="D225" s="81"/>
      <c r="E225" s="81"/>
      <c r="F225" s="131"/>
      <c r="G225" s="131"/>
      <c r="H225" s="131"/>
      <c r="I225" s="131"/>
      <c r="J225" s="131"/>
      <c r="K225" s="131"/>
      <c r="L225" s="131"/>
      <c r="M225" s="131"/>
      <c r="N225" s="131"/>
      <c r="O225" s="131"/>
      <c r="P225" s="131"/>
      <c r="Q225" s="131"/>
      <c r="R225" s="131"/>
      <c r="S225" s="131"/>
    </row>
    <row r="226">
      <c r="A226" s="131"/>
      <c r="B226" s="131"/>
      <c r="C226" s="131"/>
      <c r="D226" s="81"/>
      <c r="E226" s="81"/>
      <c r="F226" s="131"/>
      <c r="G226" s="131"/>
      <c r="H226" s="131"/>
      <c r="I226" s="131"/>
      <c r="J226" s="131"/>
      <c r="K226" s="131"/>
      <c r="L226" s="131"/>
      <c r="M226" s="131"/>
      <c r="N226" s="131"/>
      <c r="O226" s="131"/>
      <c r="P226" s="131"/>
      <c r="Q226" s="131"/>
      <c r="R226" s="131"/>
      <c r="S226" s="131"/>
    </row>
    <row r="227">
      <c r="A227" s="131"/>
      <c r="B227" s="131"/>
      <c r="C227" s="131"/>
      <c r="D227" s="81"/>
      <c r="E227" s="81"/>
      <c r="F227" s="131"/>
      <c r="G227" s="131"/>
      <c r="H227" s="131"/>
      <c r="I227" s="131"/>
      <c r="J227" s="131"/>
      <c r="K227" s="131"/>
      <c r="L227" s="131"/>
      <c r="M227" s="131"/>
      <c r="N227" s="131"/>
      <c r="O227" s="131"/>
      <c r="P227" s="131"/>
      <c r="Q227" s="131"/>
      <c r="R227" s="131"/>
      <c r="S227" s="131"/>
    </row>
    <row r="228">
      <c r="A228" s="131"/>
      <c r="B228" s="131"/>
      <c r="C228" s="131"/>
      <c r="D228" s="81"/>
      <c r="E228" s="81"/>
      <c r="F228" s="131"/>
      <c r="G228" s="131"/>
      <c r="H228" s="131"/>
      <c r="I228" s="131"/>
      <c r="J228" s="131"/>
      <c r="K228" s="131"/>
      <c r="L228" s="131"/>
      <c r="M228" s="131"/>
      <c r="N228" s="131"/>
      <c r="O228" s="131"/>
      <c r="P228" s="131"/>
      <c r="Q228" s="131"/>
      <c r="R228" s="131"/>
      <c r="S228" s="131"/>
    </row>
    <row r="229">
      <c r="A229" s="131"/>
      <c r="B229" s="131"/>
      <c r="C229" s="131"/>
      <c r="D229" s="81"/>
      <c r="E229" s="81"/>
      <c r="F229" s="131"/>
      <c r="G229" s="131"/>
      <c r="H229" s="131"/>
      <c r="I229" s="131"/>
      <c r="J229" s="131"/>
      <c r="K229" s="131"/>
      <c r="L229" s="131"/>
      <c r="M229" s="131"/>
      <c r="N229" s="131"/>
      <c r="O229" s="131"/>
      <c r="P229" s="131"/>
      <c r="Q229" s="131"/>
      <c r="R229" s="131"/>
      <c r="S229" s="131"/>
    </row>
    <row r="230">
      <c r="A230" s="131"/>
      <c r="B230" s="131"/>
      <c r="C230" s="131"/>
      <c r="D230" s="81"/>
      <c r="E230" s="81"/>
      <c r="F230" s="131"/>
      <c r="G230" s="131"/>
      <c r="H230" s="131"/>
      <c r="I230" s="131"/>
      <c r="J230" s="131"/>
      <c r="K230" s="131"/>
      <c r="L230" s="131"/>
      <c r="M230" s="131"/>
      <c r="N230" s="131"/>
      <c r="O230" s="131"/>
      <c r="P230" s="131"/>
      <c r="Q230" s="131"/>
      <c r="R230" s="131"/>
      <c r="S230" s="131"/>
    </row>
    <row r="231">
      <c r="A231" s="131"/>
      <c r="B231" s="131"/>
      <c r="C231" s="131"/>
      <c r="D231" s="81"/>
      <c r="E231" s="81"/>
      <c r="F231" s="131"/>
      <c r="G231" s="131"/>
      <c r="H231" s="131"/>
      <c r="I231" s="131"/>
      <c r="J231" s="131"/>
      <c r="K231" s="131"/>
      <c r="L231" s="131"/>
      <c r="M231" s="131"/>
      <c r="N231" s="131"/>
      <c r="O231" s="131"/>
      <c r="P231" s="131"/>
      <c r="Q231" s="131"/>
      <c r="R231" s="131"/>
      <c r="S231" s="131"/>
    </row>
    <row r="232">
      <c r="A232" s="131"/>
      <c r="B232" s="131"/>
      <c r="C232" s="131"/>
      <c r="D232" s="81"/>
      <c r="E232" s="81"/>
      <c r="F232" s="131"/>
      <c r="G232" s="131"/>
      <c r="H232" s="131"/>
      <c r="I232" s="131"/>
      <c r="J232" s="131"/>
      <c r="K232" s="131"/>
      <c r="L232" s="131"/>
      <c r="M232" s="131"/>
      <c r="N232" s="131"/>
      <c r="O232" s="131"/>
      <c r="P232" s="131"/>
      <c r="Q232" s="131"/>
      <c r="R232" s="131"/>
      <c r="S232" s="131"/>
    </row>
    <row r="233">
      <c r="A233" s="131"/>
      <c r="B233" s="131"/>
      <c r="C233" s="131"/>
      <c r="D233" s="81"/>
      <c r="E233" s="81"/>
      <c r="F233" s="131"/>
      <c r="G233" s="131"/>
      <c r="H233" s="131"/>
      <c r="I233" s="131"/>
      <c r="J233" s="131"/>
      <c r="K233" s="131"/>
      <c r="L233" s="131"/>
      <c r="M233" s="131"/>
      <c r="N233" s="131"/>
      <c r="O233" s="131"/>
      <c r="P233" s="131"/>
      <c r="Q233" s="131"/>
      <c r="R233" s="131"/>
      <c r="S233" s="131"/>
    </row>
    <row r="234">
      <c r="A234" s="131"/>
      <c r="B234" s="131"/>
      <c r="C234" s="131"/>
      <c r="D234" s="81"/>
      <c r="E234" s="81"/>
      <c r="F234" s="131"/>
      <c r="G234" s="131"/>
      <c r="H234" s="131"/>
      <c r="I234" s="131"/>
      <c r="J234" s="131"/>
      <c r="K234" s="131"/>
      <c r="L234" s="131"/>
      <c r="M234" s="131"/>
      <c r="N234" s="131"/>
      <c r="O234" s="131"/>
      <c r="P234" s="131"/>
      <c r="Q234" s="131"/>
      <c r="R234" s="131"/>
      <c r="S234" s="131"/>
    </row>
    <row r="235">
      <c r="A235" s="131"/>
      <c r="B235" s="131"/>
      <c r="C235" s="131"/>
      <c r="D235" s="81"/>
      <c r="E235" s="81"/>
      <c r="F235" s="131"/>
      <c r="G235" s="131"/>
      <c r="H235" s="131"/>
      <c r="I235" s="131"/>
      <c r="J235" s="131"/>
      <c r="K235" s="131"/>
      <c r="L235" s="131"/>
      <c r="M235" s="131"/>
      <c r="N235" s="131"/>
      <c r="O235" s="131"/>
      <c r="P235" s="131"/>
      <c r="Q235" s="131"/>
      <c r="R235" s="131"/>
      <c r="S235" s="131"/>
    </row>
    <row r="236">
      <c r="A236" s="131"/>
      <c r="B236" s="131"/>
      <c r="C236" s="131"/>
      <c r="D236" s="81"/>
      <c r="E236" s="81"/>
      <c r="F236" s="131"/>
      <c r="G236" s="131"/>
      <c r="H236" s="131"/>
      <c r="I236" s="131"/>
      <c r="J236" s="131"/>
      <c r="K236" s="131"/>
      <c r="L236" s="131"/>
      <c r="M236" s="131"/>
      <c r="N236" s="131"/>
      <c r="O236" s="131"/>
      <c r="P236" s="131"/>
      <c r="Q236" s="131"/>
      <c r="R236" s="131"/>
      <c r="S236" s="131"/>
    </row>
    <row r="237">
      <c r="A237" s="131"/>
      <c r="B237" s="131"/>
      <c r="C237" s="131"/>
      <c r="D237" s="81"/>
      <c r="E237" s="81"/>
      <c r="F237" s="131"/>
      <c r="G237" s="131"/>
      <c r="H237" s="131"/>
      <c r="I237" s="131"/>
      <c r="J237" s="131"/>
      <c r="K237" s="131"/>
      <c r="L237" s="131"/>
      <c r="M237" s="131"/>
      <c r="N237" s="131"/>
      <c r="O237" s="131"/>
      <c r="P237" s="131"/>
      <c r="Q237" s="131"/>
      <c r="R237" s="131"/>
      <c r="S237" s="131"/>
    </row>
    <row r="238">
      <c r="A238" s="131"/>
      <c r="B238" s="131"/>
      <c r="C238" s="131"/>
      <c r="D238" s="81"/>
      <c r="E238" s="81"/>
      <c r="F238" s="131"/>
      <c r="G238" s="131"/>
      <c r="H238" s="131"/>
      <c r="I238" s="131"/>
      <c r="J238" s="131"/>
      <c r="K238" s="131"/>
      <c r="L238" s="131"/>
      <c r="M238" s="131"/>
      <c r="N238" s="131"/>
      <c r="O238" s="131"/>
      <c r="P238" s="131"/>
      <c r="Q238" s="131"/>
      <c r="R238" s="131"/>
      <c r="S238" s="131"/>
    </row>
    <row r="239">
      <c r="A239" s="131"/>
      <c r="B239" s="131"/>
      <c r="C239" s="131"/>
      <c r="D239" s="81"/>
      <c r="E239" s="81"/>
      <c r="F239" s="131"/>
      <c r="G239" s="131"/>
      <c r="H239" s="131"/>
      <c r="I239" s="131"/>
      <c r="J239" s="131"/>
      <c r="K239" s="131"/>
      <c r="L239" s="131"/>
      <c r="M239" s="131"/>
      <c r="N239" s="131"/>
      <c r="O239" s="131"/>
      <c r="P239" s="131"/>
      <c r="Q239" s="131"/>
      <c r="R239" s="131"/>
      <c r="S239" s="131"/>
    </row>
    <row r="240">
      <c r="A240" s="131"/>
      <c r="B240" s="131"/>
      <c r="C240" s="131"/>
      <c r="D240" s="81"/>
      <c r="E240" s="81"/>
      <c r="F240" s="131"/>
      <c r="G240" s="131"/>
      <c r="H240" s="131"/>
      <c r="I240" s="131"/>
      <c r="J240" s="131"/>
      <c r="K240" s="131"/>
      <c r="L240" s="131"/>
      <c r="M240" s="131"/>
      <c r="N240" s="131"/>
      <c r="O240" s="131"/>
      <c r="P240" s="131"/>
      <c r="Q240" s="131"/>
      <c r="R240" s="131"/>
      <c r="S240" s="131"/>
    </row>
    <row r="241">
      <c r="A241" s="131"/>
      <c r="B241" s="131"/>
      <c r="C241" s="131"/>
      <c r="D241" s="81"/>
      <c r="E241" s="81"/>
      <c r="F241" s="131"/>
      <c r="G241" s="131"/>
      <c r="H241" s="131"/>
      <c r="I241" s="131"/>
      <c r="J241" s="131"/>
      <c r="K241" s="131"/>
      <c r="L241" s="131"/>
      <c r="M241" s="131"/>
      <c r="N241" s="131"/>
      <c r="O241" s="131"/>
      <c r="P241" s="131"/>
      <c r="Q241" s="131"/>
      <c r="R241" s="131"/>
      <c r="S241" s="131"/>
    </row>
    <row r="242">
      <c r="A242" s="131"/>
      <c r="B242" s="131"/>
      <c r="C242" s="131"/>
      <c r="D242" s="81"/>
      <c r="E242" s="81"/>
      <c r="F242" s="131"/>
      <c r="G242" s="131"/>
      <c r="H242" s="131"/>
      <c r="I242" s="131"/>
      <c r="J242" s="131"/>
      <c r="K242" s="131"/>
      <c r="L242" s="131"/>
      <c r="M242" s="131"/>
      <c r="N242" s="131"/>
      <c r="O242" s="131"/>
      <c r="P242" s="131"/>
      <c r="Q242" s="131"/>
      <c r="R242" s="131"/>
      <c r="S242" s="131"/>
    </row>
    <row r="243">
      <c r="A243" s="131"/>
      <c r="B243" s="131"/>
      <c r="C243" s="131"/>
      <c r="D243" s="81"/>
      <c r="E243" s="81"/>
      <c r="F243" s="131"/>
      <c r="G243" s="131"/>
      <c r="H243" s="131"/>
      <c r="I243" s="131"/>
      <c r="J243" s="131"/>
      <c r="K243" s="131"/>
      <c r="L243" s="131"/>
      <c r="M243" s="131"/>
      <c r="N243" s="131"/>
      <c r="O243" s="131"/>
      <c r="P243" s="131"/>
      <c r="Q243" s="131"/>
      <c r="R243" s="131"/>
      <c r="S243" s="131"/>
    </row>
    <row r="244">
      <c r="A244" s="131"/>
      <c r="B244" s="131"/>
      <c r="C244" s="131"/>
      <c r="D244" s="81"/>
      <c r="E244" s="81"/>
      <c r="F244" s="131"/>
      <c r="G244" s="131"/>
      <c r="H244" s="131"/>
      <c r="I244" s="131"/>
      <c r="J244" s="131"/>
      <c r="K244" s="131"/>
      <c r="L244" s="131"/>
      <c r="M244" s="131"/>
      <c r="N244" s="131"/>
      <c r="O244" s="131"/>
      <c r="P244" s="131"/>
      <c r="Q244" s="131"/>
      <c r="R244" s="131"/>
      <c r="S244" s="131"/>
    </row>
    <row r="245">
      <c r="A245" s="131"/>
      <c r="B245" s="131"/>
      <c r="C245" s="131"/>
      <c r="D245" s="81"/>
      <c r="E245" s="81"/>
      <c r="F245" s="131"/>
      <c r="G245" s="131"/>
      <c r="H245" s="131"/>
      <c r="I245" s="131"/>
      <c r="J245" s="131"/>
      <c r="K245" s="131"/>
      <c r="L245" s="131"/>
      <c r="M245" s="131"/>
      <c r="N245" s="131"/>
      <c r="O245" s="131"/>
      <c r="P245" s="131"/>
      <c r="Q245" s="131"/>
      <c r="R245" s="131"/>
      <c r="S245" s="131"/>
    </row>
    <row r="246">
      <c r="A246" s="131"/>
      <c r="B246" s="131"/>
      <c r="C246" s="131"/>
      <c r="D246" s="81"/>
      <c r="E246" s="81"/>
      <c r="F246" s="131"/>
      <c r="G246" s="131"/>
      <c r="H246" s="131"/>
      <c r="I246" s="131"/>
      <c r="J246" s="131"/>
      <c r="K246" s="131"/>
      <c r="L246" s="131"/>
      <c r="M246" s="131"/>
      <c r="N246" s="131"/>
      <c r="O246" s="131"/>
      <c r="P246" s="131"/>
      <c r="Q246" s="131"/>
      <c r="R246" s="131"/>
      <c r="S246" s="131"/>
    </row>
    <row r="247">
      <c r="A247" s="131"/>
      <c r="B247" s="131"/>
      <c r="C247" s="131"/>
      <c r="D247" s="81"/>
      <c r="E247" s="81"/>
      <c r="F247" s="131"/>
      <c r="G247" s="131"/>
      <c r="H247" s="131"/>
      <c r="I247" s="131"/>
      <c r="J247" s="131"/>
      <c r="K247" s="131"/>
      <c r="L247" s="131"/>
      <c r="M247" s="131"/>
      <c r="N247" s="131"/>
      <c r="O247" s="131"/>
      <c r="P247" s="131"/>
      <c r="Q247" s="131"/>
      <c r="R247" s="131"/>
      <c r="S247" s="131"/>
    </row>
    <row r="248">
      <c r="A248" s="131"/>
      <c r="B248" s="131"/>
      <c r="C248" s="131"/>
      <c r="D248" s="81"/>
      <c r="E248" s="81"/>
      <c r="F248" s="131"/>
      <c r="G248" s="131"/>
      <c r="H248" s="131"/>
      <c r="I248" s="131"/>
      <c r="J248" s="131"/>
      <c r="K248" s="131"/>
      <c r="L248" s="131"/>
      <c r="M248" s="131"/>
      <c r="N248" s="131"/>
      <c r="O248" s="131"/>
      <c r="P248" s="131"/>
      <c r="Q248" s="131"/>
      <c r="R248" s="131"/>
      <c r="S248" s="131"/>
    </row>
    <row r="249">
      <c r="A249" s="131"/>
      <c r="B249" s="131"/>
      <c r="C249" s="131"/>
      <c r="D249" s="81"/>
      <c r="E249" s="81"/>
      <c r="F249" s="131"/>
      <c r="G249" s="131"/>
      <c r="H249" s="131"/>
      <c r="I249" s="131"/>
      <c r="J249" s="131"/>
      <c r="K249" s="131"/>
      <c r="L249" s="131"/>
      <c r="M249" s="131"/>
      <c r="N249" s="131"/>
      <c r="O249" s="131"/>
      <c r="P249" s="131"/>
      <c r="Q249" s="131"/>
      <c r="R249" s="131"/>
      <c r="S249" s="131"/>
    </row>
    <row r="250">
      <c r="A250" s="131"/>
      <c r="B250" s="131"/>
      <c r="C250" s="131"/>
      <c r="D250" s="81"/>
      <c r="E250" s="81"/>
      <c r="F250" s="131"/>
      <c r="G250" s="131"/>
      <c r="H250" s="131"/>
      <c r="I250" s="131"/>
      <c r="J250" s="131"/>
      <c r="K250" s="131"/>
      <c r="L250" s="131"/>
      <c r="M250" s="131"/>
      <c r="N250" s="131"/>
      <c r="O250" s="131"/>
      <c r="P250" s="131"/>
      <c r="Q250" s="131"/>
      <c r="R250" s="131"/>
      <c r="S250" s="131"/>
    </row>
    <row r="251">
      <c r="A251" s="131"/>
      <c r="B251" s="131"/>
      <c r="C251" s="131"/>
      <c r="D251" s="81"/>
      <c r="E251" s="81"/>
      <c r="F251" s="131"/>
      <c r="G251" s="131"/>
      <c r="H251" s="131"/>
      <c r="I251" s="131"/>
      <c r="J251" s="131"/>
      <c r="K251" s="131"/>
      <c r="L251" s="131"/>
      <c r="M251" s="131"/>
      <c r="N251" s="131"/>
      <c r="O251" s="131"/>
      <c r="P251" s="131"/>
      <c r="Q251" s="131"/>
      <c r="R251" s="131"/>
      <c r="S251" s="131"/>
    </row>
    <row r="252">
      <c r="A252" s="131"/>
      <c r="B252" s="131"/>
      <c r="C252" s="131"/>
      <c r="D252" s="81"/>
      <c r="E252" s="81"/>
      <c r="F252" s="131"/>
      <c r="G252" s="131"/>
      <c r="H252" s="131"/>
      <c r="I252" s="131"/>
      <c r="J252" s="131"/>
      <c r="K252" s="131"/>
      <c r="L252" s="131"/>
      <c r="M252" s="131"/>
      <c r="N252" s="131"/>
      <c r="O252" s="131"/>
      <c r="P252" s="131"/>
      <c r="Q252" s="131"/>
      <c r="R252" s="131"/>
      <c r="S252" s="131"/>
    </row>
    <row r="253">
      <c r="A253" s="131"/>
      <c r="B253" s="131"/>
      <c r="C253" s="131"/>
      <c r="D253" s="81"/>
      <c r="E253" s="81"/>
      <c r="F253" s="131"/>
      <c r="G253" s="131"/>
      <c r="H253" s="131"/>
      <c r="I253" s="131"/>
      <c r="J253" s="131"/>
      <c r="K253" s="131"/>
      <c r="L253" s="131"/>
      <c r="M253" s="131"/>
      <c r="N253" s="131"/>
      <c r="O253" s="131"/>
      <c r="P253" s="131"/>
      <c r="Q253" s="131"/>
      <c r="R253" s="131"/>
      <c r="S253" s="131"/>
    </row>
    <row r="254">
      <c r="A254" s="131"/>
      <c r="B254" s="131"/>
      <c r="C254" s="131"/>
      <c r="D254" s="81"/>
      <c r="E254" s="81"/>
      <c r="F254" s="131"/>
      <c r="G254" s="131"/>
      <c r="H254" s="131"/>
      <c r="I254" s="131"/>
      <c r="J254" s="131"/>
      <c r="K254" s="131"/>
      <c r="L254" s="131"/>
      <c r="M254" s="131"/>
      <c r="N254" s="131"/>
      <c r="O254" s="131"/>
      <c r="P254" s="131"/>
      <c r="Q254" s="131"/>
      <c r="R254" s="131"/>
      <c r="S254" s="131"/>
    </row>
    <row r="255">
      <c r="A255" s="131"/>
      <c r="B255" s="131"/>
      <c r="C255" s="131"/>
      <c r="D255" s="81"/>
      <c r="E255" s="81"/>
      <c r="F255" s="131"/>
      <c r="G255" s="131"/>
      <c r="H255" s="131"/>
      <c r="I255" s="131"/>
      <c r="J255" s="131"/>
      <c r="K255" s="131"/>
      <c r="L255" s="131"/>
      <c r="M255" s="131"/>
      <c r="N255" s="131"/>
      <c r="O255" s="131"/>
      <c r="P255" s="131"/>
      <c r="Q255" s="131"/>
      <c r="R255" s="131"/>
      <c r="S255" s="131"/>
    </row>
    <row r="256">
      <c r="A256" s="131"/>
      <c r="B256" s="131"/>
      <c r="C256" s="131"/>
      <c r="D256" s="81"/>
      <c r="E256" s="81"/>
      <c r="F256" s="131"/>
      <c r="G256" s="131"/>
      <c r="H256" s="131"/>
      <c r="I256" s="131"/>
      <c r="J256" s="131"/>
      <c r="K256" s="131"/>
      <c r="L256" s="131"/>
      <c r="M256" s="131"/>
      <c r="N256" s="131"/>
      <c r="O256" s="131"/>
      <c r="P256" s="131"/>
      <c r="Q256" s="131"/>
      <c r="R256" s="131"/>
      <c r="S256" s="131"/>
    </row>
    <row r="257">
      <c r="A257" s="131"/>
      <c r="B257" s="131"/>
      <c r="C257" s="131"/>
      <c r="D257" s="81"/>
      <c r="E257" s="81"/>
      <c r="F257" s="131"/>
      <c r="G257" s="131"/>
      <c r="H257" s="131"/>
      <c r="I257" s="131"/>
      <c r="J257" s="131"/>
      <c r="K257" s="131"/>
      <c r="L257" s="131"/>
      <c r="M257" s="131"/>
      <c r="N257" s="131"/>
      <c r="O257" s="131"/>
      <c r="P257" s="131"/>
      <c r="Q257" s="131"/>
      <c r="R257" s="131"/>
      <c r="S257" s="131"/>
    </row>
    <row r="258">
      <c r="A258" s="131"/>
      <c r="B258" s="131"/>
      <c r="C258" s="131"/>
      <c r="D258" s="81"/>
      <c r="E258" s="81"/>
      <c r="F258" s="131"/>
      <c r="G258" s="131"/>
      <c r="H258" s="131"/>
      <c r="I258" s="131"/>
      <c r="J258" s="131"/>
      <c r="K258" s="131"/>
      <c r="L258" s="131"/>
      <c r="M258" s="131"/>
      <c r="N258" s="131"/>
      <c r="O258" s="131"/>
      <c r="P258" s="131"/>
      <c r="Q258" s="131"/>
      <c r="R258" s="131"/>
      <c r="S258" s="131"/>
    </row>
    <row r="259">
      <c r="A259" s="131"/>
      <c r="B259" s="131"/>
      <c r="C259" s="131"/>
      <c r="D259" s="81"/>
      <c r="E259" s="81"/>
      <c r="F259" s="131"/>
      <c r="G259" s="131"/>
      <c r="H259" s="131"/>
      <c r="I259" s="131"/>
      <c r="J259" s="131"/>
      <c r="K259" s="131"/>
      <c r="L259" s="131"/>
      <c r="M259" s="131"/>
      <c r="N259" s="131"/>
      <c r="O259" s="131"/>
      <c r="P259" s="131"/>
      <c r="Q259" s="131"/>
      <c r="R259" s="131"/>
      <c r="S259" s="131"/>
    </row>
    <row r="260">
      <c r="A260" s="131"/>
      <c r="B260" s="131"/>
      <c r="C260" s="131"/>
      <c r="D260" s="81"/>
      <c r="E260" s="81"/>
      <c r="F260" s="131"/>
      <c r="G260" s="131"/>
      <c r="H260" s="131"/>
      <c r="I260" s="131"/>
      <c r="J260" s="131"/>
      <c r="K260" s="131"/>
      <c r="L260" s="131"/>
      <c r="M260" s="131"/>
      <c r="N260" s="131"/>
      <c r="O260" s="131"/>
      <c r="P260" s="131"/>
      <c r="Q260" s="131"/>
      <c r="R260" s="131"/>
      <c r="S260" s="131"/>
    </row>
    <row r="261">
      <c r="A261" s="131"/>
      <c r="B261" s="131"/>
      <c r="C261" s="131"/>
      <c r="D261" s="81"/>
      <c r="E261" s="81"/>
      <c r="F261" s="131"/>
      <c r="G261" s="131"/>
      <c r="H261" s="131"/>
      <c r="I261" s="131"/>
      <c r="J261" s="131"/>
      <c r="K261" s="131"/>
      <c r="L261" s="131"/>
      <c r="M261" s="131"/>
      <c r="N261" s="131"/>
      <c r="O261" s="131"/>
      <c r="P261" s="131"/>
      <c r="Q261" s="131"/>
      <c r="R261" s="131"/>
      <c r="S261" s="131"/>
    </row>
    <row r="262">
      <c r="A262" s="131"/>
      <c r="B262" s="131"/>
      <c r="C262" s="131"/>
      <c r="D262" s="81"/>
      <c r="E262" s="81"/>
      <c r="F262" s="131"/>
      <c r="G262" s="131"/>
      <c r="H262" s="131"/>
      <c r="I262" s="131"/>
      <c r="J262" s="131"/>
      <c r="K262" s="131"/>
      <c r="L262" s="131"/>
      <c r="M262" s="131"/>
      <c r="N262" s="131"/>
      <c r="O262" s="131"/>
      <c r="P262" s="131"/>
      <c r="Q262" s="131"/>
      <c r="R262" s="131"/>
      <c r="S262" s="131"/>
    </row>
    <row r="263">
      <c r="A263" s="131"/>
      <c r="B263" s="131"/>
      <c r="C263" s="131"/>
      <c r="D263" s="81"/>
      <c r="E263" s="81"/>
      <c r="F263" s="131"/>
      <c r="G263" s="131"/>
      <c r="H263" s="131"/>
      <c r="I263" s="131"/>
      <c r="J263" s="131"/>
      <c r="K263" s="131"/>
      <c r="L263" s="131"/>
      <c r="M263" s="131"/>
      <c r="N263" s="131"/>
      <c r="O263" s="131"/>
      <c r="P263" s="131"/>
      <c r="Q263" s="131"/>
      <c r="R263" s="131"/>
      <c r="S263" s="131"/>
    </row>
    <row r="264">
      <c r="A264" s="131"/>
      <c r="B264" s="131"/>
      <c r="C264" s="131"/>
      <c r="D264" s="81"/>
      <c r="E264" s="81"/>
      <c r="F264" s="131"/>
      <c r="G264" s="131"/>
      <c r="H264" s="131"/>
      <c r="I264" s="131"/>
      <c r="J264" s="131"/>
      <c r="K264" s="131"/>
      <c r="L264" s="131"/>
      <c r="M264" s="131"/>
      <c r="N264" s="131"/>
      <c r="O264" s="131"/>
      <c r="P264" s="131"/>
      <c r="Q264" s="131"/>
      <c r="R264" s="131"/>
      <c r="S264" s="131"/>
    </row>
    <row r="265">
      <c r="A265" s="131"/>
      <c r="B265" s="131"/>
      <c r="C265" s="131"/>
      <c r="D265" s="81"/>
      <c r="E265" s="81"/>
      <c r="F265" s="131"/>
      <c r="G265" s="131"/>
      <c r="H265" s="131"/>
      <c r="I265" s="131"/>
      <c r="J265" s="131"/>
      <c r="K265" s="131"/>
      <c r="L265" s="131"/>
      <c r="M265" s="131"/>
      <c r="N265" s="131"/>
      <c r="O265" s="131"/>
      <c r="P265" s="131"/>
      <c r="Q265" s="131"/>
      <c r="R265" s="131"/>
      <c r="S265" s="131"/>
    </row>
    <row r="266">
      <c r="A266" s="131"/>
      <c r="B266" s="131"/>
      <c r="C266" s="131"/>
      <c r="D266" s="81"/>
      <c r="E266" s="81"/>
      <c r="F266" s="131"/>
      <c r="G266" s="131"/>
      <c r="H266" s="131"/>
      <c r="I266" s="131"/>
      <c r="J266" s="131"/>
      <c r="K266" s="131"/>
      <c r="L266" s="131"/>
      <c r="M266" s="131"/>
      <c r="N266" s="131"/>
      <c r="O266" s="131"/>
      <c r="P266" s="131"/>
      <c r="Q266" s="131"/>
      <c r="R266" s="131"/>
      <c r="S266" s="131"/>
    </row>
    <row r="267">
      <c r="A267" s="131"/>
      <c r="B267" s="131"/>
      <c r="C267" s="131"/>
      <c r="D267" s="81"/>
      <c r="E267" s="81"/>
      <c r="F267" s="131"/>
      <c r="G267" s="131"/>
      <c r="H267" s="131"/>
      <c r="I267" s="131"/>
      <c r="J267" s="131"/>
      <c r="K267" s="131"/>
      <c r="L267" s="131"/>
      <c r="M267" s="131"/>
      <c r="N267" s="131"/>
      <c r="O267" s="131"/>
      <c r="P267" s="131"/>
      <c r="Q267" s="131"/>
      <c r="R267" s="131"/>
      <c r="S267" s="131"/>
    </row>
    <row r="268">
      <c r="A268" s="131"/>
      <c r="B268" s="131"/>
      <c r="C268" s="131"/>
      <c r="D268" s="81"/>
      <c r="E268" s="81"/>
      <c r="F268" s="131"/>
      <c r="G268" s="131"/>
      <c r="H268" s="131"/>
      <c r="I268" s="131"/>
      <c r="J268" s="131"/>
      <c r="K268" s="131"/>
      <c r="L268" s="131"/>
      <c r="M268" s="131"/>
      <c r="N268" s="131"/>
      <c r="O268" s="131"/>
      <c r="P268" s="131"/>
      <c r="Q268" s="131"/>
      <c r="R268" s="131"/>
      <c r="S268" s="131"/>
    </row>
    <row r="269">
      <c r="A269" s="131"/>
      <c r="B269" s="131"/>
      <c r="C269" s="131"/>
      <c r="D269" s="81"/>
      <c r="E269" s="81"/>
      <c r="F269" s="131"/>
      <c r="G269" s="131"/>
      <c r="H269" s="131"/>
      <c r="I269" s="131"/>
      <c r="J269" s="131"/>
      <c r="K269" s="131"/>
      <c r="L269" s="131"/>
      <c r="M269" s="131"/>
      <c r="N269" s="131"/>
      <c r="O269" s="131"/>
      <c r="P269" s="131"/>
      <c r="Q269" s="131"/>
      <c r="R269" s="131"/>
      <c r="S269" s="131"/>
    </row>
    <row r="270">
      <c r="A270" s="131"/>
      <c r="B270" s="131"/>
      <c r="C270" s="131"/>
      <c r="D270" s="81"/>
      <c r="E270" s="81"/>
      <c r="F270" s="131"/>
      <c r="G270" s="131"/>
      <c r="H270" s="131"/>
      <c r="I270" s="131"/>
      <c r="J270" s="131"/>
      <c r="K270" s="131"/>
      <c r="L270" s="131"/>
      <c r="M270" s="131"/>
      <c r="N270" s="131"/>
      <c r="O270" s="131"/>
      <c r="P270" s="131"/>
      <c r="Q270" s="131"/>
      <c r="R270" s="131"/>
      <c r="S270" s="131"/>
    </row>
    <row r="271">
      <c r="A271" s="131"/>
      <c r="B271" s="131"/>
      <c r="C271" s="131"/>
      <c r="D271" s="81"/>
      <c r="E271" s="81"/>
      <c r="F271" s="131"/>
      <c r="G271" s="131"/>
      <c r="H271" s="131"/>
      <c r="I271" s="131"/>
      <c r="J271" s="131"/>
      <c r="K271" s="131"/>
      <c r="L271" s="131"/>
      <c r="M271" s="131"/>
      <c r="N271" s="131"/>
      <c r="O271" s="131"/>
      <c r="P271" s="131"/>
      <c r="Q271" s="131"/>
      <c r="R271" s="131"/>
      <c r="S271" s="131"/>
    </row>
    <row r="272">
      <c r="A272" s="131"/>
      <c r="B272" s="131"/>
      <c r="C272" s="131"/>
      <c r="D272" s="81"/>
      <c r="E272" s="81"/>
      <c r="F272" s="131"/>
      <c r="G272" s="131"/>
      <c r="H272" s="131"/>
      <c r="I272" s="131"/>
      <c r="J272" s="131"/>
      <c r="K272" s="131"/>
      <c r="L272" s="131"/>
      <c r="M272" s="131"/>
      <c r="N272" s="131"/>
      <c r="O272" s="131"/>
      <c r="P272" s="131"/>
      <c r="Q272" s="131"/>
      <c r="R272" s="131"/>
      <c r="S272" s="131"/>
    </row>
    <row r="273">
      <c r="A273" s="131"/>
      <c r="B273" s="131"/>
      <c r="C273" s="131"/>
      <c r="D273" s="81"/>
      <c r="E273" s="81"/>
      <c r="F273" s="131"/>
      <c r="G273" s="131"/>
      <c r="H273" s="131"/>
      <c r="I273" s="131"/>
      <c r="J273" s="131"/>
      <c r="K273" s="131"/>
      <c r="L273" s="131"/>
      <c r="M273" s="131"/>
      <c r="N273" s="131"/>
      <c r="O273" s="131"/>
      <c r="P273" s="131"/>
      <c r="Q273" s="131"/>
      <c r="R273" s="131"/>
      <c r="S273" s="131"/>
    </row>
    <row r="274">
      <c r="A274" s="131"/>
      <c r="B274" s="131"/>
      <c r="C274" s="131"/>
      <c r="D274" s="81"/>
      <c r="E274" s="81"/>
      <c r="F274" s="131"/>
      <c r="G274" s="131"/>
      <c r="H274" s="131"/>
      <c r="I274" s="131"/>
      <c r="J274" s="131"/>
      <c r="K274" s="131"/>
      <c r="L274" s="131"/>
      <c r="M274" s="131"/>
      <c r="N274" s="131"/>
      <c r="O274" s="131"/>
      <c r="P274" s="131"/>
      <c r="Q274" s="131"/>
      <c r="R274" s="131"/>
      <c r="S274" s="131"/>
    </row>
    <row r="275">
      <c r="A275" s="131"/>
      <c r="B275" s="131"/>
      <c r="C275" s="131"/>
      <c r="D275" s="81"/>
      <c r="E275" s="81"/>
      <c r="F275" s="131"/>
      <c r="G275" s="131"/>
      <c r="H275" s="131"/>
      <c r="I275" s="131"/>
      <c r="J275" s="131"/>
      <c r="K275" s="131"/>
      <c r="L275" s="131"/>
      <c r="M275" s="131"/>
      <c r="N275" s="131"/>
      <c r="O275" s="131"/>
      <c r="P275" s="131"/>
      <c r="Q275" s="131"/>
      <c r="R275" s="131"/>
      <c r="S275" s="131"/>
    </row>
    <row r="276">
      <c r="A276" s="131"/>
      <c r="B276" s="131"/>
      <c r="C276" s="131"/>
      <c r="D276" s="81"/>
      <c r="E276" s="81"/>
      <c r="F276" s="131"/>
      <c r="G276" s="131"/>
      <c r="H276" s="131"/>
      <c r="I276" s="131"/>
      <c r="J276" s="131"/>
      <c r="K276" s="131"/>
      <c r="L276" s="131"/>
      <c r="M276" s="131"/>
      <c r="N276" s="131"/>
      <c r="O276" s="131"/>
      <c r="P276" s="131"/>
      <c r="Q276" s="131"/>
      <c r="R276" s="131"/>
      <c r="S276" s="131"/>
    </row>
    <row r="277">
      <c r="A277" s="131"/>
      <c r="B277" s="131"/>
      <c r="C277" s="131"/>
      <c r="D277" s="81"/>
      <c r="E277" s="81"/>
      <c r="F277" s="131"/>
      <c r="G277" s="131"/>
      <c r="H277" s="131"/>
      <c r="I277" s="131"/>
      <c r="J277" s="131"/>
      <c r="K277" s="131"/>
      <c r="L277" s="131"/>
      <c r="M277" s="131"/>
      <c r="N277" s="131"/>
      <c r="O277" s="131"/>
      <c r="P277" s="131"/>
      <c r="Q277" s="131"/>
      <c r="R277" s="131"/>
      <c r="S277" s="131"/>
    </row>
    <row r="278">
      <c r="A278" s="131"/>
      <c r="B278" s="131"/>
      <c r="C278" s="131"/>
      <c r="D278" s="81"/>
      <c r="E278" s="81"/>
      <c r="F278" s="131"/>
      <c r="G278" s="131"/>
      <c r="H278" s="131"/>
      <c r="I278" s="131"/>
      <c r="J278" s="131"/>
      <c r="K278" s="131"/>
      <c r="L278" s="131"/>
      <c r="M278" s="131"/>
      <c r="N278" s="131"/>
      <c r="O278" s="131"/>
      <c r="P278" s="131"/>
      <c r="Q278" s="131"/>
      <c r="R278" s="131"/>
      <c r="S278" s="131"/>
    </row>
    <row r="279">
      <c r="A279" s="131"/>
      <c r="B279" s="131"/>
      <c r="C279" s="131"/>
      <c r="D279" s="81"/>
      <c r="E279" s="81"/>
      <c r="F279" s="131"/>
      <c r="G279" s="131"/>
      <c r="H279" s="131"/>
      <c r="I279" s="131"/>
      <c r="J279" s="131"/>
      <c r="K279" s="131"/>
      <c r="L279" s="131"/>
      <c r="M279" s="131"/>
      <c r="N279" s="131"/>
      <c r="O279" s="131"/>
      <c r="P279" s="131"/>
      <c r="Q279" s="131"/>
      <c r="R279" s="131"/>
      <c r="S279" s="131"/>
    </row>
    <row r="280">
      <c r="A280" s="131"/>
      <c r="B280" s="131"/>
      <c r="C280" s="131"/>
      <c r="D280" s="81"/>
      <c r="E280" s="81"/>
      <c r="F280" s="131"/>
      <c r="G280" s="131"/>
      <c r="H280" s="131"/>
      <c r="I280" s="131"/>
      <c r="J280" s="131"/>
      <c r="K280" s="131"/>
      <c r="L280" s="131"/>
      <c r="M280" s="131"/>
      <c r="N280" s="131"/>
      <c r="O280" s="131"/>
      <c r="P280" s="131"/>
      <c r="Q280" s="131"/>
      <c r="R280" s="131"/>
      <c r="S280" s="131"/>
    </row>
    <row r="281">
      <c r="A281" s="131"/>
      <c r="B281" s="131"/>
      <c r="C281" s="131"/>
      <c r="D281" s="81"/>
      <c r="E281" s="81"/>
      <c r="F281" s="131"/>
      <c r="G281" s="131"/>
      <c r="H281" s="131"/>
      <c r="I281" s="131"/>
      <c r="J281" s="131"/>
      <c r="K281" s="131"/>
      <c r="L281" s="131"/>
      <c r="M281" s="131"/>
      <c r="N281" s="131"/>
      <c r="O281" s="131"/>
      <c r="P281" s="131"/>
      <c r="Q281" s="131"/>
      <c r="R281" s="131"/>
      <c r="S281" s="131"/>
    </row>
    <row r="282">
      <c r="A282" s="131"/>
      <c r="B282" s="131"/>
      <c r="C282" s="131"/>
      <c r="D282" s="81"/>
      <c r="E282" s="81"/>
      <c r="F282" s="131"/>
      <c r="G282" s="131"/>
      <c r="H282" s="131"/>
      <c r="I282" s="131"/>
      <c r="J282" s="131"/>
      <c r="K282" s="131"/>
      <c r="L282" s="131"/>
      <c r="M282" s="131"/>
      <c r="N282" s="131"/>
      <c r="O282" s="131"/>
      <c r="P282" s="131"/>
      <c r="Q282" s="131"/>
      <c r="R282" s="131"/>
      <c r="S282" s="131"/>
    </row>
    <row r="283">
      <c r="A283" s="131"/>
      <c r="B283" s="131"/>
      <c r="C283" s="131"/>
      <c r="D283" s="81"/>
      <c r="E283" s="81"/>
      <c r="F283" s="131"/>
      <c r="G283" s="131"/>
      <c r="H283" s="131"/>
      <c r="I283" s="131"/>
      <c r="J283" s="131"/>
      <c r="K283" s="131"/>
      <c r="L283" s="131"/>
      <c r="M283" s="131"/>
      <c r="N283" s="131"/>
      <c r="O283" s="131"/>
      <c r="P283" s="131"/>
      <c r="Q283" s="131"/>
      <c r="R283" s="131"/>
      <c r="S283" s="131"/>
    </row>
    <row r="284">
      <c r="A284" s="131"/>
      <c r="B284" s="131"/>
      <c r="C284" s="131"/>
      <c r="D284" s="81"/>
      <c r="E284" s="81"/>
      <c r="F284" s="131"/>
      <c r="G284" s="131"/>
      <c r="H284" s="131"/>
      <c r="I284" s="131"/>
      <c r="J284" s="131"/>
      <c r="K284" s="131"/>
      <c r="L284" s="131"/>
      <c r="M284" s="131"/>
      <c r="N284" s="131"/>
      <c r="O284" s="131"/>
      <c r="P284" s="131"/>
      <c r="Q284" s="131"/>
      <c r="R284" s="131"/>
      <c r="S284" s="131"/>
    </row>
    <row r="285">
      <c r="A285" s="131"/>
      <c r="B285" s="131"/>
      <c r="C285" s="131"/>
      <c r="D285" s="81"/>
      <c r="E285" s="81"/>
      <c r="F285" s="131"/>
      <c r="G285" s="131"/>
      <c r="H285" s="131"/>
      <c r="I285" s="131"/>
      <c r="J285" s="131"/>
      <c r="K285" s="131"/>
      <c r="L285" s="131"/>
      <c r="M285" s="131"/>
      <c r="N285" s="131"/>
      <c r="O285" s="131"/>
      <c r="P285" s="131"/>
      <c r="Q285" s="131"/>
      <c r="R285" s="131"/>
      <c r="S285" s="131"/>
    </row>
    <row r="286">
      <c r="A286" s="131"/>
      <c r="B286" s="131"/>
      <c r="C286" s="131"/>
      <c r="D286" s="81"/>
      <c r="E286" s="81"/>
      <c r="F286" s="131"/>
      <c r="G286" s="131"/>
      <c r="H286" s="131"/>
      <c r="I286" s="131"/>
      <c r="J286" s="131"/>
      <c r="K286" s="131"/>
      <c r="L286" s="131"/>
      <c r="M286" s="131"/>
      <c r="N286" s="131"/>
      <c r="O286" s="131"/>
      <c r="P286" s="131"/>
      <c r="Q286" s="131"/>
      <c r="R286" s="131"/>
      <c r="S286" s="131"/>
    </row>
    <row r="287">
      <c r="A287" s="131"/>
      <c r="B287" s="131"/>
      <c r="C287" s="131"/>
      <c r="D287" s="81"/>
      <c r="E287" s="81"/>
      <c r="F287" s="131"/>
      <c r="G287" s="131"/>
      <c r="H287" s="131"/>
      <c r="I287" s="131"/>
      <c r="J287" s="131"/>
      <c r="K287" s="131"/>
      <c r="L287" s="131"/>
      <c r="M287" s="131"/>
      <c r="N287" s="131"/>
      <c r="O287" s="131"/>
      <c r="P287" s="131"/>
      <c r="Q287" s="131"/>
      <c r="R287" s="131"/>
      <c r="S287" s="131"/>
    </row>
    <row r="288">
      <c r="A288" s="131"/>
      <c r="B288" s="131"/>
      <c r="C288" s="131"/>
      <c r="D288" s="81"/>
      <c r="E288" s="81"/>
      <c r="F288" s="131"/>
      <c r="G288" s="131"/>
      <c r="H288" s="131"/>
      <c r="I288" s="131"/>
      <c r="J288" s="131"/>
      <c r="K288" s="131"/>
      <c r="L288" s="131"/>
      <c r="M288" s="131"/>
      <c r="N288" s="131"/>
      <c r="O288" s="131"/>
      <c r="P288" s="131"/>
      <c r="Q288" s="131"/>
      <c r="R288" s="131"/>
      <c r="S288" s="131"/>
    </row>
    <row r="289">
      <c r="A289" s="131"/>
      <c r="B289" s="131"/>
      <c r="C289" s="131"/>
      <c r="D289" s="81"/>
      <c r="E289" s="81"/>
      <c r="F289" s="131"/>
      <c r="G289" s="131"/>
      <c r="H289" s="131"/>
      <c r="I289" s="131"/>
      <c r="J289" s="131"/>
      <c r="K289" s="131"/>
      <c r="L289" s="131"/>
      <c r="M289" s="131"/>
      <c r="N289" s="131"/>
      <c r="O289" s="131"/>
      <c r="P289" s="131"/>
      <c r="Q289" s="131"/>
      <c r="R289" s="131"/>
      <c r="S289" s="131"/>
    </row>
    <row r="290">
      <c r="A290" s="131"/>
      <c r="B290" s="131"/>
      <c r="C290" s="131"/>
      <c r="D290" s="81"/>
      <c r="E290" s="81"/>
      <c r="F290" s="131"/>
      <c r="G290" s="131"/>
      <c r="H290" s="131"/>
      <c r="I290" s="131"/>
      <c r="J290" s="131"/>
      <c r="K290" s="131"/>
      <c r="L290" s="131"/>
      <c r="M290" s="131"/>
      <c r="N290" s="131"/>
      <c r="O290" s="131"/>
      <c r="P290" s="131"/>
      <c r="Q290" s="131"/>
      <c r="R290" s="131"/>
      <c r="S290" s="131"/>
    </row>
    <row r="291">
      <c r="A291" s="131"/>
      <c r="B291" s="131"/>
      <c r="C291" s="131"/>
      <c r="D291" s="81"/>
      <c r="E291" s="81"/>
      <c r="F291" s="131"/>
      <c r="G291" s="131"/>
      <c r="H291" s="131"/>
      <c r="I291" s="131"/>
      <c r="J291" s="131"/>
      <c r="K291" s="131"/>
      <c r="L291" s="131"/>
      <c r="M291" s="131"/>
      <c r="N291" s="131"/>
      <c r="O291" s="131"/>
      <c r="P291" s="131"/>
      <c r="Q291" s="131"/>
      <c r="R291" s="131"/>
      <c r="S291" s="131"/>
    </row>
    <row r="292">
      <c r="A292" s="131"/>
      <c r="B292" s="131"/>
      <c r="C292" s="131"/>
      <c r="D292" s="81"/>
      <c r="E292" s="81"/>
      <c r="F292" s="131"/>
      <c r="G292" s="131"/>
      <c r="H292" s="131"/>
      <c r="I292" s="131"/>
      <c r="J292" s="131"/>
      <c r="K292" s="131"/>
      <c r="L292" s="131"/>
      <c r="M292" s="131"/>
      <c r="N292" s="131"/>
      <c r="O292" s="131"/>
      <c r="P292" s="131"/>
      <c r="Q292" s="131"/>
      <c r="R292" s="131"/>
      <c r="S292" s="131"/>
    </row>
    <row r="293">
      <c r="A293" s="131"/>
      <c r="B293" s="131"/>
      <c r="C293" s="131"/>
      <c r="D293" s="81"/>
      <c r="E293" s="81"/>
      <c r="F293" s="131"/>
      <c r="G293" s="131"/>
      <c r="H293" s="131"/>
      <c r="I293" s="131"/>
      <c r="J293" s="131"/>
      <c r="K293" s="131"/>
      <c r="L293" s="131"/>
      <c r="M293" s="131"/>
      <c r="N293" s="131"/>
      <c r="O293" s="131"/>
      <c r="P293" s="131"/>
      <c r="Q293" s="131"/>
      <c r="R293" s="131"/>
      <c r="S293" s="131"/>
    </row>
    <row r="294">
      <c r="A294" s="131"/>
      <c r="B294" s="131"/>
      <c r="C294" s="131"/>
      <c r="D294" s="81"/>
      <c r="E294" s="81"/>
      <c r="F294" s="131"/>
      <c r="G294" s="131"/>
      <c r="H294" s="131"/>
      <c r="I294" s="131"/>
      <c r="J294" s="131"/>
      <c r="K294" s="131"/>
      <c r="L294" s="131"/>
      <c r="M294" s="131"/>
      <c r="N294" s="131"/>
      <c r="O294" s="131"/>
      <c r="P294" s="131"/>
      <c r="Q294" s="131"/>
      <c r="R294" s="131"/>
      <c r="S294" s="131"/>
    </row>
    <row r="295">
      <c r="A295" s="131"/>
      <c r="B295" s="131"/>
      <c r="C295" s="131"/>
      <c r="D295" s="81"/>
      <c r="E295" s="81"/>
      <c r="F295" s="131"/>
      <c r="G295" s="131"/>
      <c r="H295" s="131"/>
      <c r="I295" s="131"/>
      <c r="J295" s="131"/>
      <c r="K295" s="131"/>
      <c r="L295" s="131"/>
      <c r="M295" s="131"/>
      <c r="N295" s="131"/>
      <c r="O295" s="131"/>
      <c r="P295" s="131"/>
      <c r="Q295" s="131"/>
      <c r="R295" s="131"/>
      <c r="S295" s="131"/>
    </row>
    <row r="296">
      <c r="A296" s="131"/>
      <c r="B296" s="131"/>
      <c r="C296" s="131"/>
      <c r="D296" s="81"/>
      <c r="E296" s="81"/>
      <c r="F296" s="131"/>
      <c r="G296" s="131"/>
      <c r="H296" s="131"/>
      <c r="I296" s="131"/>
      <c r="J296" s="131"/>
      <c r="K296" s="131"/>
      <c r="L296" s="131"/>
      <c r="M296" s="131"/>
      <c r="N296" s="131"/>
      <c r="O296" s="131"/>
      <c r="P296" s="131"/>
      <c r="Q296" s="131"/>
      <c r="R296" s="131"/>
      <c r="S296" s="131"/>
    </row>
    <row r="297">
      <c r="A297" s="131"/>
      <c r="B297" s="131"/>
      <c r="C297" s="131"/>
      <c r="D297" s="81"/>
      <c r="E297" s="81"/>
      <c r="F297" s="131"/>
      <c r="G297" s="131"/>
      <c r="H297" s="131"/>
      <c r="I297" s="131"/>
      <c r="J297" s="131"/>
      <c r="K297" s="131"/>
      <c r="L297" s="131"/>
      <c r="M297" s="131"/>
      <c r="N297" s="131"/>
      <c r="O297" s="131"/>
      <c r="P297" s="131"/>
      <c r="Q297" s="131"/>
      <c r="R297" s="131"/>
      <c r="S297" s="131"/>
    </row>
    <row r="298">
      <c r="A298" s="131"/>
      <c r="B298" s="131"/>
      <c r="C298" s="131"/>
      <c r="D298" s="81"/>
      <c r="E298" s="81"/>
      <c r="F298" s="131"/>
      <c r="G298" s="131"/>
      <c r="H298" s="131"/>
      <c r="I298" s="131"/>
      <c r="J298" s="131"/>
      <c r="K298" s="131"/>
      <c r="L298" s="131"/>
      <c r="M298" s="131"/>
      <c r="N298" s="131"/>
      <c r="O298" s="131"/>
      <c r="P298" s="131"/>
      <c r="Q298" s="131"/>
      <c r="R298" s="131"/>
      <c r="S298" s="131"/>
    </row>
    <row r="299">
      <c r="A299" s="131"/>
      <c r="B299" s="131"/>
      <c r="C299" s="131"/>
      <c r="D299" s="81"/>
      <c r="E299" s="81"/>
      <c r="F299" s="131"/>
      <c r="G299" s="131"/>
      <c r="H299" s="131"/>
      <c r="I299" s="131"/>
      <c r="J299" s="131"/>
      <c r="K299" s="131"/>
      <c r="L299" s="131"/>
      <c r="M299" s="131"/>
      <c r="N299" s="131"/>
      <c r="O299" s="131"/>
      <c r="P299" s="131"/>
      <c r="Q299" s="131"/>
      <c r="R299" s="131"/>
      <c r="S299" s="131"/>
    </row>
    <row r="300">
      <c r="A300" s="131"/>
      <c r="B300" s="131"/>
      <c r="C300" s="131"/>
      <c r="D300" s="81"/>
      <c r="E300" s="81"/>
      <c r="F300" s="131"/>
      <c r="G300" s="131"/>
      <c r="H300" s="131"/>
      <c r="I300" s="131"/>
      <c r="J300" s="131"/>
      <c r="K300" s="131"/>
      <c r="L300" s="131"/>
      <c r="M300" s="131"/>
      <c r="N300" s="131"/>
      <c r="O300" s="131"/>
      <c r="P300" s="131"/>
      <c r="Q300" s="131"/>
      <c r="R300" s="131"/>
      <c r="S300" s="131"/>
    </row>
    <row r="301">
      <c r="A301" s="131"/>
      <c r="B301" s="131"/>
      <c r="C301" s="131"/>
      <c r="D301" s="81"/>
      <c r="E301" s="81"/>
      <c r="F301" s="131"/>
      <c r="G301" s="131"/>
      <c r="H301" s="131"/>
      <c r="I301" s="131"/>
      <c r="J301" s="131"/>
      <c r="K301" s="131"/>
      <c r="L301" s="131"/>
      <c r="M301" s="131"/>
      <c r="N301" s="131"/>
      <c r="O301" s="131"/>
      <c r="P301" s="131"/>
      <c r="Q301" s="131"/>
      <c r="R301" s="131"/>
      <c r="S301" s="131"/>
    </row>
    <row r="302">
      <c r="A302" s="131"/>
      <c r="B302" s="131"/>
      <c r="C302" s="131"/>
      <c r="D302" s="81"/>
      <c r="E302" s="81"/>
      <c r="F302" s="131"/>
      <c r="G302" s="131"/>
      <c r="H302" s="131"/>
      <c r="I302" s="131"/>
      <c r="J302" s="131"/>
      <c r="K302" s="131"/>
      <c r="L302" s="131"/>
      <c r="M302" s="131"/>
      <c r="N302" s="131"/>
      <c r="O302" s="131"/>
      <c r="P302" s="131"/>
      <c r="Q302" s="131"/>
      <c r="R302" s="131"/>
      <c r="S302" s="131"/>
    </row>
    <row r="303">
      <c r="A303" s="131"/>
      <c r="B303" s="131"/>
      <c r="C303" s="131"/>
      <c r="D303" s="81"/>
      <c r="E303" s="81"/>
      <c r="F303" s="131"/>
      <c r="G303" s="131"/>
      <c r="H303" s="131"/>
      <c r="I303" s="131"/>
      <c r="J303" s="131"/>
      <c r="K303" s="131"/>
      <c r="L303" s="131"/>
      <c r="M303" s="131"/>
      <c r="N303" s="131"/>
      <c r="O303" s="131"/>
      <c r="P303" s="131"/>
      <c r="Q303" s="131"/>
      <c r="R303" s="131"/>
      <c r="S303" s="131"/>
    </row>
    <row r="304">
      <c r="A304" s="131"/>
      <c r="B304" s="131"/>
      <c r="C304" s="131"/>
      <c r="D304" s="81"/>
      <c r="E304" s="81"/>
      <c r="F304" s="131"/>
      <c r="G304" s="131"/>
      <c r="H304" s="131"/>
      <c r="I304" s="131"/>
      <c r="J304" s="131"/>
      <c r="K304" s="131"/>
      <c r="L304" s="131"/>
      <c r="M304" s="131"/>
      <c r="N304" s="131"/>
      <c r="O304" s="131"/>
      <c r="P304" s="131"/>
      <c r="Q304" s="131"/>
      <c r="R304" s="131"/>
      <c r="S304" s="131"/>
    </row>
    <row r="305">
      <c r="A305" s="131"/>
      <c r="B305" s="131"/>
      <c r="C305" s="131"/>
      <c r="D305" s="81"/>
      <c r="E305" s="81"/>
      <c r="F305" s="131"/>
      <c r="G305" s="131"/>
      <c r="H305" s="131"/>
      <c r="I305" s="131"/>
      <c r="J305" s="131"/>
      <c r="K305" s="131"/>
      <c r="L305" s="131"/>
      <c r="M305" s="131"/>
      <c r="N305" s="131"/>
      <c r="O305" s="131"/>
      <c r="P305" s="131"/>
      <c r="Q305" s="131"/>
      <c r="R305" s="131"/>
      <c r="S305" s="131"/>
    </row>
    <row r="306">
      <c r="A306" s="131"/>
      <c r="B306" s="131"/>
      <c r="C306" s="131"/>
      <c r="D306" s="81"/>
      <c r="E306" s="81"/>
      <c r="F306" s="131"/>
      <c r="G306" s="131"/>
      <c r="H306" s="131"/>
      <c r="I306" s="131"/>
      <c r="J306" s="131"/>
      <c r="K306" s="131"/>
      <c r="L306" s="131"/>
      <c r="M306" s="131"/>
      <c r="N306" s="131"/>
      <c r="O306" s="131"/>
      <c r="P306" s="131"/>
      <c r="Q306" s="131"/>
      <c r="R306" s="131"/>
      <c r="S306" s="131"/>
    </row>
    <row r="307">
      <c r="A307" s="131"/>
      <c r="B307" s="131"/>
      <c r="C307" s="131"/>
      <c r="D307" s="81"/>
      <c r="E307" s="81"/>
      <c r="F307" s="131"/>
      <c r="G307" s="131"/>
      <c r="H307" s="131"/>
      <c r="I307" s="131"/>
      <c r="J307" s="131"/>
      <c r="K307" s="131"/>
      <c r="L307" s="131"/>
      <c r="M307" s="131"/>
      <c r="N307" s="131"/>
      <c r="O307" s="131"/>
      <c r="P307" s="131"/>
      <c r="Q307" s="131"/>
      <c r="R307" s="131"/>
      <c r="S307" s="131"/>
    </row>
    <row r="308">
      <c r="A308" s="131"/>
      <c r="B308" s="131"/>
      <c r="C308" s="131"/>
      <c r="D308" s="81"/>
      <c r="E308" s="81"/>
      <c r="F308" s="131"/>
      <c r="G308" s="131"/>
      <c r="H308" s="131"/>
      <c r="I308" s="131"/>
      <c r="J308" s="131"/>
      <c r="K308" s="131"/>
      <c r="L308" s="131"/>
      <c r="M308" s="131"/>
      <c r="N308" s="131"/>
      <c r="O308" s="131"/>
      <c r="P308" s="131"/>
      <c r="Q308" s="131"/>
      <c r="R308" s="131"/>
      <c r="S308" s="131"/>
    </row>
    <row r="309">
      <c r="A309" s="131"/>
      <c r="B309" s="131"/>
      <c r="C309" s="131"/>
      <c r="D309" s="81"/>
      <c r="E309" s="81"/>
      <c r="F309" s="131"/>
      <c r="G309" s="131"/>
      <c r="H309" s="131"/>
      <c r="I309" s="131"/>
      <c r="J309" s="131"/>
      <c r="K309" s="131"/>
      <c r="L309" s="131"/>
      <c r="M309" s="131"/>
      <c r="N309" s="131"/>
      <c r="O309" s="131"/>
      <c r="P309" s="131"/>
      <c r="Q309" s="131"/>
      <c r="R309" s="131"/>
      <c r="S309" s="131"/>
    </row>
    <row r="310">
      <c r="A310" s="131"/>
      <c r="B310" s="131"/>
      <c r="C310" s="131"/>
      <c r="D310" s="81"/>
      <c r="E310" s="81"/>
      <c r="F310" s="131"/>
      <c r="G310" s="131"/>
      <c r="H310" s="131"/>
      <c r="I310" s="131"/>
      <c r="J310" s="131"/>
      <c r="K310" s="131"/>
      <c r="L310" s="131"/>
      <c r="M310" s="131"/>
      <c r="N310" s="131"/>
      <c r="O310" s="131"/>
      <c r="P310" s="131"/>
      <c r="Q310" s="131"/>
      <c r="R310" s="131"/>
      <c r="S310" s="131"/>
    </row>
    <row r="311">
      <c r="A311" s="131"/>
      <c r="B311" s="131"/>
      <c r="C311" s="131"/>
      <c r="D311" s="81"/>
      <c r="E311" s="81"/>
      <c r="F311" s="131"/>
      <c r="G311" s="131"/>
      <c r="H311" s="131"/>
      <c r="I311" s="131"/>
      <c r="J311" s="131"/>
      <c r="K311" s="131"/>
      <c r="L311" s="131"/>
      <c r="M311" s="131"/>
      <c r="N311" s="131"/>
      <c r="O311" s="131"/>
      <c r="P311" s="131"/>
      <c r="Q311" s="131"/>
      <c r="R311" s="131"/>
      <c r="S311" s="131"/>
    </row>
    <row r="312">
      <c r="A312" s="131"/>
      <c r="B312" s="131"/>
      <c r="C312" s="131"/>
      <c r="D312" s="81"/>
      <c r="E312" s="81"/>
      <c r="F312" s="131"/>
      <c r="G312" s="131"/>
      <c r="H312" s="131"/>
      <c r="I312" s="131"/>
      <c r="J312" s="131"/>
      <c r="K312" s="131"/>
      <c r="L312" s="131"/>
      <c r="M312" s="131"/>
      <c r="N312" s="131"/>
      <c r="O312" s="131"/>
      <c r="P312" s="131"/>
      <c r="Q312" s="131"/>
      <c r="R312" s="131"/>
      <c r="S312" s="131"/>
    </row>
    <row r="313">
      <c r="A313" s="131"/>
      <c r="B313" s="131"/>
      <c r="C313" s="131"/>
      <c r="D313" s="81"/>
      <c r="E313" s="81"/>
      <c r="F313" s="131"/>
      <c r="G313" s="131"/>
      <c r="H313" s="131"/>
      <c r="I313" s="131"/>
      <c r="J313" s="131"/>
      <c r="K313" s="131"/>
      <c r="L313" s="131"/>
      <c r="M313" s="131"/>
      <c r="N313" s="131"/>
      <c r="O313" s="131"/>
      <c r="P313" s="131"/>
      <c r="Q313" s="131"/>
      <c r="R313" s="131"/>
      <c r="S313" s="131"/>
    </row>
    <row r="314">
      <c r="A314" s="131"/>
      <c r="B314" s="131"/>
      <c r="C314" s="131"/>
      <c r="D314" s="81"/>
      <c r="E314" s="81"/>
      <c r="F314" s="131"/>
      <c r="G314" s="131"/>
      <c r="H314" s="131"/>
      <c r="I314" s="131"/>
      <c r="J314" s="131"/>
      <c r="K314" s="131"/>
      <c r="L314" s="131"/>
      <c r="M314" s="131"/>
      <c r="N314" s="131"/>
      <c r="O314" s="131"/>
      <c r="P314" s="131"/>
      <c r="Q314" s="131"/>
      <c r="R314" s="131"/>
      <c r="S314" s="131"/>
    </row>
    <row r="315">
      <c r="A315" s="131"/>
      <c r="B315" s="131"/>
      <c r="C315" s="131"/>
      <c r="D315" s="81"/>
      <c r="E315" s="81"/>
      <c r="F315" s="131"/>
      <c r="G315" s="131"/>
      <c r="H315" s="131"/>
      <c r="I315" s="131"/>
      <c r="J315" s="131"/>
      <c r="K315" s="131"/>
      <c r="L315" s="131"/>
      <c r="M315" s="131"/>
      <c r="N315" s="131"/>
      <c r="O315" s="131"/>
      <c r="P315" s="131"/>
      <c r="Q315" s="131"/>
      <c r="R315" s="131"/>
      <c r="S315" s="131"/>
    </row>
    <row r="316">
      <c r="A316" s="131"/>
      <c r="B316" s="131"/>
      <c r="C316" s="131"/>
      <c r="D316" s="81"/>
      <c r="E316" s="81"/>
      <c r="F316" s="131"/>
      <c r="G316" s="131"/>
      <c r="H316" s="131"/>
      <c r="I316" s="131"/>
      <c r="J316" s="131"/>
      <c r="K316" s="131"/>
      <c r="L316" s="131"/>
      <c r="M316" s="131"/>
      <c r="N316" s="131"/>
      <c r="O316" s="131"/>
      <c r="P316" s="131"/>
      <c r="Q316" s="131"/>
      <c r="R316" s="131"/>
      <c r="S316" s="131"/>
    </row>
    <row r="317">
      <c r="A317" s="131"/>
      <c r="B317" s="131"/>
      <c r="C317" s="131"/>
      <c r="D317" s="81"/>
      <c r="E317" s="81"/>
      <c r="F317" s="131"/>
      <c r="G317" s="131"/>
      <c r="H317" s="131"/>
      <c r="I317" s="131"/>
      <c r="J317" s="131"/>
      <c r="K317" s="131"/>
      <c r="L317" s="131"/>
      <c r="M317" s="131"/>
      <c r="N317" s="131"/>
      <c r="O317" s="131"/>
      <c r="P317" s="131"/>
      <c r="Q317" s="131"/>
      <c r="R317" s="131"/>
      <c r="S317" s="131"/>
    </row>
    <row r="318">
      <c r="A318" s="131"/>
      <c r="B318" s="131"/>
      <c r="C318" s="131"/>
      <c r="D318" s="81"/>
      <c r="E318" s="81"/>
      <c r="F318" s="131"/>
      <c r="G318" s="131"/>
      <c r="H318" s="131"/>
      <c r="I318" s="131"/>
      <c r="J318" s="131"/>
      <c r="K318" s="131"/>
      <c r="L318" s="131"/>
      <c r="M318" s="131"/>
      <c r="N318" s="131"/>
      <c r="O318" s="131"/>
      <c r="P318" s="131"/>
      <c r="Q318" s="131"/>
      <c r="R318" s="131"/>
      <c r="S318" s="131"/>
    </row>
    <row r="319">
      <c r="A319" s="131"/>
      <c r="B319" s="131"/>
      <c r="C319" s="131"/>
      <c r="D319" s="81"/>
      <c r="E319" s="81"/>
      <c r="F319" s="131"/>
      <c r="G319" s="131"/>
      <c r="H319" s="131"/>
      <c r="I319" s="131"/>
      <c r="J319" s="131"/>
      <c r="K319" s="131"/>
      <c r="L319" s="131"/>
      <c r="M319" s="131"/>
      <c r="N319" s="131"/>
      <c r="O319" s="131"/>
      <c r="P319" s="131"/>
      <c r="Q319" s="131"/>
      <c r="R319" s="131"/>
      <c r="S319" s="131"/>
    </row>
    <row r="320">
      <c r="A320" s="131"/>
      <c r="B320" s="131"/>
      <c r="C320" s="131"/>
      <c r="D320" s="81"/>
      <c r="E320" s="81"/>
      <c r="F320" s="131"/>
      <c r="G320" s="131"/>
      <c r="H320" s="131"/>
      <c r="I320" s="131"/>
      <c r="J320" s="131"/>
      <c r="K320" s="131"/>
      <c r="L320" s="131"/>
      <c r="M320" s="131"/>
      <c r="N320" s="131"/>
      <c r="O320" s="131"/>
      <c r="P320" s="131"/>
      <c r="Q320" s="131"/>
      <c r="R320" s="131"/>
      <c r="S320" s="131"/>
    </row>
    <row r="321">
      <c r="A321" s="131"/>
      <c r="B321" s="131"/>
      <c r="C321" s="131"/>
      <c r="D321" s="81"/>
      <c r="E321" s="81"/>
      <c r="F321" s="131"/>
      <c r="G321" s="131"/>
      <c r="H321" s="131"/>
      <c r="I321" s="131"/>
      <c r="J321" s="131"/>
      <c r="K321" s="131"/>
      <c r="L321" s="131"/>
      <c r="M321" s="131"/>
      <c r="N321" s="131"/>
      <c r="O321" s="131"/>
      <c r="P321" s="131"/>
      <c r="Q321" s="131"/>
      <c r="R321" s="131"/>
      <c r="S321" s="131"/>
    </row>
    <row r="322">
      <c r="A322" s="131"/>
      <c r="B322" s="131"/>
      <c r="C322" s="131"/>
      <c r="D322" s="81"/>
      <c r="E322" s="81"/>
      <c r="F322" s="131"/>
      <c r="G322" s="131"/>
      <c r="H322" s="131"/>
      <c r="I322" s="131"/>
      <c r="J322" s="131"/>
      <c r="K322" s="131"/>
      <c r="L322" s="131"/>
      <c r="M322" s="131"/>
      <c r="N322" s="131"/>
      <c r="O322" s="131"/>
      <c r="P322" s="131"/>
      <c r="Q322" s="131"/>
      <c r="R322" s="131"/>
      <c r="S322" s="131"/>
    </row>
    <row r="323">
      <c r="A323" s="131"/>
      <c r="B323" s="131"/>
      <c r="C323" s="131"/>
      <c r="D323" s="81"/>
      <c r="E323" s="81"/>
      <c r="F323" s="131"/>
      <c r="G323" s="131"/>
      <c r="H323" s="131"/>
      <c r="I323" s="131"/>
      <c r="J323" s="131"/>
      <c r="K323" s="131"/>
      <c r="L323" s="131"/>
      <c r="M323" s="131"/>
      <c r="N323" s="131"/>
      <c r="O323" s="131"/>
      <c r="P323" s="131"/>
      <c r="Q323" s="131"/>
      <c r="R323" s="131"/>
      <c r="S323" s="131"/>
    </row>
    <row r="324">
      <c r="A324" s="131"/>
      <c r="B324" s="131"/>
      <c r="C324" s="131"/>
      <c r="D324" s="81"/>
      <c r="E324" s="81"/>
      <c r="F324" s="131"/>
      <c r="G324" s="131"/>
      <c r="H324" s="131"/>
      <c r="I324" s="131"/>
      <c r="J324" s="131"/>
      <c r="K324" s="131"/>
      <c r="L324" s="131"/>
      <c r="M324" s="131"/>
      <c r="N324" s="131"/>
      <c r="O324" s="131"/>
      <c r="P324" s="131"/>
      <c r="Q324" s="131"/>
      <c r="R324" s="131"/>
      <c r="S324" s="131"/>
    </row>
    <row r="325">
      <c r="A325" s="131"/>
      <c r="B325" s="131"/>
      <c r="C325" s="131"/>
      <c r="D325" s="81"/>
      <c r="E325" s="81"/>
      <c r="F325" s="131"/>
      <c r="G325" s="131"/>
      <c r="H325" s="131"/>
      <c r="I325" s="131"/>
      <c r="J325" s="131"/>
      <c r="K325" s="131"/>
      <c r="L325" s="131"/>
      <c r="M325" s="131"/>
      <c r="N325" s="131"/>
      <c r="O325" s="131"/>
      <c r="P325" s="131"/>
      <c r="Q325" s="131"/>
      <c r="R325" s="131"/>
      <c r="S325" s="131"/>
    </row>
    <row r="326">
      <c r="A326" s="131"/>
      <c r="B326" s="131"/>
      <c r="C326" s="131"/>
      <c r="D326" s="81"/>
      <c r="E326" s="81"/>
      <c r="F326" s="131"/>
      <c r="G326" s="131"/>
      <c r="H326" s="131"/>
      <c r="I326" s="131"/>
      <c r="J326" s="131"/>
      <c r="K326" s="131"/>
      <c r="L326" s="131"/>
      <c r="M326" s="131"/>
      <c r="N326" s="131"/>
      <c r="O326" s="131"/>
      <c r="P326" s="131"/>
      <c r="Q326" s="131"/>
      <c r="R326" s="131"/>
      <c r="S326" s="131"/>
    </row>
    <row r="327">
      <c r="A327" s="131"/>
      <c r="B327" s="131"/>
      <c r="C327" s="131"/>
      <c r="D327" s="81"/>
      <c r="E327" s="81"/>
      <c r="F327" s="131"/>
      <c r="G327" s="131"/>
      <c r="H327" s="131"/>
      <c r="I327" s="131"/>
      <c r="J327" s="131"/>
      <c r="K327" s="131"/>
      <c r="L327" s="131"/>
      <c r="M327" s="131"/>
      <c r="N327" s="131"/>
      <c r="O327" s="131"/>
      <c r="P327" s="131"/>
      <c r="Q327" s="131"/>
      <c r="R327" s="131"/>
      <c r="S327" s="131"/>
    </row>
    <row r="328">
      <c r="A328" s="131"/>
      <c r="B328" s="131"/>
      <c r="C328" s="131"/>
      <c r="D328" s="81"/>
      <c r="E328" s="81"/>
      <c r="F328" s="131"/>
      <c r="G328" s="131"/>
      <c r="H328" s="131"/>
      <c r="I328" s="131"/>
      <c r="J328" s="131"/>
      <c r="K328" s="131"/>
      <c r="L328" s="131"/>
      <c r="M328" s="131"/>
      <c r="N328" s="131"/>
      <c r="O328" s="131"/>
      <c r="P328" s="131"/>
      <c r="Q328" s="131"/>
      <c r="R328" s="131"/>
      <c r="S328" s="131"/>
    </row>
    <row r="329">
      <c r="A329" s="131"/>
      <c r="B329" s="131"/>
      <c r="C329" s="131"/>
      <c r="D329" s="81"/>
      <c r="E329" s="81"/>
      <c r="F329" s="131"/>
      <c r="G329" s="131"/>
      <c r="H329" s="131"/>
      <c r="I329" s="131"/>
      <c r="J329" s="131"/>
      <c r="K329" s="131"/>
      <c r="L329" s="131"/>
      <c r="M329" s="131"/>
      <c r="N329" s="131"/>
      <c r="O329" s="131"/>
      <c r="P329" s="131"/>
      <c r="Q329" s="131"/>
      <c r="R329" s="131"/>
      <c r="S329" s="131"/>
    </row>
    <row r="330">
      <c r="A330" s="131"/>
      <c r="B330" s="131"/>
      <c r="C330" s="131"/>
      <c r="D330" s="81"/>
      <c r="E330" s="81"/>
      <c r="F330" s="131"/>
      <c r="G330" s="131"/>
      <c r="H330" s="131"/>
      <c r="I330" s="131"/>
      <c r="J330" s="131"/>
      <c r="K330" s="131"/>
      <c r="L330" s="131"/>
      <c r="M330" s="131"/>
      <c r="N330" s="131"/>
      <c r="O330" s="131"/>
      <c r="P330" s="131"/>
      <c r="Q330" s="131"/>
      <c r="R330" s="131"/>
      <c r="S330" s="131"/>
    </row>
    <row r="331">
      <c r="A331" s="131"/>
      <c r="B331" s="131"/>
      <c r="C331" s="131"/>
      <c r="D331" s="81"/>
      <c r="E331" s="81"/>
      <c r="F331" s="131"/>
      <c r="G331" s="131"/>
      <c r="H331" s="131"/>
      <c r="I331" s="131"/>
      <c r="J331" s="131"/>
      <c r="K331" s="131"/>
      <c r="L331" s="131"/>
      <c r="M331" s="131"/>
      <c r="N331" s="131"/>
      <c r="O331" s="131"/>
      <c r="P331" s="131"/>
      <c r="Q331" s="131"/>
      <c r="R331" s="131"/>
      <c r="S331" s="131"/>
    </row>
    <row r="332">
      <c r="A332" s="131"/>
      <c r="B332" s="131"/>
      <c r="C332" s="131"/>
      <c r="D332" s="81"/>
      <c r="E332" s="81"/>
      <c r="F332" s="131"/>
      <c r="G332" s="131"/>
      <c r="H332" s="131"/>
      <c r="I332" s="131"/>
      <c r="J332" s="131"/>
      <c r="K332" s="131"/>
      <c r="L332" s="131"/>
      <c r="M332" s="131"/>
      <c r="N332" s="131"/>
      <c r="O332" s="131"/>
      <c r="P332" s="131"/>
      <c r="Q332" s="131"/>
      <c r="R332" s="131"/>
      <c r="S332" s="131"/>
    </row>
    <row r="333">
      <c r="A333" s="131"/>
      <c r="B333" s="131"/>
      <c r="C333" s="131"/>
      <c r="D333" s="81"/>
      <c r="E333" s="81"/>
      <c r="F333" s="131"/>
      <c r="G333" s="131"/>
      <c r="H333" s="131"/>
      <c r="I333" s="131"/>
      <c r="J333" s="131"/>
      <c r="K333" s="131"/>
      <c r="L333" s="131"/>
      <c r="M333" s="131"/>
      <c r="N333" s="131"/>
      <c r="O333" s="131"/>
      <c r="P333" s="131"/>
      <c r="Q333" s="131"/>
      <c r="R333" s="131"/>
      <c r="S333" s="131"/>
    </row>
    <row r="334">
      <c r="A334" s="131"/>
      <c r="B334" s="131"/>
      <c r="C334" s="131"/>
      <c r="D334" s="81"/>
      <c r="E334" s="81"/>
      <c r="F334" s="131"/>
      <c r="G334" s="131"/>
      <c r="H334" s="131"/>
      <c r="I334" s="131"/>
      <c r="J334" s="131"/>
      <c r="K334" s="131"/>
      <c r="L334" s="131"/>
      <c r="M334" s="131"/>
      <c r="N334" s="131"/>
      <c r="O334" s="131"/>
      <c r="P334" s="131"/>
      <c r="Q334" s="131"/>
      <c r="R334" s="131"/>
      <c r="S334" s="131"/>
    </row>
    <row r="335">
      <c r="A335" s="131"/>
      <c r="B335" s="131"/>
      <c r="C335" s="131"/>
      <c r="D335" s="81"/>
      <c r="E335" s="81"/>
      <c r="F335" s="131"/>
      <c r="G335" s="131"/>
      <c r="H335" s="131"/>
      <c r="I335" s="131"/>
      <c r="J335" s="131"/>
      <c r="K335" s="131"/>
      <c r="L335" s="131"/>
      <c r="M335" s="131"/>
      <c r="N335" s="131"/>
      <c r="O335" s="131"/>
      <c r="P335" s="131"/>
      <c r="Q335" s="131"/>
      <c r="R335" s="131"/>
      <c r="S335" s="131"/>
    </row>
    <row r="336">
      <c r="A336" s="131"/>
      <c r="B336" s="131"/>
      <c r="C336" s="131"/>
      <c r="D336" s="81"/>
      <c r="E336" s="81"/>
      <c r="F336" s="131"/>
      <c r="G336" s="131"/>
      <c r="H336" s="131"/>
      <c r="I336" s="131"/>
      <c r="J336" s="131"/>
      <c r="K336" s="131"/>
      <c r="L336" s="131"/>
      <c r="M336" s="131"/>
      <c r="N336" s="131"/>
      <c r="O336" s="131"/>
      <c r="P336" s="131"/>
      <c r="Q336" s="131"/>
      <c r="R336" s="131"/>
      <c r="S336" s="131"/>
    </row>
    <row r="337">
      <c r="A337" s="131"/>
      <c r="B337" s="131"/>
      <c r="C337" s="131"/>
      <c r="D337" s="81"/>
      <c r="E337" s="81"/>
      <c r="F337" s="131"/>
      <c r="G337" s="131"/>
      <c r="H337" s="131"/>
      <c r="I337" s="131"/>
      <c r="J337" s="131"/>
      <c r="K337" s="131"/>
      <c r="L337" s="131"/>
      <c r="M337" s="131"/>
      <c r="N337" s="131"/>
      <c r="O337" s="131"/>
      <c r="P337" s="131"/>
      <c r="Q337" s="131"/>
      <c r="R337" s="131"/>
      <c r="S337" s="131"/>
    </row>
    <row r="338">
      <c r="A338" s="131"/>
      <c r="B338" s="131"/>
      <c r="C338" s="131"/>
      <c r="D338" s="81"/>
      <c r="E338" s="81"/>
      <c r="F338" s="131"/>
      <c r="G338" s="131"/>
      <c r="H338" s="131"/>
      <c r="I338" s="131"/>
      <c r="J338" s="131"/>
      <c r="K338" s="131"/>
      <c r="L338" s="131"/>
      <c r="M338" s="131"/>
      <c r="N338" s="131"/>
      <c r="O338" s="131"/>
      <c r="P338" s="131"/>
      <c r="Q338" s="131"/>
      <c r="R338" s="131"/>
      <c r="S338" s="131"/>
    </row>
    <row r="339">
      <c r="A339" s="131"/>
      <c r="B339" s="131"/>
      <c r="C339" s="131"/>
      <c r="D339" s="81"/>
      <c r="E339" s="81"/>
      <c r="F339" s="131"/>
      <c r="G339" s="131"/>
      <c r="H339" s="131"/>
      <c r="I339" s="131"/>
      <c r="J339" s="131"/>
      <c r="K339" s="131"/>
      <c r="L339" s="131"/>
      <c r="M339" s="131"/>
      <c r="N339" s="131"/>
      <c r="O339" s="131"/>
      <c r="P339" s="131"/>
      <c r="Q339" s="131"/>
      <c r="R339" s="131"/>
      <c r="S339" s="131"/>
    </row>
    <row r="340">
      <c r="A340" s="131"/>
      <c r="B340" s="131"/>
      <c r="C340" s="131"/>
      <c r="D340" s="81"/>
      <c r="E340" s="81"/>
      <c r="F340" s="131"/>
      <c r="G340" s="131"/>
      <c r="H340" s="131"/>
      <c r="I340" s="131"/>
      <c r="J340" s="131"/>
      <c r="K340" s="131"/>
      <c r="L340" s="131"/>
      <c r="M340" s="131"/>
      <c r="N340" s="131"/>
      <c r="O340" s="131"/>
      <c r="P340" s="131"/>
      <c r="Q340" s="131"/>
      <c r="R340" s="131"/>
      <c r="S340" s="131"/>
    </row>
    <row r="341">
      <c r="A341" s="131"/>
      <c r="B341" s="131"/>
      <c r="C341" s="131"/>
      <c r="D341" s="81"/>
      <c r="E341" s="81"/>
      <c r="F341" s="131"/>
      <c r="G341" s="131"/>
      <c r="H341" s="131"/>
      <c r="I341" s="131"/>
      <c r="J341" s="131"/>
      <c r="K341" s="131"/>
      <c r="L341" s="131"/>
      <c r="M341" s="131"/>
      <c r="N341" s="131"/>
      <c r="O341" s="131"/>
      <c r="P341" s="131"/>
      <c r="Q341" s="131"/>
      <c r="R341" s="131"/>
      <c r="S341" s="131"/>
    </row>
    <row r="342">
      <c r="A342" s="131"/>
      <c r="B342" s="131"/>
      <c r="C342" s="131"/>
      <c r="D342" s="81"/>
      <c r="E342" s="81"/>
      <c r="F342" s="131"/>
      <c r="G342" s="131"/>
      <c r="H342" s="131"/>
      <c r="I342" s="131"/>
      <c r="J342" s="131"/>
      <c r="K342" s="131"/>
      <c r="L342" s="131"/>
      <c r="M342" s="131"/>
      <c r="N342" s="131"/>
      <c r="O342" s="131"/>
      <c r="P342" s="131"/>
      <c r="Q342" s="131"/>
      <c r="R342" s="131"/>
      <c r="S342" s="131"/>
    </row>
    <row r="343">
      <c r="A343" s="131"/>
      <c r="B343" s="131"/>
      <c r="C343" s="131"/>
      <c r="D343" s="81"/>
      <c r="E343" s="81"/>
      <c r="F343" s="131"/>
      <c r="G343" s="131"/>
      <c r="H343" s="131"/>
      <c r="I343" s="131"/>
      <c r="J343" s="131"/>
      <c r="K343" s="131"/>
      <c r="L343" s="131"/>
      <c r="M343" s="131"/>
      <c r="N343" s="131"/>
      <c r="O343" s="131"/>
      <c r="P343" s="131"/>
      <c r="Q343" s="131"/>
      <c r="R343" s="131"/>
      <c r="S343" s="131"/>
    </row>
    <row r="344">
      <c r="A344" s="131"/>
      <c r="B344" s="131"/>
      <c r="C344" s="131"/>
      <c r="D344" s="81"/>
      <c r="E344" s="81"/>
      <c r="F344" s="131"/>
      <c r="G344" s="131"/>
      <c r="H344" s="131"/>
      <c r="I344" s="131"/>
      <c r="J344" s="131"/>
      <c r="K344" s="131"/>
      <c r="L344" s="131"/>
      <c r="M344" s="131"/>
      <c r="N344" s="131"/>
      <c r="O344" s="131"/>
      <c r="P344" s="131"/>
      <c r="Q344" s="131"/>
      <c r="R344" s="131"/>
      <c r="S344" s="131"/>
    </row>
    <row r="345">
      <c r="A345" s="131"/>
      <c r="B345" s="131"/>
      <c r="C345" s="131"/>
      <c r="D345" s="81"/>
      <c r="E345" s="81"/>
      <c r="F345" s="131"/>
      <c r="G345" s="131"/>
      <c r="H345" s="131"/>
      <c r="I345" s="131"/>
      <c r="J345" s="131"/>
      <c r="K345" s="131"/>
      <c r="L345" s="131"/>
      <c r="M345" s="131"/>
      <c r="N345" s="131"/>
      <c r="O345" s="131"/>
      <c r="P345" s="131"/>
      <c r="Q345" s="131"/>
      <c r="R345" s="131"/>
      <c r="S345" s="131"/>
    </row>
    <row r="346">
      <c r="A346" s="131"/>
      <c r="B346" s="131"/>
      <c r="C346" s="131"/>
      <c r="D346" s="81"/>
      <c r="E346" s="81"/>
      <c r="F346" s="131"/>
      <c r="G346" s="131"/>
      <c r="H346" s="131"/>
      <c r="I346" s="131"/>
      <c r="J346" s="131"/>
      <c r="K346" s="131"/>
      <c r="L346" s="131"/>
      <c r="M346" s="131"/>
      <c r="N346" s="131"/>
      <c r="O346" s="131"/>
      <c r="P346" s="131"/>
      <c r="Q346" s="131"/>
      <c r="R346" s="131"/>
      <c r="S346" s="131"/>
    </row>
    <row r="347">
      <c r="A347" s="131"/>
      <c r="B347" s="131"/>
      <c r="C347" s="131"/>
      <c r="D347" s="81"/>
      <c r="E347" s="81"/>
      <c r="F347" s="131"/>
      <c r="G347" s="131"/>
      <c r="H347" s="131"/>
      <c r="I347" s="131"/>
      <c r="J347" s="131"/>
      <c r="K347" s="131"/>
      <c r="L347" s="131"/>
      <c r="M347" s="131"/>
      <c r="N347" s="131"/>
      <c r="O347" s="131"/>
      <c r="P347" s="131"/>
      <c r="Q347" s="131"/>
      <c r="R347" s="131"/>
      <c r="S347" s="131"/>
    </row>
    <row r="348">
      <c r="A348" s="131"/>
      <c r="B348" s="131"/>
      <c r="C348" s="131"/>
      <c r="D348" s="81"/>
      <c r="E348" s="81"/>
      <c r="F348" s="131"/>
      <c r="G348" s="131"/>
      <c r="H348" s="131"/>
      <c r="I348" s="131"/>
      <c r="J348" s="131"/>
      <c r="K348" s="131"/>
      <c r="L348" s="131"/>
      <c r="M348" s="131"/>
      <c r="N348" s="131"/>
      <c r="O348" s="131"/>
      <c r="P348" s="131"/>
      <c r="Q348" s="131"/>
      <c r="R348" s="131"/>
      <c r="S348" s="131"/>
    </row>
    <row r="349">
      <c r="A349" s="131"/>
      <c r="B349" s="131"/>
      <c r="C349" s="131"/>
      <c r="D349" s="81"/>
      <c r="E349" s="81"/>
      <c r="F349" s="131"/>
      <c r="G349" s="131"/>
      <c r="H349" s="131"/>
      <c r="I349" s="131"/>
      <c r="J349" s="131"/>
      <c r="K349" s="131"/>
      <c r="L349" s="131"/>
      <c r="M349" s="131"/>
      <c r="N349" s="131"/>
      <c r="O349" s="131"/>
      <c r="P349" s="131"/>
      <c r="Q349" s="131"/>
      <c r="R349" s="131"/>
      <c r="S349" s="131"/>
    </row>
    <row r="350">
      <c r="A350" s="131"/>
      <c r="B350" s="131"/>
      <c r="C350" s="131"/>
      <c r="D350" s="81"/>
      <c r="E350" s="81"/>
      <c r="F350" s="131"/>
      <c r="G350" s="131"/>
      <c r="H350" s="131"/>
      <c r="I350" s="131"/>
      <c r="J350" s="131"/>
      <c r="K350" s="131"/>
      <c r="L350" s="131"/>
      <c r="M350" s="131"/>
      <c r="N350" s="131"/>
      <c r="O350" s="131"/>
      <c r="P350" s="131"/>
      <c r="Q350" s="131"/>
      <c r="R350" s="131"/>
      <c r="S350" s="131"/>
    </row>
    <row r="351">
      <c r="A351" s="131"/>
      <c r="B351" s="131"/>
      <c r="C351" s="131"/>
      <c r="D351" s="81"/>
      <c r="E351" s="81"/>
      <c r="F351" s="131"/>
      <c r="G351" s="131"/>
      <c r="H351" s="131"/>
      <c r="I351" s="131"/>
      <c r="J351" s="131"/>
      <c r="K351" s="131"/>
      <c r="L351" s="131"/>
      <c r="M351" s="131"/>
      <c r="N351" s="131"/>
      <c r="O351" s="131"/>
      <c r="P351" s="131"/>
      <c r="Q351" s="131"/>
      <c r="R351" s="131"/>
      <c r="S351" s="131"/>
    </row>
    <row r="352">
      <c r="A352" s="131"/>
      <c r="B352" s="131"/>
      <c r="C352" s="131"/>
      <c r="D352" s="81"/>
      <c r="E352" s="81"/>
      <c r="F352" s="131"/>
      <c r="G352" s="131"/>
      <c r="H352" s="131"/>
      <c r="I352" s="131"/>
      <c r="J352" s="131"/>
      <c r="K352" s="131"/>
      <c r="L352" s="131"/>
      <c r="M352" s="131"/>
      <c r="N352" s="131"/>
      <c r="O352" s="131"/>
      <c r="P352" s="131"/>
      <c r="Q352" s="131"/>
      <c r="R352" s="131"/>
      <c r="S352" s="131"/>
    </row>
    <row r="353">
      <c r="A353" s="131"/>
      <c r="B353" s="131"/>
      <c r="C353" s="131"/>
      <c r="D353" s="81"/>
      <c r="E353" s="81"/>
      <c r="F353" s="131"/>
      <c r="G353" s="131"/>
      <c r="H353" s="131"/>
      <c r="I353" s="131"/>
      <c r="J353" s="131"/>
      <c r="K353" s="131"/>
      <c r="L353" s="131"/>
      <c r="M353" s="131"/>
      <c r="N353" s="131"/>
      <c r="O353" s="131"/>
      <c r="P353" s="131"/>
      <c r="Q353" s="131"/>
      <c r="R353" s="131"/>
      <c r="S353" s="131"/>
    </row>
    <row r="354">
      <c r="A354" s="131"/>
      <c r="B354" s="131"/>
      <c r="C354" s="131"/>
      <c r="D354" s="81"/>
      <c r="E354" s="81"/>
      <c r="F354" s="131"/>
      <c r="G354" s="131"/>
      <c r="H354" s="131"/>
      <c r="I354" s="131"/>
      <c r="J354" s="131"/>
      <c r="K354" s="131"/>
      <c r="L354" s="131"/>
      <c r="M354" s="131"/>
      <c r="N354" s="131"/>
      <c r="O354" s="131"/>
      <c r="P354" s="131"/>
      <c r="Q354" s="131"/>
      <c r="R354" s="131"/>
      <c r="S354" s="131"/>
    </row>
    <row r="355">
      <c r="A355" s="131"/>
      <c r="B355" s="131"/>
      <c r="C355" s="131"/>
      <c r="D355" s="81"/>
      <c r="E355" s="81"/>
      <c r="F355" s="131"/>
      <c r="G355" s="131"/>
      <c r="H355" s="131"/>
      <c r="I355" s="131"/>
      <c r="J355" s="131"/>
      <c r="K355" s="131"/>
      <c r="L355" s="131"/>
      <c r="M355" s="131"/>
      <c r="N355" s="131"/>
      <c r="O355" s="131"/>
      <c r="P355" s="131"/>
      <c r="Q355" s="131"/>
      <c r="R355" s="131"/>
      <c r="S355" s="131"/>
    </row>
    <row r="356">
      <c r="A356" s="131"/>
      <c r="B356" s="131"/>
      <c r="C356" s="131"/>
      <c r="D356" s="81"/>
      <c r="E356" s="81"/>
      <c r="F356" s="131"/>
      <c r="G356" s="131"/>
      <c r="H356" s="131"/>
      <c r="I356" s="131"/>
      <c r="J356" s="131"/>
      <c r="K356" s="131"/>
      <c r="L356" s="131"/>
      <c r="M356" s="131"/>
      <c r="N356" s="131"/>
      <c r="O356" s="131"/>
      <c r="P356" s="131"/>
      <c r="Q356" s="131"/>
      <c r="R356" s="131"/>
      <c r="S356" s="131"/>
    </row>
    <row r="357">
      <c r="A357" s="131"/>
      <c r="B357" s="131"/>
      <c r="C357" s="131"/>
      <c r="D357" s="81"/>
      <c r="E357" s="81"/>
      <c r="F357" s="131"/>
      <c r="G357" s="131"/>
      <c r="H357" s="131"/>
      <c r="I357" s="131"/>
      <c r="J357" s="131"/>
      <c r="K357" s="131"/>
      <c r="L357" s="131"/>
      <c r="M357" s="131"/>
      <c r="N357" s="131"/>
      <c r="O357" s="131"/>
      <c r="P357" s="131"/>
      <c r="Q357" s="131"/>
      <c r="R357" s="131"/>
      <c r="S357" s="131"/>
    </row>
    <row r="358">
      <c r="A358" s="131"/>
      <c r="B358" s="131"/>
      <c r="C358" s="131"/>
      <c r="D358" s="81"/>
      <c r="E358" s="81"/>
      <c r="F358" s="131"/>
      <c r="G358" s="131"/>
      <c r="H358" s="131"/>
      <c r="I358" s="131"/>
      <c r="J358" s="131"/>
      <c r="K358" s="131"/>
      <c r="L358" s="131"/>
      <c r="M358" s="131"/>
      <c r="N358" s="131"/>
      <c r="O358" s="131"/>
      <c r="P358" s="131"/>
      <c r="Q358" s="131"/>
      <c r="R358" s="131"/>
      <c r="S358" s="131"/>
    </row>
    <row r="359">
      <c r="A359" s="131"/>
      <c r="B359" s="131"/>
      <c r="C359" s="131"/>
      <c r="D359" s="81"/>
      <c r="E359" s="81"/>
      <c r="F359" s="131"/>
      <c r="G359" s="131"/>
      <c r="H359" s="131"/>
      <c r="I359" s="131"/>
      <c r="J359" s="131"/>
      <c r="K359" s="131"/>
      <c r="L359" s="131"/>
      <c r="M359" s="131"/>
      <c r="N359" s="131"/>
      <c r="O359" s="131"/>
      <c r="P359" s="131"/>
      <c r="Q359" s="131"/>
      <c r="R359" s="131"/>
      <c r="S359" s="131"/>
    </row>
    <row r="360">
      <c r="A360" s="131"/>
      <c r="B360" s="131"/>
      <c r="C360" s="131"/>
      <c r="D360" s="81"/>
      <c r="E360" s="81"/>
      <c r="F360" s="131"/>
      <c r="G360" s="131"/>
      <c r="H360" s="131"/>
      <c r="I360" s="131"/>
      <c r="J360" s="131"/>
      <c r="K360" s="131"/>
      <c r="L360" s="131"/>
      <c r="M360" s="131"/>
      <c r="N360" s="131"/>
      <c r="O360" s="131"/>
      <c r="P360" s="131"/>
      <c r="Q360" s="131"/>
      <c r="R360" s="131"/>
      <c r="S360" s="131"/>
    </row>
    <row r="361">
      <c r="A361" s="131"/>
      <c r="B361" s="131"/>
      <c r="C361" s="131"/>
      <c r="D361" s="81"/>
      <c r="E361" s="81"/>
      <c r="F361" s="131"/>
      <c r="G361" s="131"/>
      <c r="H361" s="131"/>
      <c r="I361" s="131"/>
      <c r="J361" s="131"/>
      <c r="K361" s="131"/>
      <c r="L361" s="131"/>
      <c r="M361" s="131"/>
      <c r="N361" s="131"/>
      <c r="O361" s="131"/>
      <c r="P361" s="131"/>
      <c r="Q361" s="131"/>
      <c r="R361" s="131"/>
      <c r="S361" s="131"/>
    </row>
    <row r="362">
      <c r="A362" s="131"/>
      <c r="B362" s="131"/>
      <c r="C362" s="131"/>
      <c r="D362" s="81"/>
      <c r="E362" s="81"/>
      <c r="F362" s="131"/>
      <c r="G362" s="131"/>
      <c r="H362" s="131"/>
      <c r="I362" s="131"/>
      <c r="J362" s="131"/>
      <c r="K362" s="131"/>
      <c r="L362" s="131"/>
      <c r="M362" s="131"/>
      <c r="N362" s="131"/>
      <c r="O362" s="131"/>
      <c r="P362" s="131"/>
      <c r="Q362" s="131"/>
      <c r="R362" s="131"/>
      <c r="S362" s="131"/>
    </row>
    <row r="363">
      <c r="A363" s="131"/>
      <c r="B363" s="131"/>
      <c r="C363" s="131"/>
      <c r="D363" s="81"/>
      <c r="E363" s="81"/>
      <c r="F363" s="131"/>
      <c r="G363" s="131"/>
      <c r="H363" s="131"/>
      <c r="I363" s="131"/>
      <c r="J363" s="131"/>
      <c r="K363" s="131"/>
      <c r="L363" s="131"/>
      <c r="M363" s="131"/>
      <c r="N363" s="131"/>
      <c r="O363" s="131"/>
      <c r="P363" s="131"/>
      <c r="Q363" s="131"/>
      <c r="R363" s="131"/>
      <c r="S363" s="131"/>
    </row>
    <row r="364">
      <c r="A364" s="131"/>
      <c r="B364" s="131"/>
      <c r="C364" s="131"/>
      <c r="D364" s="81"/>
      <c r="E364" s="81"/>
      <c r="F364" s="131"/>
      <c r="G364" s="131"/>
      <c r="H364" s="131"/>
      <c r="I364" s="131"/>
      <c r="J364" s="131"/>
      <c r="K364" s="131"/>
      <c r="L364" s="131"/>
      <c r="M364" s="131"/>
      <c r="N364" s="131"/>
      <c r="O364" s="131"/>
      <c r="P364" s="131"/>
      <c r="Q364" s="131"/>
      <c r="R364" s="131"/>
      <c r="S364" s="131"/>
    </row>
    <row r="365">
      <c r="A365" s="131"/>
      <c r="B365" s="131"/>
      <c r="C365" s="131"/>
      <c r="D365" s="81"/>
      <c r="E365" s="81"/>
      <c r="F365" s="131"/>
      <c r="G365" s="131"/>
      <c r="H365" s="131"/>
      <c r="I365" s="131"/>
      <c r="J365" s="131"/>
      <c r="K365" s="131"/>
      <c r="L365" s="131"/>
      <c r="M365" s="131"/>
      <c r="N365" s="131"/>
      <c r="O365" s="131"/>
      <c r="P365" s="131"/>
      <c r="Q365" s="131"/>
      <c r="R365" s="131"/>
      <c r="S365" s="131"/>
    </row>
    <row r="366">
      <c r="A366" s="131"/>
      <c r="B366" s="131"/>
      <c r="C366" s="131"/>
      <c r="D366" s="81"/>
      <c r="E366" s="81"/>
      <c r="F366" s="131"/>
      <c r="G366" s="131"/>
      <c r="H366" s="131"/>
      <c r="I366" s="131"/>
      <c r="J366" s="131"/>
      <c r="K366" s="131"/>
      <c r="L366" s="131"/>
      <c r="M366" s="131"/>
      <c r="N366" s="131"/>
      <c r="O366" s="131"/>
      <c r="P366" s="131"/>
      <c r="Q366" s="131"/>
      <c r="R366" s="131"/>
      <c r="S366" s="131"/>
    </row>
    <row r="367">
      <c r="A367" s="131"/>
      <c r="B367" s="131"/>
      <c r="C367" s="131"/>
      <c r="D367" s="81"/>
      <c r="E367" s="81"/>
      <c r="F367" s="131"/>
      <c r="G367" s="131"/>
      <c r="H367" s="131"/>
      <c r="I367" s="131"/>
      <c r="J367" s="131"/>
      <c r="K367" s="131"/>
      <c r="L367" s="131"/>
      <c r="M367" s="131"/>
      <c r="N367" s="131"/>
      <c r="O367" s="131"/>
      <c r="P367" s="131"/>
      <c r="Q367" s="131"/>
      <c r="R367" s="131"/>
      <c r="S367" s="131"/>
    </row>
    <row r="368">
      <c r="A368" s="131"/>
      <c r="B368" s="131"/>
      <c r="C368" s="131"/>
      <c r="D368" s="81"/>
      <c r="E368" s="81"/>
      <c r="F368" s="131"/>
      <c r="G368" s="131"/>
      <c r="H368" s="131"/>
      <c r="I368" s="131"/>
      <c r="J368" s="131"/>
      <c r="K368" s="131"/>
      <c r="L368" s="131"/>
      <c r="M368" s="131"/>
      <c r="N368" s="131"/>
      <c r="O368" s="131"/>
      <c r="P368" s="131"/>
      <c r="Q368" s="131"/>
      <c r="R368" s="131"/>
      <c r="S368" s="131"/>
    </row>
    <row r="369">
      <c r="A369" s="131"/>
      <c r="B369" s="131"/>
      <c r="C369" s="131"/>
      <c r="D369" s="81"/>
      <c r="E369" s="81"/>
      <c r="F369" s="131"/>
      <c r="G369" s="131"/>
      <c r="H369" s="131"/>
      <c r="I369" s="131"/>
      <c r="J369" s="131"/>
      <c r="K369" s="131"/>
      <c r="L369" s="131"/>
      <c r="M369" s="131"/>
      <c r="N369" s="131"/>
      <c r="O369" s="131"/>
      <c r="P369" s="131"/>
      <c r="Q369" s="131"/>
      <c r="R369" s="131"/>
      <c r="S369" s="131"/>
    </row>
    <row r="370">
      <c r="A370" s="131"/>
      <c r="B370" s="131"/>
      <c r="C370" s="131"/>
      <c r="D370" s="81"/>
      <c r="E370" s="81"/>
      <c r="F370" s="131"/>
      <c r="G370" s="131"/>
      <c r="H370" s="131"/>
      <c r="I370" s="131"/>
      <c r="J370" s="131"/>
      <c r="K370" s="131"/>
      <c r="L370" s="131"/>
      <c r="M370" s="131"/>
      <c r="N370" s="131"/>
      <c r="O370" s="131"/>
      <c r="P370" s="131"/>
      <c r="Q370" s="131"/>
      <c r="R370" s="131"/>
      <c r="S370" s="131"/>
    </row>
    <row r="371">
      <c r="A371" s="131"/>
      <c r="B371" s="131"/>
      <c r="C371" s="131"/>
      <c r="D371" s="81"/>
      <c r="E371" s="81"/>
      <c r="F371" s="131"/>
      <c r="G371" s="131"/>
      <c r="H371" s="131"/>
      <c r="I371" s="131"/>
      <c r="J371" s="131"/>
      <c r="K371" s="131"/>
      <c r="L371" s="131"/>
      <c r="M371" s="131"/>
      <c r="N371" s="131"/>
      <c r="O371" s="131"/>
      <c r="P371" s="131"/>
      <c r="Q371" s="131"/>
      <c r="R371" s="131"/>
      <c r="S371" s="131"/>
    </row>
    <row r="372">
      <c r="A372" s="131"/>
      <c r="B372" s="131"/>
      <c r="C372" s="131"/>
      <c r="D372" s="81"/>
      <c r="E372" s="81"/>
      <c r="F372" s="131"/>
      <c r="G372" s="131"/>
      <c r="H372" s="131"/>
      <c r="I372" s="131"/>
      <c r="J372" s="131"/>
      <c r="K372" s="131"/>
      <c r="L372" s="131"/>
      <c r="M372" s="131"/>
      <c r="N372" s="131"/>
      <c r="O372" s="131"/>
      <c r="P372" s="131"/>
      <c r="Q372" s="131"/>
      <c r="R372" s="131"/>
      <c r="S372" s="131"/>
    </row>
    <row r="373">
      <c r="A373" s="131"/>
      <c r="B373" s="131"/>
      <c r="C373" s="131"/>
      <c r="D373" s="81"/>
      <c r="E373" s="81"/>
      <c r="F373" s="131"/>
      <c r="G373" s="131"/>
      <c r="H373" s="131"/>
      <c r="I373" s="131"/>
      <c r="J373" s="131"/>
      <c r="K373" s="131"/>
      <c r="L373" s="131"/>
      <c r="M373" s="131"/>
      <c r="N373" s="131"/>
      <c r="O373" s="131"/>
      <c r="P373" s="131"/>
      <c r="Q373" s="131"/>
      <c r="R373" s="131"/>
      <c r="S373" s="131"/>
    </row>
    <row r="374">
      <c r="A374" s="131"/>
      <c r="B374" s="131"/>
      <c r="C374" s="131"/>
      <c r="D374" s="81"/>
      <c r="E374" s="81"/>
      <c r="F374" s="131"/>
      <c r="G374" s="131"/>
      <c r="H374" s="131"/>
      <c r="I374" s="131"/>
      <c r="J374" s="131"/>
      <c r="K374" s="131"/>
      <c r="L374" s="131"/>
      <c r="M374" s="131"/>
      <c r="N374" s="131"/>
      <c r="O374" s="131"/>
      <c r="P374" s="131"/>
      <c r="Q374" s="131"/>
      <c r="R374" s="131"/>
      <c r="S374" s="131"/>
    </row>
    <row r="375">
      <c r="A375" s="131"/>
      <c r="B375" s="131"/>
      <c r="C375" s="131"/>
      <c r="D375" s="81"/>
      <c r="E375" s="81"/>
      <c r="F375" s="131"/>
      <c r="G375" s="131"/>
      <c r="H375" s="131"/>
      <c r="I375" s="131"/>
      <c r="J375" s="131"/>
      <c r="K375" s="131"/>
      <c r="L375" s="131"/>
      <c r="M375" s="131"/>
      <c r="N375" s="131"/>
      <c r="O375" s="131"/>
      <c r="P375" s="131"/>
      <c r="Q375" s="131"/>
      <c r="R375" s="131"/>
      <c r="S375" s="131"/>
    </row>
    <row r="376">
      <c r="A376" s="131"/>
      <c r="B376" s="131"/>
      <c r="C376" s="131"/>
      <c r="D376" s="81"/>
      <c r="E376" s="81"/>
      <c r="F376" s="131"/>
      <c r="G376" s="131"/>
      <c r="H376" s="131"/>
      <c r="I376" s="131"/>
      <c r="J376" s="131"/>
      <c r="K376" s="131"/>
      <c r="L376" s="131"/>
      <c r="M376" s="131"/>
      <c r="N376" s="131"/>
      <c r="O376" s="131"/>
      <c r="P376" s="131"/>
      <c r="Q376" s="131"/>
      <c r="R376" s="131"/>
      <c r="S376" s="131"/>
    </row>
    <row r="377">
      <c r="A377" s="131"/>
      <c r="B377" s="131"/>
      <c r="C377" s="131"/>
      <c r="D377" s="81"/>
      <c r="E377" s="81"/>
      <c r="F377" s="131"/>
      <c r="G377" s="131"/>
      <c r="H377" s="131"/>
      <c r="I377" s="131"/>
      <c r="J377" s="131"/>
      <c r="K377" s="131"/>
      <c r="L377" s="131"/>
      <c r="M377" s="131"/>
      <c r="N377" s="131"/>
      <c r="O377" s="131"/>
      <c r="P377" s="131"/>
      <c r="Q377" s="131"/>
      <c r="R377" s="131"/>
      <c r="S377" s="131"/>
    </row>
    <row r="378">
      <c r="A378" s="131"/>
      <c r="B378" s="131"/>
      <c r="C378" s="131"/>
      <c r="D378" s="81"/>
      <c r="E378" s="81"/>
      <c r="F378" s="131"/>
      <c r="G378" s="131"/>
      <c r="H378" s="131"/>
      <c r="I378" s="131"/>
      <c r="J378" s="131"/>
      <c r="K378" s="131"/>
      <c r="L378" s="131"/>
      <c r="M378" s="131"/>
      <c r="N378" s="131"/>
      <c r="O378" s="131"/>
      <c r="P378" s="131"/>
      <c r="Q378" s="131"/>
      <c r="R378" s="131"/>
      <c r="S378" s="131"/>
    </row>
    <row r="379">
      <c r="A379" s="131"/>
      <c r="B379" s="131"/>
      <c r="C379" s="131"/>
      <c r="D379" s="81"/>
      <c r="E379" s="81"/>
      <c r="F379" s="131"/>
      <c r="G379" s="131"/>
      <c r="H379" s="131"/>
      <c r="I379" s="131"/>
      <c r="J379" s="131"/>
      <c r="K379" s="131"/>
      <c r="L379" s="131"/>
      <c r="M379" s="131"/>
      <c r="N379" s="131"/>
      <c r="O379" s="131"/>
      <c r="P379" s="131"/>
      <c r="Q379" s="131"/>
      <c r="R379" s="131"/>
      <c r="S379" s="131"/>
    </row>
    <row r="380">
      <c r="A380" s="131"/>
      <c r="B380" s="131"/>
      <c r="C380" s="131"/>
      <c r="D380" s="81"/>
      <c r="E380" s="81"/>
      <c r="F380" s="131"/>
      <c r="G380" s="131"/>
      <c r="H380" s="131"/>
      <c r="I380" s="131"/>
      <c r="J380" s="131"/>
      <c r="K380" s="131"/>
      <c r="L380" s="131"/>
      <c r="M380" s="131"/>
      <c r="N380" s="131"/>
      <c r="O380" s="131"/>
      <c r="P380" s="131"/>
      <c r="Q380" s="131"/>
      <c r="R380" s="131"/>
      <c r="S380" s="131"/>
    </row>
    <row r="381">
      <c r="A381" s="131"/>
      <c r="B381" s="131"/>
      <c r="C381" s="131"/>
      <c r="D381" s="81"/>
      <c r="E381" s="81"/>
      <c r="F381" s="131"/>
      <c r="G381" s="131"/>
      <c r="H381" s="131"/>
      <c r="I381" s="131"/>
      <c r="J381" s="131"/>
      <c r="K381" s="131"/>
      <c r="L381" s="131"/>
      <c r="M381" s="131"/>
      <c r="N381" s="131"/>
      <c r="O381" s="131"/>
      <c r="P381" s="131"/>
      <c r="Q381" s="131"/>
      <c r="R381" s="131"/>
      <c r="S381" s="131"/>
    </row>
    <row r="382">
      <c r="A382" s="131"/>
      <c r="B382" s="131"/>
      <c r="C382" s="131"/>
      <c r="D382" s="81"/>
      <c r="E382" s="81"/>
      <c r="F382" s="131"/>
      <c r="G382" s="131"/>
      <c r="H382" s="131"/>
      <c r="I382" s="131"/>
      <c r="J382" s="131"/>
      <c r="K382" s="131"/>
      <c r="L382" s="131"/>
      <c r="M382" s="131"/>
      <c r="N382" s="131"/>
      <c r="O382" s="131"/>
      <c r="P382" s="131"/>
      <c r="Q382" s="131"/>
      <c r="R382" s="131"/>
      <c r="S382" s="131"/>
    </row>
    <row r="383">
      <c r="A383" s="131"/>
      <c r="B383" s="131"/>
      <c r="C383" s="131"/>
      <c r="D383" s="81"/>
      <c r="E383" s="81"/>
      <c r="F383" s="131"/>
      <c r="G383" s="131"/>
      <c r="H383" s="131"/>
      <c r="I383" s="131"/>
      <c r="J383" s="131"/>
      <c r="K383" s="131"/>
      <c r="L383" s="131"/>
      <c r="M383" s="131"/>
      <c r="N383" s="131"/>
      <c r="O383" s="131"/>
      <c r="P383" s="131"/>
      <c r="Q383" s="131"/>
      <c r="R383" s="131"/>
      <c r="S383" s="131"/>
    </row>
    <row r="384">
      <c r="A384" s="131"/>
      <c r="B384" s="131"/>
      <c r="C384" s="131"/>
      <c r="D384" s="81"/>
      <c r="E384" s="81"/>
      <c r="F384" s="131"/>
      <c r="G384" s="131"/>
      <c r="H384" s="131"/>
      <c r="I384" s="131"/>
      <c r="J384" s="131"/>
      <c r="K384" s="131"/>
      <c r="L384" s="131"/>
      <c r="M384" s="131"/>
      <c r="N384" s="131"/>
      <c r="O384" s="131"/>
      <c r="P384" s="131"/>
      <c r="Q384" s="131"/>
      <c r="R384" s="131"/>
      <c r="S384" s="131"/>
    </row>
    <row r="385">
      <c r="A385" s="131"/>
      <c r="B385" s="131"/>
      <c r="C385" s="131"/>
      <c r="D385" s="81"/>
      <c r="E385" s="81"/>
      <c r="F385" s="131"/>
      <c r="G385" s="131"/>
      <c r="H385" s="131"/>
      <c r="I385" s="131"/>
      <c r="J385" s="131"/>
      <c r="K385" s="131"/>
      <c r="L385" s="131"/>
      <c r="M385" s="131"/>
      <c r="N385" s="131"/>
      <c r="O385" s="131"/>
      <c r="P385" s="131"/>
      <c r="Q385" s="131"/>
      <c r="R385" s="131"/>
      <c r="S385" s="131"/>
    </row>
    <row r="386">
      <c r="A386" s="131"/>
      <c r="B386" s="131"/>
      <c r="C386" s="131"/>
      <c r="D386" s="81"/>
      <c r="E386" s="81"/>
      <c r="F386" s="131"/>
      <c r="G386" s="131"/>
      <c r="H386" s="131"/>
      <c r="I386" s="131"/>
      <c r="J386" s="131"/>
      <c r="K386" s="131"/>
      <c r="L386" s="131"/>
      <c r="M386" s="131"/>
      <c r="N386" s="131"/>
      <c r="O386" s="131"/>
      <c r="P386" s="131"/>
      <c r="Q386" s="131"/>
      <c r="R386" s="131"/>
      <c r="S386" s="131"/>
    </row>
    <row r="387">
      <c r="A387" s="131"/>
      <c r="B387" s="131"/>
      <c r="C387" s="131"/>
      <c r="D387" s="81"/>
      <c r="E387" s="81"/>
      <c r="F387" s="131"/>
      <c r="G387" s="131"/>
      <c r="H387" s="131"/>
      <c r="I387" s="131"/>
      <c r="J387" s="131"/>
      <c r="K387" s="131"/>
      <c r="L387" s="131"/>
      <c r="M387" s="131"/>
      <c r="N387" s="131"/>
      <c r="O387" s="131"/>
      <c r="P387" s="131"/>
      <c r="Q387" s="131"/>
      <c r="R387" s="131"/>
      <c r="S387" s="131"/>
    </row>
    <row r="388">
      <c r="A388" s="131"/>
      <c r="B388" s="131"/>
      <c r="C388" s="131"/>
      <c r="D388" s="81"/>
      <c r="E388" s="81"/>
      <c r="F388" s="131"/>
      <c r="G388" s="131"/>
      <c r="H388" s="131"/>
      <c r="I388" s="131"/>
      <c r="J388" s="131"/>
      <c r="K388" s="131"/>
      <c r="L388" s="131"/>
      <c r="M388" s="131"/>
      <c r="N388" s="131"/>
      <c r="O388" s="131"/>
      <c r="P388" s="131"/>
      <c r="Q388" s="131"/>
      <c r="R388" s="131"/>
      <c r="S388" s="131"/>
    </row>
    <row r="389">
      <c r="A389" s="131"/>
      <c r="B389" s="131"/>
      <c r="C389" s="131"/>
      <c r="D389" s="81"/>
      <c r="E389" s="81"/>
      <c r="F389" s="131"/>
      <c r="G389" s="131"/>
      <c r="H389" s="131"/>
      <c r="I389" s="131"/>
      <c r="J389" s="131"/>
      <c r="K389" s="131"/>
      <c r="L389" s="131"/>
      <c r="M389" s="131"/>
      <c r="N389" s="131"/>
      <c r="O389" s="131"/>
      <c r="P389" s="131"/>
      <c r="Q389" s="131"/>
      <c r="R389" s="131"/>
      <c r="S389" s="131"/>
    </row>
    <row r="390">
      <c r="A390" s="131"/>
      <c r="B390" s="131"/>
      <c r="C390" s="131"/>
      <c r="D390" s="81"/>
      <c r="E390" s="81"/>
      <c r="F390" s="131"/>
      <c r="G390" s="131"/>
      <c r="H390" s="131"/>
      <c r="I390" s="131"/>
      <c r="J390" s="131"/>
      <c r="K390" s="131"/>
      <c r="L390" s="131"/>
      <c r="M390" s="131"/>
      <c r="N390" s="131"/>
      <c r="O390" s="131"/>
      <c r="P390" s="131"/>
      <c r="Q390" s="131"/>
      <c r="R390" s="131"/>
      <c r="S390" s="131"/>
    </row>
    <row r="391">
      <c r="A391" s="131"/>
      <c r="B391" s="131"/>
      <c r="C391" s="131"/>
      <c r="D391" s="81"/>
      <c r="E391" s="81"/>
      <c r="F391" s="131"/>
      <c r="G391" s="131"/>
      <c r="H391" s="131"/>
      <c r="I391" s="131"/>
      <c r="J391" s="131"/>
      <c r="K391" s="131"/>
      <c r="L391" s="131"/>
      <c r="M391" s="131"/>
      <c r="N391" s="131"/>
      <c r="O391" s="131"/>
      <c r="P391" s="131"/>
      <c r="Q391" s="131"/>
      <c r="R391" s="131"/>
      <c r="S391" s="131"/>
    </row>
    <row r="392">
      <c r="A392" s="131"/>
      <c r="B392" s="131"/>
      <c r="C392" s="131"/>
      <c r="D392" s="81"/>
      <c r="E392" s="81"/>
      <c r="F392" s="131"/>
      <c r="G392" s="131"/>
      <c r="H392" s="131"/>
      <c r="I392" s="131"/>
      <c r="J392" s="131"/>
      <c r="K392" s="131"/>
      <c r="L392" s="131"/>
      <c r="M392" s="131"/>
      <c r="N392" s="131"/>
      <c r="O392" s="131"/>
      <c r="P392" s="131"/>
      <c r="Q392" s="131"/>
      <c r="R392" s="131"/>
      <c r="S392" s="131"/>
    </row>
    <row r="393">
      <c r="A393" s="131"/>
      <c r="B393" s="131"/>
      <c r="C393" s="131"/>
      <c r="D393" s="81"/>
      <c r="E393" s="81"/>
      <c r="F393" s="131"/>
      <c r="G393" s="131"/>
      <c r="H393" s="131"/>
      <c r="I393" s="131"/>
      <c r="J393" s="131"/>
      <c r="K393" s="131"/>
      <c r="L393" s="131"/>
      <c r="M393" s="131"/>
      <c r="N393" s="131"/>
      <c r="O393" s="131"/>
      <c r="P393" s="131"/>
      <c r="Q393" s="131"/>
      <c r="R393" s="131"/>
      <c r="S393" s="131"/>
    </row>
    <row r="394">
      <c r="A394" s="131"/>
      <c r="B394" s="131"/>
      <c r="C394" s="131"/>
      <c r="D394" s="81"/>
      <c r="E394" s="81"/>
      <c r="F394" s="131"/>
      <c r="G394" s="131"/>
      <c r="H394" s="131"/>
      <c r="I394" s="131"/>
      <c r="J394" s="131"/>
      <c r="K394" s="131"/>
      <c r="L394" s="131"/>
      <c r="M394" s="131"/>
      <c r="N394" s="131"/>
      <c r="O394" s="131"/>
      <c r="P394" s="131"/>
      <c r="Q394" s="131"/>
      <c r="R394" s="131"/>
      <c r="S394" s="131"/>
    </row>
    <row r="395">
      <c r="A395" s="131"/>
      <c r="B395" s="131"/>
      <c r="C395" s="131"/>
      <c r="D395" s="81"/>
      <c r="E395" s="81"/>
      <c r="F395" s="131"/>
      <c r="G395" s="131"/>
      <c r="H395" s="131"/>
      <c r="I395" s="131"/>
      <c r="J395" s="131"/>
      <c r="K395" s="131"/>
      <c r="L395" s="131"/>
      <c r="M395" s="131"/>
      <c r="N395" s="131"/>
      <c r="O395" s="131"/>
      <c r="P395" s="131"/>
      <c r="Q395" s="131"/>
      <c r="R395" s="131"/>
      <c r="S395" s="131"/>
    </row>
    <row r="396">
      <c r="A396" s="131"/>
      <c r="B396" s="131"/>
      <c r="C396" s="131"/>
      <c r="D396" s="81"/>
      <c r="E396" s="81"/>
      <c r="F396" s="131"/>
      <c r="G396" s="131"/>
      <c r="H396" s="131"/>
      <c r="I396" s="131"/>
      <c r="J396" s="131"/>
      <c r="K396" s="131"/>
      <c r="L396" s="131"/>
      <c r="M396" s="131"/>
      <c r="N396" s="131"/>
      <c r="O396" s="131"/>
      <c r="P396" s="131"/>
      <c r="Q396" s="131"/>
      <c r="R396" s="131"/>
      <c r="S396" s="131"/>
    </row>
    <row r="397">
      <c r="A397" s="131"/>
      <c r="B397" s="131"/>
      <c r="C397" s="131"/>
      <c r="D397" s="81"/>
      <c r="E397" s="81"/>
      <c r="F397" s="131"/>
      <c r="G397" s="131"/>
      <c r="H397" s="131"/>
      <c r="I397" s="131"/>
      <c r="J397" s="131"/>
      <c r="K397" s="131"/>
      <c r="L397" s="131"/>
      <c r="M397" s="131"/>
      <c r="N397" s="131"/>
      <c r="O397" s="131"/>
      <c r="P397" s="131"/>
      <c r="Q397" s="131"/>
      <c r="R397" s="131"/>
      <c r="S397" s="131"/>
    </row>
    <row r="398">
      <c r="A398" s="131"/>
      <c r="B398" s="131"/>
      <c r="C398" s="131"/>
      <c r="D398" s="81"/>
      <c r="E398" s="81"/>
      <c r="F398" s="131"/>
      <c r="G398" s="131"/>
      <c r="H398" s="131"/>
      <c r="I398" s="131"/>
      <c r="J398" s="131"/>
      <c r="K398" s="131"/>
      <c r="L398" s="131"/>
      <c r="M398" s="131"/>
      <c r="N398" s="131"/>
      <c r="O398" s="131"/>
      <c r="P398" s="131"/>
      <c r="Q398" s="131"/>
      <c r="R398" s="131"/>
      <c r="S398" s="131"/>
    </row>
    <row r="399">
      <c r="A399" s="131"/>
      <c r="B399" s="131"/>
      <c r="C399" s="131"/>
      <c r="D399" s="81"/>
      <c r="E399" s="81"/>
      <c r="F399" s="131"/>
      <c r="G399" s="131"/>
      <c r="H399" s="131"/>
      <c r="I399" s="131"/>
      <c r="J399" s="131"/>
      <c r="K399" s="131"/>
      <c r="L399" s="131"/>
      <c r="M399" s="131"/>
      <c r="N399" s="131"/>
      <c r="O399" s="131"/>
      <c r="P399" s="131"/>
      <c r="Q399" s="131"/>
      <c r="R399" s="131"/>
      <c r="S399" s="131"/>
    </row>
    <row r="400">
      <c r="A400" s="131"/>
      <c r="B400" s="131"/>
      <c r="C400" s="131"/>
      <c r="D400" s="81"/>
      <c r="E400" s="81"/>
      <c r="F400" s="131"/>
      <c r="G400" s="131"/>
      <c r="H400" s="131"/>
      <c r="I400" s="131"/>
      <c r="J400" s="131"/>
      <c r="K400" s="131"/>
      <c r="L400" s="131"/>
      <c r="M400" s="131"/>
      <c r="N400" s="131"/>
      <c r="O400" s="131"/>
      <c r="P400" s="131"/>
      <c r="Q400" s="131"/>
      <c r="R400" s="131"/>
      <c r="S400" s="131"/>
    </row>
    <row r="401">
      <c r="A401" s="131"/>
      <c r="B401" s="131"/>
      <c r="C401" s="131"/>
      <c r="D401" s="81"/>
      <c r="E401" s="81"/>
      <c r="F401" s="131"/>
      <c r="G401" s="131"/>
      <c r="H401" s="131"/>
      <c r="I401" s="131"/>
      <c r="J401" s="131"/>
      <c r="K401" s="131"/>
      <c r="L401" s="131"/>
      <c r="M401" s="131"/>
      <c r="N401" s="131"/>
      <c r="O401" s="131"/>
      <c r="P401" s="131"/>
      <c r="Q401" s="131"/>
      <c r="R401" s="131"/>
      <c r="S401" s="131"/>
    </row>
    <row r="402">
      <c r="A402" s="131"/>
      <c r="B402" s="131"/>
      <c r="C402" s="131"/>
      <c r="D402" s="81"/>
      <c r="E402" s="81"/>
      <c r="F402" s="131"/>
      <c r="G402" s="131"/>
      <c r="H402" s="131"/>
      <c r="I402" s="131"/>
      <c r="J402" s="131"/>
      <c r="K402" s="131"/>
      <c r="L402" s="131"/>
      <c r="M402" s="131"/>
      <c r="N402" s="131"/>
      <c r="O402" s="131"/>
      <c r="P402" s="131"/>
      <c r="Q402" s="131"/>
      <c r="R402" s="131"/>
      <c r="S402" s="131"/>
    </row>
    <row r="403">
      <c r="A403" s="131"/>
      <c r="B403" s="131"/>
      <c r="C403" s="131"/>
      <c r="D403" s="81"/>
      <c r="E403" s="81"/>
      <c r="F403" s="131"/>
      <c r="G403" s="131"/>
      <c r="H403" s="131"/>
      <c r="I403" s="131"/>
      <c r="J403" s="131"/>
      <c r="K403" s="131"/>
      <c r="L403" s="131"/>
      <c r="M403" s="131"/>
      <c r="N403" s="131"/>
      <c r="O403" s="131"/>
      <c r="P403" s="131"/>
      <c r="Q403" s="131"/>
      <c r="R403" s="131"/>
      <c r="S403" s="131"/>
    </row>
    <row r="404">
      <c r="A404" s="131"/>
      <c r="B404" s="131"/>
      <c r="C404" s="131"/>
      <c r="D404" s="81"/>
      <c r="E404" s="81"/>
      <c r="F404" s="131"/>
      <c r="G404" s="131"/>
      <c r="H404" s="131"/>
      <c r="I404" s="131"/>
      <c r="J404" s="131"/>
      <c r="K404" s="131"/>
      <c r="L404" s="131"/>
      <c r="M404" s="131"/>
      <c r="N404" s="131"/>
      <c r="O404" s="131"/>
      <c r="P404" s="131"/>
      <c r="Q404" s="131"/>
      <c r="R404" s="131"/>
      <c r="S404" s="131"/>
    </row>
    <row r="405">
      <c r="A405" s="131"/>
      <c r="B405" s="131"/>
      <c r="C405" s="131"/>
      <c r="D405" s="81"/>
      <c r="E405" s="81"/>
      <c r="F405" s="131"/>
      <c r="G405" s="131"/>
      <c r="H405" s="131"/>
      <c r="I405" s="131"/>
      <c r="J405" s="131"/>
      <c r="K405" s="131"/>
      <c r="L405" s="131"/>
      <c r="M405" s="131"/>
      <c r="N405" s="131"/>
      <c r="O405" s="131"/>
      <c r="P405" s="131"/>
      <c r="Q405" s="131"/>
      <c r="R405" s="131"/>
      <c r="S405" s="131"/>
    </row>
    <row r="406">
      <c r="A406" s="131"/>
      <c r="B406" s="131"/>
      <c r="C406" s="131"/>
      <c r="D406" s="81"/>
      <c r="E406" s="81"/>
      <c r="F406" s="131"/>
      <c r="G406" s="131"/>
      <c r="H406" s="131"/>
      <c r="I406" s="131"/>
      <c r="J406" s="131"/>
      <c r="K406" s="131"/>
      <c r="L406" s="131"/>
      <c r="M406" s="131"/>
      <c r="N406" s="131"/>
      <c r="O406" s="131"/>
      <c r="P406" s="131"/>
      <c r="Q406" s="131"/>
      <c r="R406" s="131"/>
      <c r="S406" s="131"/>
    </row>
    <row r="407">
      <c r="A407" s="131"/>
      <c r="B407" s="131"/>
      <c r="C407" s="131"/>
      <c r="D407" s="81"/>
      <c r="E407" s="81"/>
      <c r="F407" s="131"/>
      <c r="G407" s="131"/>
      <c r="H407" s="131"/>
      <c r="I407" s="131"/>
      <c r="J407" s="131"/>
      <c r="K407" s="131"/>
      <c r="L407" s="131"/>
      <c r="M407" s="131"/>
      <c r="N407" s="131"/>
      <c r="O407" s="131"/>
      <c r="P407" s="131"/>
      <c r="Q407" s="131"/>
      <c r="R407" s="131"/>
      <c r="S407" s="131"/>
    </row>
    <row r="408">
      <c r="A408" s="131"/>
      <c r="B408" s="131"/>
      <c r="C408" s="131"/>
      <c r="D408" s="81"/>
      <c r="E408" s="81"/>
      <c r="F408" s="131"/>
      <c r="G408" s="131"/>
      <c r="H408" s="131"/>
      <c r="I408" s="131"/>
      <c r="J408" s="131"/>
      <c r="K408" s="131"/>
      <c r="L408" s="131"/>
      <c r="M408" s="131"/>
      <c r="N408" s="131"/>
      <c r="O408" s="131"/>
      <c r="P408" s="131"/>
      <c r="Q408" s="131"/>
      <c r="R408" s="131"/>
      <c r="S408" s="131"/>
    </row>
    <row r="409">
      <c r="A409" s="131"/>
      <c r="B409" s="131"/>
      <c r="C409" s="131"/>
      <c r="D409" s="81"/>
      <c r="E409" s="81"/>
      <c r="F409" s="131"/>
      <c r="G409" s="131"/>
      <c r="H409" s="131"/>
      <c r="I409" s="131"/>
      <c r="J409" s="131"/>
      <c r="K409" s="131"/>
      <c r="L409" s="131"/>
      <c r="M409" s="131"/>
      <c r="N409" s="131"/>
      <c r="O409" s="131"/>
      <c r="P409" s="131"/>
      <c r="Q409" s="131"/>
      <c r="R409" s="131"/>
      <c r="S409" s="131"/>
    </row>
    <row r="410">
      <c r="A410" s="131"/>
      <c r="B410" s="131"/>
      <c r="C410" s="131"/>
      <c r="D410" s="81"/>
      <c r="E410" s="81"/>
      <c r="F410" s="131"/>
      <c r="G410" s="131"/>
      <c r="H410" s="131"/>
      <c r="I410" s="131"/>
      <c r="J410" s="131"/>
      <c r="K410" s="131"/>
      <c r="L410" s="131"/>
      <c r="M410" s="131"/>
      <c r="N410" s="131"/>
      <c r="O410" s="131"/>
      <c r="P410" s="131"/>
      <c r="Q410" s="131"/>
      <c r="R410" s="131"/>
      <c r="S410" s="131"/>
    </row>
    <row r="411">
      <c r="A411" s="131"/>
      <c r="B411" s="131"/>
      <c r="C411" s="131"/>
      <c r="D411" s="81"/>
      <c r="E411" s="81"/>
      <c r="F411" s="131"/>
      <c r="G411" s="131"/>
      <c r="H411" s="131"/>
      <c r="I411" s="131"/>
      <c r="J411" s="131"/>
      <c r="K411" s="131"/>
      <c r="L411" s="131"/>
      <c r="M411" s="131"/>
      <c r="N411" s="131"/>
      <c r="O411" s="131"/>
      <c r="P411" s="131"/>
      <c r="Q411" s="131"/>
      <c r="R411" s="131"/>
      <c r="S411" s="131"/>
    </row>
    <row r="412">
      <c r="A412" s="131"/>
      <c r="B412" s="131"/>
      <c r="C412" s="131"/>
      <c r="D412" s="81"/>
      <c r="E412" s="81"/>
      <c r="F412" s="131"/>
      <c r="G412" s="131"/>
      <c r="H412" s="131"/>
      <c r="I412" s="131"/>
      <c r="J412" s="131"/>
      <c r="K412" s="131"/>
      <c r="L412" s="131"/>
      <c r="M412" s="131"/>
      <c r="N412" s="131"/>
      <c r="O412" s="131"/>
      <c r="P412" s="131"/>
      <c r="Q412" s="131"/>
      <c r="R412" s="131"/>
      <c r="S412" s="131"/>
    </row>
    <row r="413">
      <c r="A413" s="131"/>
      <c r="B413" s="131"/>
      <c r="C413" s="131"/>
      <c r="D413" s="81"/>
      <c r="E413" s="81"/>
      <c r="F413" s="131"/>
      <c r="G413" s="131"/>
      <c r="H413" s="131"/>
      <c r="I413" s="131"/>
      <c r="J413" s="131"/>
      <c r="K413" s="131"/>
      <c r="L413" s="131"/>
      <c r="M413" s="131"/>
      <c r="N413" s="131"/>
      <c r="O413" s="131"/>
      <c r="P413" s="131"/>
      <c r="Q413" s="131"/>
      <c r="R413" s="131"/>
      <c r="S413" s="131"/>
    </row>
    <row r="414">
      <c r="A414" s="131"/>
      <c r="B414" s="131"/>
      <c r="C414" s="131"/>
      <c r="D414" s="81"/>
      <c r="E414" s="81"/>
      <c r="F414" s="131"/>
      <c r="G414" s="131"/>
      <c r="H414" s="131"/>
      <c r="I414" s="131"/>
      <c r="J414" s="131"/>
      <c r="K414" s="131"/>
      <c r="L414" s="131"/>
      <c r="M414" s="131"/>
      <c r="N414" s="131"/>
      <c r="O414" s="131"/>
      <c r="P414" s="131"/>
      <c r="Q414" s="131"/>
      <c r="R414" s="131"/>
      <c r="S414" s="131"/>
    </row>
    <row r="415">
      <c r="A415" s="131"/>
      <c r="B415" s="131"/>
      <c r="C415" s="131"/>
      <c r="D415" s="81"/>
      <c r="E415" s="81"/>
      <c r="F415" s="131"/>
      <c r="G415" s="131"/>
      <c r="H415" s="131"/>
      <c r="I415" s="131"/>
      <c r="J415" s="131"/>
      <c r="K415" s="131"/>
      <c r="L415" s="131"/>
      <c r="M415" s="131"/>
      <c r="N415" s="131"/>
      <c r="O415" s="131"/>
      <c r="P415" s="131"/>
      <c r="Q415" s="131"/>
      <c r="R415" s="131"/>
      <c r="S415" s="131"/>
    </row>
    <row r="416">
      <c r="A416" s="131"/>
      <c r="B416" s="131"/>
      <c r="C416" s="131"/>
      <c r="D416" s="81"/>
      <c r="E416" s="81"/>
      <c r="F416" s="131"/>
      <c r="G416" s="131"/>
      <c r="H416" s="131"/>
      <c r="I416" s="131"/>
      <c r="J416" s="131"/>
      <c r="K416" s="131"/>
      <c r="L416" s="131"/>
      <c r="M416" s="131"/>
      <c r="N416" s="131"/>
      <c r="O416" s="131"/>
      <c r="P416" s="131"/>
      <c r="Q416" s="131"/>
      <c r="R416" s="131"/>
      <c r="S416" s="131"/>
    </row>
    <row r="417">
      <c r="A417" s="131"/>
      <c r="B417" s="131"/>
      <c r="C417" s="131"/>
      <c r="D417" s="81"/>
      <c r="E417" s="81"/>
      <c r="F417" s="131"/>
      <c r="G417" s="131"/>
      <c r="H417" s="131"/>
      <c r="I417" s="131"/>
      <c r="J417" s="131"/>
      <c r="K417" s="131"/>
      <c r="L417" s="131"/>
      <c r="M417" s="131"/>
      <c r="N417" s="131"/>
      <c r="O417" s="131"/>
      <c r="P417" s="131"/>
      <c r="Q417" s="131"/>
      <c r="R417" s="131"/>
      <c r="S417" s="131"/>
    </row>
    <row r="418">
      <c r="A418" s="131"/>
      <c r="B418" s="131"/>
      <c r="C418" s="131"/>
      <c r="D418" s="81"/>
      <c r="E418" s="81"/>
      <c r="F418" s="131"/>
      <c r="G418" s="131"/>
      <c r="H418" s="131"/>
      <c r="I418" s="131"/>
      <c r="J418" s="131"/>
      <c r="K418" s="131"/>
      <c r="L418" s="131"/>
      <c r="M418" s="131"/>
      <c r="N418" s="131"/>
      <c r="O418" s="131"/>
      <c r="P418" s="131"/>
      <c r="Q418" s="131"/>
      <c r="R418" s="131"/>
      <c r="S418" s="131"/>
    </row>
    <row r="419">
      <c r="A419" s="131"/>
      <c r="B419" s="131"/>
      <c r="C419" s="131"/>
      <c r="D419" s="81"/>
      <c r="E419" s="81"/>
      <c r="F419" s="131"/>
      <c r="G419" s="131"/>
      <c r="H419" s="131"/>
      <c r="I419" s="131"/>
      <c r="J419" s="131"/>
      <c r="K419" s="131"/>
      <c r="L419" s="131"/>
      <c r="M419" s="131"/>
      <c r="N419" s="131"/>
      <c r="O419" s="131"/>
      <c r="P419" s="131"/>
      <c r="Q419" s="131"/>
      <c r="R419" s="131"/>
      <c r="S419" s="131"/>
    </row>
    <row r="420">
      <c r="A420" s="131"/>
      <c r="B420" s="131"/>
      <c r="C420" s="131"/>
      <c r="D420" s="81"/>
      <c r="E420" s="81"/>
      <c r="F420" s="131"/>
      <c r="G420" s="131"/>
      <c r="H420" s="131"/>
      <c r="I420" s="131"/>
      <c r="J420" s="131"/>
      <c r="K420" s="131"/>
      <c r="L420" s="131"/>
      <c r="M420" s="131"/>
      <c r="N420" s="131"/>
      <c r="O420" s="131"/>
      <c r="P420" s="131"/>
      <c r="Q420" s="131"/>
      <c r="R420" s="131"/>
      <c r="S420" s="131"/>
    </row>
    <row r="421">
      <c r="A421" s="131"/>
      <c r="B421" s="131"/>
      <c r="C421" s="131"/>
      <c r="D421" s="81"/>
      <c r="E421" s="81"/>
      <c r="F421" s="131"/>
      <c r="G421" s="131"/>
      <c r="H421" s="131"/>
      <c r="I421" s="131"/>
      <c r="J421" s="131"/>
      <c r="K421" s="131"/>
      <c r="L421" s="131"/>
      <c r="M421" s="131"/>
      <c r="N421" s="131"/>
      <c r="O421" s="131"/>
      <c r="P421" s="131"/>
      <c r="Q421" s="131"/>
      <c r="R421" s="131"/>
      <c r="S421" s="131"/>
    </row>
    <row r="422">
      <c r="A422" s="131"/>
      <c r="B422" s="131"/>
      <c r="C422" s="131"/>
      <c r="D422" s="81"/>
      <c r="E422" s="81"/>
      <c r="F422" s="131"/>
      <c r="G422" s="131"/>
      <c r="H422" s="131"/>
      <c r="I422" s="131"/>
      <c r="J422" s="131"/>
      <c r="K422" s="131"/>
      <c r="L422" s="131"/>
      <c r="M422" s="131"/>
      <c r="N422" s="131"/>
      <c r="O422" s="131"/>
      <c r="P422" s="131"/>
      <c r="Q422" s="131"/>
      <c r="R422" s="131"/>
      <c r="S422" s="131"/>
    </row>
    <row r="423">
      <c r="A423" s="131"/>
      <c r="B423" s="131"/>
      <c r="C423" s="131"/>
      <c r="D423" s="81"/>
      <c r="E423" s="81"/>
      <c r="F423" s="131"/>
      <c r="G423" s="131"/>
      <c r="H423" s="131"/>
      <c r="I423" s="131"/>
      <c r="J423" s="131"/>
      <c r="K423" s="131"/>
      <c r="L423" s="131"/>
      <c r="M423" s="131"/>
      <c r="N423" s="131"/>
      <c r="O423" s="131"/>
      <c r="P423" s="131"/>
      <c r="Q423" s="131"/>
      <c r="R423" s="131"/>
      <c r="S423" s="131"/>
    </row>
    <row r="424">
      <c r="A424" s="131"/>
      <c r="B424" s="131"/>
      <c r="C424" s="131"/>
      <c r="D424" s="81"/>
      <c r="E424" s="81"/>
      <c r="F424" s="131"/>
      <c r="G424" s="131"/>
      <c r="H424" s="131"/>
      <c r="I424" s="131"/>
      <c r="J424" s="131"/>
      <c r="K424" s="131"/>
      <c r="L424" s="131"/>
      <c r="M424" s="131"/>
      <c r="N424" s="131"/>
      <c r="O424" s="131"/>
      <c r="P424" s="131"/>
      <c r="Q424" s="131"/>
      <c r="R424" s="131"/>
      <c r="S424" s="131"/>
    </row>
    <row r="425">
      <c r="A425" s="131"/>
      <c r="B425" s="131"/>
      <c r="C425" s="131"/>
      <c r="D425" s="81"/>
      <c r="E425" s="81"/>
      <c r="F425" s="131"/>
      <c r="G425" s="131"/>
      <c r="H425" s="131"/>
      <c r="I425" s="131"/>
      <c r="J425" s="131"/>
      <c r="K425" s="131"/>
      <c r="L425" s="131"/>
      <c r="M425" s="131"/>
      <c r="N425" s="131"/>
      <c r="O425" s="131"/>
      <c r="P425" s="131"/>
      <c r="Q425" s="131"/>
      <c r="R425" s="131"/>
      <c r="S425" s="131"/>
    </row>
    <row r="426">
      <c r="A426" s="131"/>
      <c r="B426" s="131"/>
      <c r="C426" s="131"/>
      <c r="D426" s="81"/>
      <c r="E426" s="81"/>
      <c r="F426" s="131"/>
      <c r="G426" s="131"/>
      <c r="H426" s="131"/>
      <c r="I426" s="131"/>
      <c r="J426" s="131"/>
      <c r="K426" s="131"/>
      <c r="L426" s="131"/>
      <c r="M426" s="131"/>
      <c r="N426" s="131"/>
      <c r="O426" s="131"/>
      <c r="P426" s="131"/>
      <c r="Q426" s="131"/>
      <c r="R426" s="131"/>
      <c r="S426" s="131"/>
    </row>
    <row r="427">
      <c r="A427" s="131"/>
      <c r="B427" s="131"/>
      <c r="C427" s="131"/>
      <c r="D427" s="81"/>
      <c r="E427" s="81"/>
      <c r="F427" s="131"/>
      <c r="G427" s="131"/>
      <c r="H427" s="131"/>
      <c r="I427" s="131"/>
      <c r="J427" s="131"/>
      <c r="K427" s="131"/>
      <c r="L427" s="131"/>
      <c r="M427" s="131"/>
      <c r="N427" s="131"/>
      <c r="O427" s="131"/>
      <c r="P427" s="131"/>
      <c r="Q427" s="131"/>
      <c r="R427" s="131"/>
      <c r="S427" s="131"/>
    </row>
    <row r="428">
      <c r="A428" s="131"/>
      <c r="B428" s="131"/>
      <c r="C428" s="131"/>
      <c r="D428" s="81"/>
      <c r="E428" s="81"/>
      <c r="F428" s="131"/>
      <c r="G428" s="131"/>
      <c r="H428" s="131"/>
      <c r="I428" s="131"/>
      <c r="J428" s="131"/>
      <c r="K428" s="131"/>
      <c r="L428" s="131"/>
      <c r="M428" s="131"/>
      <c r="N428" s="131"/>
      <c r="O428" s="131"/>
      <c r="P428" s="131"/>
      <c r="Q428" s="131"/>
      <c r="R428" s="131"/>
      <c r="S428" s="131"/>
    </row>
    <row r="429">
      <c r="A429" s="131"/>
      <c r="B429" s="131"/>
      <c r="C429" s="131"/>
      <c r="D429" s="81"/>
      <c r="E429" s="81"/>
      <c r="F429" s="131"/>
      <c r="G429" s="131"/>
      <c r="H429" s="131"/>
      <c r="I429" s="131"/>
      <c r="J429" s="131"/>
      <c r="K429" s="131"/>
      <c r="L429" s="131"/>
      <c r="M429" s="131"/>
      <c r="N429" s="131"/>
      <c r="O429" s="131"/>
      <c r="P429" s="131"/>
      <c r="Q429" s="131"/>
      <c r="R429" s="131"/>
      <c r="S429" s="131"/>
    </row>
    <row r="430">
      <c r="A430" s="131"/>
      <c r="B430" s="131"/>
      <c r="C430" s="131"/>
      <c r="D430" s="81"/>
      <c r="E430" s="81"/>
      <c r="F430" s="131"/>
      <c r="G430" s="131"/>
      <c r="H430" s="131"/>
      <c r="I430" s="131"/>
      <c r="J430" s="131"/>
      <c r="K430" s="131"/>
      <c r="L430" s="131"/>
      <c r="M430" s="131"/>
      <c r="N430" s="131"/>
      <c r="O430" s="131"/>
      <c r="P430" s="131"/>
      <c r="Q430" s="131"/>
      <c r="R430" s="131"/>
      <c r="S430" s="131"/>
    </row>
    <row r="431">
      <c r="A431" s="131"/>
      <c r="B431" s="131"/>
      <c r="C431" s="131"/>
      <c r="D431" s="81"/>
      <c r="E431" s="81"/>
      <c r="F431" s="131"/>
      <c r="G431" s="131"/>
      <c r="H431" s="131"/>
      <c r="I431" s="131"/>
      <c r="J431" s="131"/>
      <c r="K431" s="131"/>
      <c r="L431" s="131"/>
      <c r="M431" s="131"/>
      <c r="N431" s="131"/>
      <c r="O431" s="131"/>
      <c r="P431" s="131"/>
      <c r="Q431" s="131"/>
      <c r="R431" s="131"/>
      <c r="S431" s="131"/>
    </row>
    <row r="432">
      <c r="A432" s="131"/>
      <c r="B432" s="131"/>
      <c r="C432" s="131"/>
      <c r="D432" s="81"/>
      <c r="E432" s="81"/>
      <c r="F432" s="131"/>
      <c r="G432" s="131"/>
      <c r="H432" s="131"/>
      <c r="I432" s="131"/>
      <c r="J432" s="131"/>
      <c r="K432" s="131"/>
      <c r="L432" s="131"/>
      <c r="M432" s="131"/>
      <c r="N432" s="131"/>
      <c r="O432" s="131"/>
      <c r="P432" s="131"/>
      <c r="Q432" s="131"/>
      <c r="R432" s="131"/>
      <c r="S432" s="131"/>
    </row>
    <row r="433">
      <c r="A433" s="131"/>
      <c r="B433" s="131"/>
      <c r="C433" s="131"/>
      <c r="D433" s="81"/>
      <c r="E433" s="81"/>
      <c r="F433" s="131"/>
      <c r="G433" s="131"/>
      <c r="H433" s="131"/>
      <c r="I433" s="131"/>
      <c r="J433" s="131"/>
      <c r="K433" s="131"/>
      <c r="L433" s="131"/>
      <c r="M433" s="131"/>
      <c r="N433" s="131"/>
      <c r="O433" s="131"/>
      <c r="P433" s="131"/>
      <c r="Q433" s="131"/>
      <c r="R433" s="131"/>
      <c r="S433" s="131"/>
    </row>
    <row r="434">
      <c r="A434" s="131"/>
      <c r="B434" s="131"/>
      <c r="C434" s="131"/>
      <c r="D434" s="81"/>
      <c r="E434" s="81"/>
      <c r="F434" s="131"/>
      <c r="G434" s="131"/>
      <c r="H434" s="131"/>
      <c r="I434" s="131"/>
      <c r="J434" s="131"/>
      <c r="K434" s="131"/>
      <c r="L434" s="131"/>
      <c r="M434" s="131"/>
      <c r="N434" s="131"/>
      <c r="O434" s="131"/>
      <c r="P434" s="131"/>
      <c r="Q434" s="131"/>
      <c r="R434" s="131"/>
      <c r="S434" s="131"/>
    </row>
    <row r="435">
      <c r="A435" s="131"/>
      <c r="B435" s="131"/>
      <c r="C435" s="131"/>
      <c r="D435" s="81"/>
      <c r="E435" s="81"/>
      <c r="F435" s="131"/>
      <c r="G435" s="131"/>
      <c r="H435" s="131"/>
      <c r="I435" s="131"/>
      <c r="J435" s="131"/>
      <c r="K435" s="131"/>
      <c r="L435" s="131"/>
      <c r="M435" s="131"/>
      <c r="N435" s="131"/>
      <c r="O435" s="131"/>
      <c r="P435" s="131"/>
      <c r="Q435" s="131"/>
      <c r="R435" s="131"/>
      <c r="S435" s="131"/>
    </row>
    <row r="436">
      <c r="A436" s="131"/>
      <c r="B436" s="131"/>
      <c r="C436" s="131"/>
      <c r="D436" s="81"/>
      <c r="E436" s="81"/>
      <c r="F436" s="131"/>
      <c r="G436" s="131"/>
      <c r="H436" s="131"/>
      <c r="I436" s="131"/>
      <c r="J436" s="131"/>
      <c r="K436" s="131"/>
      <c r="L436" s="131"/>
      <c r="M436" s="131"/>
      <c r="N436" s="131"/>
      <c r="O436" s="131"/>
      <c r="P436" s="131"/>
      <c r="Q436" s="131"/>
      <c r="R436" s="131"/>
      <c r="S436" s="131"/>
    </row>
    <row r="437">
      <c r="A437" s="131"/>
      <c r="B437" s="131"/>
      <c r="C437" s="131"/>
      <c r="D437" s="81"/>
      <c r="E437" s="81"/>
      <c r="F437" s="131"/>
      <c r="G437" s="131"/>
      <c r="H437" s="131"/>
      <c r="I437" s="131"/>
      <c r="J437" s="131"/>
      <c r="K437" s="131"/>
      <c r="L437" s="131"/>
      <c r="M437" s="131"/>
      <c r="N437" s="131"/>
      <c r="O437" s="131"/>
      <c r="P437" s="131"/>
      <c r="Q437" s="131"/>
      <c r="R437" s="131"/>
      <c r="S437" s="131"/>
    </row>
    <row r="438">
      <c r="A438" s="131"/>
      <c r="B438" s="131"/>
      <c r="C438" s="131"/>
      <c r="D438" s="81"/>
      <c r="E438" s="81"/>
      <c r="F438" s="131"/>
      <c r="G438" s="131"/>
      <c r="H438" s="131"/>
      <c r="I438" s="131"/>
      <c r="J438" s="131"/>
      <c r="K438" s="131"/>
      <c r="L438" s="131"/>
      <c r="M438" s="131"/>
      <c r="N438" s="131"/>
      <c r="O438" s="131"/>
      <c r="P438" s="131"/>
      <c r="Q438" s="131"/>
      <c r="R438" s="131"/>
      <c r="S438" s="131"/>
    </row>
    <row r="439">
      <c r="A439" s="131"/>
      <c r="B439" s="131"/>
      <c r="C439" s="131"/>
      <c r="D439" s="81"/>
      <c r="E439" s="81"/>
      <c r="F439" s="131"/>
      <c r="G439" s="131"/>
      <c r="H439" s="131"/>
      <c r="I439" s="131"/>
      <c r="J439" s="131"/>
      <c r="K439" s="131"/>
      <c r="L439" s="131"/>
      <c r="M439" s="131"/>
      <c r="N439" s="131"/>
      <c r="O439" s="131"/>
      <c r="P439" s="131"/>
      <c r="Q439" s="131"/>
      <c r="R439" s="131"/>
      <c r="S439" s="131"/>
    </row>
    <row r="440">
      <c r="A440" s="131"/>
      <c r="B440" s="131"/>
      <c r="C440" s="131"/>
      <c r="D440" s="81"/>
      <c r="E440" s="81"/>
      <c r="F440" s="131"/>
      <c r="G440" s="131"/>
      <c r="H440" s="131"/>
      <c r="I440" s="131"/>
      <c r="J440" s="131"/>
      <c r="K440" s="131"/>
      <c r="L440" s="131"/>
      <c r="M440" s="131"/>
      <c r="N440" s="131"/>
      <c r="O440" s="131"/>
      <c r="P440" s="131"/>
      <c r="Q440" s="131"/>
      <c r="R440" s="131"/>
      <c r="S440" s="131"/>
    </row>
    <row r="441">
      <c r="A441" s="131"/>
      <c r="B441" s="131"/>
      <c r="C441" s="131"/>
      <c r="D441" s="81"/>
      <c r="E441" s="81"/>
      <c r="F441" s="131"/>
      <c r="G441" s="131"/>
      <c r="H441" s="131"/>
      <c r="I441" s="131"/>
      <c r="J441" s="131"/>
      <c r="K441" s="131"/>
      <c r="L441" s="131"/>
      <c r="M441" s="131"/>
      <c r="N441" s="131"/>
      <c r="O441" s="131"/>
      <c r="P441" s="131"/>
      <c r="Q441" s="131"/>
      <c r="R441" s="131"/>
      <c r="S441" s="131"/>
    </row>
    <row r="442">
      <c r="A442" s="131"/>
      <c r="B442" s="131"/>
      <c r="C442" s="131"/>
      <c r="D442" s="81"/>
      <c r="E442" s="81"/>
      <c r="F442" s="131"/>
      <c r="G442" s="131"/>
      <c r="H442" s="131"/>
      <c r="I442" s="131"/>
      <c r="J442" s="131"/>
      <c r="K442" s="131"/>
      <c r="L442" s="131"/>
      <c r="M442" s="131"/>
      <c r="N442" s="131"/>
      <c r="O442" s="131"/>
      <c r="P442" s="131"/>
      <c r="Q442" s="131"/>
      <c r="R442" s="131"/>
      <c r="S442" s="131"/>
    </row>
    <row r="443">
      <c r="A443" s="131"/>
      <c r="B443" s="131"/>
      <c r="C443" s="131"/>
      <c r="D443" s="81"/>
      <c r="E443" s="81"/>
      <c r="F443" s="131"/>
      <c r="G443" s="131"/>
      <c r="H443" s="131"/>
      <c r="I443" s="131"/>
      <c r="J443" s="131"/>
      <c r="K443" s="131"/>
      <c r="L443" s="131"/>
      <c r="M443" s="131"/>
      <c r="N443" s="131"/>
      <c r="O443" s="131"/>
      <c r="P443" s="131"/>
      <c r="Q443" s="131"/>
      <c r="R443" s="131"/>
      <c r="S443" s="131"/>
    </row>
    <row r="444">
      <c r="A444" s="131"/>
      <c r="B444" s="131"/>
      <c r="C444" s="131"/>
      <c r="D444" s="81"/>
      <c r="E444" s="81"/>
      <c r="F444" s="131"/>
      <c r="G444" s="131"/>
      <c r="H444" s="131"/>
      <c r="I444" s="131"/>
      <c r="J444" s="131"/>
      <c r="K444" s="131"/>
      <c r="L444" s="131"/>
      <c r="M444" s="131"/>
      <c r="N444" s="131"/>
      <c r="O444" s="131"/>
      <c r="P444" s="131"/>
      <c r="Q444" s="131"/>
      <c r="R444" s="131"/>
      <c r="S444" s="131"/>
    </row>
    <row r="445">
      <c r="A445" s="131"/>
      <c r="B445" s="131"/>
      <c r="C445" s="131"/>
      <c r="D445" s="81"/>
      <c r="E445" s="81"/>
      <c r="F445" s="131"/>
      <c r="G445" s="131"/>
      <c r="H445" s="131"/>
      <c r="I445" s="131"/>
      <c r="J445" s="131"/>
      <c r="K445" s="131"/>
      <c r="L445" s="131"/>
      <c r="M445" s="131"/>
      <c r="N445" s="131"/>
      <c r="O445" s="131"/>
      <c r="P445" s="131"/>
      <c r="Q445" s="131"/>
      <c r="R445" s="131"/>
      <c r="S445" s="131"/>
    </row>
    <row r="446">
      <c r="A446" s="131"/>
      <c r="B446" s="131"/>
      <c r="C446" s="131"/>
      <c r="D446" s="81"/>
      <c r="E446" s="81"/>
      <c r="F446" s="131"/>
      <c r="G446" s="131"/>
      <c r="H446" s="131"/>
      <c r="I446" s="131"/>
      <c r="J446" s="131"/>
      <c r="K446" s="131"/>
      <c r="L446" s="131"/>
      <c r="M446" s="131"/>
      <c r="N446" s="131"/>
      <c r="O446" s="131"/>
      <c r="P446" s="131"/>
      <c r="Q446" s="131"/>
      <c r="R446" s="131"/>
      <c r="S446" s="131"/>
    </row>
    <row r="447">
      <c r="A447" s="131"/>
      <c r="B447" s="131"/>
      <c r="C447" s="131"/>
      <c r="D447" s="81"/>
      <c r="E447" s="81"/>
      <c r="F447" s="131"/>
      <c r="G447" s="131"/>
      <c r="H447" s="131"/>
      <c r="I447" s="131"/>
      <c r="J447" s="131"/>
      <c r="K447" s="131"/>
      <c r="L447" s="131"/>
      <c r="M447" s="131"/>
      <c r="N447" s="131"/>
      <c r="O447" s="131"/>
      <c r="P447" s="131"/>
      <c r="Q447" s="131"/>
      <c r="R447" s="131"/>
      <c r="S447" s="131"/>
    </row>
    <row r="448">
      <c r="A448" s="131"/>
      <c r="B448" s="131"/>
      <c r="C448" s="131"/>
      <c r="D448" s="81"/>
      <c r="E448" s="81"/>
      <c r="F448" s="131"/>
      <c r="G448" s="131"/>
      <c r="H448" s="131"/>
      <c r="I448" s="131"/>
      <c r="J448" s="131"/>
      <c r="K448" s="131"/>
      <c r="L448" s="131"/>
      <c r="M448" s="131"/>
      <c r="N448" s="131"/>
      <c r="O448" s="131"/>
      <c r="P448" s="131"/>
      <c r="Q448" s="131"/>
      <c r="R448" s="131"/>
      <c r="S448" s="131"/>
    </row>
    <row r="449">
      <c r="A449" s="131"/>
      <c r="B449" s="131"/>
      <c r="C449" s="131"/>
      <c r="D449" s="81"/>
      <c r="E449" s="81"/>
      <c r="F449" s="131"/>
      <c r="G449" s="131"/>
      <c r="H449" s="131"/>
      <c r="I449" s="131"/>
      <c r="J449" s="131"/>
      <c r="K449" s="131"/>
      <c r="L449" s="131"/>
      <c r="M449" s="131"/>
      <c r="N449" s="131"/>
      <c r="O449" s="131"/>
      <c r="P449" s="131"/>
      <c r="Q449" s="131"/>
      <c r="R449" s="131"/>
      <c r="S449" s="131"/>
    </row>
    <row r="450">
      <c r="A450" s="131"/>
      <c r="B450" s="131"/>
      <c r="C450" s="131"/>
      <c r="D450" s="81"/>
      <c r="E450" s="81"/>
      <c r="F450" s="131"/>
      <c r="G450" s="131"/>
      <c r="H450" s="131"/>
      <c r="I450" s="131"/>
      <c r="J450" s="131"/>
      <c r="K450" s="131"/>
      <c r="L450" s="131"/>
      <c r="M450" s="131"/>
      <c r="N450" s="131"/>
      <c r="O450" s="131"/>
      <c r="P450" s="131"/>
      <c r="Q450" s="131"/>
      <c r="R450" s="131"/>
      <c r="S450" s="131"/>
    </row>
    <row r="451">
      <c r="A451" s="131"/>
      <c r="B451" s="131"/>
      <c r="C451" s="131"/>
      <c r="D451" s="81"/>
      <c r="E451" s="81"/>
      <c r="F451" s="131"/>
      <c r="G451" s="131"/>
      <c r="H451" s="131"/>
      <c r="I451" s="131"/>
      <c r="J451" s="131"/>
      <c r="K451" s="131"/>
      <c r="L451" s="131"/>
      <c r="M451" s="131"/>
      <c r="N451" s="131"/>
      <c r="O451" s="131"/>
      <c r="P451" s="131"/>
      <c r="Q451" s="131"/>
      <c r="R451" s="131"/>
      <c r="S451" s="131"/>
    </row>
    <row r="452">
      <c r="A452" s="131"/>
      <c r="B452" s="131"/>
      <c r="C452" s="131"/>
      <c r="D452" s="81"/>
      <c r="E452" s="81"/>
      <c r="F452" s="131"/>
      <c r="G452" s="131"/>
      <c r="H452" s="131"/>
      <c r="I452" s="131"/>
      <c r="J452" s="131"/>
      <c r="K452" s="131"/>
      <c r="L452" s="131"/>
      <c r="M452" s="131"/>
      <c r="N452" s="131"/>
      <c r="O452" s="131"/>
      <c r="P452" s="131"/>
      <c r="Q452" s="131"/>
      <c r="R452" s="131"/>
      <c r="S452" s="131"/>
    </row>
    <row r="453">
      <c r="A453" s="131"/>
      <c r="B453" s="131"/>
      <c r="C453" s="131"/>
      <c r="D453" s="81"/>
      <c r="E453" s="81"/>
      <c r="F453" s="131"/>
      <c r="G453" s="131"/>
      <c r="H453" s="131"/>
      <c r="I453" s="131"/>
      <c r="J453" s="131"/>
      <c r="K453" s="131"/>
      <c r="L453" s="131"/>
      <c r="M453" s="131"/>
      <c r="N453" s="131"/>
      <c r="O453" s="131"/>
      <c r="P453" s="131"/>
      <c r="Q453" s="131"/>
      <c r="R453" s="131"/>
      <c r="S453" s="131"/>
    </row>
    <row r="454">
      <c r="A454" s="131"/>
      <c r="B454" s="131"/>
      <c r="C454" s="131"/>
      <c r="D454" s="81"/>
      <c r="E454" s="81"/>
      <c r="F454" s="131"/>
      <c r="G454" s="131"/>
      <c r="H454" s="131"/>
      <c r="I454" s="131"/>
      <c r="J454" s="131"/>
      <c r="K454" s="131"/>
      <c r="L454" s="131"/>
      <c r="M454" s="131"/>
      <c r="N454" s="131"/>
      <c r="O454" s="131"/>
      <c r="P454" s="131"/>
      <c r="Q454" s="131"/>
      <c r="R454" s="131"/>
      <c r="S454" s="131"/>
    </row>
    <row r="455">
      <c r="A455" s="131"/>
      <c r="B455" s="131"/>
      <c r="C455" s="131"/>
      <c r="D455" s="81"/>
      <c r="E455" s="81"/>
      <c r="F455" s="131"/>
      <c r="G455" s="131"/>
      <c r="H455" s="131"/>
      <c r="I455" s="131"/>
      <c r="J455" s="131"/>
      <c r="K455" s="131"/>
      <c r="L455" s="131"/>
      <c r="M455" s="131"/>
      <c r="N455" s="131"/>
      <c r="O455" s="131"/>
      <c r="P455" s="131"/>
      <c r="Q455" s="131"/>
      <c r="R455" s="131"/>
      <c r="S455" s="131"/>
    </row>
    <row r="456">
      <c r="A456" s="131"/>
      <c r="B456" s="131"/>
      <c r="C456" s="131"/>
      <c r="D456" s="81"/>
      <c r="E456" s="81"/>
      <c r="F456" s="131"/>
      <c r="G456" s="131"/>
      <c r="H456" s="131"/>
      <c r="I456" s="131"/>
      <c r="J456" s="131"/>
      <c r="K456" s="131"/>
      <c r="L456" s="131"/>
      <c r="M456" s="131"/>
      <c r="N456" s="131"/>
      <c r="O456" s="131"/>
      <c r="P456" s="131"/>
      <c r="Q456" s="131"/>
      <c r="R456" s="131"/>
      <c r="S456" s="131"/>
    </row>
    <row r="457">
      <c r="A457" s="131"/>
      <c r="B457" s="131"/>
      <c r="C457" s="131"/>
      <c r="D457" s="81"/>
      <c r="E457" s="81"/>
      <c r="F457" s="131"/>
      <c r="G457" s="131"/>
      <c r="H457" s="131"/>
      <c r="I457" s="131"/>
      <c r="J457" s="131"/>
      <c r="K457" s="131"/>
      <c r="L457" s="131"/>
      <c r="M457" s="131"/>
      <c r="N457" s="131"/>
      <c r="O457" s="131"/>
      <c r="P457" s="131"/>
      <c r="Q457" s="131"/>
      <c r="R457" s="131"/>
      <c r="S457" s="131"/>
    </row>
    <row r="458">
      <c r="A458" s="131"/>
      <c r="B458" s="131"/>
      <c r="C458" s="131"/>
      <c r="D458" s="81"/>
      <c r="E458" s="81"/>
      <c r="F458" s="131"/>
      <c r="G458" s="131"/>
      <c r="H458" s="131"/>
      <c r="I458" s="131"/>
      <c r="J458" s="131"/>
      <c r="K458" s="131"/>
      <c r="L458" s="131"/>
      <c r="M458" s="131"/>
      <c r="N458" s="131"/>
      <c r="O458" s="131"/>
      <c r="P458" s="131"/>
      <c r="Q458" s="131"/>
      <c r="R458" s="131"/>
      <c r="S458" s="131"/>
    </row>
    <row r="459">
      <c r="A459" s="131"/>
      <c r="B459" s="131"/>
      <c r="C459" s="131"/>
      <c r="D459" s="81"/>
      <c r="E459" s="81"/>
      <c r="F459" s="131"/>
      <c r="G459" s="131"/>
      <c r="H459" s="131"/>
      <c r="I459" s="131"/>
      <c r="J459" s="131"/>
      <c r="K459" s="131"/>
      <c r="L459" s="131"/>
      <c r="M459" s="131"/>
      <c r="N459" s="131"/>
      <c r="O459" s="131"/>
      <c r="P459" s="131"/>
      <c r="Q459" s="131"/>
      <c r="R459" s="131"/>
      <c r="S459" s="131"/>
    </row>
    <row r="460">
      <c r="A460" s="131"/>
      <c r="B460" s="131"/>
      <c r="C460" s="131"/>
      <c r="D460" s="81"/>
      <c r="E460" s="81"/>
      <c r="F460" s="131"/>
      <c r="G460" s="131"/>
      <c r="H460" s="131"/>
      <c r="I460" s="131"/>
      <c r="J460" s="131"/>
      <c r="K460" s="131"/>
      <c r="L460" s="131"/>
      <c r="M460" s="131"/>
      <c r="N460" s="131"/>
      <c r="O460" s="131"/>
      <c r="P460" s="131"/>
      <c r="Q460" s="131"/>
      <c r="R460" s="131"/>
      <c r="S460" s="131"/>
    </row>
    <row r="461">
      <c r="A461" s="131"/>
      <c r="B461" s="131"/>
      <c r="C461" s="131"/>
      <c r="D461" s="81"/>
      <c r="E461" s="81"/>
      <c r="F461" s="131"/>
      <c r="G461" s="131"/>
      <c r="H461" s="131"/>
      <c r="I461" s="131"/>
      <c r="J461" s="131"/>
      <c r="K461" s="131"/>
      <c r="L461" s="131"/>
      <c r="M461" s="131"/>
      <c r="N461" s="131"/>
      <c r="O461" s="131"/>
      <c r="P461" s="131"/>
      <c r="Q461" s="131"/>
      <c r="R461" s="131"/>
      <c r="S461" s="131"/>
    </row>
    <row r="462">
      <c r="A462" s="131"/>
      <c r="B462" s="131"/>
      <c r="C462" s="131"/>
      <c r="D462" s="81"/>
      <c r="E462" s="81"/>
      <c r="F462" s="131"/>
      <c r="G462" s="131"/>
      <c r="H462" s="131"/>
      <c r="I462" s="131"/>
      <c r="J462" s="131"/>
      <c r="K462" s="131"/>
      <c r="L462" s="131"/>
      <c r="M462" s="131"/>
      <c r="N462" s="131"/>
      <c r="O462" s="131"/>
      <c r="P462" s="131"/>
      <c r="Q462" s="131"/>
      <c r="R462" s="131"/>
      <c r="S462" s="131"/>
    </row>
    <row r="463">
      <c r="A463" s="131"/>
      <c r="B463" s="131"/>
      <c r="C463" s="131"/>
      <c r="D463" s="81"/>
      <c r="E463" s="81"/>
      <c r="F463" s="131"/>
      <c r="G463" s="131"/>
      <c r="H463" s="131"/>
      <c r="I463" s="131"/>
      <c r="J463" s="131"/>
      <c r="K463" s="131"/>
      <c r="L463" s="131"/>
      <c r="M463" s="131"/>
      <c r="N463" s="131"/>
      <c r="O463" s="131"/>
      <c r="P463" s="131"/>
      <c r="Q463" s="131"/>
      <c r="R463" s="131"/>
      <c r="S463" s="131"/>
    </row>
    <row r="464">
      <c r="A464" s="131"/>
      <c r="B464" s="131"/>
      <c r="C464" s="131"/>
      <c r="D464" s="81"/>
      <c r="E464" s="81"/>
      <c r="F464" s="131"/>
      <c r="G464" s="131"/>
      <c r="H464" s="131"/>
      <c r="I464" s="131"/>
      <c r="J464" s="131"/>
      <c r="K464" s="131"/>
      <c r="L464" s="131"/>
      <c r="M464" s="131"/>
      <c r="N464" s="131"/>
      <c r="O464" s="131"/>
      <c r="P464" s="131"/>
      <c r="Q464" s="131"/>
      <c r="R464" s="131"/>
      <c r="S464" s="131"/>
    </row>
    <row r="465">
      <c r="A465" s="131"/>
      <c r="B465" s="131"/>
      <c r="C465" s="131"/>
      <c r="D465" s="81"/>
      <c r="E465" s="81"/>
      <c r="F465" s="131"/>
      <c r="G465" s="131"/>
      <c r="H465" s="131"/>
      <c r="I465" s="131"/>
      <c r="J465" s="131"/>
      <c r="K465" s="131"/>
      <c r="L465" s="131"/>
      <c r="M465" s="131"/>
      <c r="N465" s="131"/>
      <c r="O465" s="131"/>
      <c r="P465" s="131"/>
      <c r="Q465" s="131"/>
      <c r="R465" s="131"/>
      <c r="S465" s="131"/>
    </row>
    <row r="466">
      <c r="A466" s="131"/>
      <c r="B466" s="131"/>
      <c r="C466" s="131"/>
      <c r="D466" s="81"/>
      <c r="E466" s="81"/>
      <c r="F466" s="131"/>
      <c r="G466" s="131"/>
      <c r="H466" s="131"/>
      <c r="I466" s="131"/>
      <c r="J466" s="131"/>
      <c r="K466" s="131"/>
      <c r="L466" s="131"/>
      <c r="M466" s="131"/>
      <c r="N466" s="131"/>
      <c r="O466" s="131"/>
      <c r="P466" s="131"/>
      <c r="Q466" s="131"/>
      <c r="R466" s="131"/>
      <c r="S466" s="131"/>
    </row>
    <row r="467">
      <c r="A467" s="131"/>
      <c r="B467" s="131"/>
      <c r="C467" s="131"/>
      <c r="D467" s="81"/>
      <c r="E467" s="81"/>
      <c r="F467" s="131"/>
      <c r="G467" s="131"/>
      <c r="H467" s="131"/>
      <c r="I467" s="131"/>
      <c r="J467" s="131"/>
      <c r="K467" s="131"/>
      <c r="L467" s="131"/>
      <c r="M467" s="131"/>
      <c r="N467" s="131"/>
      <c r="O467" s="131"/>
      <c r="P467" s="131"/>
      <c r="Q467" s="131"/>
      <c r="R467" s="131"/>
      <c r="S467" s="131"/>
    </row>
    <row r="468">
      <c r="A468" s="131"/>
      <c r="B468" s="131"/>
      <c r="C468" s="131"/>
      <c r="D468" s="81"/>
      <c r="E468" s="81"/>
      <c r="F468" s="131"/>
      <c r="G468" s="131"/>
      <c r="H468" s="131"/>
      <c r="I468" s="131"/>
      <c r="J468" s="131"/>
      <c r="K468" s="131"/>
      <c r="L468" s="131"/>
      <c r="M468" s="131"/>
      <c r="N468" s="131"/>
      <c r="O468" s="131"/>
      <c r="P468" s="131"/>
      <c r="Q468" s="131"/>
      <c r="R468" s="131"/>
      <c r="S468" s="131"/>
    </row>
    <row r="469">
      <c r="A469" s="131"/>
      <c r="B469" s="131"/>
      <c r="C469" s="131"/>
      <c r="D469" s="81"/>
      <c r="E469" s="81"/>
      <c r="F469" s="131"/>
      <c r="G469" s="131"/>
      <c r="H469" s="131"/>
      <c r="I469" s="131"/>
      <c r="J469" s="131"/>
      <c r="K469" s="131"/>
      <c r="L469" s="131"/>
      <c r="M469" s="131"/>
      <c r="N469" s="131"/>
      <c r="O469" s="131"/>
      <c r="P469" s="131"/>
      <c r="Q469" s="131"/>
      <c r="R469" s="131"/>
      <c r="S469" s="131"/>
    </row>
    <row r="470">
      <c r="A470" s="131"/>
      <c r="B470" s="131"/>
      <c r="C470" s="131"/>
      <c r="D470" s="81"/>
      <c r="E470" s="81"/>
      <c r="F470" s="131"/>
      <c r="G470" s="131"/>
      <c r="H470" s="131"/>
      <c r="I470" s="131"/>
      <c r="J470" s="131"/>
      <c r="K470" s="131"/>
      <c r="L470" s="131"/>
      <c r="M470" s="131"/>
      <c r="N470" s="131"/>
      <c r="O470" s="131"/>
      <c r="P470" s="131"/>
      <c r="Q470" s="131"/>
      <c r="R470" s="131"/>
      <c r="S470" s="131"/>
    </row>
    <row r="471">
      <c r="A471" s="131"/>
      <c r="B471" s="131"/>
      <c r="C471" s="131"/>
      <c r="D471" s="81"/>
      <c r="E471" s="81"/>
      <c r="F471" s="131"/>
      <c r="G471" s="131"/>
      <c r="H471" s="131"/>
      <c r="I471" s="131"/>
      <c r="J471" s="131"/>
      <c r="K471" s="131"/>
      <c r="L471" s="131"/>
      <c r="M471" s="131"/>
      <c r="N471" s="131"/>
      <c r="O471" s="131"/>
      <c r="P471" s="131"/>
      <c r="Q471" s="131"/>
      <c r="R471" s="131"/>
      <c r="S471" s="131"/>
    </row>
    <row r="472">
      <c r="A472" s="131"/>
      <c r="B472" s="131"/>
      <c r="C472" s="131"/>
      <c r="D472" s="81"/>
      <c r="E472" s="81"/>
      <c r="F472" s="131"/>
      <c r="G472" s="131"/>
      <c r="H472" s="131"/>
      <c r="I472" s="131"/>
      <c r="J472" s="131"/>
      <c r="K472" s="131"/>
      <c r="L472" s="131"/>
      <c r="M472" s="131"/>
      <c r="N472" s="131"/>
      <c r="O472" s="131"/>
      <c r="P472" s="131"/>
      <c r="Q472" s="131"/>
      <c r="R472" s="131"/>
      <c r="S472" s="131"/>
    </row>
    <row r="473">
      <c r="A473" s="131"/>
      <c r="B473" s="131"/>
      <c r="C473" s="131"/>
      <c r="D473" s="81"/>
      <c r="E473" s="81"/>
      <c r="F473" s="131"/>
      <c r="G473" s="131"/>
      <c r="H473" s="131"/>
      <c r="I473" s="131"/>
      <c r="J473" s="131"/>
      <c r="K473" s="131"/>
      <c r="L473" s="131"/>
      <c r="M473" s="131"/>
      <c r="N473" s="131"/>
      <c r="O473" s="131"/>
      <c r="P473" s="131"/>
      <c r="Q473" s="131"/>
      <c r="R473" s="131"/>
      <c r="S473" s="131"/>
    </row>
    <row r="474">
      <c r="A474" s="131"/>
      <c r="B474" s="131"/>
      <c r="C474" s="131"/>
      <c r="D474" s="81"/>
      <c r="E474" s="81"/>
      <c r="F474" s="131"/>
      <c r="G474" s="131"/>
      <c r="H474" s="131"/>
      <c r="I474" s="131"/>
      <c r="J474" s="131"/>
      <c r="K474" s="131"/>
      <c r="L474" s="131"/>
      <c r="M474" s="131"/>
      <c r="N474" s="131"/>
      <c r="O474" s="131"/>
      <c r="P474" s="131"/>
      <c r="Q474" s="131"/>
      <c r="R474" s="131"/>
      <c r="S474" s="131"/>
    </row>
    <row r="475">
      <c r="A475" s="131"/>
      <c r="B475" s="131"/>
      <c r="C475" s="131"/>
      <c r="D475" s="81"/>
      <c r="E475" s="81"/>
      <c r="F475" s="131"/>
      <c r="G475" s="131"/>
      <c r="H475" s="131"/>
      <c r="I475" s="131"/>
      <c r="J475" s="131"/>
      <c r="K475" s="131"/>
      <c r="L475" s="131"/>
      <c r="M475" s="131"/>
      <c r="N475" s="131"/>
      <c r="O475" s="131"/>
      <c r="P475" s="131"/>
      <c r="Q475" s="131"/>
      <c r="R475" s="131"/>
      <c r="S475" s="131"/>
    </row>
    <row r="476">
      <c r="A476" s="131"/>
      <c r="B476" s="131"/>
      <c r="C476" s="131"/>
      <c r="D476" s="81"/>
      <c r="E476" s="81"/>
      <c r="F476" s="131"/>
      <c r="G476" s="131"/>
      <c r="H476" s="131"/>
      <c r="I476" s="131"/>
      <c r="J476" s="131"/>
      <c r="K476" s="131"/>
      <c r="L476" s="131"/>
      <c r="M476" s="131"/>
      <c r="N476" s="131"/>
      <c r="O476" s="131"/>
      <c r="P476" s="131"/>
      <c r="Q476" s="131"/>
      <c r="R476" s="131"/>
      <c r="S476" s="131"/>
    </row>
    <row r="477">
      <c r="A477" s="131"/>
      <c r="B477" s="131"/>
      <c r="C477" s="131"/>
      <c r="D477" s="81"/>
      <c r="E477" s="81"/>
      <c r="F477" s="131"/>
      <c r="G477" s="131"/>
      <c r="H477" s="131"/>
      <c r="I477" s="131"/>
      <c r="J477" s="131"/>
      <c r="K477" s="131"/>
      <c r="L477" s="131"/>
      <c r="M477" s="131"/>
      <c r="N477" s="131"/>
      <c r="O477" s="131"/>
      <c r="P477" s="131"/>
      <c r="Q477" s="131"/>
      <c r="R477" s="131"/>
      <c r="S477" s="131"/>
    </row>
    <row r="478">
      <c r="A478" s="131"/>
      <c r="B478" s="131"/>
      <c r="C478" s="131"/>
      <c r="D478" s="81"/>
      <c r="E478" s="81"/>
      <c r="F478" s="131"/>
      <c r="G478" s="131"/>
      <c r="H478" s="131"/>
      <c r="I478" s="131"/>
      <c r="J478" s="131"/>
      <c r="K478" s="131"/>
      <c r="L478" s="131"/>
      <c r="M478" s="131"/>
      <c r="N478" s="131"/>
      <c r="O478" s="131"/>
      <c r="P478" s="131"/>
      <c r="Q478" s="131"/>
      <c r="R478" s="131"/>
      <c r="S478" s="131"/>
    </row>
    <row r="479">
      <c r="A479" s="131"/>
      <c r="B479" s="131"/>
      <c r="C479" s="131"/>
      <c r="D479" s="81"/>
      <c r="E479" s="81"/>
      <c r="F479" s="131"/>
      <c r="G479" s="131"/>
      <c r="H479" s="131"/>
      <c r="I479" s="131"/>
      <c r="J479" s="131"/>
      <c r="K479" s="131"/>
      <c r="L479" s="131"/>
      <c r="M479" s="131"/>
      <c r="N479" s="131"/>
      <c r="O479" s="131"/>
      <c r="P479" s="131"/>
      <c r="Q479" s="131"/>
      <c r="R479" s="131"/>
      <c r="S479" s="131"/>
    </row>
    <row r="480">
      <c r="A480" s="131"/>
      <c r="B480" s="131"/>
      <c r="C480" s="131"/>
      <c r="D480" s="81"/>
      <c r="E480" s="81"/>
      <c r="F480" s="131"/>
      <c r="G480" s="131"/>
      <c r="H480" s="131"/>
      <c r="I480" s="131"/>
      <c r="J480" s="131"/>
      <c r="K480" s="131"/>
      <c r="L480" s="131"/>
      <c r="M480" s="131"/>
      <c r="N480" s="131"/>
      <c r="O480" s="131"/>
      <c r="P480" s="131"/>
      <c r="Q480" s="131"/>
      <c r="R480" s="131"/>
      <c r="S480" s="131"/>
    </row>
    <row r="481">
      <c r="A481" s="131"/>
      <c r="B481" s="131"/>
      <c r="C481" s="131"/>
      <c r="D481" s="81"/>
      <c r="E481" s="81"/>
      <c r="F481" s="131"/>
      <c r="G481" s="131"/>
      <c r="H481" s="131"/>
      <c r="I481" s="131"/>
      <c r="J481" s="131"/>
      <c r="K481" s="131"/>
      <c r="L481" s="131"/>
      <c r="M481" s="131"/>
      <c r="N481" s="131"/>
      <c r="O481" s="131"/>
      <c r="P481" s="131"/>
      <c r="Q481" s="131"/>
      <c r="R481" s="131"/>
      <c r="S481" s="131"/>
    </row>
    <row r="482">
      <c r="A482" s="131"/>
      <c r="B482" s="131"/>
      <c r="C482" s="131"/>
      <c r="D482" s="81"/>
      <c r="E482" s="81"/>
      <c r="F482" s="131"/>
      <c r="G482" s="131"/>
      <c r="H482" s="131"/>
      <c r="I482" s="131"/>
      <c r="J482" s="131"/>
      <c r="K482" s="131"/>
      <c r="L482" s="131"/>
      <c r="M482" s="131"/>
      <c r="N482" s="131"/>
      <c r="O482" s="131"/>
      <c r="P482" s="131"/>
      <c r="Q482" s="131"/>
      <c r="R482" s="131"/>
      <c r="S482" s="131"/>
    </row>
    <row r="483">
      <c r="A483" s="131"/>
      <c r="B483" s="131"/>
      <c r="C483" s="131"/>
      <c r="D483" s="81"/>
      <c r="E483" s="81"/>
      <c r="F483" s="131"/>
      <c r="G483" s="131"/>
      <c r="H483" s="131"/>
      <c r="I483" s="131"/>
      <c r="J483" s="131"/>
      <c r="K483" s="131"/>
      <c r="L483" s="131"/>
      <c r="M483" s="131"/>
      <c r="N483" s="131"/>
      <c r="O483" s="131"/>
      <c r="P483" s="131"/>
      <c r="Q483" s="131"/>
      <c r="R483" s="131"/>
      <c r="S483" s="131"/>
    </row>
    <row r="484">
      <c r="A484" s="131"/>
      <c r="B484" s="131"/>
      <c r="C484" s="131"/>
      <c r="D484" s="81"/>
      <c r="E484" s="81"/>
      <c r="F484" s="131"/>
      <c r="G484" s="131"/>
      <c r="H484" s="131"/>
      <c r="I484" s="131"/>
      <c r="J484" s="131"/>
      <c r="K484" s="131"/>
      <c r="L484" s="131"/>
      <c r="M484" s="131"/>
      <c r="N484" s="131"/>
      <c r="O484" s="131"/>
      <c r="P484" s="131"/>
      <c r="Q484" s="131"/>
      <c r="R484" s="131"/>
      <c r="S484" s="131"/>
    </row>
    <row r="485">
      <c r="A485" s="131"/>
      <c r="B485" s="131"/>
      <c r="C485" s="131"/>
      <c r="D485" s="81"/>
      <c r="E485" s="81"/>
      <c r="F485" s="131"/>
      <c r="G485" s="131"/>
      <c r="H485" s="131"/>
      <c r="I485" s="131"/>
      <c r="J485" s="131"/>
      <c r="K485" s="131"/>
      <c r="L485" s="131"/>
      <c r="M485" s="131"/>
      <c r="N485" s="131"/>
      <c r="O485" s="131"/>
      <c r="P485" s="131"/>
      <c r="Q485" s="131"/>
      <c r="R485" s="131"/>
      <c r="S485" s="131"/>
    </row>
    <row r="486">
      <c r="A486" s="131"/>
      <c r="B486" s="131"/>
      <c r="C486" s="131"/>
      <c r="D486" s="81"/>
      <c r="E486" s="81"/>
      <c r="F486" s="131"/>
      <c r="G486" s="131"/>
      <c r="H486" s="131"/>
      <c r="I486" s="131"/>
      <c r="J486" s="131"/>
      <c r="K486" s="131"/>
      <c r="L486" s="131"/>
      <c r="M486" s="131"/>
      <c r="N486" s="131"/>
      <c r="O486" s="131"/>
      <c r="P486" s="131"/>
      <c r="Q486" s="131"/>
      <c r="R486" s="131"/>
      <c r="S486" s="131"/>
    </row>
    <row r="487">
      <c r="A487" s="131"/>
      <c r="B487" s="131"/>
      <c r="C487" s="131"/>
      <c r="D487" s="81"/>
      <c r="E487" s="81"/>
      <c r="F487" s="131"/>
      <c r="G487" s="131"/>
      <c r="H487" s="131"/>
      <c r="I487" s="131"/>
      <c r="J487" s="131"/>
      <c r="K487" s="131"/>
      <c r="L487" s="131"/>
      <c r="M487" s="131"/>
      <c r="N487" s="131"/>
      <c r="O487" s="131"/>
      <c r="P487" s="131"/>
      <c r="Q487" s="131"/>
      <c r="R487" s="131"/>
      <c r="S487" s="131"/>
    </row>
    <row r="488">
      <c r="A488" s="131"/>
      <c r="B488" s="131"/>
      <c r="C488" s="131"/>
      <c r="D488" s="81"/>
      <c r="E488" s="81"/>
      <c r="F488" s="131"/>
      <c r="G488" s="131"/>
      <c r="H488" s="131"/>
      <c r="I488" s="131"/>
      <c r="J488" s="131"/>
      <c r="K488" s="131"/>
      <c r="L488" s="131"/>
      <c r="M488" s="131"/>
      <c r="N488" s="131"/>
      <c r="O488" s="131"/>
      <c r="P488" s="131"/>
      <c r="Q488" s="131"/>
      <c r="R488" s="131"/>
      <c r="S488" s="131"/>
    </row>
    <row r="489">
      <c r="A489" s="131"/>
      <c r="B489" s="131"/>
      <c r="C489" s="131"/>
      <c r="D489" s="81"/>
      <c r="E489" s="81"/>
      <c r="F489" s="131"/>
      <c r="G489" s="131"/>
      <c r="H489" s="131"/>
      <c r="I489" s="131"/>
      <c r="J489" s="131"/>
      <c r="K489" s="131"/>
      <c r="L489" s="131"/>
      <c r="M489" s="131"/>
      <c r="N489" s="131"/>
      <c r="O489" s="131"/>
      <c r="P489" s="131"/>
      <c r="Q489" s="131"/>
      <c r="R489" s="131"/>
      <c r="S489" s="131"/>
    </row>
    <row r="490">
      <c r="A490" s="131"/>
      <c r="B490" s="131"/>
      <c r="C490" s="131"/>
      <c r="D490" s="81"/>
      <c r="E490" s="81"/>
      <c r="F490" s="131"/>
      <c r="G490" s="131"/>
      <c r="H490" s="131"/>
      <c r="I490" s="131"/>
      <c r="J490" s="131"/>
      <c r="K490" s="131"/>
      <c r="L490" s="131"/>
      <c r="M490" s="131"/>
      <c r="N490" s="131"/>
      <c r="O490" s="131"/>
      <c r="P490" s="131"/>
      <c r="Q490" s="131"/>
      <c r="R490" s="131"/>
      <c r="S490" s="131"/>
    </row>
    <row r="491">
      <c r="A491" s="131"/>
      <c r="B491" s="131"/>
      <c r="C491" s="131"/>
      <c r="D491" s="81"/>
      <c r="E491" s="81"/>
      <c r="F491" s="131"/>
      <c r="G491" s="131"/>
      <c r="H491" s="131"/>
      <c r="I491" s="131"/>
      <c r="J491" s="131"/>
      <c r="K491" s="131"/>
      <c r="L491" s="131"/>
      <c r="M491" s="131"/>
      <c r="N491" s="131"/>
      <c r="O491" s="131"/>
      <c r="P491" s="131"/>
      <c r="Q491" s="131"/>
      <c r="R491" s="131"/>
      <c r="S491" s="131"/>
    </row>
    <row r="492">
      <c r="A492" s="131"/>
      <c r="B492" s="131"/>
      <c r="C492" s="131"/>
      <c r="D492" s="81"/>
      <c r="E492" s="81"/>
      <c r="F492" s="131"/>
      <c r="G492" s="131"/>
      <c r="H492" s="131"/>
      <c r="I492" s="131"/>
      <c r="J492" s="131"/>
      <c r="K492" s="131"/>
      <c r="L492" s="131"/>
      <c r="M492" s="131"/>
      <c r="N492" s="131"/>
      <c r="O492" s="131"/>
      <c r="P492" s="131"/>
      <c r="Q492" s="131"/>
      <c r="R492" s="131"/>
      <c r="S492" s="131"/>
    </row>
    <row r="493">
      <c r="A493" s="131"/>
      <c r="B493" s="131"/>
      <c r="C493" s="131"/>
      <c r="D493" s="81"/>
      <c r="E493" s="81"/>
      <c r="F493" s="131"/>
      <c r="G493" s="131"/>
      <c r="H493" s="131"/>
      <c r="I493" s="131"/>
      <c r="J493" s="131"/>
      <c r="K493" s="131"/>
      <c r="L493" s="131"/>
      <c r="M493" s="131"/>
      <c r="N493" s="131"/>
      <c r="O493" s="131"/>
      <c r="P493" s="131"/>
      <c r="Q493" s="131"/>
      <c r="R493" s="131"/>
      <c r="S493" s="131"/>
    </row>
    <row r="494">
      <c r="A494" s="131"/>
      <c r="B494" s="131"/>
      <c r="C494" s="131"/>
      <c r="D494" s="81"/>
      <c r="E494" s="81"/>
      <c r="F494" s="131"/>
      <c r="G494" s="131"/>
      <c r="H494" s="131"/>
      <c r="I494" s="131"/>
      <c r="J494" s="131"/>
      <c r="K494" s="131"/>
      <c r="L494" s="131"/>
      <c r="M494" s="131"/>
      <c r="N494" s="131"/>
      <c r="O494" s="131"/>
      <c r="P494" s="131"/>
      <c r="Q494" s="131"/>
      <c r="R494" s="131"/>
      <c r="S494" s="131"/>
    </row>
    <row r="495">
      <c r="A495" s="131"/>
      <c r="B495" s="131"/>
      <c r="C495" s="131"/>
      <c r="D495" s="81"/>
      <c r="E495" s="81"/>
      <c r="F495" s="131"/>
      <c r="G495" s="131"/>
      <c r="H495" s="131"/>
      <c r="I495" s="131"/>
      <c r="J495" s="131"/>
      <c r="K495" s="131"/>
      <c r="L495" s="131"/>
      <c r="M495" s="131"/>
      <c r="N495" s="131"/>
      <c r="O495" s="131"/>
      <c r="P495" s="131"/>
      <c r="Q495" s="131"/>
      <c r="R495" s="131"/>
      <c r="S495" s="131"/>
    </row>
    <row r="496">
      <c r="A496" s="131"/>
      <c r="B496" s="131"/>
      <c r="C496" s="131"/>
      <c r="D496" s="81"/>
      <c r="E496" s="81"/>
      <c r="F496" s="131"/>
      <c r="G496" s="131"/>
      <c r="H496" s="131"/>
      <c r="I496" s="131"/>
      <c r="J496" s="131"/>
      <c r="K496" s="131"/>
      <c r="L496" s="131"/>
      <c r="M496" s="131"/>
      <c r="N496" s="131"/>
      <c r="O496" s="131"/>
      <c r="P496" s="131"/>
      <c r="Q496" s="131"/>
      <c r="R496" s="131"/>
      <c r="S496" s="131"/>
    </row>
    <row r="497">
      <c r="A497" s="131"/>
      <c r="B497" s="131"/>
      <c r="C497" s="131"/>
      <c r="D497" s="81"/>
      <c r="E497" s="81"/>
      <c r="F497" s="131"/>
      <c r="G497" s="131"/>
      <c r="H497" s="131"/>
      <c r="I497" s="131"/>
      <c r="J497" s="131"/>
      <c r="K497" s="131"/>
      <c r="L497" s="131"/>
      <c r="M497" s="131"/>
      <c r="N497" s="131"/>
      <c r="O497" s="131"/>
      <c r="P497" s="131"/>
      <c r="Q497" s="131"/>
      <c r="R497" s="131"/>
      <c r="S497" s="131"/>
    </row>
    <row r="498">
      <c r="A498" s="131"/>
      <c r="B498" s="131"/>
      <c r="C498" s="131"/>
      <c r="D498" s="81"/>
      <c r="E498" s="81"/>
      <c r="F498" s="131"/>
      <c r="G498" s="131"/>
      <c r="H498" s="131"/>
      <c r="I498" s="131"/>
      <c r="J498" s="131"/>
      <c r="K498" s="131"/>
      <c r="L498" s="131"/>
      <c r="M498" s="131"/>
      <c r="N498" s="131"/>
      <c r="O498" s="131"/>
      <c r="P498" s="131"/>
      <c r="Q498" s="131"/>
      <c r="R498" s="131"/>
      <c r="S498" s="131"/>
    </row>
    <row r="499">
      <c r="A499" s="131"/>
      <c r="B499" s="131"/>
      <c r="C499" s="131"/>
      <c r="D499" s="81"/>
      <c r="E499" s="81"/>
      <c r="F499" s="131"/>
      <c r="G499" s="131"/>
      <c r="H499" s="131"/>
      <c r="I499" s="131"/>
      <c r="J499" s="131"/>
      <c r="K499" s="131"/>
      <c r="L499" s="131"/>
      <c r="M499" s="131"/>
      <c r="N499" s="131"/>
      <c r="O499" s="131"/>
      <c r="P499" s="131"/>
      <c r="Q499" s="131"/>
      <c r="R499" s="131"/>
      <c r="S499" s="131"/>
    </row>
    <row r="500">
      <c r="A500" s="131"/>
      <c r="B500" s="131"/>
      <c r="C500" s="131"/>
      <c r="D500" s="81"/>
      <c r="E500" s="81"/>
      <c r="F500" s="131"/>
      <c r="G500" s="131"/>
      <c r="H500" s="131"/>
      <c r="I500" s="131"/>
      <c r="J500" s="131"/>
      <c r="K500" s="131"/>
      <c r="L500" s="131"/>
      <c r="M500" s="131"/>
      <c r="N500" s="131"/>
      <c r="O500" s="131"/>
      <c r="P500" s="131"/>
      <c r="Q500" s="131"/>
      <c r="R500" s="131"/>
      <c r="S500" s="131"/>
    </row>
    <row r="501">
      <c r="A501" s="131"/>
      <c r="B501" s="131"/>
      <c r="C501" s="131"/>
      <c r="D501" s="81"/>
      <c r="E501" s="81"/>
      <c r="F501" s="131"/>
      <c r="G501" s="131"/>
      <c r="H501" s="131"/>
      <c r="I501" s="131"/>
      <c r="J501" s="131"/>
      <c r="K501" s="131"/>
      <c r="L501" s="131"/>
      <c r="M501" s="131"/>
      <c r="N501" s="131"/>
      <c r="O501" s="131"/>
      <c r="P501" s="131"/>
      <c r="Q501" s="131"/>
      <c r="R501" s="131"/>
      <c r="S501" s="131"/>
    </row>
    <row r="502">
      <c r="A502" s="131"/>
      <c r="B502" s="131"/>
      <c r="C502" s="131"/>
      <c r="D502" s="81"/>
      <c r="E502" s="81"/>
      <c r="F502" s="131"/>
      <c r="G502" s="131"/>
      <c r="H502" s="131"/>
      <c r="I502" s="131"/>
      <c r="J502" s="131"/>
      <c r="K502" s="131"/>
      <c r="L502" s="131"/>
      <c r="M502" s="131"/>
      <c r="N502" s="131"/>
      <c r="O502" s="131"/>
      <c r="P502" s="131"/>
      <c r="Q502" s="131"/>
      <c r="R502" s="131"/>
      <c r="S502" s="131"/>
    </row>
    <row r="503">
      <c r="A503" s="131"/>
      <c r="B503" s="131"/>
      <c r="C503" s="131"/>
      <c r="D503" s="81"/>
      <c r="E503" s="81"/>
      <c r="F503" s="131"/>
      <c r="G503" s="131"/>
      <c r="H503" s="131"/>
      <c r="I503" s="131"/>
      <c r="J503" s="131"/>
      <c r="K503" s="131"/>
      <c r="L503" s="131"/>
      <c r="M503" s="131"/>
      <c r="N503" s="131"/>
      <c r="O503" s="131"/>
      <c r="P503" s="131"/>
      <c r="Q503" s="131"/>
      <c r="R503" s="131"/>
      <c r="S503" s="131"/>
    </row>
    <row r="504">
      <c r="A504" s="131"/>
      <c r="B504" s="131"/>
      <c r="C504" s="131"/>
      <c r="D504" s="81"/>
      <c r="E504" s="81"/>
      <c r="F504" s="131"/>
      <c r="G504" s="131"/>
      <c r="H504" s="131"/>
      <c r="I504" s="131"/>
      <c r="J504" s="131"/>
      <c r="K504" s="131"/>
      <c r="L504" s="131"/>
      <c r="M504" s="131"/>
      <c r="N504" s="131"/>
      <c r="O504" s="131"/>
      <c r="P504" s="131"/>
      <c r="Q504" s="131"/>
      <c r="R504" s="131"/>
      <c r="S504" s="131"/>
    </row>
    <row r="505">
      <c r="A505" s="131"/>
      <c r="B505" s="131"/>
      <c r="C505" s="131"/>
      <c r="D505" s="81"/>
      <c r="E505" s="81"/>
      <c r="F505" s="131"/>
      <c r="G505" s="131"/>
      <c r="H505" s="131"/>
      <c r="I505" s="131"/>
      <c r="J505" s="131"/>
      <c r="K505" s="131"/>
      <c r="L505" s="131"/>
      <c r="M505" s="131"/>
      <c r="N505" s="131"/>
      <c r="O505" s="131"/>
      <c r="P505" s="131"/>
      <c r="Q505" s="131"/>
      <c r="R505" s="131"/>
      <c r="S505" s="131"/>
    </row>
    <row r="506">
      <c r="A506" s="131"/>
      <c r="B506" s="131"/>
      <c r="C506" s="131"/>
      <c r="D506" s="81"/>
      <c r="E506" s="81"/>
      <c r="F506" s="131"/>
      <c r="G506" s="131"/>
      <c r="H506" s="131"/>
      <c r="I506" s="131"/>
      <c r="J506" s="131"/>
      <c r="K506" s="131"/>
      <c r="L506" s="131"/>
      <c r="M506" s="131"/>
      <c r="N506" s="131"/>
      <c r="O506" s="131"/>
      <c r="P506" s="131"/>
      <c r="Q506" s="131"/>
      <c r="R506" s="131"/>
      <c r="S506" s="131"/>
    </row>
    <row r="507">
      <c r="A507" s="131"/>
      <c r="B507" s="131"/>
      <c r="C507" s="131"/>
      <c r="D507" s="81"/>
      <c r="E507" s="81"/>
      <c r="F507" s="131"/>
      <c r="G507" s="131"/>
      <c r="H507" s="131"/>
      <c r="I507" s="131"/>
      <c r="J507" s="131"/>
      <c r="K507" s="131"/>
      <c r="L507" s="131"/>
      <c r="M507" s="131"/>
      <c r="N507" s="131"/>
      <c r="O507" s="131"/>
      <c r="P507" s="131"/>
      <c r="Q507" s="131"/>
      <c r="R507" s="131"/>
      <c r="S507" s="131"/>
    </row>
    <row r="508">
      <c r="A508" s="131"/>
      <c r="B508" s="131"/>
      <c r="C508" s="131"/>
      <c r="D508" s="81"/>
      <c r="E508" s="81"/>
      <c r="F508" s="131"/>
      <c r="G508" s="131"/>
      <c r="H508" s="131"/>
      <c r="I508" s="131"/>
      <c r="J508" s="131"/>
      <c r="K508" s="131"/>
      <c r="L508" s="131"/>
      <c r="M508" s="131"/>
      <c r="N508" s="131"/>
      <c r="O508" s="131"/>
      <c r="P508" s="131"/>
      <c r="Q508" s="131"/>
      <c r="R508" s="131"/>
      <c r="S508" s="131"/>
    </row>
    <row r="509">
      <c r="A509" s="131"/>
      <c r="B509" s="131"/>
      <c r="C509" s="131"/>
      <c r="D509" s="81"/>
      <c r="E509" s="81"/>
      <c r="F509" s="131"/>
      <c r="G509" s="131"/>
      <c r="H509" s="131"/>
      <c r="I509" s="131"/>
      <c r="J509" s="131"/>
      <c r="K509" s="131"/>
      <c r="L509" s="131"/>
      <c r="M509" s="131"/>
      <c r="N509" s="131"/>
      <c r="O509" s="131"/>
      <c r="P509" s="131"/>
      <c r="Q509" s="131"/>
      <c r="R509" s="131"/>
      <c r="S509" s="131"/>
    </row>
    <row r="510">
      <c r="A510" s="131"/>
      <c r="B510" s="131"/>
      <c r="C510" s="131"/>
      <c r="D510" s="81"/>
      <c r="E510" s="81"/>
      <c r="F510" s="131"/>
      <c r="G510" s="131"/>
      <c r="H510" s="131"/>
      <c r="I510" s="131"/>
      <c r="J510" s="131"/>
      <c r="K510" s="131"/>
      <c r="L510" s="131"/>
      <c r="M510" s="131"/>
      <c r="N510" s="131"/>
      <c r="O510" s="131"/>
      <c r="P510" s="131"/>
      <c r="Q510" s="131"/>
      <c r="R510" s="131"/>
      <c r="S510" s="131"/>
    </row>
    <row r="511">
      <c r="A511" s="131"/>
      <c r="B511" s="131"/>
      <c r="C511" s="131"/>
      <c r="D511" s="81"/>
      <c r="E511" s="81"/>
      <c r="F511" s="131"/>
      <c r="G511" s="131"/>
      <c r="H511" s="131"/>
      <c r="I511" s="131"/>
      <c r="J511" s="131"/>
      <c r="K511" s="131"/>
      <c r="L511" s="131"/>
      <c r="M511" s="131"/>
      <c r="N511" s="131"/>
      <c r="O511" s="131"/>
      <c r="P511" s="131"/>
      <c r="Q511" s="131"/>
      <c r="R511" s="131"/>
      <c r="S511" s="131"/>
    </row>
    <row r="512">
      <c r="A512" s="131"/>
      <c r="B512" s="131"/>
      <c r="C512" s="131"/>
      <c r="D512" s="81"/>
      <c r="E512" s="81"/>
      <c r="F512" s="131"/>
      <c r="G512" s="131"/>
      <c r="H512" s="131"/>
      <c r="I512" s="131"/>
      <c r="J512" s="131"/>
      <c r="K512" s="131"/>
      <c r="L512" s="131"/>
      <c r="M512" s="131"/>
      <c r="N512" s="131"/>
      <c r="O512" s="131"/>
      <c r="P512" s="131"/>
      <c r="Q512" s="131"/>
      <c r="R512" s="131"/>
      <c r="S512" s="131"/>
    </row>
    <row r="513">
      <c r="A513" s="131"/>
      <c r="B513" s="131"/>
      <c r="C513" s="131"/>
      <c r="D513" s="81"/>
      <c r="E513" s="81"/>
      <c r="F513" s="131"/>
      <c r="G513" s="131"/>
      <c r="H513" s="131"/>
      <c r="I513" s="131"/>
      <c r="J513" s="131"/>
      <c r="K513" s="131"/>
      <c r="L513" s="131"/>
      <c r="M513" s="131"/>
      <c r="N513" s="131"/>
      <c r="O513" s="131"/>
      <c r="P513" s="131"/>
      <c r="Q513" s="131"/>
      <c r="R513" s="131"/>
      <c r="S513" s="131"/>
    </row>
    <row r="514">
      <c r="A514" s="131"/>
      <c r="B514" s="131"/>
      <c r="C514" s="131"/>
      <c r="D514" s="81"/>
      <c r="E514" s="81"/>
      <c r="F514" s="131"/>
      <c r="G514" s="131"/>
      <c r="H514" s="131"/>
      <c r="I514" s="131"/>
      <c r="J514" s="131"/>
      <c r="K514" s="131"/>
      <c r="L514" s="131"/>
      <c r="M514" s="131"/>
      <c r="N514" s="131"/>
      <c r="O514" s="131"/>
      <c r="P514" s="131"/>
      <c r="Q514" s="131"/>
      <c r="R514" s="131"/>
      <c r="S514" s="131"/>
    </row>
    <row r="515">
      <c r="A515" s="131"/>
      <c r="B515" s="131"/>
      <c r="C515" s="131"/>
      <c r="D515" s="81"/>
      <c r="E515" s="81"/>
      <c r="F515" s="131"/>
      <c r="G515" s="131"/>
      <c r="H515" s="131"/>
      <c r="I515" s="131"/>
      <c r="J515" s="131"/>
      <c r="K515" s="131"/>
      <c r="L515" s="131"/>
      <c r="M515" s="131"/>
      <c r="N515" s="131"/>
      <c r="O515" s="131"/>
      <c r="P515" s="131"/>
      <c r="Q515" s="131"/>
      <c r="R515" s="131"/>
      <c r="S515" s="131"/>
    </row>
    <row r="516">
      <c r="A516" s="131"/>
      <c r="B516" s="131"/>
      <c r="C516" s="131"/>
      <c r="D516" s="81"/>
      <c r="E516" s="81"/>
      <c r="F516" s="131"/>
      <c r="G516" s="131"/>
      <c r="H516" s="131"/>
      <c r="I516" s="131"/>
      <c r="J516" s="131"/>
      <c r="K516" s="131"/>
      <c r="L516" s="131"/>
      <c r="M516" s="131"/>
      <c r="N516" s="131"/>
      <c r="O516" s="131"/>
      <c r="P516" s="131"/>
      <c r="Q516" s="131"/>
      <c r="R516" s="131"/>
      <c r="S516" s="131"/>
    </row>
    <row r="517">
      <c r="A517" s="131"/>
      <c r="B517" s="131"/>
      <c r="C517" s="131"/>
      <c r="D517" s="81"/>
      <c r="E517" s="81"/>
      <c r="F517" s="131"/>
      <c r="G517" s="131"/>
      <c r="H517" s="131"/>
      <c r="I517" s="131"/>
      <c r="J517" s="131"/>
      <c r="K517" s="131"/>
      <c r="L517" s="131"/>
      <c r="M517" s="131"/>
      <c r="N517" s="131"/>
      <c r="O517" s="131"/>
      <c r="P517" s="131"/>
      <c r="Q517" s="131"/>
      <c r="R517" s="131"/>
      <c r="S517" s="131"/>
    </row>
    <row r="518">
      <c r="A518" s="131"/>
      <c r="B518" s="131"/>
      <c r="C518" s="131"/>
      <c r="D518" s="81"/>
      <c r="E518" s="81"/>
      <c r="F518" s="131"/>
      <c r="G518" s="131"/>
      <c r="H518" s="131"/>
      <c r="I518" s="131"/>
      <c r="J518" s="131"/>
      <c r="K518" s="131"/>
      <c r="L518" s="131"/>
      <c r="M518" s="131"/>
      <c r="N518" s="131"/>
      <c r="O518" s="131"/>
      <c r="P518" s="131"/>
      <c r="Q518" s="131"/>
      <c r="R518" s="131"/>
      <c r="S518" s="131"/>
    </row>
    <row r="519">
      <c r="A519" s="131"/>
      <c r="B519" s="131"/>
      <c r="C519" s="131"/>
      <c r="D519" s="81"/>
      <c r="E519" s="81"/>
      <c r="F519" s="131"/>
      <c r="G519" s="131"/>
      <c r="H519" s="131"/>
      <c r="I519" s="131"/>
      <c r="J519" s="131"/>
      <c r="K519" s="131"/>
      <c r="L519" s="131"/>
      <c r="M519" s="131"/>
      <c r="N519" s="131"/>
      <c r="O519" s="131"/>
      <c r="P519" s="131"/>
      <c r="Q519" s="131"/>
      <c r="R519" s="131"/>
      <c r="S519" s="131"/>
    </row>
    <row r="520">
      <c r="A520" s="131"/>
      <c r="B520" s="131"/>
      <c r="C520" s="131"/>
      <c r="D520" s="81"/>
      <c r="E520" s="81"/>
      <c r="F520" s="131"/>
      <c r="G520" s="131"/>
      <c r="H520" s="131"/>
      <c r="I520" s="131"/>
      <c r="J520" s="131"/>
      <c r="K520" s="131"/>
      <c r="L520" s="131"/>
      <c r="M520" s="131"/>
      <c r="N520" s="131"/>
      <c r="O520" s="131"/>
      <c r="P520" s="131"/>
      <c r="Q520" s="131"/>
      <c r="R520" s="131"/>
      <c r="S520" s="131"/>
    </row>
    <row r="521">
      <c r="A521" s="131"/>
      <c r="B521" s="131"/>
      <c r="C521" s="131"/>
      <c r="D521" s="81"/>
      <c r="E521" s="81"/>
      <c r="F521" s="131"/>
      <c r="G521" s="131"/>
      <c r="H521" s="131"/>
      <c r="I521" s="131"/>
      <c r="J521" s="131"/>
      <c r="K521" s="131"/>
      <c r="L521" s="131"/>
      <c r="M521" s="131"/>
      <c r="N521" s="131"/>
      <c r="O521" s="131"/>
      <c r="P521" s="131"/>
      <c r="Q521" s="131"/>
      <c r="R521" s="131"/>
      <c r="S521" s="131"/>
    </row>
    <row r="522">
      <c r="A522" s="131"/>
      <c r="B522" s="131"/>
      <c r="C522" s="131"/>
      <c r="D522" s="81"/>
      <c r="E522" s="81"/>
      <c r="F522" s="131"/>
      <c r="G522" s="131"/>
      <c r="H522" s="131"/>
      <c r="I522" s="131"/>
      <c r="J522" s="131"/>
      <c r="K522" s="131"/>
      <c r="L522" s="131"/>
      <c r="M522" s="131"/>
      <c r="N522" s="131"/>
      <c r="O522" s="131"/>
      <c r="P522" s="131"/>
      <c r="Q522" s="131"/>
      <c r="R522" s="131"/>
      <c r="S522" s="131"/>
    </row>
    <row r="523">
      <c r="A523" s="131"/>
      <c r="B523" s="131"/>
      <c r="C523" s="131"/>
      <c r="D523" s="81"/>
      <c r="E523" s="81"/>
      <c r="F523" s="131"/>
      <c r="G523" s="131"/>
      <c r="H523" s="131"/>
      <c r="I523" s="131"/>
      <c r="J523" s="131"/>
      <c r="K523" s="131"/>
      <c r="L523" s="131"/>
      <c r="M523" s="131"/>
      <c r="N523" s="131"/>
      <c r="O523" s="131"/>
      <c r="P523" s="131"/>
      <c r="Q523" s="131"/>
      <c r="R523" s="131"/>
      <c r="S523" s="131"/>
    </row>
    <row r="524">
      <c r="A524" s="131"/>
      <c r="B524" s="131"/>
      <c r="C524" s="131"/>
      <c r="D524" s="81"/>
      <c r="E524" s="81"/>
      <c r="F524" s="131"/>
      <c r="G524" s="131"/>
      <c r="H524" s="131"/>
      <c r="I524" s="131"/>
      <c r="J524" s="131"/>
      <c r="K524" s="131"/>
      <c r="L524" s="131"/>
      <c r="M524" s="131"/>
      <c r="N524" s="131"/>
      <c r="O524" s="131"/>
      <c r="P524" s="131"/>
      <c r="Q524" s="131"/>
      <c r="R524" s="131"/>
      <c r="S524" s="131"/>
    </row>
    <row r="525">
      <c r="A525" s="131"/>
      <c r="B525" s="131"/>
      <c r="C525" s="131"/>
      <c r="D525" s="81"/>
      <c r="E525" s="81"/>
      <c r="F525" s="131"/>
      <c r="G525" s="131"/>
      <c r="H525" s="131"/>
      <c r="I525" s="131"/>
      <c r="J525" s="131"/>
      <c r="K525" s="131"/>
      <c r="L525" s="131"/>
      <c r="M525" s="131"/>
      <c r="N525" s="131"/>
      <c r="O525" s="131"/>
      <c r="P525" s="131"/>
      <c r="Q525" s="131"/>
      <c r="R525" s="131"/>
      <c r="S525" s="131"/>
    </row>
    <row r="526">
      <c r="A526" s="131"/>
      <c r="B526" s="131"/>
      <c r="C526" s="131"/>
      <c r="D526" s="81"/>
      <c r="E526" s="81"/>
      <c r="F526" s="131"/>
      <c r="G526" s="131"/>
      <c r="H526" s="131"/>
      <c r="I526" s="131"/>
      <c r="J526" s="131"/>
      <c r="K526" s="131"/>
      <c r="L526" s="131"/>
      <c r="M526" s="131"/>
      <c r="N526" s="131"/>
      <c r="O526" s="131"/>
      <c r="P526" s="131"/>
      <c r="Q526" s="131"/>
      <c r="R526" s="131"/>
      <c r="S526" s="131"/>
    </row>
    <row r="527">
      <c r="A527" s="131"/>
      <c r="B527" s="131"/>
      <c r="C527" s="131"/>
      <c r="D527" s="81"/>
      <c r="E527" s="81"/>
      <c r="F527" s="131"/>
      <c r="G527" s="131"/>
      <c r="H527" s="131"/>
      <c r="I527" s="131"/>
      <c r="J527" s="131"/>
      <c r="K527" s="131"/>
      <c r="L527" s="131"/>
      <c r="M527" s="131"/>
      <c r="N527" s="131"/>
      <c r="O527" s="131"/>
      <c r="P527" s="131"/>
      <c r="Q527" s="131"/>
      <c r="R527" s="131"/>
      <c r="S527" s="131"/>
    </row>
    <row r="528">
      <c r="A528" s="131"/>
      <c r="B528" s="131"/>
      <c r="C528" s="131"/>
      <c r="D528" s="81"/>
      <c r="E528" s="81"/>
      <c r="F528" s="131"/>
      <c r="G528" s="131"/>
      <c r="H528" s="131"/>
      <c r="I528" s="131"/>
      <c r="J528" s="131"/>
      <c r="K528" s="131"/>
      <c r="L528" s="131"/>
      <c r="M528" s="131"/>
      <c r="N528" s="131"/>
      <c r="O528" s="131"/>
      <c r="P528" s="131"/>
      <c r="Q528" s="131"/>
      <c r="R528" s="131"/>
      <c r="S528" s="131"/>
    </row>
    <row r="529">
      <c r="A529" s="131"/>
      <c r="B529" s="131"/>
      <c r="C529" s="131"/>
      <c r="D529" s="81"/>
      <c r="E529" s="81"/>
      <c r="F529" s="131"/>
      <c r="G529" s="131"/>
      <c r="H529" s="131"/>
      <c r="I529" s="131"/>
      <c r="J529" s="131"/>
      <c r="K529" s="131"/>
      <c r="L529" s="131"/>
      <c r="M529" s="131"/>
      <c r="N529" s="131"/>
      <c r="O529" s="131"/>
      <c r="P529" s="131"/>
      <c r="Q529" s="131"/>
      <c r="R529" s="131"/>
      <c r="S529" s="131"/>
    </row>
    <row r="530">
      <c r="A530" s="131"/>
      <c r="B530" s="131"/>
      <c r="C530" s="131"/>
      <c r="D530" s="81"/>
      <c r="E530" s="81"/>
      <c r="F530" s="131"/>
      <c r="G530" s="131"/>
      <c r="H530" s="131"/>
      <c r="I530" s="131"/>
      <c r="J530" s="131"/>
      <c r="K530" s="131"/>
      <c r="L530" s="131"/>
      <c r="M530" s="131"/>
      <c r="N530" s="131"/>
      <c r="O530" s="131"/>
      <c r="P530" s="131"/>
      <c r="Q530" s="131"/>
      <c r="R530" s="131"/>
      <c r="S530" s="131"/>
    </row>
    <row r="531">
      <c r="A531" s="131"/>
      <c r="B531" s="131"/>
      <c r="C531" s="131"/>
      <c r="D531" s="81"/>
      <c r="E531" s="81"/>
      <c r="F531" s="131"/>
      <c r="G531" s="131"/>
      <c r="H531" s="131"/>
      <c r="I531" s="131"/>
      <c r="J531" s="131"/>
      <c r="K531" s="131"/>
      <c r="L531" s="131"/>
      <c r="M531" s="131"/>
      <c r="N531" s="131"/>
      <c r="O531" s="131"/>
      <c r="P531" s="131"/>
      <c r="Q531" s="131"/>
      <c r="R531" s="131"/>
      <c r="S531" s="131"/>
    </row>
    <row r="532">
      <c r="A532" s="131"/>
      <c r="B532" s="131"/>
      <c r="C532" s="131"/>
      <c r="D532" s="81"/>
      <c r="E532" s="81"/>
      <c r="F532" s="131"/>
      <c r="G532" s="131"/>
      <c r="H532" s="131"/>
      <c r="I532" s="131"/>
      <c r="J532" s="131"/>
      <c r="K532" s="131"/>
      <c r="L532" s="131"/>
      <c r="M532" s="131"/>
      <c r="N532" s="131"/>
      <c r="O532" s="131"/>
      <c r="P532" s="131"/>
      <c r="Q532" s="131"/>
      <c r="R532" s="131"/>
      <c r="S532" s="131"/>
    </row>
    <row r="533">
      <c r="A533" s="131"/>
      <c r="B533" s="131"/>
      <c r="C533" s="131"/>
      <c r="D533" s="81"/>
      <c r="E533" s="81"/>
      <c r="F533" s="131"/>
      <c r="G533" s="131"/>
      <c r="H533" s="131"/>
      <c r="I533" s="131"/>
      <c r="J533" s="131"/>
      <c r="K533" s="131"/>
      <c r="L533" s="131"/>
      <c r="M533" s="131"/>
      <c r="N533" s="131"/>
      <c r="O533" s="131"/>
      <c r="P533" s="131"/>
      <c r="Q533" s="131"/>
      <c r="R533" s="131"/>
      <c r="S533" s="131"/>
    </row>
    <row r="534">
      <c r="A534" s="131"/>
      <c r="B534" s="131"/>
      <c r="C534" s="131"/>
      <c r="D534" s="81"/>
      <c r="E534" s="81"/>
      <c r="F534" s="131"/>
      <c r="G534" s="131"/>
      <c r="H534" s="131"/>
      <c r="I534" s="131"/>
      <c r="J534" s="131"/>
      <c r="K534" s="131"/>
      <c r="L534" s="131"/>
      <c r="M534" s="131"/>
      <c r="N534" s="131"/>
      <c r="O534" s="131"/>
      <c r="P534" s="131"/>
      <c r="Q534" s="131"/>
      <c r="R534" s="131"/>
      <c r="S534" s="131"/>
    </row>
    <row r="535">
      <c r="A535" s="131"/>
      <c r="B535" s="131"/>
      <c r="C535" s="131"/>
      <c r="D535" s="81"/>
      <c r="E535" s="81"/>
      <c r="F535" s="131"/>
      <c r="G535" s="131"/>
      <c r="H535" s="131"/>
      <c r="I535" s="131"/>
      <c r="J535" s="131"/>
      <c r="K535" s="131"/>
      <c r="L535" s="131"/>
      <c r="M535" s="131"/>
      <c r="N535" s="131"/>
      <c r="O535" s="131"/>
      <c r="P535" s="131"/>
      <c r="Q535" s="131"/>
      <c r="R535" s="131"/>
      <c r="S535" s="131"/>
    </row>
    <row r="536">
      <c r="A536" s="131"/>
      <c r="B536" s="131"/>
      <c r="C536" s="131"/>
      <c r="D536" s="81"/>
      <c r="E536" s="81"/>
      <c r="F536" s="131"/>
      <c r="G536" s="131"/>
      <c r="H536" s="131"/>
      <c r="I536" s="131"/>
      <c r="J536" s="131"/>
      <c r="K536" s="131"/>
      <c r="L536" s="131"/>
      <c r="M536" s="131"/>
      <c r="N536" s="131"/>
      <c r="O536" s="131"/>
      <c r="P536" s="131"/>
      <c r="Q536" s="131"/>
      <c r="R536" s="131"/>
      <c r="S536" s="131"/>
    </row>
    <row r="537">
      <c r="A537" s="131"/>
      <c r="B537" s="131"/>
      <c r="C537" s="131"/>
      <c r="D537" s="81"/>
      <c r="E537" s="81"/>
      <c r="F537" s="131"/>
      <c r="G537" s="131"/>
      <c r="H537" s="131"/>
      <c r="I537" s="131"/>
      <c r="J537" s="131"/>
      <c r="K537" s="131"/>
      <c r="L537" s="131"/>
      <c r="M537" s="131"/>
      <c r="N537" s="131"/>
      <c r="O537" s="131"/>
      <c r="P537" s="131"/>
      <c r="Q537" s="131"/>
      <c r="R537" s="131"/>
      <c r="S537" s="131"/>
    </row>
    <row r="538">
      <c r="A538" s="131"/>
      <c r="B538" s="131"/>
      <c r="C538" s="131"/>
      <c r="D538" s="81"/>
      <c r="E538" s="81"/>
      <c r="F538" s="131"/>
      <c r="G538" s="131"/>
      <c r="H538" s="131"/>
      <c r="I538" s="131"/>
      <c r="J538" s="131"/>
      <c r="K538" s="131"/>
      <c r="L538" s="131"/>
      <c r="M538" s="131"/>
      <c r="N538" s="131"/>
      <c r="O538" s="131"/>
      <c r="P538" s="131"/>
      <c r="Q538" s="131"/>
      <c r="R538" s="131"/>
      <c r="S538" s="131"/>
    </row>
    <row r="539">
      <c r="A539" s="131"/>
      <c r="B539" s="131"/>
      <c r="C539" s="131"/>
      <c r="D539" s="81"/>
      <c r="E539" s="81"/>
      <c r="F539" s="131"/>
      <c r="G539" s="131"/>
      <c r="H539" s="131"/>
      <c r="I539" s="131"/>
      <c r="J539" s="131"/>
      <c r="K539" s="131"/>
      <c r="L539" s="131"/>
      <c r="M539" s="131"/>
      <c r="N539" s="131"/>
      <c r="O539" s="131"/>
      <c r="P539" s="131"/>
      <c r="Q539" s="131"/>
      <c r="R539" s="131"/>
      <c r="S539" s="131"/>
    </row>
    <row r="540">
      <c r="A540" s="131"/>
      <c r="B540" s="131"/>
      <c r="C540" s="131"/>
      <c r="D540" s="81"/>
      <c r="E540" s="81"/>
      <c r="F540" s="131"/>
      <c r="G540" s="131"/>
      <c r="H540" s="131"/>
      <c r="I540" s="131"/>
      <c r="J540" s="131"/>
      <c r="K540" s="131"/>
      <c r="L540" s="131"/>
      <c r="M540" s="131"/>
      <c r="N540" s="131"/>
      <c r="O540" s="131"/>
      <c r="P540" s="131"/>
      <c r="Q540" s="131"/>
      <c r="R540" s="131"/>
      <c r="S540" s="131"/>
    </row>
    <row r="541">
      <c r="A541" s="131"/>
      <c r="B541" s="131"/>
      <c r="C541" s="131"/>
      <c r="D541" s="81"/>
      <c r="E541" s="81"/>
      <c r="F541" s="131"/>
      <c r="G541" s="131"/>
      <c r="H541" s="131"/>
      <c r="I541" s="131"/>
      <c r="J541" s="131"/>
      <c r="K541" s="131"/>
      <c r="L541" s="131"/>
      <c r="M541" s="131"/>
      <c r="N541" s="131"/>
      <c r="O541" s="131"/>
      <c r="P541" s="131"/>
      <c r="Q541" s="131"/>
      <c r="R541" s="131"/>
      <c r="S541" s="131"/>
    </row>
    <row r="542">
      <c r="A542" s="131"/>
      <c r="B542" s="131"/>
      <c r="C542" s="131"/>
      <c r="D542" s="81"/>
      <c r="E542" s="81"/>
      <c r="F542" s="131"/>
      <c r="G542" s="131"/>
      <c r="H542" s="131"/>
      <c r="I542" s="131"/>
      <c r="J542" s="131"/>
      <c r="K542" s="131"/>
      <c r="L542" s="131"/>
      <c r="M542" s="131"/>
      <c r="N542" s="131"/>
      <c r="O542" s="131"/>
      <c r="P542" s="131"/>
      <c r="Q542" s="131"/>
      <c r="R542" s="131"/>
      <c r="S542" s="131"/>
    </row>
    <row r="543">
      <c r="A543" s="131"/>
      <c r="B543" s="131"/>
      <c r="C543" s="131"/>
      <c r="D543" s="81"/>
      <c r="E543" s="81"/>
      <c r="F543" s="131"/>
      <c r="G543" s="131"/>
      <c r="H543" s="131"/>
      <c r="I543" s="131"/>
      <c r="J543" s="131"/>
      <c r="K543" s="131"/>
      <c r="L543" s="131"/>
      <c r="M543" s="131"/>
      <c r="N543" s="131"/>
      <c r="O543" s="131"/>
      <c r="P543" s="131"/>
      <c r="Q543" s="131"/>
      <c r="R543" s="131"/>
      <c r="S543" s="131"/>
    </row>
    <row r="544">
      <c r="A544" s="131"/>
      <c r="B544" s="131"/>
      <c r="C544" s="131"/>
      <c r="D544" s="81"/>
      <c r="E544" s="81"/>
      <c r="F544" s="131"/>
      <c r="G544" s="131"/>
      <c r="H544" s="131"/>
      <c r="I544" s="131"/>
      <c r="J544" s="131"/>
      <c r="K544" s="131"/>
      <c r="L544" s="131"/>
      <c r="M544" s="131"/>
      <c r="N544" s="131"/>
      <c r="O544" s="131"/>
      <c r="P544" s="131"/>
      <c r="Q544" s="131"/>
      <c r="R544" s="131"/>
      <c r="S544" s="131"/>
    </row>
    <row r="545">
      <c r="A545" s="131"/>
      <c r="B545" s="131"/>
      <c r="C545" s="131"/>
      <c r="D545" s="81"/>
      <c r="E545" s="81"/>
      <c r="F545" s="131"/>
      <c r="G545" s="131"/>
      <c r="H545" s="131"/>
      <c r="I545" s="131"/>
      <c r="J545" s="131"/>
      <c r="K545" s="131"/>
      <c r="L545" s="131"/>
      <c r="M545" s="131"/>
      <c r="N545" s="131"/>
      <c r="O545" s="131"/>
      <c r="P545" s="131"/>
      <c r="Q545" s="131"/>
      <c r="R545" s="131"/>
      <c r="S545" s="131"/>
    </row>
    <row r="546">
      <c r="A546" s="131"/>
      <c r="B546" s="131"/>
      <c r="C546" s="131"/>
      <c r="D546" s="81"/>
      <c r="E546" s="81"/>
      <c r="F546" s="131"/>
      <c r="G546" s="131"/>
      <c r="H546" s="131"/>
      <c r="I546" s="131"/>
      <c r="J546" s="131"/>
      <c r="K546" s="131"/>
      <c r="L546" s="131"/>
      <c r="M546" s="131"/>
      <c r="N546" s="131"/>
      <c r="O546" s="131"/>
      <c r="P546" s="131"/>
      <c r="Q546" s="131"/>
      <c r="R546" s="131"/>
      <c r="S546" s="131"/>
    </row>
    <row r="547">
      <c r="A547" s="131"/>
      <c r="B547" s="131"/>
      <c r="C547" s="131"/>
      <c r="D547" s="81"/>
      <c r="E547" s="81"/>
      <c r="F547" s="131"/>
      <c r="G547" s="131"/>
      <c r="H547" s="131"/>
      <c r="I547" s="131"/>
      <c r="J547" s="131"/>
      <c r="K547" s="131"/>
      <c r="L547" s="131"/>
      <c r="M547" s="131"/>
      <c r="N547" s="131"/>
      <c r="O547" s="131"/>
      <c r="P547" s="131"/>
      <c r="Q547" s="131"/>
      <c r="R547" s="131"/>
      <c r="S547" s="131"/>
    </row>
    <row r="548">
      <c r="A548" s="131"/>
      <c r="B548" s="131"/>
      <c r="C548" s="131"/>
      <c r="D548" s="81"/>
      <c r="E548" s="81"/>
      <c r="F548" s="131"/>
      <c r="G548" s="131"/>
      <c r="H548" s="131"/>
      <c r="I548" s="131"/>
      <c r="J548" s="131"/>
      <c r="K548" s="131"/>
      <c r="L548" s="131"/>
      <c r="M548" s="131"/>
      <c r="N548" s="131"/>
      <c r="O548" s="131"/>
      <c r="P548" s="131"/>
      <c r="Q548" s="131"/>
      <c r="R548" s="131"/>
      <c r="S548" s="131"/>
    </row>
    <row r="549">
      <c r="A549" s="131"/>
      <c r="B549" s="131"/>
      <c r="C549" s="131"/>
      <c r="D549" s="81"/>
      <c r="E549" s="81"/>
      <c r="F549" s="131"/>
      <c r="G549" s="131"/>
      <c r="H549" s="131"/>
      <c r="I549" s="131"/>
      <c r="J549" s="131"/>
      <c r="K549" s="131"/>
      <c r="L549" s="131"/>
      <c r="M549" s="131"/>
      <c r="N549" s="131"/>
      <c r="O549" s="131"/>
      <c r="P549" s="131"/>
      <c r="Q549" s="131"/>
      <c r="R549" s="131"/>
      <c r="S549" s="131"/>
    </row>
    <row r="550">
      <c r="A550" s="131"/>
      <c r="B550" s="131"/>
      <c r="C550" s="131"/>
      <c r="D550" s="81"/>
      <c r="E550" s="81"/>
      <c r="F550" s="131"/>
      <c r="G550" s="131"/>
      <c r="H550" s="131"/>
      <c r="I550" s="131"/>
      <c r="J550" s="131"/>
      <c r="K550" s="131"/>
      <c r="L550" s="131"/>
      <c r="M550" s="131"/>
      <c r="N550" s="131"/>
      <c r="O550" s="131"/>
      <c r="P550" s="131"/>
      <c r="Q550" s="131"/>
      <c r="R550" s="131"/>
      <c r="S550" s="131"/>
    </row>
    <row r="551">
      <c r="A551" s="131"/>
      <c r="B551" s="131"/>
      <c r="C551" s="131"/>
      <c r="D551" s="81"/>
      <c r="E551" s="81"/>
      <c r="F551" s="131"/>
      <c r="G551" s="131"/>
      <c r="H551" s="131"/>
      <c r="I551" s="131"/>
      <c r="J551" s="131"/>
      <c r="K551" s="131"/>
      <c r="L551" s="131"/>
      <c r="M551" s="131"/>
      <c r="N551" s="131"/>
      <c r="O551" s="131"/>
      <c r="P551" s="131"/>
      <c r="Q551" s="131"/>
      <c r="R551" s="131"/>
      <c r="S551" s="131"/>
    </row>
    <row r="552">
      <c r="A552" s="131"/>
      <c r="B552" s="131"/>
      <c r="C552" s="131"/>
      <c r="D552" s="81"/>
      <c r="E552" s="81"/>
      <c r="F552" s="131"/>
      <c r="G552" s="131"/>
      <c r="H552" s="131"/>
      <c r="I552" s="131"/>
      <c r="J552" s="131"/>
      <c r="K552" s="131"/>
      <c r="L552" s="131"/>
      <c r="M552" s="131"/>
      <c r="N552" s="131"/>
      <c r="O552" s="131"/>
      <c r="P552" s="131"/>
      <c r="Q552" s="131"/>
      <c r="R552" s="131"/>
      <c r="S552" s="131"/>
    </row>
    <row r="553">
      <c r="A553" s="131"/>
      <c r="B553" s="131"/>
      <c r="C553" s="131"/>
      <c r="D553" s="81"/>
      <c r="E553" s="81"/>
      <c r="F553" s="131"/>
      <c r="G553" s="131"/>
      <c r="H553" s="131"/>
      <c r="I553" s="131"/>
      <c r="J553" s="131"/>
      <c r="K553" s="131"/>
      <c r="L553" s="131"/>
      <c r="M553" s="131"/>
      <c r="N553" s="131"/>
      <c r="O553" s="131"/>
      <c r="P553" s="131"/>
      <c r="Q553" s="131"/>
      <c r="R553" s="131"/>
      <c r="S553" s="131"/>
    </row>
    <row r="554">
      <c r="A554" s="131"/>
      <c r="B554" s="131"/>
      <c r="C554" s="131"/>
      <c r="D554" s="81"/>
      <c r="E554" s="81"/>
      <c r="F554" s="131"/>
      <c r="G554" s="131"/>
      <c r="H554" s="131"/>
      <c r="I554" s="131"/>
      <c r="J554" s="131"/>
      <c r="K554" s="131"/>
      <c r="L554" s="131"/>
      <c r="M554" s="131"/>
      <c r="N554" s="131"/>
      <c r="O554" s="131"/>
      <c r="P554" s="131"/>
      <c r="Q554" s="131"/>
      <c r="R554" s="131"/>
      <c r="S554" s="131"/>
    </row>
    <row r="555">
      <c r="A555" s="131"/>
      <c r="B555" s="131"/>
      <c r="C555" s="131"/>
      <c r="D555" s="81"/>
      <c r="E555" s="81"/>
      <c r="F555" s="131"/>
      <c r="G555" s="131"/>
      <c r="H555" s="131"/>
      <c r="I555" s="131"/>
      <c r="J555" s="131"/>
      <c r="K555" s="131"/>
      <c r="L555" s="131"/>
      <c r="M555" s="131"/>
      <c r="N555" s="131"/>
      <c r="O555" s="131"/>
      <c r="P555" s="131"/>
      <c r="Q555" s="131"/>
      <c r="R555" s="131"/>
      <c r="S555" s="131"/>
    </row>
    <row r="556">
      <c r="A556" s="131"/>
      <c r="B556" s="131"/>
      <c r="C556" s="131"/>
      <c r="D556" s="81"/>
      <c r="E556" s="81"/>
      <c r="F556" s="131"/>
      <c r="G556" s="131"/>
      <c r="H556" s="131"/>
      <c r="I556" s="131"/>
      <c r="J556" s="131"/>
      <c r="K556" s="131"/>
      <c r="L556" s="131"/>
      <c r="M556" s="131"/>
      <c r="N556" s="131"/>
      <c r="O556" s="131"/>
      <c r="P556" s="131"/>
      <c r="Q556" s="131"/>
      <c r="R556" s="131"/>
      <c r="S556" s="131"/>
    </row>
    <row r="557">
      <c r="A557" s="131"/>
      <c r="B557" s="131"/>
      <c r="C557" s="131"/>
      <c r="D557" s="81"/>
      <c r="E557" s="81"/>
      <c r="F557" s="131"/>
      <c r="G557" s="131"/>
      <c r="H557" s="131"/>
      <c r="I557" s="131"/>
      <c r="J557" s="131"/>
      <c r="K557" s="131"/>
      <c r="L557" s="131"/>
      <c r="M557" s="131"/>
      <c r="N557" s="131"/>
      <c r="O557" s="131"/>
      <c r="P557" s="131"/>
      <c r="Q557" s="131"/>
      <c r="R557" s="131"/>
      <c r="S557" s="131"/>
    </row>
    <row r="558">
      <c r="A558" s="131"/>
      <c r="B558" s="131"/>
      <c r="C558" s="131"/>
      <c r="D558" s="81"/>
      <c r="E558" s="81"/>
      <c r="F558" s="131"/>
      <c r="G558" s="131"/>
      <c r="H558" s="131"/>
      <c r="I558" s="131"/>
      <c r="J558" s="131"/>
      <c r="K558" s="131"/>
      <c r="L558" s="131"/>
      <c r="M558" s="131"/>
      <c r="N558" s="131"/>
      <c r="O558" s="131"/>
      <c r="P558" s="131"/>
      <c r="Q558" s="131"/>
      <c r="R558" s="131"/>
      <c r="S558" s="131"/>
    </row>
    <row r="559">
      <c r="A559" s="131"/>
      <c r="B559" s="131"/>
      <c r="C559" s="131"/>
      <c r="D559" s="81"/>
      <c r="E559" s="81"/>
      <c r="F559" s="131"/>
      <c r="G559" s="131"/>
      <c r="H559" s="131"/>
      <c r="I559" s="131"/>
      <c r="J559" s="131"/>
      <c r="K559" s="131"/>
      <c r="L559" s="131"/>
      <c r="M559" s="131"/>
      <c r="N559" s="131"/>
      <c r="O559" s="131"/>
      <c r="P559" s="131"/>
      <c r="Q559" s="131"/>
      <c r="R559" s="131"/>
      <c r="S559" s="131"/>
    </row>
    <row r="560">
      <c r="A560" s="131"/>
      <c r="B560" s="131"/>
      <c r="C560" s="131"/>
      <c r="D560" s="81"/>
      <c r="E560" s="81"/>
      <c r="F560" s="131"/>
      <c r="G560" s="131"/>
      <c r="H560" s="131"/>
      <c r="I560" s="131"/>
      <c r="J560" s="131"/>
      <c r="K560" s="131"/>
      <c r="L560" s="131"/>
      <c r="M560" s="131"/>
      <c r="N560" s="131"/>
      <c r="O560" s="131"/>
      <c r="P560" s="131"/>
      <c r="Q560" s="131"/>
      <c r="R560" s="131"/>
      <c r="S560" s="131"/>
    </row>
    <row r="561">
      <c r="A561" s="131"/>
      <c r="B561" s="131"/>
      <c r="C561" s="131"/>
      <c r="D561" s="81"/>
      <c r="E561" s="81"/>
      <c r="F561" s="131"/>
      <c r="G561" s="131"/>
      <c r="H561" s="131"/>
      <c r="I561" s="131"/>
      <c r="J561" s="131"/>
      <c r="K561" s="131"/>
      <c r="L561" s="131"/>
      <c r="M561" s="131"/>
      <c r="N561" s="131"/>
      <c r="O561" s="131"/>
      <c r="P561" s="131"/>
      <c r="Q561" s="131"/>
      <c r="R561" s="131"/>
      <c r="S561" s="131"/>
    </row>
    <row r="562">
      <c r="A562" s="131"/>
      <c r="B562" s="131"/>
      <c r="C562" s="131"/>
      <c r="D562" s="81"/>
      <c r="E562" s="81"/>
      <c r="F562" s="131"/>
      <c r="G562" s="131"/>
      <c r="H562" s="131"/>
      <c r="I562" s="131"/>
      <c r="J562" s="131"/>
      <c r="K562" s="131"/>
      <c r="L562" s="131"/>
      <c r="M562" s="131"/>
      <c r="N562" s="131"/>
      <c r="O562" s="131"/>
      <c r="P562" s="131"/>
      <c r="Q562" s="131"/>
      <c r="R562" s="131"/>
      <c r="S562" s="131"/>
    </row>
    <row r="563">
      <c r="A563" s="131"/>
      <c r="B563" s="131"/>
      <c r="C563" s="131"/>
      <c r="D563" s="81"/>
      <c r="E563" s="81"/>
      <c r="F563" s="131"/>
      <c r="G563" s="131"/>
      <c r="H563" s="131"/>
      <c r="I563" s="131"/>
      <c r="J563" s="131"/>
      <c r="K563" s="131"/>
      <c r="L563" s="131"/>
      <c r="M563" s="131"/>
      <c r="N563" s="131"/>
      <c r="O563" s="131"/>
      <c r="P563" s="131"/>
      <c r="Q563" s="131"/>
      <c r="R563" s="131"/>
      <c r="S563" s="131"/>
    </row>
    <row r="564">
      <c r="A564" s="131"/>
      <c r="B564" s="131"/>
      <c r="C564" s="131"/>
      <c r="D564" s="81"/>
      <c r="E564" s="81"/>
      <c r="F564" s="131"/>
      <c r="G564" s="131"/>
      <c r="H564" s="131"/>
      <c r="I564" s="131"/>
      <c r="J564" s="131"/>
      <c r="K564" s="131"/>
      <c r="L564" s="131"/>
      <c r="M564" s="131"/>
      <c r="N564" s="131"/>
      <c r="O564" s="131"/>
      <c r="P564" s="131"/>
      <c r="Q564" s="131"/>
      <c r="R564" s="131"/>
      <c r="S564" s="131"/>
    </row>
    <row r="565">
      <c r="A565" s="131"/>
      <c r="B565" s="131"/>
      <c r="C565" s="131"/>
      <c r="D565" s="81"/>
      <c r="E565" s="81"/>
      <c r="F565" s="131"/>
      <c r="G565" s="131"/>
      <c r="H565" s="131"/>
      <c r="I565" s="131"/>
      <c r="J565" s="131"/>
      <c r="K565" s="131"/>
      <c r="L565" s="131"/>
      <c r="M565" s="131"/>
      <c r="N565" s="131"/>
      <c r="O565" s="131"/>
      <c r="P565" s="131"/>
      <c r="Q565" s="131"/>
      <c r="R565" s="131"/>
      <c r="S565" s="131"/>
    </row>
    <row r="566">
      <c r="A566" s="131"/>
      <c r="B566" s="131"/>
      <c r="C566" s="131"/>
      <c r="D566" s="81"/>
      <c r="E566" s="81"/>
      <c r="F566" s="131"/>
      <c r="G566" s="131"/>
      <c r="H566" s="131"/>
      <c r="I566" s="131"/>
      <c r="J566" s="131"/>
      <c r="K566" s="131"/>
      <c r="L566" s="131"/>
      <c r="M566" s="131"/>
      <c r="N566" s="131"/>
      <c r="O566" s="131"/>
      <c r="P566" s="131"/>
      <c r="Q566" s="131"/>
      <c r="R566" s="131"/>
      <c r="S566" s="131"/>
    </row>
    <row r="567">
      <c r="A567" s="131"/>
      <c r="B567" s="131"/>
      <c r="C567" s="131"/>
      <c r="D567" s="81"/>
      <c r="E567" s="81"/>
      <c r="F567" s="131"/>
      <c r="G567" s="131"/>
      <c r="H567" s="131"/>
      <c r="I567" s="131"/>
      <c r="J567" s="131"/>
      <c r="K567" s="131"/>
      <c r="L567" s="131"/>
      <c r="M567" s="131"/>
      <c r="N567" s="131"/>
      <c r="O567" s="131"/>
      <c r="P567" s="131"/>
      <c r="Q567" s="131"/>
      <c r="R567" s="131"/>
      <c r="S567" s="131"/>
    </row>
    <row r="568">
      <c r="A568" s="131"/>
      <c r="B568" s="131"/>
      <c r="C568" s="131"/>
      <c r="D568" s="81"/>
      <c r="E568" s="81"/>
      <c r="F568" s="131"/>
      <c r="G568" s="131"/>
      <c r="H568" s="131"/>
      <c r="I568" s="131"/>
      <c r="J568" s="131"/>
      <c r="K568" s="131"/>
      <c r="L568" s="131"/>
      <c r="M568" s="131"/>
      <c r="N568" s="131"/>
      <c r="O568" s="131"/>
      <c r="P568" s="131"/>
      <c r="Q568" s="131"/>
      <c r="R568" s="131"/>
      <c r="S568" s="131"/>
    </row>
    <row r="569">
      <c r="A569" s="131"/>
      <c r="B569" s="131"/>
      <c r="C569" s="131"/>
      <c r="D569" s="81"/>
      <c r="E569" s="81"/>
      <c r="F569" s="131"/>
      <c r="G569" s="131"/>
      <c r="H569" s="131"/>
      <c r="I569" s="131"/>
      <c r="J569" s="131"/>
      <c r="K569" s="131"/>
      <c r="L569" s="131"/>
      <c r="M569" s="131"/>
      <c r="N569" s="131"/>
      <c r="O569" s="131"/>
      <c r="P569" s="131"/>
      <c r="Q569" s="131"/>
      <c r="R569" s="131"/>
      <c r="S569" s="131"/>
    </row>
    <row r="570">
      <c r="A570" s="131"/>
      <c r="B570" s="131"/>
      <c r="C570" s="131"/>
      <c r="D570" s="81"/>
      <c r="E570" s="81"/>
      <c r="F570" s="131"/>
      <c r="G570" s="131"/>
      <c r="H570" s="131"/>
      <c r="I570" s="131"/>
      <c r="J570" s="131"/>
      <c r="K570" s="131"/>
      <c r="L570" s="131"/>
      <c r="M570" s="131"/>
      <c r="N570" s="131"/>
      <c r="O570" s="131"/>
      <c r="P570" s="131"/>
      <c r="Q570" s="131"/>
      <c r="R570" s="131"/>
      <c r="S570" s="131"/>
    </row>
    <row r="571">
      <c r="A571" s="131"/>
      <c r="B571" s="131"/>
      <c r="C571" s="131"/>
      <c r="D571" s="81"/>
      <c r="E571" s="81"/>
      <c r="F571" s="131"/>
      <c r="G571" s="131"/>
      <c r="H571" s="131"/>
      <c r="I571" s="131"/>
      <c r="J571" s="131"/>
      <c r="K571" s="131"/>
      <c r="L571" s="131"/>
      <c r="M571" s="131"/>
      <c r="N571" s="131"/>
      <c r="O571" s="131"/>
      <c r="P571" s="131"/>
      <c r="Q571" s="131"/>
      <c r="R571" s="131"/>
      <c r="S571" s="131"/>
    </row>
    <row r="572">
      <c r="A572" s="131"/>
      <c r="B572" s="131"/>
      <c r="C572" s="131"/>
      <c r="D572" s="81"/>
      <c r="E572" s="81"/>
      <c r="F572" s="131"/>
      <c r="G572" s="131"/>
      <c r="H572" s="131"/>
      <c r="I572" s="131"/>
      <c r="J572" s="131"/>
      <c r="K572" s="131"/>
      <c r="L572" s="131"/>
      <c r="M572" s="131"/>
      <c r="N572" s="131"/>
      <c r="O572" s="131"/>
      <c r="P572" s="131"/>
      <c r="Q572" s="131"/>
      <c r="R572" s="131"/>
      <c r="S572" s="131"/>
    </row>
    <row r="573">
      <c r="A573" s="131"/>
      <c r="B573" s="131"/>
      <c r="C573" s="131"/>
      <c r="D573" s="81"/>
      <c r="E573" s="81"/>
      <c r="F573" s="131"/>
      <c r="G573" s="131"/>
      <c r="H573" s="131"/>
      <c r="I573" s="131"/>
      <c r="J573" s="131"/>
      <c r="K573" s="131"/>
      <c r="L573" s="131"/>
      <c r="M573" s="131"/>
      <c r="N573" s="131"/>
      <c r="O573" s="131"/>
      <c r="P573" s="131"/>
      <c r="Q573" s="131"/>
      <c r="R573" s="131"/>
      <c r="S573" s="131"/>
    </row>
    <row r="574">
      <c r="A574" s="131"/>
      <c r="B574" s="131"/>
      <c r="C574" s="131"/>
      <c r="D574" s="81"/>
      <c r="E574" s="81"/>
      <c r="F574" s="131"/>
      <c r="G574" s="131"/>
      <c r="H574" s="131"/>
      <c r="I574" s="131"/>
      <c r="J574" s="131"/>
      <c r="K574" s="131"/>
      <c r="L574" s="131"/>
      <c r="M574" s="131"/>
      <c r="N574" s="131"/>
      <c r="O574" s="131"/>
      <c r="P574" s="131"/>
      <c r="Q574" s="131"/>
      <c r="R574" s="131"/>
      <c r="S574" s="131"/>
    </row>
    <row r="575">
      <c r="A575" s="131"/>
      <c r="B575" s="131"/>
      <c r="C575" s="131"/>
      <c r="D575" s="81"/>
      <c r="E575" s="81"/>
      <c r="F575" s="131"/>
      <c r="G575" s="131"/>
      <c r="H575" s="131"/>
      <c r="I575" s="131"/>
      <c r="J575" s="131"/>
      <c r="K575" s="131"/>
      <c r="L575" s="131"/>
      <c r="M575" s="131"/>
      <c r="N575" s="131"/>
      <c r="O575" s="131"/>
      <c r="P575" s="131"/>
      <c r="Q575" s="131"/>
      <c r="R575" s="131"/>
      <c r="S575" s="131"/>
    </row>
    <row r="576">
      <c r="A576" s="131"/>
      <c r="B576" s="131"/>
      <c r="C576" s="131"/>
      <c r="D576" s="81"/>
      <c r="E576" s="81"/>
      <c r="F576" s="131"/>
      <c r="G576" s="131"/>
      <c r="H576" s="131"/>
      <c r="I576" s="131"/>
      <c r="J576" s="131"/>
      <c r="K576" s="131"/>
      <c r="L576" s="131"/>
      <c r="M576" s="131"/>
      <c r="N576" s="131"/>
      <c r="O576" s="131"/>
      <c r="P576" s="131"/>
      <c r="Q576" s="131"/>
      <c r="R576" s="131"/>
      <c r="S576" s="131"/>
    </row>
    <row r="577">
      <c r="A577" s="131"/>
      <c r="B577" s="131"/>
      <c r="C577" s="131"/>
      <c r="D577" s="81"/>
      <c r="E577" s="81"/>
      <c r="F577" s="131"/>
      <c r="G577" s="131"/>
      <c r="H577" s="131"/>
      <c r="I577" s="131"/>
      <c r="J577" s="131"/>
      <c r="K577" s="131"/>
      <c r="L577" s="131"/>
      <c r="M577" s="131"/>
      <c r="N577" s="131"/>
      <c r="O577" s="131"/>
      <c r="P577" s="131"/>
      <c r="Q577" s="131"/>
      <c r="R577" s="131"/>
      <c r="S577" s="131"/>
    </row>
    <row r="578">
      <c r="A578" s="131"/>
      <c r="B578" s="131"/>
      <c r="C578" s="131"/>
      <c r="D578" s="81"/>
      <c r="E578" s="81"/>
      <c r="F578" s="131"/>
      <c r="G578" s="131"/>
      <c r="H578" s="131"/>
      <c r="I578" s="131"/>
      <c r="J578" s="131"/>
      <c r="K578" s="131"/>
      <c r="L578" s="131"/>
      <c r="M578" s="131"/>
      <c r="N578" s="131"/>
      <c r="O578" s="131"/>
      <c r="P578" s="131"/>
      <c r="Q578" s="131"/>
      <c r="R578" s="131"/>
      <c r="S578" s="131"/>
    </row>
    <row r="579">
      <c r="A579" s="131"/>
      <c r="B579" s="131"/>
      <c r="C579" s="131"/>
      <c r="D579" s="81"/>
      <c r="E579" s="81"/>
      <c r="F579" s="131"/>
      <c r="G579" s="131"/>
      <c r="H579" s="131"/>
      <c r="I579" s="131"/>
      <c r="J579" s="131"/>
      <c r="K579" s="131"/>
      <c r="L579" s="131"/>
      <c r="M579" s="131"/>
      <c r="N579" s="131"/>
      <c r="O579" s="131"/>
      <c r="P579" s="131"/>
      <c r="Q579" s="131"/>
      <c r="R579" s="131"/>
      <c r="S579" s="131"/>
    </row>
    <row r="580">
      <c r="A580" s="131"/>
      <c r="B580" s="131"/>
      <c r="C580" s="131"/>
      <c r="D580" s="81"/>
      <c r="E580" s="81"/>
      <c r="F580" s="131"/>
      <c r="G580" s="131"/>
      <c r="H580" s="131"/>
      <c r="I580" s="131"/>
      <c r="J580" s="131"/>
      <c r="K580" s="131"/>
      <c r="L580" s="131"/>
      <c r="M580" s="131"/>
      <c r="N580" s="131"/>
      <c r="O580" s="131"/>
      <c r="P580" s="131"/>
      <c r="Q580" s="131"/>
      <c r="R580" s="131"/>
      <c r="S580" s="131"/>
    </row>
    <row r="581">
      <c r="A581" s="131"/>
      <c r="B581" s="131"/>
      <c r="C581" s="131"/>
      <c r="D581" s="81"/>
      <c r="E581" s="81"/>
      <c r="F581" s="131"/>
      <c r="G581" s="131"/>
      <c r="H581" s="131"/>
      <c r="I581" s="131"/>
      <c r="J581" s="131"/>
      <c r="K581" s="131"/>
      <c r="L581" s="131"/>
      <c r="M581" s="131"/>
      <c r="N581" s="131"/>
      <c r="O581" s="131"/>
      <c r="P581" s="131"/>
      <c r="Q581" s="131"/>
      <c r="R581" s="131"/>
      <c r="S581" s="131"/>
    </row>
    <row r="582">
      <c r="A582" s="131"/>
      <c r="B582" s="131"/>
      <c r="C582" s="131"/>
      <c r="D582" s="81"/>
      <c r="E582" s="81"/>
      <c r="F582" s="131"/>
      <c r="G582" s="131"/>
      <c r="H582" s="131"/>
      <c r="I582" s="131"/>
      <c r="J582" s="131"/>
      <c r="K582" s="131"/>
      <c r="L582" s="131"/>
      <c r="M582" s="131"/>
      <c r="N582" s="131"/>
      <c r="O582" s="131"/>
      <c r="P582" s="131"/>
      <c r="Q582" s="131"/>
      <c r="R582" s="131"/>
      <c r="S582" s="131"/>
    </row>
    <row r="583">
      <c r="A583" s="131"/>
      <c r="B583" s="131"/>
      <c r="C583" s="131"/>
      <c r="D583" s="81"/>
      <c r="E583" s="81"/>
      <c r="F583" s="131"/>
      <c r="G583" s="131"/>
      <c r="H583" s="131"/>
      <c r="I583" s="131"/>
      <c r="J583" s="131"/>
      <c r="K583" s="131"/>
      <c r="L583" s="131"/>
      <c r="M583" s="131"/>
      <c r="N583" s="131"/>
      <c r="O583" s="131"/>
      <c r="P583" s="131"/>
      <c r="Q583" s="131"/>
      <c r="R583" s="131"/>
      <c r="S583" s="131"/>
    </row>
    <row r="584">
      <c r="A584" s="131"/>
      <c r="B584" s="131"/>
      <c r="C584" s="131"/>
      <c r="D584" s="81"/>
      <c r="E584" s="81"/>
      <c r="F584" s="131"/>
      <c r="G584" s="131"/>
      <c r="H584" s="131"/>
      <c r="I584" s="131"/>
      <c r="J584" s="131"/>
      <c r="K584" s="131"/>
      <c r="L584" s="131"/>
      <c r="M584" s="131"/>
      <c r="N584" s="131"/>
      <c r="O584" s="131"/>
      <c r="P584" s="131"/>
      <c r="Q584" s="131"/>
      <c r="R584" s="131"/>
      <c r="S584" s="131"/>
    </row>
    <row r="585">
      <c r="A585" s="131"/>
      <c r="B585" s="131"/>
      <c r="C585" s="131"/>
      <c r="D585" s="81"/>
      <c r="E585" s="81"/>
      <c r="F585" s="131"/>
      <c r="G585" s="131"/>
      <c r="H585" s="131"/>
      <c r="I585" s="131"/>
      <c r="J585" s="131"/>
      <c r="K585" s="131"/>
      <c r="L585" s="131"/>
      <c r="M585" s="131"/>
      <c r="N585" s="131"/>
      <c r="O585" s="131"/>
      <c r="P585" s="131"/>
      <c r="Q585" s="131"/>
      <c r="R585" s="131"/>
      <c r="S585" s="131"/>
    </row>
    <row r="586">
      <c r="A586" s="131"/>
      <c r="B586" s="131"/>
      <c r="C586" s="131"/>
      <c r="D586" s="81"/>
      <c r="E586" s="81"/>
      <c r="F586" s="131"/>
      <c r="G586" s="131"/>
      <c r="H586" s="131"/>
      <c r="I586" s="131"/>
      <c r="J586" s="131"/>
      <c r="K586" s="131"/>
      <c r="L586" s="131"/>
      <c r="M586" s="131"/>
      <c r="N586" s="131"/>
      <c r="O586" s="131"/>
      <c r="P586" s="131"/>
      <c r="Q586" s="131"/>
      <c r="R586" s="131"/>
      <c r="S586" s="131"/>
    </row>
    <row r="587">
      <c r="A587" s="131"/>
      <c r="B587" s="131"/>
      <c r="C587" s="131"/>
      <c r="D587" s="81"/>
      <c r="E587" s="81"/>
      <c r="F587" s="131"/>
      <c r="G587" s="131"/>
      <c r="H587" s="131"/>
      <c r="I587" s="131"/>
      <c r="J587" s="131"/>
      <c r="K587" s="131"/>
      <c r="L587" s="131"/>
      <c r="M587" s="131"/>
      <c r="N587" s="131"/>
      <c r="O587" s="131"/>
      <c r="P587" s="131"/>
      <c r="Q587" s="131"/>
      <c r="R587" s="131"/>
      <c r="S587" s="131"/>
    </row>
    <row r="588">
      <c r="A588" s="131"/>
      <c r="B588" s="131"/>
      <c r="C588" s="131"/>
      <c r="D588" s="81"/>
      <c r="E588" s="81"/>
      <c r="F588" s="131"/>
      <c r="G588" s="131"/>
      <c r="H588" s="131"/>
      <c r="I588" s="131"/>
      <c r="J588" s="131"/>
      <c r="K588" s="131"/>
      <c r="L588" s="131"/>
      <c r="M588" s="131"/>
      <c r="N588" s="131"/>
      <c r="O588" s="131"/>
      <c r="P588" s="131"/>
      <c r="Q588" s="131"/>
      <c r="R588" s="131"/>
      <c r="S588" s="131"/>
    </row>
    <row r="589">
      <c r="A589" s="131"/>
      <c r="B589" s="131"/>
      <c r="C589" s="131"/>
      <c r="D589" s="81"/>
      <c r="E589" s="81"/>
      <c r="F589" s="131"/>
      <c r="G589" s="131"/>
      <c r="H589" s="131"/>
      <c r="I589" s="131"/>
      <c r="J589" s="131"/>
      <c r="K589" s="131"/>
      <c r="L589" s="131"/>
      <c r="M589" s="131"/>
      <c r="N589" s="131"/>
      <c r="O589" s="131"/>
      <c r="P589" s="131"/>
      <c r="Q589" s="131"/>
      <c r="R589" s="131"/>
      <c r="S589" s="131"/>
    </row>
    <row r="590">
      <c r="A590" s="131"/>
      <c r="B590" s="131"/>
      <c r="C590" s="131"/>
      <c r="D590" s="81"/>
      <c r="E590" s="81"/>
      <c r="F590" s="131"/>
      <c r="G590" s="131"/>
      <c r="H590" s="131"/>
      <c r="I590" s="131"/>
      <c r="J590" s="131"/>
      <c r="K590" s="131"/>
      <c r="L590" s="131"/>
      <c r="M590" s="131"/>
      <c r="N590" s="131"/>
      <c r="O590" s="131"/>
      <c r="P590" s="131"/>
      <c r="Q590" s="131"/>
      <c r="R590" s="131"/>
      <c r="S590" s="131"/>
    </row>
    <row r="591">
      <c r="A591" s="131"/>
      <c r="B591" s="131"/>
      <c r="C591" s="131"/>
      <c r="D591" s="81"/>
      <c r="E591" s="81"/>
      <c r="F591" s="131"/>
      <c r="G591" s="131"/>
      <c r="H591" s="131"/>
      <c r="I591" s="131"/>
      <c r="J591" s="131"/>
      <c r="K591" s="131"/>
      <c r="L591" s="131"/>
      <c r="M591" s="131"/>
      <c r="N591" s="131"/>
      <c r="O591" s="131"/>
      <c r="P591" s="131"/>
      <c r="Q591" s="131"/>
      <c r="R591" s="131"/>
      <c r="S591" s="131"/>
    </row>
    <row r="592">
      <c r="A592" s="131"/>
      <c r="B592" s="131"/>
      <c r="C592" s="131"/>
      <c r="D592" s="81"/>
      <c r="E592" s="81"/>
      <c r="F592" s="131"/>
      <c r="G592" s="131"/>
      <c r="H592" s="131"/>
      <c r="I592" s="131"/>
      <c r="J592" s="131"/>
      <c r="K592" s="131"/>
      <c r="L592" s="131"/>
      <c r="M592" s="131"/>
      <c r="N592" s="131"/>
      <c r="O592" s="131"/>
      <c r="P592" s="131"/>
      <c r="Q592" s="131"/>
      <c r="R592" s="131"/>
      <c r="S592" s="131"/>
    </row>
    <row r="593">
      <c r="A593" s="131"/>
      <c r="B593" s="131"/>
      <c r="C593" s="131"/>
      <c r="D593" s="81"/>
      <c r="E593" s="81"/>
      <c r="F593" s="131"/>
      <c r="G593" s="131"/>
      <c r="H593" s="131"/>
      <c r="I593" s="131"/>
      <c r="J593" s="131"/>
      <c r="K593" s="131"/>
      <c r="L593" s="131"/>
      <c r="M593" s="131"/>
      <c r="N593" s="131"/>
      <c r="O593" s="131"/>
      <c r="P593" s="131"/>
      <c r="Q593" s="131"/>
      <c r="R593" s="131"/>
      <c r="S593" s="131"/>
    </row>
    <row r="594">
      <c r="A594" s="131"/>
      <c r="B594" s="131"/>
      <c r="C594" s="131"/>
      <c r="D594" s="81"/>
      <c r="E594" s="81"/>
      <c r="F594" s="131"/>
      <c r="G594" s="131"/>
      <c r="H594" s="131"/>
      <c r="I594" s="131"/>
      <c r="J594" s="131"/>
      <c r="K594" s="131"/>
      <c r="L594" s="131"/>
      <c r="M594" s="131"/>
      <c r="N594" s="131"/>
      <c r="O594" s="131"/>
      <c r="P594" s="131"/>
      <c r="Q594" s="131"/>
      <c r="R594" s="131"/>
      <c r="S594" s="131"/>
    </row>
    <row r="595">
      <c r="A595" s="131"/>
      <c r="B595" s="131"/>
      <c r="C595" s="131"/>
      <c r="D595" s="81"/>
      <c r="E595" s="81"/>
      <c r="F595" s="131"/>
      <c r="G595" s="131"/>
      <c r="H595" s="131"/>
      <c r="I595" s="131"/>
      <c r="J595" s="131"/>
      <c r="K595" s="131"/>
      <c r="L595" s="131"/>
      <c r="M595" s="131"/>
      <c r="N595" s="131"/>
      <c r="O595" s="131"/>
      <c r="P595" s="131"/>
      <c r="Q595" s="131"/>
      <c r="R595" s="131"/>
      <c r="S595" s="131"/>
    </row>
    <row r="596">
      <c r="A596" s="131"/>
      <c r="B596" s="131"/>
      <c r="C596" s="131"/>
      <c r="D596" s="81"/>
      <c r="E596" s="81"/>
      <c r="F596" s="131"/>
      <c r="G596" s="131"/>
      <c r="H596" s="131"/>
      <c r="I596" s="131"/>
      <c r="J596" s="131"/>
      <c r="K596" s="131"/>
      <c r="L596" s="131"/>
      <c r="M596" s="131"/>
      <c r="N596" s="131"/>
      <c r="O596" s="131"/>
      <c r="P596" s="131"/>
      <c r="Q596" s="131"/>
      <c r="R596" s="131"/>
      <c r="S596" s="131"/>
    </row>
    <row r="597">
      <c r="A597" s="131"/>
      <c r="B597" s="131"/>
      <c r="C597" s="131"/>
      <c r="D597" s="81"/>
      <c r="E597" s="81"/>
      <c r="F597" s="131"/>
      <c r="G597" s="131"/>
      <c r="H597" s="131"/>
      <c r="I597" s="131"/>
      <c r="J597" s="131"/>
      <c r="K597" s="131"/>
      <c r="L597" s="131"/>
      <c r="M597" s="131"/>
      <c r="N597" s="131"/>
      <c r="O597" s="131"/>
      <c r="P597" s="131"/>
      <c r="Q597" s="131"/>
      <c r="R597" s="131"/>
      <c r="S597" s="131"/>
    </row>
    <row r="598">
      <c r="A598" s="131"/>
      <c r="B598" s="131"/>
      <c r="C598" s="131"/>
      <c r="D598" s="81"/>
      <c r="E598" s="81"/>
      <c r="F598" s="131"/>
      <c r="G598" s="131"/>
      <c r="H598" s="131"/>
      <c r="I598" s="131"/>
      <c r="J598" s="131"/>
      <c r="K598" s="131"/>
      <c r="L598" s="131"/>
      <c r="M598" s="131"/>
      <c r="N598" s="131"/>
      <c r="O598" s="131"/>
      <c r="P598" s="131"/>
      <c r="Q598" s="131"/>
      <c r="R598" s="131"/>
      <c r="S598" s="131"/>
    </row>
    <row r="599">
      <c r="A599" s="131"/>
      <c r="B599" s="131"/>
      <c r="C599" s="131"/>
      <c r="D599" s="81"/>
      <c r="E599" s="81"/>
      <c r="F599" s="131"/>
      <c r="G599" s="131"/>
      <c r="H599" s="131"/>
      <c r="I599" s="131"/>
      <c r="J599" s="131"/>
      <c r="K599" s="131"/>
      <c r="L599" s="131"/>
      <c r="M599" s="131"/>
      <c r="N599" s="131"/>
      <c r="O599" s="131"/>
      <c r="P599" s="131"/>
      <c r="Q599" s="131"/>
      <c r="R599" s="131"/>
      <c r="S599" s="131"/>
    </row>
    <row r="600">
      <c r="A600" s="131"/>
      <c r="B600" s="131"/>
      <c r="C600" s="131"/>
      <c r="D600" s="81"/>
      <c r="E600" s="81"/>
      <c r="F600" s="131"/>
      <c r="G600" s="131"/>
      <c r="H600" s="131"/>
      <c r="I600" s="131"/>
      <c r="J600" s="131"/>
      <c r="K600" s="131"/>
      <c r="L600" s="131"/>
      <c r="M600" s="131"/>
      <c r="N600" s="131"/>
      <c r="O600" s="131"/>
      <c r="P600" s="131"/>
      <c r="Q600" s="131"/>
      <c r="R600" s="131"/>
      <c r="S600" s="131"/>
    </row>
    <row r="601">
      <c r="A601" s="131"/>
      <c r="B601" s="131"/>
      <c r="C601" s="131"/>
      <c r="D601" s="81"/>
      <c r="E601" s="81"/>
      <c r="F601" s="131"/>
      <c r="G601" s="131"/>
      <c r="H601" s="131"/>
      <c r="I601" s="131"/>
      <c r="J601" s="131"/>
      <c r="K601" s="131"/>
      <c r="L601" s="131"/>
      <c r="M601" s="131"/>
      <c r="N601" s="131"/>
      <c r="O601" s="131"/>
      <c r="P601" s="131"/>
      <c r="Q601" s="131"/>
      <c r="R601" s="131"/>
      <c r="S601" s="131"/>
    </row>
    <row r="602">
      <c r="A602" s="131"/>
      <c r="B602" s="131"/>
      <c r="C602" s="131"/>
      <c r="D602" s="81"/>
      <c r="E602" s="81"/>
      <c r="F602" s="131"/>
      <c r="G602" s="131"/>
      <c r="H602" s="131"/>
      <c r="I602" s="131"/>
      <c r="J602" s="131"/>
      <c r="K602" s="131"/>
      <c r="L602" s="131"/>
      <c r="M602" s="131"/>
      <c r="N602" s="131"/>
      <c r="O602" s="131"/>
      <c r="P602" s="131"/>
      <c r="Q602" s="131"/>
      <c r="R602" s="131"/>
      <c r="S602" s="131"/>
    </row>
    <row r="603">
      <c r="A603" s="131"/>
      <c r="B603" s="131"/>
      <c r="C603" s="131"/>
      <c r="D603" s="81"/>
      <c r="E603" s="81"/>
      <c r="F603" s="131"/>
      <c r="G603" s="131"/>
      <c r="H603" s="131"/>
      <c r="I603" s="131"/>
      <c r="J603" s="131"/>
      <c r="K603" s="131"/>
      <c r="L603" s="131"/>
      <c r="M603" s="131"/>
      <c r="N603" s="131"/>
      <c r="O603" s="131"/>
      <c r="P603" s="131"/>
      <c r="Q603" s="131"/>
      <c r="R603" s="131"/>
      <c r="S603" s="131"/>
    </row>
    <row r="604">
      <c r="A604" s="131"/>
      <c r="B604" s="131"/>
      <c r="C604" s="131"/>
      <c r="D604" s="81"/>
      <c r="E604" s="81"/>
      <c r="F604" s="131"/>
      <c r="G604" s="131"/>
      <c r="H604" s="131"/>
      <c r="I604" s="131"/>
      <c r="J604" s="131"/>
      <c r="K604" s="131"/>
      <c r="L604" s="131"/>
      <c r="M604" s="131"/>
      <c r="N604" s="131"/>
      <c r="O604" s="131"/>
      <c r="P604" s="131"/>
      <c r="Q604" s="131"/>
      <c r="R604" s="131"/>
      <c r="S604" s="131"/>
    </row>
    <row r="605">
      <c r="A605" s="131"/>
      <c r="B605" s="131"/>
      <c r="C605" s="131"/>
      <c r="D605" s="81"/>
      <c r="E605" s="81"/>
      <c r="F605" s="131"/>
      <c r="G605" s="131"/>
      <c r="H605" s="131"/>
      <c r="I605" s="131"/>
      <c r="J605" s="131"/>
      <c r="K605" s="131"/>
      <c r="L605" s="131"/>
      <c r="M605" s="131"/>
      <c r="N605" s="131"/>
      <c r="O605" s="131"/>
      <c r="P605" s="131"/>
      <c r="Q605" s="131"/>
      <c r="R605" s="131"/>
      <c r="S605" s="131"/>
    </row>
    <row r="606">
      <c r="A606" s="131"/>
      <c r="B606" s="131"/>
      <c r="C606" s="131"/>
      <c r="D606" s="81"/>
      <c r="E606" s="81"/>
      <c r="F606" s="131"/>
      <c r="G606" s="131"/>
      <c r="H606" s="131"/>
      <c r="I606" s="131"/>
      <c r="J606" s="131"/>
      <c r="K606" s="131"/>
      <c r="L606" s="131"/>
      <c r="M606" s="131"/>
      <c r="N606" s="131"/>
      <c r="O606" s="131"/>
      <c r="P606" s="131"/>
      <c r="Q606" s="131"/>
      <c r="R606" s="131"/>
      <c r="S606" s="131"/>
    </row>
    <row r="607">
      <c r="A607" s="131"/>
      <c r="B607" s="131"/>
      <c r="C607" s="131"/>
      <c r="D607" s="81"/>
      <c r="E607" s="81"/>
      <c r="F607" s="131"/>
      <c r="G607" s="131"/>
      <c r="H607" s="131"/>
      <c r="I607" s="131"/>
      <c r="J607" s="131"/>
      <c r="K607" s="131"/>
      <c r="L607" s="131"/>
      <c r="M607" s="131"/>
      <c r="N607" s="131"/>
      <c r="O607" s="131"/>
      <c r="P607" s="131"/>
      <c r="Q607" s="131"/>
      <c r="R607" s="131"/>
      <c r="S607" s="131"/>
    </row>
    <row r="608">
      <c r="A608" s="131"/>
      <c r="B608" s="131"/>
      <c r="C608" s="182"/>
      <c r="D608" s="81"/>
      <c r="E608" s="81"/>
      <c r="F608" s="131"/>
      <c r="G608" s="131"/>
      <c r="H608" s="131"/>
      <c r="I608" s="131"/>
      <c r="J608" s="131"/>
      <c r="K608" s="131"/>
      <c r="L608" s="131"/>
      <c r="M608" s="131"/>
      <c r="N608" s="131"/>
      <c r="O608" s="131"/>
      <c r="P608" s="131"/>
      <c r="Q608" s="131"/>
      <c r="R608" s="131"/>
      <c r="S608" s="131"/>
    </row>
    <row r="609">
      <c r="A609" s="131"/>
      <c r="B609" s="131"/>
      <c r="C609" s="182"/>
      <c r="D609" s="81"/>
      <c r="E609" s="81"/>
      <c r="F609" s="131"/>
      <c r="G609" s="131"/>
      <c r="H609" s="131"/>
      <c r="I609" s="131"/>
      <c r="J609" s="131"/>
      <c r="K609" s="131"/>
      <c r="L609" s="131"/>
      <c r="M609" s="131"/>
      <c r="N609" s="131"/>
      <c r="O609" s="131"/>
      <c r="P609" s="131"/>
      <c r="Q609" s="131"/>
      <c r="R609" s="131"/>
      <c r="S609" s="131"/>
    </row>
    <row r="610">
      <c r="A610" s="131"/>
      <c r="B610" s="131"/>
      <c r="C610" s="182"/>
      <c r="D610" s="81"/>
      <c r="E610" s="81"/>
      <c r="F610" s="131"/>
      <c r="G610" s="131"/>
      <c r="H610" s="131"/>
      <c r="I610" s="131"/>
      <c r="J610" s="131"/>
      <c r="K610" s="131"/>
      <c r="L610" s="131"/>
      <c r="M610" s="131"/>
      <c r="N610" s="131"/>
      <c r="O610" s="131"/>
      <c r="P610" s="131"/>
      <c r="Q610" s="131"/>
      <c r="R610" s="131"/>
      <c r="S610" s="131"/>
    </row>
    <row r="611">
      <c r="A611" s="131"/>
      <c r="B611" s="131"/>
      <c r="C611" s="182"/>
      <c r="D611" s="81"/>
      <c r="E611" s="81"/>
      <c r="F611" s="131"/>
      <c r="G611" s="131"/>
      <c r="H611" s="131"/>
      <c r="I611" s="131"/>
      <c r="J611" s="131"/>
      <c r="K611" s="131"/>
      <c r="L611" s="131"/>
      <c r="M611" s="131"/>
      <c r="N611" s="131"/>
      <c r="O611" s="131"/>
      <c r="P611" s="131"/>
      <c r="Q611" s="131"/>
      <c r="R611" s="131"/>
      <c r="S611" s="131"/>
    </row>
    <row r="612">
      <c r="A612" s="131"/>
      <c r="B612" s="131"/>
      <c r="C612" s="182"/>
      <c r="D612" s="81"/>
      <c r="E612" s="81"/>
      <c r="F612" s="131"/>
      <c r="G612" s="131"/>
      <c r="H612" s="131"/>
      <c r="I612" s="131"/>
      <c r="J612" s="131"/>
      <c r="K612" s="131"/>
      <c r="L612" s="131"/>
      <c r="M612" s="131"/>
      <c r="N612" s="131"/>
      <c r="O612" s="131"/>
      <c r="P612" s="131"/>
      <c r="Q612" s="131"/>
      <c r="R612" s="131"/>
      <c r="S612" s="131"/>
    </row>
    <row r="613">
      <c r="A613" s="131"/>
      <c r="B613" s="131"/>
      <c r="C613" s="182"/>
      <c r="D613" s="81"/>
      <c r="E613" s="81"/>
      <c r="F613" s="131"/>
      <c r="G613" s="131"/>
      <c r="H613" s="131"/>
      <c r="I613" s="131"/>
      <c r="J613" s="131"/>
      <c r="K613" s="131"/>
      <c r="L613" s="131"/>
      <c r="M613" s="131"/>
      <c r="N613" s="131"/>
      <c r="O613" s="131"/>
      <c r="P613" s="131"/>
      <c r="Q613" s="131"/>
      <c r="R613" s="131"/>
      <c r="S613" s="131"/>
    </row>
    <row r="614">
      <c r="A614" s="131"/>
      <c r="B614" s="131"/>
      <c r="C614" s="182"/>
      <c r="D614" s="81"/>
      <c r="E614" s="81"/>
      <c r="F614" s="131"/>
      <c r="G614" s="131"/>
      <c r="H614" s="131"/>
      <c r="I614" s="131"/>
      <c r="J614" s="131"/>
      <c r="K614" s="131"/>
      <c r="L614" s="131"/>
      <c r="M614" s="131"/>
      <c r="N614" s="131"/>
      <c r="O614" s="131"/>
      <c r="P614" s="131"/>
      <c r="Q614" s="131"/>
      <c r="R614" s="131"/>
      <c r="S614" s="131"/>
    </row>
    <row r="615">
      <c r="A615" s="131"/>
      <c r="B615" s="131"/>
      <c r="C615" s="182"/>
      <c r="D615" s="81"/>
      <c r="E615" s="81"/>
      <c r="F615" s="131"/>
      <c r="G615" s="131"/>
      <c r="H615" s="131"/>
      <c r="I615" s="131"/>
      <c r="J615" s="131"/>
      <c r="K615" s="131"/>
      <c r="L615" s="131"/>
      <c r="M615" s="131"/>
      <c r="N615" s="131"/>
      <c r="O615" s="131"/>
      <c r="P615" s="131"/>
      <c r="Q615" s="131"/>
      <c r="R615" s="131"/>
      <c r="S615" s="131"/>
    </row>
    <row r="616">
      <c r="A616" s="131"/>
      <c r="B616" s="131"/>
      <c r="C616" s="182"/>
      <c r="D616" s="81"/>
      <c r="E616" s="81"/>
      <c r="F616" s="131"/>
      <c r="G616" s="131"/>
      <c r="H616" s="131"/>
      <c r="I616" s="131"/>
      <c r="J616" s="131"/>
      <c r="K616" s="131"/>
      <c r="L616" s="131"/>
      <c r="M616" s="131"/>
      <c r="N616" s="131"/>
      <c r="O616" s="131"/>
      <c r="P616" s="131"/>
      <c r="Q616" s="131"/>
      <c r="R616" s="131"/>
      <c r="S616" s="131"/>
    </row>
    <row r="617">
      <c r="A617" s="131"/>
      <c r="B617" s="131"/>
      <c r="C617" s="182"/>
      <c r="D617" s="81"/>
      <c r="E617" s="81"/>
      <c r="F617" s="131"/>
      <c r="G617" s="131"/>
      <c r="H617" s="131"/>
      <c r="I617" s="131"/>
      <c r="J617" s="131"/>
      <c r="K617" s="131"/>
      <c r="L617" s="131"/>
      <c r="M617" s="131"/>
      <c r="N617" s="131"/>
      <c r="O617" s="131"/>
      <c r="P617" s="131"/>
      <c r="Q617" s="131"/>
      <c r="R617" s="131"/>
      <c r="S617" s="131"/>
    </row>
    <row r="618">
      <c r="A618" s="131"/>
      <c r="B618" s="131"/>
      <c r="C618" s="182"/>
      <c r="D618" s="81"/>
      <c r="E618" s="81"/>
      <c r="F618" s="131"/>
      <c r="G618" s="131"/>
      <c r="H618" s="131"/>
      <c r="I618" s="131"/>
      <c r="J618" s="131"/>
      <c r="K618" s="131"/>
      <c r="L618" s="131"/>
      <c r="M618" s="131"/>
      <c r="N618" s="131"/>
      <c r="O618" s="131"/>
      <c r="P618" s="131"/>
      <c r="Q618" s="131"/>
      <c r="R618" s="131"/>
      <c r="S618" s="131"/>
    </row>
    <row r="619">
      <c r="A619" s="131"/>
      <c r="B619" s="131"/>
      <c r="C619" s="182"/>
      <c r="D619" s="81"/>
      <c r="E619" s="81"/>
      <c r="F619" s="131"/>
      <c r="G619" s="131"/>
      <c r="H619" s="131"/>
      <c r="I619" s="131"/>
      <c r="J619" s="131"/>
      <c r="K619" s="131"/>
      <c r="L619" s="131"/>
      <c r="M619" s="131"/>
      <c r="N619" s="131"/>
      <c r="O619" s="131"/>
      <c r="P619" s="131"/>
      <c r="Q619" s="131"/>
      <c r="R619" s="131"/>
      <c r="S619" s="131"/>
    </row>
    <row r="620">
      <c r="A620" s="131"/>
      <c r="B620" s="131"/>
      <c r="C620" s="182"/>
      <c r="D620" s="81"/>
      <c r="E620" s="81"/>
      <c r="F620" s="131"/>
      <c r="G620" s="131"/>
      <c r="H620" s="131"/>
      <c r="I620" s="131"/>
      <c r="J620" s="131"/>
      <c r="K620" s="131"/>
      <c r="L620" s="131"/>
      <c r="M620" s="131"/>
      <c r="N620" s="131"/>
      <c r="O620" s="131"/>
      <c r="P620" s="131"/>
      <c r="Q620" s="131"/>
      <c r="R620" s="131"/>
      <c r="S620" s="131"/>
    </row>
    <row r="621">
      <c r="A621" s="131"/>
      <c r="B621" s="131"/>
      <c r="C621" s="182"/>
      <c r="D621" s="81"/>
      <c r="E621" s="81"/>
      <c r="F621" s="131"/>
      <c r="G621" s="131"/>
      <c r="H621" s="131"/>
      <c r="I621" s="131"/>
      <c r="J621" s="131"/>
      <c r="K621" s="131"/>
      <c r="L621" s="131"/>
      <c r="M621" s="131"/>
      <c r="N621" s="131"/>
      <c r="O621" s="131"/>
      <c r="P621" s="131"/>
      <c r="Q621" s="131"/>
      <c r="R621" s="131"/>
      <c r="S621" s="131"/>
    </row>
    <row r="622">
      <c r="A622" s="131"/>
      <c r="B622" s="131"/>
      <c r="C622" s="182"/>
      <c r="D622" s="81"/>
      <c r="E622" s="81"/>
      <c r="F622" s="131"/>
      <c r="G622" s="131"/>
      <c r="H622" s="131"/>
      <c r="I622" s="131"/>
      <c r="J622" s="131"/>
      <c r="K622" s="131"/>
      <c r="L622" s="131"/>
      <c r="M622" s="131"/>
      <c r="N622" s="131"/>
      <c r="O622" s="131"/>
      <c r="P622" s="131"/>
      <c r="Q622" s="131"/>
      <c r="R622" s="131"/>
      <c r="S622" s="131"/>
    </row>
    <row r="623">
      <c r="A623" s="131"/>
      <c r="B623" s="131"/>
      <c r="C623" s="182"/>
      <c r="D623" s="81"/>
      <c r="E623" s="81"/>
      <c r="F623" s="131"/>
      <c r="G623" s="131"/>
      <c r="H623" s="131"/>
      <c r="I623" s="131"/>
      <c r="J623" s="131"/>
      <c r="K623" s="131"/>
      <c r="L623" s="131"/>
      <c r="M623" s="131"/>
      <c r="N623" s="131"/>
      <c r="O623" s="131"/>
      <c r="P623" s="131"/>
      <c r="Q623" s="131"/>
      <c r="R623" s="131"/>
      <c r="S623" s="131"/>
    </row>
    <row r="624">
      <c r="A624" s="131"/>
      <c r="B624" s="131"/>
      <c r="C624" s="182"/>
      <c r="D624" s="81"/>
      <c r="E624" s="81"/>
      <c r="F624" s="131"/>
      <c r="G624" s="131"/>
      <c r="H624" s="131"/>
      <c r="I624" s="131"/>
      <c r="J624" s="131"/>
      <c r="K624" s="131"/>
      <c r="L624" s="131"/>
      <c r="M624" s="131"/>
      <c r="N624" s="131"/>
      <c r="O624" s="131"/>
      <c r="P624" s="131"/>
      <c r="Q624" s="131"/>
      <c r="R624" s="131"/>
      <c r="S624" s="131"/>
    </row>
    <row r="625">
      <c r="A625" s="131"/>
      <c r="B625" s="131"/>
      <c r="C625" s="182"/>
      <c r="D625" s="81"/>
      <c r="E625" s="81"/>
      <c r="F625" s="131"/>
      <c r="G625" s="131"/>
      <c r="H625" s="131"/>
      <c r="I625" s="131"/>
      <c r="J625" s="131"/>
      <c r="K625" s="131"/>
      <c r="L625" s="131"/>
      <c r="M625" s="131"/>
      <c r="N625" s="131"/>
      <c r="O625" s="131"/>
      <c r="P625" s="131"/>
      <c r="Q625" s="131"/>
      <c r="R625" s="131"/>
      <c r="S625" s="131"/>
    </row>
    <row r="626">
      <c r="A626" s="131"/>
      <c r="B626" s="131"/>
      <c r="C626" s="182"/>
      <c r="D626" s="81"/>
      <c r="E626" s="81"/>
      <c r="F626" s="131"/>
      <c r="G626" s="131"/>
      <c r="H626" s="131"/>
      <c r="I626" s="131"/>
      <c r="J626" s="131"/>
      <c r="K626" s="131"/>
      <c r="L626" s="131"/>
      <c r="M626" s="131"/>
      <c r="N626" s="131"/>
      <c r="O626" s="131"/>
      <c r="P626" s="131"/>
      <c r="Q626" s="131"/>
      <c r="R626" s="131"/>
      <c r="S626" s="131"/>
    </row>
    <row r="627">
      <c r="A627" s="131"/>
      <c r="B627" s="131"/>
      <c r="C627" s="182"/>
      <c r="D627" s="81"/>
      <c r="E627" s="81"/>
      <c r="F627" s="131"/>
      <c r="G627" s="131"/>
      <c r="H627" s="131"/>
      <c r="I627" s="131"/>
      <c r="J627" s="131"/>
      <c r="K627" s="131"/>
      <c r="L627" s="131"/>
      <c r="M627" s="131"/>
      <c r="N627" s="131"/>
      <c r="O627" s="131"/>
      <c r="P627" s="131"/>
      <c r="Q627" s="131"/>
      <c r="R627" s="131"/>
      <c r="S627" s="131"/>
    </row>
    <row r="628">
      <c r="A628" s="131"/>
      <c r="B628" s="131"/>
      <c r="C628" s="182"/>
      <c r="D628" s="81"/>
      <c r="E628" s="81"/>
      <c r="F628" s="131"/>
      <c r="G628" s="131"/>
      <c r="H628" s="131"/>
      <c r="I628" s="131"/>
      <c r="J628" s="131"/>
      <c r="K628" s="131"/>
      <c r="L628" s="131"/>
      <c r="M628" s="131"/>
      <c r="N628" s="131"/>
      <c r="O628" s="131"/>
      <c r="P628" s="131"/>
      <c r="Q628" s="131"/>
      <c r="R628" s="131"/>
      <c r="S628" s="131"/>
    </row>
    <row r="629">
      <c r="A629" s="131"/>
      <c r="B629" s="131"/>
      <c r="C629" s="182"/>
      <c r="D629" s="81"/>
      <c r="E629" s="81"/>
      <c r="F629" s="131"/>
      <c r="G629" s="131"/>
      <c r="H629" s="131"/>
      <c r="I629" s="131"/>
      <c r="J629" s="131"/>
      <c r="K629" s="131"/>
      <c r="L629" s="131"/>
      <c r="M629" s="131"/>
      <c r="N629" s="131"/>
      <c r="O629" s="131"/>
      <c r="P629" s="131"/>
      <c r="Q629" s="131"/>
      <c r="R629" s="131"/>
      <c r="S629" s="131"/>
    </row>
    <row r="630">
      <c r="A630" s="131"/>
      <c r="B630" s="131"/>
      <c r="C630" s="182"/>
      <c r="D630" s="81"/>
      <c r="E630" s="81"/>
      <c r="F630" s="131"/>
      <c r="G630" s="131"/>
      <c r="H630" s="131"/>
      <c r="I630" s="131"/>
      <c r="J630" s="131"/>
      <c r="K630" s="131"/>
      <c r="L630" s="131"/>
      <c r="M630" s="131"/>
      <c r="N630" s="131"/>
      <c r="O630" s="131"/>
      <c r="P630" s="131"/>
      <c r="Q630" s="131"/>
      <c r="R630" s="131"/>
      <c r="S630" s="131"/>
    </row>
    <row r="631">
      <c r="A631" s="131"/>
      <c r="B631" s="131"/>
      <c r="C631" s="131"/>
      <c r="D631" s="81"/>
      <c r="E631" s="81"/>
      <c r="F631" s="131"/>
      <c r="G631" s="131"/>
      <c r="H631" s="131"/>
      <c r="I631" s="131"/>
      <c r="J631" s="131"/>
      <c r="K631" s="131"/>
      <c r="L631" s="131"/>
      <c r="M631" s="131"/>
      <c r="N631" s="131"/>
      <c r="O631" s="131"/>
      <c r="P631" s="131"/>
      <c r="Q631" s="131"/>
      <c r="R631" s="131"/>
      <c r="S631" s="131"/>
    </row>
    <row r="632">
      <c r="A632" s="131"/>
      <c r="B632" s="131"/>
      <c r="C632" s="182"/>
      <c r="D632" s="81"/>
      <c r="E632" s="81"/>
      <c r="F632" s="131"/>
      <c r="G632" s="131"/>
      <c r="H632" s="131"/>
      <c r="I632" s="131"/>
      <c r="J632" s="131"/>
      <c r="K632" s="131"/>
      <c r="L632" s="131"/>
      <c r="M632" s="131"/>
      <c r="N632" s="131"/>
      <c r="O632" s="131"/>
      <c r="P632" s="131"/>
      <c r="Q632" s="131"/>
      <c r="R632" s="131"/>
      <c r="S632" s="131"/>
    </row>
    <row r="633">
      <c r="A633" s="131"/>
      <c r="B633" s="131"/>
      <c r="C633" s="182"/>
      <c r="D633" s="81"/>
      <c r="E633" s="81"/>
      <c r="F633" s="131"/>
      <c r="G633" s="131"/>
      <c r="H633" s="131"/>
      <c r="I633" s="131"/>
      <c r="J633" s="131"/>
      <c r="K633" s="131"/>
      <c r="L633" s="131"/>
      <c r="M633" s="131"/>
      <c r="N633" s="131"/>
      <c r="O633" s="131"/>
      <c r="P633" s="131"/>
      <c r="Q633" s="131"/>
      <c r="R633" s="131"/>
      <c r="S633" s="131"/>
    </row>
    <row r="634">
      <c r="A634" s="131"/>
      <c r="B634" s="131"/>
      <c r="C634" s="182"/>
      <c r="D634" s="81"/>
      <c r="E634" s="81"/>
      <c r="F634" s="131"/>
      <c r="G634" s="131"/>
      <c r="H634" s="131"/>
      <c r="I634" s="131"/>
      <c r="J634" s="131"/>
      <c r="K634" s="131"/>
      <c r="L634" s="131"/>
      <c r="M634" s="131"/>
      <c r="N634" s="131"/>
      <c r="O634" s="131"/>
      <c r="P634" s="131"/>
      <c r="Q634" s="131"/>
      <c r="R634" s="131"/>
      <c r="S634" s="131"/>
    </row>
    <row r="635">
      <c r="A635" s="131"/>
      <c r="B635" s="131"/>
      <c r="C635" s="182"/>
      <c r="D635" s="81"/>
      <c r="E635" s="81"/>
      <c r="F635" s="131"/>
      <c r="G635" s="131"/>
      <c r="H635" s="131"/>
      <c r="I635" s="131"/>
      <c r="J635" s="131"/>
      <c r="K635" s="131"/>
      <c r="L635" s="131"/>
      <c r="M635" s="131"/>
      <c r="N635" s="131"/>
      <c r="O635" s="131"/>
      <c r="P635" s="131"/>
      <c r="Q635" s="131"/>
      <c r="R635" s="131"/>
      <c r="S635" s="131"/>
    </row>
    <row r="636">
      <c r="A636" s="131"/>
      <c r="B636" s="131"/>
      <c r="C636" s="131"/>
      <c r="D636" s="81"/>
      <c r="E636" s="81"/>
      <c r="F636" s="131"/>
      <c r="G636" s="131"/>
      <c r="H636" s="131"/>
      <c r="I636" s="131"/>
      <c r="J636" s="131"/>
      <c r="K636" s="131"/>
      <c r="L636" s="131"/>
      <c r="M636" s="131"/>
      <c r="N636" s="131"/>
      <c r="O636" s="131"/>
      <c r="P636" s="131"/>
      <c r="Q636" s="131"/>
      <c r="R636" s="131"/>
      <c r="S636" s="131"/>
    </row>
    <row r="637">
      <c r="A637" s="131"/>
      <c r="B637" s="131"/>
      <c r="C637" s="182"/>
      <c r="D637" s="81"/>
      <c r="E637" s="81"/>
      <c r="F637" s="131"/>
      <c r="G637" s="131"/>
      <c r="H637" s="131"/>
      <c r="I637" s="131"/>
      <c r="J637" s="131"/>
      <c r="K637" s="131"/>
      <c r="L637" s="131"/>
      <c r="M637" s="131"/>
      <c r="N637" s="131"/>
      <c r="O637" s="131"/>
      <c r="P637" s="131"/>
      <c r="Q637" s="131"/>
      <c r="R637" s="131"/>
      <c r="S637" s="131"/>
    </row>
    <row r="638">
      <c r="A638" s="131"/>
      <c r="B638" s="131"/>
      <c r="C638" s="182"/>
      <c r="D638" s="81"/>
      <c r="E638" s="81"/>
      <c r="F638" s="131"/>
      <c r="G638" s="131"/>
      <c r="H638" s="131"/>
      <c r="I638" s="131"/>
      <c r="J638" s="131"/>
      <c r="K638" s="131"/>
      <c r="L638" s="131"/>
      <c r="M638" s="131"/>
      <c r="N638" s="131"/>
      <c r="O638" s="131"/>
      <c r="P638" s="131"/>
      <c r="Q638" s="131"/>
      <c r="R638" s="131"/>
      <c r="S638" s="131"/>
    </row>
    <row r="639">
      <c r="A639" s="131"/>
      <c r="B639" s="131"/>
      <c r="C639" s="182"/>
      <c r="D639" s="81"/>
      <c r="E639" s="81"/>
      <c r="F639" s="131"/>
      <c r="G639" s="131"/>
      <c r="H639" s="131"/>
      <c r="I639" s="131"/>
      <c r="J639" s="131"/>
      <c r="K639" s="131"/>
      <c r="L639" s="131"/>
      <c r="M639" s="131"/>
      <c r="N639" s="131"/>
      <c r="O639" s="131"/>
      <c r="P639" s="131"/>
      <c r="Q639" s="131"/>
      <c r="R639" s="131"/>
      <c r="S639" s="131"/>
    </row>
    <row r="640">
      <c r="A640" s="131"/>
      <c r="B640" s="131"/>
      <c r="C640" s="182"/>
      <c r="D640" s="81"/>
      <c r="E640" s="81"/>
      <c r="F640" s="131"/>
      <c r="G640" s="131"/>
      <c r="H640" s="131"/>
      <c r="I640" s="131"/>
      <c r="J640" s="131"/>
      <c r="K640" s="131"/>
      <c r="L640" s="131"/>
      <c r="M640" s="131"/>
      <c r="N640" s="131"/>
      <c r="O640" s="131"/>
      <c r="P640" s="131"/>
      <c r="Q640" s="131"/>
      <c r="R640" s="131"/>
      <c r="S640" s="131"/>
    </row>
    <row r="641">
      <c r="A641" s="131"/>
      <c r="B641" s="131"/>
      <c r="C641" s="182"/>
      <c r="D641" s="81"/>
      <c r="E641" s="81"/>
      <c r="F641" s="131"/>
      <c r="G641" s="131"/>
      <c r="H641" s="131"/>
      <c r="I641" s="131"/>
      <c r="J641" s="131"/>
      <c r="K641" s="131"/>
      <c r="L641" s="131"/>
      <c r="M641" s="131"/>
      <c r="N641" s="131"/>
      <c r="O641" s="131"/>
      <c r="P641" s="131"/>
      <c r="Q641" s="131"/>
      <c r="R641" s="131"/>
      <c r="S641" s="131"/>
    </row>
    <row r="642">
      <c r="A642" s="131"/>
      <c r="B642" s="131"/>
      <c r="C642" s="182"/>
      <c r="D642" s="81"/>
      <c r="E642" s="81"/>
      <c r="F642" s="131"/>
      <c r="G642" s="131"/>
      <c r="H642" s="131"/>
      <c r="I642" s="131"/>
      <c r="J642" s="131"/>
      <c r="K642" s="131"/>
      <c r="L642" s="131"/>
      <c r="M642" s="131"/>
      <c r="N642" s="131"/>
      <c r="O642" s="131"/>
      <c r="P642" s="131"/>
      <c r="Q642" s="131"/>
      <c r="R642" s="131"/>
      <c r="S642" s="131"/>
    </row>
    <row r="643">
      <c r="A643" s="131"/>
      <c r="B643" s="131"/>
      <c r="C643" s="182"/>
      <c r="D643" s="81"/>
      <c r="E643" s="81"/>
      <c r="F643" s="131"/>
      <c r="G643" s="131"/>
      <c r="H643" s="131"/>
      <c r="I643" s="131"/>
      <c r="J643" s="131"/>
      <c r="K643" s="131"/>
      <c r="L643" s="131"/>
      <c r="M643" s="131"/>
      <c r="N643" s="131"/>
      <c r="O643" s="131"/>
      <c r="P643" s="131"/>
      <c r="Q643" s="131"/>
      <c r="R643" s="131"/>
      <c r="S643" s="131"/>
    </row>
    <row r="644">
      <c r="A644" s="131"/>
      <c r="B644" s="131"/>
      <c r="C644" s="182"/>
      <c r="D644" s="81"/>
      <c r="E644" s="81"/>
      <c r="F644" s="131"/>
      <c r="G644" s="131"/>
      <c r="H644" s="131"/>
      <c r="I644" s="131"/>
      <c r="J644" s="131"/>
      <c r="K644" s="131"/>
      <c r="L644" s="131"/>
      <c r="M644" s="131"/>
      <c r="N644" s="131"/>
      <c r="O644" s="131"/>
      <c r="P644" s="131"/>
      <c r="Q644" s="131"/>
      <c r="R644" s="131"/>
      <c r="S644" s="131"/>
    </row>
    <row r="645">
      <c r="A645" s="131"/>
      <c r="B645" s="131"/>
      <c r="C645" s="182"/>
      <c r="D645" s="81"/>
      <c r="E645" s="81"/>
      <c r="F645" s="131"/>
      <c r="G645" s="131"/>
      <c r="H645" s="131"/>
      <c r="I645" s="131"/>
      <c r="J645" s="131"/>
      <c r="K645" s="131"/>
      <c r="L645" s="131"/>
      <c r="M645" s="131"/>
      <c r="N645" s="131"/>
      <c r="O645" s="131"/>
      <c r="P645" s="131"/>
      <c r="Q645" s="131"/>
      <c r="R645" s="131"/>
      <c r="S645" s="131"/>
    </row>
    <row r="646">
      <c r="A646" s="131"/>
      <c r="B646" s="131"/>
      <c r="C646" s="182"/>
      <c r="D646" s="81"/>
      <c r="E646" s="81"/>
      <c r="F646" s="131"/>
      <c r="G646" s="131"/>
      <c r="H646" s="131"/>
      <c r="I646" s="131"/>
      <c r="J646" s="131"/>
      <c r="K646" s="131"/>
      <c r="L646" s="131"/>
      <c r="M646" s="131"/>
      <c r="N646" s="131"/>
      <c r="O646" s="131"/>
      <c r="P646" s="131"/>
      <c r="Q646" s="131"/>
      <c r="R646" s="131"/>
      <c r="S646" s="131"/>
    </row>
    <row r="647">
      <c r="A647" s="131"/>
      <c r="B647" s="131"/>
      <c r="C647" s="182"/>
      <c r="D647" s="81"/>
      <c r="E647" s="81"/>
      <c r="F647" s="131"/>
      <c r="G647" s="131"/>
      <c r="H647" s="131"/>
      <c r="I647" s="131"/>
      <c r="J647" s="131"/>
      <c r="K647" s="131"/>
      <c r="L647" s="131"/>
      <c r="M647" s="131"/>
      <c r="N647" s="131"/>
      <c r="O647" s="131"/>
      <c r="P647" s="131"/>
      <c r="Q647" s="131"/>
      <c r="R647" s="131"/>
      <c r="S647" s="131"/>
    </row>
    <row r="648">
      <c r="A648" s="131"/>
      <c r="B648" s="131"/>
      <c r="C648" s="182"/>
      <c r="D648" s="81"/>
      <c r="E648" s="81"/>
      <c r="F648" s="131"/>
      <c r="G648" s="131"/>
      <c r="H648" s="131"/>
      <c r="I648" s="131"/>
      <c r="J648" s="131"/>
      <c r="K648" s="131"/>
      <c r="L648" s="131"/>
      <c r="M648" s="131"/>
      <c r="N648" s="131"/>
      <c r="O648" s="131"/>
      <c r="P648" s="131"/>
      <c r="Q648" s="131"/>
      <c r="R648" s="131"/>
      <c r="S648" s="131"/>
    </row>
    <row r="649">
      <c r="A649" s="131"/>
      <c r="B649" s="131"/>
      <c r="C649" s="131"/>
      <c r="D649" s="81"/>
      <c r="E649" s="81"/>
      <c r="F649" s="131"/>
      <c r="G649" s="131"/>
      <c r="H649" s="131"/>
      <c r="I649" s="131"/>
      <c r="J649" s="131"/>
      <c r="K649" s="131"/>
      <c r="L649" s="131"/>
      <c r="M649" s="131"/>
      <c r="N649" s="131"/>
      <c r="O649" s="131"/>
      <c r="P649" s="131"/>
      <c r="Q649" s="131"/>
      <c r="R649" s="131"/>
      <c r="S649" s="131"/>
    </row>
    <row r="650">
      <c r="A650" s="131"/>
      <c r="B650" s="131"/>
      <c r="C650" s="182"/>
      <c r="D650" s="81"/>
      <c r="E650" s="81"/>
      <c r="F650" s="131"/>
      <c r="G650" s="131"/>
      <c r="H650" s="131"/>
      <c r="I650" s="131"/>
      <c r="J650" s="131"/>
      <c r="K650" s="131"/>
      <c r="L650" s="131"/>
      <c r="M650" s="131"/>
      <c r="N650" s="131"/>
      <c r="O650" s="131"/>
      <c r="P650" s="131"/>
      <c r="Q650" s="131"/>
      <c r="R650" s="131"/>
      <c r="S650" s="131"/>
    </row>
    <row r="651">
      <c r="A651" s="131"/>
      <c r="B651" s="131"/>
      <c r="C651" s="182"/>
      <c r="D651" s="81"/>
      <c r="E651" s="81"/>
      <c r="F651" s="131"/>
      <c r="G651" s="131"/>
      <c r="H651" s="131"/>
      <c r="I651" s="131"/>
      <c r="J651" s="131"/>
      <c r="K651" s="131"/>
      <c r="L651" s="131"/>
      <c r="M651" s="131"/>
      <c r="N651" s="131"/>
      <c r="O651" s="131"/>
      <c r="P651" s="131"/>
      <c r="Q651" s="131"/>
      <c r="R651" s="131"/>
      <c r="S651" s="131"/>
    </row>
    <row r="652">
      <c r="A652" s="131"/>
      <c r="B652" s="131"/>
      <c r="C652" s="182"/>
      <c r="D652" s="81"/>
      <c r="E652" s="81"/>
      <c r="F652" s="131"/>
      <c r="G652" s="131"/>
      <c r="H652" s="131"/>
      <c r="I652" s="131"/>
      <c r="J652" s="131"/>
      <c r="K652" s="131"/>
      <c r="L652" s="131"/>
      <c r="M652" s="131"/>
      <c r="N652" s="131"/>
      <c r="O652" s="131"/>
      <c r="P652" s="131"/>
      <c r="Q652" s="131"/>
      <c r="R652" s="131"/>
      <c r="S652" s="131"/>
    </row>
    <row r="653">
      <c r="A653" s="131"/>
      <c r="B653" s="131"/>
      <c r="C653" s="182"/>
      <c r="D653" s="81"/>
      <c r="E653" s="81"/>
      <c r="F653" s="131"/>
      <c r="G653" s="131"/>
      <c r="H653" s="131"/>
      <c r="I653" s="131"/>
      <c r="J653" s="131"/>
      <c r="K653" s="131"/>
      <c r="L653" s="131"/>
      <c r="M653" s="131"/>
      <c r="N653" s="131"/>
      <c r="O653" s="131"/>
      <c r="P653" s="131"/>
      <c r="Q653" s="131"/>
      <c r="R653" s="131"/>
      <c r="S653" s="131"/>
    </row>
    <row r="654">
      <c r="A654" s="131"/>
      <c r="B654" s="131"/>
      <c r="C654" s="182"/>
      <c r="D654" s="81"/>
      <c r="E654" s="81"/>
      <c r="F654" s="131"/>
      <c r="G654" s="131"/>
      <c r="H654" s="131"/>
      <c r="I654" s="131"/>
      <c r="J654" s="131"/>
      <c r="K654" s="131"/>
      <c r="L654" s="131"/>
      <c r="M654" s="131"/>
      <c r="N654" s="131"/>
      <c r="O654" s="131"/>
      <c r="P654" s="131"/>
      <c r="Q654" s="131"/>
      <c r="R654" s="131"/>
      <c r="S654" s="131"/>
    </row>
    <row r="655">
      <c r="A655" s="131"/>
      <c r="B655" s="131"/>
      <c r="C655" s="182"/>
      <c r="D655" s="81"/>
      <c r="E655" s="81"/>
      <c r="F655" s="131"/>
      <c r="G655" s="131"/>
      <c r="H655" s="131"/>
      <c r="I655" s="131"/>
      <c r="J655" s="131"/>
      <c r="K655" s="131"/>
      <c r="L655" s="131"/>
      <c r="M655" s="131"/>
      <c r="N655" s="131"/>
      <c r="O655" s="131"/>
      <c r="P655" s="131"/>
      <c r="Q655" s="131"/>
      <c r="R655" s="131"/>
      <c r="S655" s="131"/>
    </row>
    <row r="656">
      <c r="A656" s="131"/>
      <c r="B656" s="131"/>
      <c r="C656" s="131"/>
      <c r="D656" s="81"/>
      <c r="E656" s="81"/>
      <c r="F656" s="131"/>
      <c r="G656" s="131"/>
      <c r="H656" s="131"/>
      <c r="I656" s="131"/>
      <c r="J656" s="131"/>
      <c r="K656" s="131"/>
      <c r="L656" s="131"/>
      <c r="M656" s="131"/>
      <c r="N656" s="131"/>
      <c r="O656" s="131"/>
      <c r="P656" s="131"/>
      <c r="Q656" s="131"/>
      <c r="R656" s="131"/>
      <c r="S656" s="131"/>
    </row>
    <row r="657">
      <c r="A657" s="131"/>
      <c r="B657" s="131"/>
      <c r="C657" s="182"/>
      <c r="D657" s="81"/>
      <c r="E657" s="81"/>
      <c r="F657" s="131"/>
      <c r="G657" s="131"/>
      <c r="H657" s="131"/>
      <c r="I657" s="131"/>
      <c r="J657" s="131"/>
      <c r="K657" s="131"/>
      <c r="L657" s="131"/>
      <c r="M657" s="131"/>
      <c r="N657" s="131"/>
      <c r="O657" s="131"/>
      <c r="P657" s="131"/>
      <c r="Q657" s="131"/>
      <c r="R657" s="131"/>
      <c r="S657" s="131"/>
    </row>
    <row r="658">
      <c r="A658" s="131"/>
      <c r="B658" s="131"/>
      <c r="C658" s="182"/>
      <c r="D658" s="81"/>
      <c r="E658" s="81"/>
      <c r="F658" s="131"/>
      <c r="G658" s="131"/>
      <c r="H658" s="131"/>
      <c r="I658" s="131"/>
      <c r="J658" s="131"/>
      <c r="K658" s="131"/>
      <c r="L658" s="131"/>
      <c r="M658" s="131"/>
      <c r="N658" s="131"/>
      <c r="O658" s="131"/>
      <c r="P658" s="131"/>
      <c r="Q658" s="131"/>
      <c r="R658" s="131"/>
      <c r="S658" s="131"/>
    </row>
    <row r="659">
      <c r="A659" s="131"/>
      <c r="B659" s="131"/>
      <c r="C659" s="182"/>
      <c r="D659" s="81"/>
      <c r="E659" s="81"/>
      <c r="F659" s="131"/>
      <c r="G659" s="131"/>
      <c r="H659" s="131"/>
      <c r="I659" s="131"/>
      <c r="J659" s="131"/>
      <c r="K659" s="131"/>
      <c r="L659" s="131"/>
      <c r="M659" s="131"/>
      <c r="N659" s="131"/>
      <c r="O659" s="131"/>
      <c r="P659" s="131"/>
      <c r="Q659" s="131"/>
      <c r="R659" s="131"/>
      <c r="S659" s="131"/>
    </row>
    <row r="660">
      <c r="A660" s="131"/>
      <c r="B660" s="131"/>
      <c r="C660" s="182"/>
      <c r="D660" s="81"/>
      <c r="E660" s="81"/>
      <c r="F660" s="131"/>
      <c r="G660" s="131"/>
      <c r="H660" s="131"/>
      <c r="I660" s="131"/>
      <c r="J660" s="131"/>
      <c r="K660" s="131"/>
      <c r="L660" s="131"/>
      <c r="M660" s="131"/>
      <c r="N660" s="131"/>
      <c r="O660" s="131"/>
      <c r="P660" s="131"/>
      <c r="Q660" s="131"/>
      <c r="R660" s="131"/>
      <c r="S660" s="131"/>
    </row>
    <row r="661">
      <c r="A661" s="131"/>
      <c r="B661" s="131"/>
      <c r="C661" s="182"/>
      <c r="D661" s="81"/>
      <c r="E661" s="81"/>
      <c r="F661" s="131"/>
      <c r="G661" s="131"/>
      <c r="H661" s="131"/>
      <c r="I661" s="131"/>
      <c r="J661" s="131"/>
      <c r="K661" s="131"/>
      <c r="L661" s="131"/>
      <c r="M661" s="131"/>
      <c r="N661" s="131"/>
      <c r="O661" s="131"/>
      <c r="P661" s="131"/>
      <c r="Q661" s="131"/>
      <c r="R661" s="131"/>
      <c r="S661" s="131"/>
    </row>
    <row r="662">
      <c r="A662" s="131"/>
      <c r="B662" s="131"/>
      <c r="C662" s="182"/>
      <c r="D662" s="81"/>
      <c r="E662" s="81"/>
      <c r="F662" s="131"/>
      <c r="G662" s="131"/>
      <c r="H662" s="131"/>
      <c r="I662" s="131"/>
      <c r="J662" s="131"/>
      <c r="K662" s="131"/>
      <c r="L662" s="131"/>
      <c r="M662" s="131"/>
      <c r="N662" s="131"/>
      <c r="O662" s="131"/>
      <c r="P662" s="131"/>
      <c r="Q662" s="131"/>
      <c r="R662" s="131"/>
      <c r="S662" s="131"/>
    </row>
    <row r="663">
      <c r="A663" s="131"/>
      <c r="B663" s="131"/>
      <c r="C663" s="131"/>
      <c r="D663" s="81"/>
      <c r="E663" s="81"/>
      <c r="F663" s="131"/>
      <c r="G663" s="131"/>
      <c r="H663" s="131"/>
      <c r="I663" s="131"/>
      <c r="J663" s="131"/>
      <c r="K663" s="131"/>
      <c r="L663" s="131"/>
      <c r="M663" s="131"/>
      <c r="N663" s="131"/>
      <c r="O663" s="131"/>
      <c r="P663" s="131"/>
      <c r="Q663" s="131"/>
      <c r="R663" s="131"/>
      <c r="S663" s="131"/>
    </row>
    <row r="664">
      <c r="A664" s="131"/>
      <c r="B664" s="131"/>
      <c r="C664" s="182"/>
      <c r="D664" s="81"/>
      <c r="E664" s="81"/>
      <c r="F664" s="131"/>
      <c r="G664" s="131"/>
      <c r="H664" s="131"/>
      <c r="I664" s="131"/>
      <c r="J664" s="131"/>
      <c r="K664" s="131"/>
      <c r="L664" s="131"/>
      <c r="M664" s="131"/>
      <c r="N664" s="131"/>
      <c r="O664" s="131"/>
      <c r="P664" s="131"/>
      <c r="Q664" s="131"/>
      <c r="R664" s="131"/>
      <c r="S664" s="131"/>
    </row>
    <row r="665">
      <c r="A665" s="131"/>
      <c r="B665" s="131"/>
      <c r="C665" s="182"/>
      <c r="D665" s="81"/>
      <c r="E665" s="81"/>
      <c r="F665" s="131"/>
      <c r="G665" s="131"/>
      <c r="H665" s="131"/>
      <c r="I665" s="131"/>
      <c r="J665" s="131"/>
      <c r="K665" s="131"/>
      <c r="L665" s="131"/>
      <c r="M665" s="131"/>
      <c r="N665" s="131"/>
      <c r="O665" s="131"/>
      <c r="P665" s="131"/>
      <c r="Q665" s="131"/>
      <c r="R665" s="131"/>
      <c r="S665" s="131"/>
    </row>
    <row r="666">
      <c r="A666" s="131"/>
      <c r="B666" s="131"/>
      <c r="C666" s="182"/>
      <c r="D666" s="81"/>
      <c r="E666" s="81"/>
      <c r="F666" s="131"/>
      <c r="G666" s="131"/>
      <c r="H666" s="131"/>
      <c r="I666" s="131"/>
      <c r="J666" s="131"/>
      <c r="K666" s="131"/>
      <c r="L666" s="131"/>
      <c r="M666" s="131"/>
      <c r="N666" s="131"/>
      <c r="O666" s="131"/>
      <c r="P666" s="131"/>
      <c r="Q666" s="131"/>
      <c r="R666" s="131"/>
      <c r="S666" s="131"/>
    </row>
    <row r="667">
      <c r="A667" s="131"/>
      <c r="B667" s="131"/>
      <c r="C667" s="182"/>
      <c r="D667" s="81"/>
      <c r="E667" s="81"/>
      <c r="F667" s="131"/>
      <c r="G667" s="131"/>
      <c r="H667" s="131"/>
      <c r="I667" s="131"/>
      <c r="J667" s="131"/>
      <c r="K667" s="131"/>
      <c r="L667" s="131"/>
      <c r="M667" s="131"/>
      <c r="N667" s="131"/>
      <c r="O667" s="131"/>
      <c r="P667" s="131"/>
      <c r="Q667" s="131"/>
      <c r="R667" s="131"/>
      <c r="S667" s="131"/>
    </row>
    <row r="668">
      <c r="A668" s="131"/>
      <c r="B668" s="131"/>
      <c r="C668" s="182"/>
      <c r="D668" s="81"/>
      <c r="E668" s="81"/>
      <c r="F668" s="131"/>
      <c r="G668" s="131"/>
      <c r="H668" s="131"/>
      <c r="I668" s="131"/>
      <c r="J668" s="131"/>
      <c r="K668" s="131"/>
      <c r="L668" s="131"/>
      <c r="M668" s="131"/>
      <c r="N668" s="131"/>
      <c r="O668" s="131"/>
      <c r="P668" s="131"/>
      <c r="Q668" s="131"/>
      <c r="R668" s="131"/>
      <c r="S668" s="131"/>
    </row>
    <row r="669">
      <c r="A669" s="131"/>
      <c r="B669" s="131"/>
      <c r="C669" s="182"/>
      <c r="D669" s="81"/>
      <c r="E669" s="81"/>
      <c r="F669" s="131"/>
      <c r="G669" s="131"/>
      <c r="H669" s="131"/>
      <c r="I669" s="131"/>
      <c r="J669" s="131"/>
      <c r="K669" s="131"/>
      <c r="L669" s="131"/>
      <c r="M669" s="131"/>
      <c r="N669" s="131"/>
      <c r="O669" s="131"/>
      <c r="P669" s="131"/>
      <c r="Q669" s="131"/>
      <c r="R669" s="131"/>
      <c r="S669" s="131"/>
    </row>
    <row r="670">
      <c r="A670" s="131"/>
      <c r="B670" s="131"/>
      <c r="C670" s="182"/>
      <c r="D670" s="81"/>
      <c r="E670" s="81"/>
      <c r="F670" s="131"/>
      <c r="G670" s="131"/>
      <c r="H670" s="131"/>
      <c r="I670" s="131"/>
      <c r="J670" s="131"/>
      <c r="K670" s="131"/>
      <c r="L670" s="131"/>
      <c r="M670" s="131"/>
      <c r="N670" s="131"/>
      <c r="O670" s="131"/>
      <c r="P670" s="131"/>
      <c r="Q670" s="131"/>
      <c r="R670" s="131"/>
      <c r="S670" s="131"/>
    </row>
    <row r="671">
      <c r="A671" s="131"/>
      <c r="B671" s="131"/>
      <c r="C671" s="182"/>
      <c r="D671" s="81"/>
      <c r="E671" s="81"/>
      <c r="F671" s="131"/>
      <c r="G671" s="131"/>
      <c r="H671" s="131"/>
      <c r="I671" s="131"/>
      <c r="J671" s="131"/>
      <c r="K671" s="131"/>
      <c r="L671" s="131"/>
      <c r="M671" s="131"/>
      <c r="N671" s="131"/>
      <c r="O671" s="131"/>
      <c r="P671" s="131"/>
      <c r="Q671" s="131"/>
      <c r="R671" s="131"/>
      <c r="S671" s="131"/>
    </row>
    <row r="672">
      <c r="A672" s="131"/>
      <c r="B672" s="131"/>
      <c r="C672" s="131"/>
      <c r="D672" s="81"/>
      <c r="E672" s="81"/>
      <c r="F672" s="131"/>
      <c r="G672" s="131"/>
      <c r="H672" s="131"/>
      <c r="I672" s="131"/>
      <c r="J672" s="131"/>
      <c r="K672" s="131"/>
      <c r="L672" s="131"/>
      <c r="M672" s="131"/>
      <c r="N672" s="131"/>
      <c r="O672" s="131"/>
      <c r="P672" s="131"/>
      <c r="Q672" s="131"/>
      <c r="R672" s="131"/>
      <c r="S672" s="131"/>
    </row>
    <row r="673">
      <c r="A673" s="131"/>
      <c r="B673" s="131"/>
      <c r="C673" s="182"/>
      <c r="D673" s="81"/>
      <c r="E673" s="81"/>
      <c r="F673" s="131"/>
      <c r="G673" s="131"/>
      <c r="H673" s="131"/>
      <c r="I673" s="131"/>
      <c r="J673" s="131"/>
      <c r="K673" s="131"/>
      <c r="L673" s="131"/>
      <c r="M673" s="131"/>
      <c r="N673" s="131"/>
      <c r="O673" s="131"/>
      <c r="P673" s="131"/>
      <c r="Q673" s="131"/>
      <c r="R673" s="131"/>
      <c r="S673" s="131"/>
    </row>
    <row r="674">
      <c r="A674" s="131"/>
      <c r="B674" s="131"/>
      <c r="C674" s="182"/>
      <c r="D674" s="81"/>
      <c r="E674" s="81"/>
      <c r="F674" s="131"/>
      <c r="G674" s="131"/>
      <c r="H674" s="131"/>
      <c r="I674" s="131"/>
      <c r="J674" s="131"/>
      <c r="K674" s="131"/>
      <c r="L674" s="131"/>
      <c r="M674" s="131"/>
      <c r="N674" s="131"/>
      <c r="O674" s="131"/>
      <c r="P674" s="131"/>
      <c r="Q674" s="131"/>
      <c r="R674" s="131"/>
      <c r="S674" s="131"/>
    </row>
    <row r="675">
      <c r="A675" s="131"/>
      <c r="B675" s="131"/>
      <c r="C675" s="182"/>
      <c r="D675" s="81"/>
      <c r="E675" s="81"/>
      <c r="F675" s="131"/>
      <c r="G675" s="131"/>
      <c r="H675" s="131"/>
      <c r="I675" s="131"/>
      <c r="J675" s="131"/>
      <c r="K675" s="131"/>
      <c r="L675" s="131"/>
      <c r="M675" s="131"/>
      <c r="N675" s="131"/>
      <c r="O675" s="131"/>
      <c r="P675" s="131"/>
      <c r="Q675" s="131"/>
      <c r="R675" s="131"/>
      <c r="S675" s="131"/>
    </row>
    <row r="676">
      <c r="A676" s="131"/>
      <c r="B676" s="131"/>
      <c r="C676" s="182"/>
      <c r="D676" s="81"/>
      <c r="E676" s="81"/>
      <c r="F676" s="131"/>
      <c r="G676" s="131"/>
      <c r="H676" s="131"/>
      <c r="I676" s="131"/>
      <c r="J676" s="131"/>
      <c r="K676" s="131"/>
      <c r="L676" s="131"/>
      <c r="M676" s="131"/>
      <c r="N676" s="131"/>
      <c r="O676" s="131"/>
      <c r="P676" s="131"/>
      <c r="Q676" s="131"/>
      <c r="R676" s="131"/>
      <c r="S676" s="131"/>
    </row>
    <row r="677">
      <c r="A677" s="131"/>
      <c r="B677" s="131"/>
      <c r="C677" s="182"/>
      <c r="D677" s="81"/>
      <c r="E677" s="81"/>
      <c r="F677" s="131"/>
      <c r="G677" s="131"/>
      <c r="H677" s="131"/>
      <c r="I677" s="131"/>
      <c r="J677" s="131"/>
      <c r="K677" s="131"/>
      <c r="L677" s="131"/>
      <c r="M677" s="131"/>
      <c r="N677" s="131"/>
      <c r="O677" s="131"/>
      <c r="P677" s="131"/>
      <c r="Q677" s="131"/>
      <c r="R677" s="131"/>
      <c r="S677" s="131"/>
    </row>
    <row r="678">
      <c r="A678" s="131"/>
      <c r="B678" s="131"/>
      <c r="C678" s="182"/>
      <c r="D678" s="81"/>
      <c r="E678" s="81"/>
      <c r="F678" s="131"/>
      <c r="G678" s="131"/>
      <c r="H678" s="131"/>
      <c r="I678" s="131"/>
      <c r="J678" s="131"/>
      <c r="K678" s="131"/>
      <c r="L678" s="131"/>
      <c r="M678" s="131"/>
      <c r="N678" s="131"/>
      <c r="O678" s="131"/>
      <c r="P678" s="131"/>
      <c r="Q678" s="131"/>
      <c r="R678" s="131"/>
      <c r="S678" s="131"/>
    </row>
    <row r="679">
      <c r="A679" s="131"/>
      <c r="B679" s="131"/>
      <c r="C679" s="182"/>
      <c r="D679" s="81"/>
      <c r="E679" s="81"/>
      <c r="F679" s="131"/>
      <c r="G679" s="131"/>
      <c r="H679" s="131"/>
      <c r="I679" s="131"/>
      <c r="J679" s="131"/>
      <c r="K679" s="131"/>
      <c r="L679" s="131"/>
      <c r="M679" s="131"/>
      <c r="N679" s="131"/>
      <c r="O679" s="131"/>
      <c r="P679" s="131"/>
      <c r="Q679" s="131"/>
      <c r="R679" s="131"/>
      <c r="S679" s="131"/>
    </row>
    <row r="680">
      <c r="A680" s="131"/>
      <c r="B680" s="131"/>
      <c r="C680" s="182"/>
      <c r="D680" s="81"/>
      <c r="E680" s="81"/>
      <c r="F680" s="131"/>
      <c r="G680" s="131"/>
      <c r="H680" s="131"/>
      <c r="I680" s="131"/>
      <c r="J680" s="131"/>
      <c r="K680" s="131"/>
      <c r="L680" s="131"/>
      <c r="M680" s="131"/>
      <c r="N680" s="131"/>
      <c r="O680" s="131"/>
      <c r="P680" s="131"/>
      <c r="Q680" s="131"/>
      <c r="R680" s="131"/>
      <c r="S680" s="131"/>
    </row>
    <row r="681">
      <c r="A681" s="131"/>
      <c r="B681" s="131"/>
      <c r="C681" s="182"/>
      <c r="D681" s="81"/>
      <c r="E681" s="81"/>
      <c r="F681" s="131"/>
      <c r="G681" s="131"/>
      <c r="H681" s="131"/>
      <c r="I681" s="131"/>
      <c r="J681" s="131"/>
      <c r="K681" s="131"/>
      <c r="L681" s="131"/>
      <c r="M681" s="131"/>
      <c r="N681" s="131"/>
      <c r="O681" s="131"/>
      <c r="P681" s="131"/>
      <c r="Q681" s="131"/>
      <c r="R681" s="131"/>
      <c r="S681" s="131"/>
    </row>
    <row r="682">
      <c r="A682" s="131"/>
      <c r="B682" s="131"/>
      <c r="C682" s="131"/>
      <c r="D682" s="81"/>
      <c r="E682" s="81"/>
      <c r="F682" s="131"/>
      <c r="G682" s="131"/>
      <c r="H682" s="131"/>
      <c r="I682" s="131"/>
      <c r="J682" s="131"/>
      <c r="K682" s="131"/>
      <c r="L682" s="131"/>
      <c r="M682" s="131"/>
      <c r="N682" s="131"/>
      <c r="O682" s="131"/>
      <c r="P682" s="131"/>
      <c r="Q682" s="131"/>
      <c r="R682" s="131"/>
      <c r="S682" s="131"/>
    </row>
    <row r="683">
      <c r="A683" s="131"/>
      <c r="B683" s="131"/>
      <c r="C683" s="182"/>
      <c r="D683" s="81"/>
      <c r="E683" s="81"/>
      <c r="F683" s="131"/>
      <c r="G683" s="131"/>
      <c r="H683" s="131"/>
      <c r="I683" s="131"/>
      <c r="J683" s="131"/>
      <c r="K683" s="131"/>
      <c r="L683" s="131"/>
      <c r="M683" s="131"/>
      <c r="N683" s="131"/>
      <c r="O683" s="131"/>
      <c r="P683" s="131"/>
      <c r="Q683" s="131"/>
      <c r="R683" s="131"/>
      <c r="S683" s="131"/>
    </row>
    <row r="684">
      <c r="A684" s="131"/>
      <c r="B684" s="131"/>
      <c r="C684" s="182"/>
      <c r="D684" s="81"/>
      <c r="E684" s="81"/>
      <c r="F684" s="131"/>
      <c r="G684" s="131"/>
      <c r="H684" s="131"/>
      <c r="I684" s="131"/>
      <c r="J684" s="131"/>
      <c r="K684" s="131"/>
      <c r="L684" s="131"/>
      <c r="M684" s="131"/>
      <c r="N684" s="131"/>
      <c r="O684" s="131"/>
      <c r="P684" s="131"/>
      <c r="Q684" s="131"/>
      <c r="R684" s="131"/>
      <c r="S684" s="131"/>
    </row>
    <row r="685">
      <c r="A685" s="131"/>
      <c r="B685" s="131"/>
      <c r="C685" s="182"/>
      <c r="D685" s="81"/>
      <c r="E685" s="81"/>
      <c r="F685" s="131"/>
      <c r="G685" s="131"/>
      <c r="H685" s="131"/>
      <c r="I685" s="131"/>
      <c r="J685" s="131"/>
      <c r="K685" s="131"/>
      <c r="L685" s="131"/>
      <c r="M685" s="131"/>
      <c r="N685" s="131"/>
      <c r="O685" s="131"/>
      <c r="P685" s="131"/>
      <c r="Q685" s="131"/>
      <c r="R685" s="131"/>
      <c r="S685" s="131"/>
    </row>
    <row r="686">
      <c r="A686" s="131"/>
      <c r="B686" s="131"/>
      <c r="C686" s="182"/>
      <c r="D686" s="81"/>
      <c r="E686" s="81"/>
      <c r="F686" s="131"/>
      <c r="G686" s="131"/>
      <c r="H686" s="131"/>
      <c r="I686" s="131"/>
      <c r="J686" s="131"/>
      <c r="K686" s="131"/>
      <c r="L686" s="131"/>
      <c r="M686" s="131"/>
      <c r="N686" s="131"/>
      <c r="O686" s="131"/>
      <c r="P686" s="131"/>
      <c r="Q686" s="131"/>
      <c r="R686" s="131"/>
      <c r="S686" s="131"/>
    </row>
    <row r="687">
      <c r="A687" s="131"/>
      <c r="B687" s="131"/>
      <c r="C687" s="182"/>
      <c r="D687" s="81"/>
      <c r="E687" s="81"/>
      <c r="F687" s="131"/>
      <c r="G687" s="131"/>
      <c r="H687" s="131"/>
      <c r="I687" s="131"/>
      <c r="J687" s="131"/>
      <c r="K687" s="131"/>
      <c r="L687" s="131"/>
      <c r="M687" s="131"/>
      <c r="N687" s="131"/>
      <c r="O687" s="131"/>
      <c r="P687" s="131"/>
      <c r="Q687" s="131"/>
      <c r="R687" s="131"/>
      <c r="S687" s="131"/>
    </row>
    <row r="688">
      <c r="A688" s="131"/>
      <c r="B688" s="131"/>
      <c r="C688" s="182"/>
      <c r="D688" s="81"/>
      <c r="E688" s="81"/>
      <c r="F688" s="131"/>
      <c r="G688" s="131"/>
      <c r="H688" s="131"/>
      <c r="I688" s="131"/>
      <c r="J688" s="131"/>
      <c r="K688" s="131"/>
      <c r="L688" s="131"/>
      <c r="M688" s="131"/>
      <c r="N688" s="131"/>
      <c r="O688" s="131"/>
      <c r="P688" s="131"/>
      <c r="Q688" s="131"/>
      <c r="R688" s="131"/>
      <c r="S688" s="131"/>
    </row>
    <row r="689">
      <c r="A689" s="131"/>
      <c r="B689" s="131"/>
      <c r="C689" s="131"/>
      <c r="D689" s="81"/>
      <c r="E689" s="81"/>
      <c r="F689" s="131"/>
      <c r="G689" s="131"/>
      <c r="H689" s="131"/>
      <c r="I689" s="131"/>
      <c r="J689" s="131"/>
      <c r="K689" s="131"/>
      <c r="L689" s="131"/>
      <c r="M689" s="131"/>
      <c r="N689" s="131"/>
      <c r="O689" s="131"/>
      <c r="P689" s="131"/>
      <c r="Q689" s="131"/>
      <c r="R689" s="131"/>
      <c r="S689" s="131"/>
    </row>
    <row r="690">
      <c r="A690" s="131"/>
      <c r="B690" s="131"/>
      <c r="C690" s="182"/>
      <c r="D690" s="81"/>
      <c r="E690" s="81"/>
      <c r="F690" s="131"/>
      <c r="G690" s="131"/>
      <c r="H690" s="131"/>
      <c r="I690" s="131"/>
      <c r="J690" s="131"/>
      <c r="K690" s="131"/>
      <c r="L690" s="131"/>
      <c r="M690" s="131"/>
      <c r="N690" s="131"/>
      <c r="O690" s="131"/>
      <c r="P690" s="131"/>
      <c r="Q690" s="131"/>
      <c r="R690" s="131"/>
      <c r="S690" s="131"/>
    </row>
    <row r="691">
      <c r="A691" s="131"/>
      <c r="B691" s="131"/>
      <c r="C691" s="182"/>
      <c r="D691" s="81"/>
      <c r="E691" s="81"/>
      <c r="F691" s="131"/>
      <c r="G691" s="131"/>
      <c r="H691" s="131"/>
      <c r="I691" s="131"/>
      <c r="J691" s="131"/>
      <c r="K691" s="131"/>
      <c r="L691" s="131"/>
      <c r="M691" s="131"/>
      <c r="N691" s="131"/>
      <c r="O691" s="131"/>
      <c r="P691" s="131"/>
      <c r="Q691" s="131"/>
      <c r="R691" s="131"/>
      <c r="S691" s="131"/>
    </row>
    <row r="692">
      <c r="A692" s="131"/>
      <c r="B692" s="131"/>
      <c r="C692" s="182"/>
      <c r="D692" s="81"/>
      <c r="E692" s="81"/>
      <c r="F692" s="131"/>
      <c r="G692" s="131"/>
      <c r="H692" s="131"/>
      <c r="I692" s="131"/>
      <c r="J692" s="131"/>
      <c r="K692" s="131"/>
      <c r="L692" s="131"/>
      <c r="M692" s="131"/>
      <c r="N692" s="131"/>
      <c r="O692" s="131"/>
      <c r="P692" s="131"/>
      <c r="Q692" s="131"/>
      <c r="R692" s="131"/>
      <c r="S692" s="131"/>
    </row>
    <row r="693">
      <c r="A693" s="131"/>
      <c r="B693" s="131"/>
      <c r="C693" s="131"/>
      <c r="D693" s="81"/>
      <c r="E693" s="81"/>
      <c r="F693" s="131"/>
      <c r="G693" s="131"/>
      <c r="H693" s="131"/>
      <c r="I693" s="131"/>
      <c r="J693" s="131"/>
      <c r="K693" s="131"/>
      <c r="L693" s="131"/>
      <c r="M693" s="131"/>
      <c r="N693" s="131"/>
      <c r="O693" s="131"/>
      <c r="P693" s="131"/>
      <c r="Q693" s="131"/>
      <c r="R693" s="131"/>
      <c r="S693" s="131"/>
    </row>
    <row r="694">
      <c r="A694" s="131"/>
      <c r="B694" s="131"/>
      <c r="C694" s="182"/>
      <c r="D694" s="81"/>
      <c r="E694" s="81"/>
      <c r="F694" s="131"/>
      <c r="G694" s="131"/>
      <c r="H694" s="131"/>
      <c r="I694" s="131"/>
      <c r="J694" s="131"/>
      <c r="K694" s="131"/>
      <c r="L694" s="131"/>
      <c r="M694" s="131"/>
      <c r="N694" s="131"/>
      <c r="O694" s="131"/>
      <c r="P694" s="131"/>
      <c r="Q694" s="131"/>
      <c r="R694" s="131"/>
      <c r="S694" s="131"/>
    </row>
    <row r="695">
      <c r="A695" s="131"/>
      <c r="B695" s="131"/>
      <c r="C695" s="182"/>
      <c r="D695" s="81"/>
      <c r="E695" s="81"/>
      <c r="F695" s="131"/>
      <c r="G695" s="131"/>
      <c r="H695" s="131"/>
      <c r="I695" s="131"/>
      <c r="J695" s="131"/>
      <c r="K695" s="131"/>
      <c r="L695" s="131"/>
      <c r="M695" s="131"/>
      <c r="N695" s="131"/>
      <c r="O695" s="131"/>
      <c r="P695" s="131"/>
      <c r="Q695" s="131"/>
      <c r="R695" s="131"/>
      <c r="S695" s="131"/>
    </row>
    <row r="696">
      <c r="A696" s="131"/>
      <c r="B696" s="131"/>
      <c r="C696" s="182"/>
      <c r="D696" s="81"/>
      <c r="E696" s="81"/>
      <c r="F696" s="131"/>
      <c r="G696" s="131"/>
      <c r="H696" s="131"/>
      <c r="I696" s="131"/>
      <c r="J696" s="131"/>
      <c r="K696" s="131"/>
      <c r="L696" s="131"/>
      <c r="M696" s="131"/>
      <c r="N696" s="131"/>
      <c r="O696" s="131"/>
      <c r="P696" s="131"/>
      <c r="Q696" s="131"/>
      <c r="R696" s="131"/>
      <c r="S696" s="131"/>
    </row>
    <row r="697">
      <c r="A697" s="131"/>
      <c r="B697" s="131"/>
      <c r="C697" s="182"/>
      <c r="D697" s="81"/>
      <c r="E697" s="81"/>
      <c r="F697" s="131"/>
      <c r="G697" s="131"/>
      <c r="H697" s="131"/>
      <c r="I697" s="131"/>
      <c r="J697" s="131"/>
      <c r="K697" s="131"/>
      <c r="L697" s="131"/>
      <c r="M697" s="131"/>
      <c r="N697" s="131"/>
      <c r="O697" s="131"/>
      <c r="P697" s="131"/>
      <c r="Q697" s="131"/>
      <c r="R697" s="131"/>
      <c r="S697" s="131"/>
    </row>
    <row r="698">
      <c r="A698" s="131"/>
      <c r="B698" s="131"/>
      <c r="C698" s="182"/>
      <c r="D698" s="81"/>
      <c r="E698" s="81"/>
      <c r="F698" s="131"/>
      <c r="G698" s="131"/>
      <c r="H698" s="131"/>
      <c r="I698" s="131"/>
      <c r="J698" s="131"/>
      <c r="K698" s="131"/>
      <c r="L698" s="131"/>
      <c r="M698" s="131"/>
      <c r="N698" s="131"/>
      <c r="O698" s="131"/>
      <c r="P698" s="131"/>
      <c r="Q698" s="131"/>
      <c r="R698" s="131"/>
      <c r="S698" s="131"/>
    </row>
    <row r="699">
      <c r="A699" s="131"/>
      <c r="B699" s="131"/>
      <c r="C699" s="182"/>
      <c r="D699" s="81"/>
      <c r="E699" s="81"/>
      <c r="F699" s="131"/>
      <c r="G699" s="131"/>
      <c r="H699" s="131"/>
      <c r="I699" s="131"/>
      <c r="J699" s="131"/>
      <c r="K699" s="131"/>
      <c r="L699" s="131"/>
      <c r="M699" s="131"/>
      <c r="N699" s="131"/>
      <c r="O699" s="131"/>
      <c r="P699" s="131"/>
      <c r="Q699" s="131"/>
      <c r="R699" s="131"/>
      <c r="S699" s="131"/>
    </row>
    <row r="700">
      <c r="A700" s="131"/>
      <c r="B700" s="131"/>
      <c r="C700" s="182"/>
      <c r="D700" s="81"/>
      <c r="E700" s="81"/>
      <c r="F700" s="131"/>
      <c r="G700" s="131"/>
      <c r="H700" s="131"/>
      <c r="I700" s="131"/>
      <c r="J700" s="131"/>
      <c r="K700" s="131"/>
      <c r="L700" s="131"/>
      <c r="M700" s="131"/>
      <c r="N700" s="131"/>
      <c r="O700" s="131"/>
      <c r="P700" s="131"/>
      <c r="Q700" s="131"/>
      <c r="R700" s="131"/>
      <c r="S700" s="131"/>
    </row>
    <row r="701">
      <c r="A701" s="131"/>
      <c r="B701" s="131"/>
      <c r="C701" s="182"/>
      <c r="D701" s="81"/>
      <c r="E701" s="81"/>
      <c r="F701" s="131"/>
      <c r="G701" s="131"/>
      <c r="H701" s="131"/>
      <c r="I701" s="131"/>
      <c r="J701" s="131"/>
      <c r="K701" s="131"/>
      <c r="L701" s="131"/>
      <c r="M701" s="131"/>
      <c r="N701" s="131"/>
      <c r="O701" s="131"/>
      <c r="P701" s="131"/>
      <c r="Q701" s="131"/>
      <c r="R701" s="131"/>
      <c r="S701" s="131"/>
    </row>
    <row r="702">
      <c r="A702" s="131"/>
      <c r="B702" s="131"/>
      <c r="C702" s="182"/>
      <c r="D702" s="81"/>
      <c r="E702" s="81"/>
      <c r="F702" s="131"/>
      <c r="G702" s="131"/>
      <c r="H702" s="131"/>
      <c r="I702" s="131"/>
      <c r="J702" s="131"/>
      <c r="K702" s="131"/>
      <c r="L702" s="131"/>
      <c r="M702" s="131"/>
      <c r="N702" s="131"/>
      <c r="O702" s="131"/>
      <c r="P702" s="131"/>
      <c r="Q702" s="131"/>
      <c r="R702" s="131"/>
      <c r="S702" s="131"/>
    </row>
    <row r="703">
      <c r="A703" s="131"/>
      <c r="B703" s="131"/>
      <c r="C703" s="182"/>
      <c r="D703" s="81"/>
      <c r="E703" s="81"/>
      <c r="F703" s="131"/>
      <c r="G703" s="131"/>
      <c r="H703" s="131"/>
      <c r="I703" s="131"/>
      <c r="J703" s="131"/>
      <c r="K703" s="131"/>
      <c r="L703" s="131"/>
      <c r="M703" s="131"/>
      <c r="N703" s="131"/>
      <c r="O703" s="131"/>
      <c r="P703" s="131"/>
      <c r="Q703" s="131"/>
      <c r="R703" s="131"/>
      <c r="S703" s="131"/>
    </row>
    <row r="704">
      <c r="A704" s="131"/>
      <c r="B704" s="131"/>
      <c r="C704" s="182"/>
      <c r="D704" s="81"/>
      <c r="E704" s="81"/>
      <c r="F704" s="131"/>
      <c r="G704" s="131"/>
      <c r="H704" s="131"/>
      <c r="I704" s="131"/>
      <c r="J704" s="131"/>
      <c r="K704" s="131"/>
      <c r="L704" s="131"/>
      <c r="M704" s="131"/>
      <c r="N704" s="131"/>
      <c r="O704" s="131"/>
      <c r="P704" s="131"/>
      <c r="Q704" s="131"/>
      <c r="R704" s="131"/>
      <c r="S704" s="131"/>
    </row>
    <row r="705">
      <c r="A705" s="131"/>
      <c r="B705" s="131"/>
      <c r="C705" s="182"/>
      <c r="D705" s="81"/>
      <c r="E705" s="81"/>
      <c r="F705" s="131"/>
      <c r="G705" s="131"/>
      <c r="H705" s="131"/>
      <c r="I705" s="131"/>
      <c r="J705" s="131"/>
      <c r="K705" s="131"/>
      <c r="L705" s="131"/>
      <c r="M705" s="131"/>
      <c r="N705" s="131"/>
      <c r="O705" s="131"/>
      <c r="P705" s="131"/>
      <c r="Q705" s="131"/>
      <c r="R705" s="131"/>
      <c r="S705" s="131"/>
    </row>
    <row r="706">
      <c r="A706" s="131"/>
      <c r="B706" s="131"/>
      <c r="C706" s="182"/>
      <c r="D706" s="81"/>
      <c r="E706" s="81"/>
      <c r="F706" s="131"/>
      <c r="G706" s="131"/>
      <c r="H706" s="131"/>
      <c r="I706" s="131"/>
      <c r="J706" s="131"/>
      <c r="K706" s="131"/>
      <c r="L706" s="131"/>
      <c r="M706" s="131"/>
      <c r="N706" s="131"/>
      <c r="O706" s="131"/>
      <c r="P706" s="131"/>
      <c r="Q706" s="131"/>
      <c r="R706" s="131"/>
      <c r="S706" s="131"/>
    </row>
    <row r="707">
      <c r="A707" s="131"/>
      <c r="B707" s="131"/>
      <c r="C707" s="182"/>
      <c r="D707" s="81"/>
      <c r="E707" s="81"/>
      <c r="F707" s="131"/>
      <c r="G707" s="131"/>
      <c r="H707" s="131"/>
      <c r="I707" s="131"/>
      <c r="J707" s="131"/>
      <c r="K707" s="131"/>
      <c r="L707" s="131"/>
      <c r="M707" s="131"/>
      <c r="N707" s="131"/>
      <c r="O707" s="131"/>
      <c r="P707" s="131"/>
      <c r="Q707" s="131"/>
      <c r="R707" s="131"/>
      <c r="S707" s="131"/>
    </row>
    <row r="708">
      <c r="A708" s="131"/>
      <c r="B708" s="131"/>
      <c r="C708" s="131"/>
      <c r="D708" s="81"/>
      <c r="E708" s="81"/>
      <c r="F708" s="131"/>
      <c r="G708" s="131"/>
      <c r="H708" s="131"/>
      <c r="I708" s="131"/>
      <c r="J708" s="131"/>
      <c r="K708" s="131"/>
      <c r="L708" s="131"/>
      <c r="M708" s="131"/>
      <c r="N708" s="131"/>
      <c r="O708" s="131"/>
      <c r="P708" s="131"/>
      <c r="Q708" s="131"/>
      <c r="R708" s="131"/>
      <c r="S708" s="131"/>
    </row>
    <row r="709">
      <c r="A709" s="131"/>
      <c r="B709" s="131"/>
      <c r="C709" s="182"/>
      <c r="D709" s="81"/>
      <c r="E709" s="81"/>
      <c r="F709" s="131"/>
      <c r="G709" s="131"/>
      <c r="H709" s="131"/>
      <c r="I709" s="131"/>
      <c r="J709" s="131"/>
      <c r="K709" s="131"/>
      <c r="L709" s="131"/>
      <c r="M709" s="131"/>
      <c r="N709" s="131"/>
      <c r="O709" s="131"/>
      <c r="P709" s="131"/>
      <c r="Q709" s="131"/>
      <c r="R709" s="131"/>
      <c r="S709" s="131"/>
    </row>
    <row r="710">
      <c r="A710" s="131"/>
      <c r="B710" s="131"/>
      <c r="C710" s="182"/>
      <c r="D710" s="81"/>
      <c r="E710" s="81"/>
      <c r="F710" s="131"/>
      <c r="G710" s="131"/>
      <c r="H710" s="131"/>
      <c r="I710" s="131"/>
      <c r="J710" s="131"/>
      <c r="K710" s="131"/>
      <c r="L710" s="131"/>
      <c r="M710" s="131"/>
      <c r="N710" s="131"/>
      <c r="O710" s="131"/>
      <c r="P710" s="131"/>
      <c r="Q710" s="131"/>
      <c r="R710" s="131"/>
      <c r="S710" s="131"/>
    </row>
    <row r="711">
      <c r="A711" s="131"/>
      <c r="B711" s="131"/>
      <c r="C711" s="182"/>
      <c r="D711" s="81"/>
      <c r="E711" s="81"/>
      <c r="F711" s="131"/>
      <c r="G711" s="131"/>
      <c r="H711" s="131"/>
      <c r="I711" s="131"/>
      <c r="J711" s="131"/>
      <c r="K711" s="131"/>
      <c r="L711" s="131"/>
      <c r="M711" s="131"/>
      <c r="N711" s="131"/>
      <c r="O711" s="131"/>
      <c r="P711" s="131"/>
      <c r="Q711" s="131"/>
      <c r="R711" s="131"/>
      <c r="S711" s="131"/>
    </row>
    <row r="712">
      <c r="A712" s="131"/>
      <c r="B712" s="131"/>
      <c r="C712" s="182"/>
      <c r="D712" s="81"/>
      <c r="E712" s="81"/>
      <c r="F712" s="131"/>
      <c r="G712" s="131"/>
      <c r="H712" s="131"/>
      <c r="I712" s="131"/>
      <c r="J712" s="131"/>
      <c r="K712" s="131"/>
      <c r="L712" s="131"/>
      <c r="M712" s="131"/>
      <c r="N712" s="131"/>
      <c r="O712" s="131"/>
      <c r="P712" s="131"/>
      <c r="Q712" s="131"/>
      <c r="R712" s="131"/>
      <c r="S712" s="131"/>
    </row>
    <row r="713">
      <c r="A713" s="131"/>
      <c r="B713" s="131"/>
      <c r="C713" s="182"/>
      <c r="D713" s="81"/>
      <c r="E713" s="81"/>
      <c r="F713" s="131"/>
      <c r="G713" s="131"/>
      <c r="H713" s="131"/>
      <c r="I713" s="131"/>
      <c r="J713" s="131"/>
      <c r="K713" s="131"/>
      <c r="L713" s="131"/>
      <c r="M713" s="131"/>
      <c r="N713" s="131"/>
      <c r="O713" s="131"/>
      <c r="P713" s="131"/>
      <c r="Q713" s="131"/>
      <c r="R713" s="131"/>
      <c r="S713" s="131"/>
    </row>
    <row r="714">
      <c r="A714" s="131"/>
      <c r="B714" s="131"/>
      <c r="C714" s="182"/>
      <c r="D714" s="81"/>
      <c r="E714" s="81"/>
      <c r="F714" s="131"/>
      <c r="G714" s="131"/>
      <c r="H714" s="131"/>
      <c r="I714" s="131"/>
      <c r="J714" s="131"/>
      <c r="K714" s="131"/>
      <c r="L714" s="131"/>
      <c r="M714" s="131"/>
      <c r="N714" s="131"/>
      <c r="O714" s="131"/>
      <c r="P714" s="131"/>
      <c r="Q714" s="131"/>
      <c r="R714" s="131"/>
      <c r="S714" s="131"/>
    </row>
    <row r="715">
      <c r="A715" s="131"/>
      <c r="B715" s="131"/>
      <c r="C715" s="182"/>
      <c r="D715" s="81"/>
      <c r="E715" s="81"/>
      <c r="F715" s="131"/>
      <c r="G715" s="131"/>
      <c r="H715" s="131"/>
      <c r="I715" s="131"/>
      <c r="J715" s="131"/>
      <c r="K715" s="131"/>
      <c r="L715" s="131"/>
      <c r="M715" s="131"/>
      <c r="N715" s="131"/>
      <c r="O715" s="131"/>
      <c r="P715" s="131"/>
      <c r="Q715" s="131"/>
      <c r="R715" s="131"/>
      <c r="S715" s="131"/>
    </row>
    <row r="716">
      <c r="A716" s="131"/>
      <c r="B716" s="131"/>
      <c r="C716" s="182"/>
      <c r="D716" s="81"/>
      <c r="E716" s="81"/>
      <c r="F716" s="131"/>
      <c r="G716" s="131"/>
      <c r="H716" s="131"/>
      <c r="I716" s="131"/>
      <c r="J716" s="131"/>
      <c r="K716" s="131"/>
      <c r="L716" s="131"/>
      <c r="M716" s="131"/>
      <c r="N716" s="131"/>
      <c r="O716" s="131"/>
      <c r="P716" s="131"/>
      <c r="Q716" s="131"/>
      <c r="R716" s="131"/>
      <c r="S716" s="131"/>
    </row>
    <row r="717">
      <c r="A717" s="131"/>
      <c r="B717" s="131"/>
      <c r="C717" s="182"/>
      <c r="D717" s="81"/>
      <c r="E717" s="81"/>
      <c r="F717" s="131"/>
      <c r="G717" s="131"/>
      <c r="H717" s="131"/>
      <c r="I717" s="131"/>
      <c r="J717" s="131"/>
      <c r="K717" s="131"/>
      <c r="L717" s="131"/>
      <c r="M717" s="131"/>
      <c r="N717" s="131"/>
      <c r="O717" s="131"/>
      <c r="P717" s="131"/>
      <c r="Q717" s="131"/>
      <c r="R717" s="131"/>
      <c r="S717" s="131"/>
    </row>
    <row r="718">
      <c r="A718" s="131"/>
      <c r="B718" s="131"/>
      <c r="C718" s="182"/>
      <c r="D718" s="81"/>
      <c r="E718" s="81"/>
      <c r="F718" s="131"/>
      <c r="G718" s="131"/>
      <c r="H718" s="131"/>
      <c r="I718" s="131"/>
      <c r="J718" s="131"/>
      <c r="K718" s="131"/>
      <c r="L718" s="131"/>
      <c r="M718" s="131"/>
      <c r="N718" s="131"/>
      <c r="O718" s="131"/>
      <c r="P718" s="131"/>
      <c r="Q718" s="131"/>
      <c r="R718" s="131"/>
      <c r="S718" s="131"/>
    </row>
    <row r="719">
      <c r="A719" s="131"/>
      <c r="B719" s="131"/>
      <c r="C719" s="182"/>
      <c r="D719" s="81"/>
      <c r="E719" s="81"/>
      <c r="F719" s="131"/>
      <c r="G719" s="131"/>
      <c r="H719" s="131"/>
      <c r="I719" s="131"/>
      <c r="J719" s="131"/>
      <c r="K719" s="131"/>
      <c r="L719" s="131"/>
      <c r="M719" s="131"/>
      <c r="N719" s="131"/>
      <c r="O719" s="131"/>
      <c r="P719" s="131"/>
      <c r="Q719" s="131"/>
      <c r="R719" s="131"/>
      <c r="S719" s="131"/>
    </row>
    <row r="720">
      <c r="A720" s="131"/>
      <c r="B720" s="131"/>
      <c r="C720" s="131"/>
      <c r="D720" s="81"/>
      <c r="E720" s="81"/>
      <c r="F720" s="131"/>
      <c r="G720" s="131"/>
      <c r="H720" s="131"/>
      <c r="I720" s="131"/>
      <c r="J720" s="131"/>
      <c r="K720" s="131"/>
      <c r="L720" s="131"/>
      <c r="M720" s="131"/>
      <c r="N720" s="131"/>
      <c r="O720" s="131"/>
      <c r="P720" s="131"/>
      <c r="Q720" s="131"/>
      <c r="R720" s="131"/>
      <c r="S720" s="131"/>
    </row>
    <row r="721">
      <c r="A721" s="131"/>
      <c r="B721" s="131"/>
      <c r="C721" s="182"/>
      <c r="D721" s="81"/>
      <c r="E721" s="81"/>
      <c r="F721" s="131"/>
      <c r="G721" s="131"/>
      <c r="H721" s="131"/>
      <c r="I721" s="131"/>
      <c r="J721" s="131"/>
      <c r="K721" s="131"/>
      <c r="L721" s="131"/>
      <c r="M721" s="131"/>
      <c r="N721" s="131"/>
      <c r="O721" s="131"/>
      <c r="P721" s="131"/>
      <c r="Q721" s="131"/>
      <c r="R721" s="131"/>
      <c r="S721" s="131"/>
    </row>
    <row r="722">
      <c r="A722" s="131"/>
      <c r="B722" s="131"/>
      <c r="C722" s="182"/>
      <c r="D722" s="81"/>
      <c r="E722" s="81"/>
      <c r="F722" s="131"/>
      <c r="G722" s="131"/>
      <c r="H722" s="131"/>
      <c r="I722" s="131"/>
      <c r="J722" s="131"/>
      <c r="K722" s="131"/>
      <c r="L722" s="131"/>
      <c r="M722" s="131"/>
      <c r="N722" s="131"/>
      <c r="O722" s="131"/>
      <c r="P722" s="131"/>
      <c r="Q722" s="131"/>
      <c r="R722" s="131"/>
      <c r="S722" s="131"/>
    </row>
    <row r="723">
      <c r="A723" s="131"/>
      <c r="B723" s="131"/>
      <c r="C723" s="182"/>
      <c r="D723" s="81"/>
      <c r="E723" s="81"/>
      <c r="F723" s="131"/>
      <c r="G723" s="131"/>
      <c r="H723" s="131"/>
      <c r="I723" s="131"/>
      <c r="J723" s="131"/>
      <c r="K723" s="131"/>
      <c r="L723" s="131"/>
      <c r="M723" s="131"/>
      <c r="N723" s="131"/>
      <c r="O723" s="131"/>
      <c r="P723" s="131"/>
      <c r="Q723" s="131"/>
      <c r="R723" s="131"/>
      <c r="S723" s="131"/>
    </row>
    <row r="724">
      <c r="A724" s="131"/>
      <c r="B724" s="131"/>
      <c r="C724" s="182"/>
      <c r="D724" s="81"/>
      <c r="E724" s="81"/>
      <c r="F724" s="131"/>
      <c r="G724" s="131"/>
      <c r="H724" s="131"/>
      <c r="I724" s="131"/>
      <c r="J724" s="131"/>
      <c r="K724" s="131"/>
      <c r="L724" s="131"/>
      <c r="M724" s="131"/>
      <c r="N724" s="131"/>
      <c r="O724" s="131"/>
      <c r="P724" s="131"/>
      <c r="Q724" s="131"/>
      <c r="R724" s="131"/>
      <c r="S724" s="131"/>
    </row>
    <row r="725">
      <c r="A725" s="131"/>
      <c r="B725" s="131"/>
      <c r="C725" s="182"/>
      <c r="D725" s="81"/>
      <c r="E725" s="81"/>
      <c r="F725" s="131"/>
      <c r="G725" s="131"/>
      <c r="H725" s="131"/>
      <c r="I725" s="131"/>
      <c r="J725" s="131"/>
      <c r="K725" s="131"/>
      <c r="L725" s="131"/>
      <c r="M725" s="131"/>
      <c r="N725" s="131"/>
      <c r="O725" s="131"/>
      <c r="P725" s="131"/>
      <c r="Q725" s="131"/>
      <c r="R725" s="131"/>
      <c r="S725" s="131"/>
    </row>
    <row r="726">
      <c r="A726" s="131"/>
      <c r="B726" s="131"/>
      <c r="C726" s="182"/>
      <c r="D726" s="81"/>
      <c r="E726" s="81"/>
      <c r="F726" s="131"/>
      <c r="G726" s="131"/>
      <c r="H726" s="131"/>
      <c r="I726" s="131"/>
      <c r="J726" s="131"/>
      <c r="K726" s="131"/>
      <c r="L726" s="131"/>
      <c r="M726" s="131"/>
      <c r="N726" s="131"/>
      <c r="O726" s="131"/>
      <c r="P726" s="131"/>
      <c r="Q726" s="131"/>
      <c r="R726" s="131"/>
      <c r="S726" s="131"/>
    </row>
    <row r="727">
      <c r="A727" s="131"/>
      <c r="B727" s="131"/>
      <c r="C727" s="182"/>
      <c r="D727" s="81"/>
      <c r="E727" s="81"/>
      <c r="F727" s="131"/>
      <c r="G727" s="131"/>
      <c r="H727" s="131"/>
      <c r="I727" s="131"/>
      <c r="J727" s="131"/>
      <c r="K727" s="131"/>
      <c r="L727" s="131"/>
      <c r="M727" s="131"/>
      <c r="N727" s="131"/>
      <c r="O727" s="131"/>
      <c r="P727" s="131"/>
      <c r="Q727" s="131"/>
      <c r="R727" s="131"/>
      <c r="S727" s="131"/>
    </row>
    <row r="728">
      <c r="A728" s="131"/>
      <c r="B728" s="131"/>
      <c r="C728" s="182"/>
      <c r="D728" s="81"/>
      <c r="E728" s="81"/>
      <c r="F728" s="131"/>
      <c r="G728" s="131"/>
      <c r="H728" s="131"/>
      <c r="I728" s="131"/>
      <c r="J728" s="131"/>
      <c r="K728" s="131"/>
      <c r="L728" s="131"/>
      <c r="M728" s="131"/>
      <c r="N728" s="131"/>
      <c r="O728" s="131"/>
      <c r="P728" s="131"/>
      <c r="Q728" s="131"/>
      <c r="R728" s="131"/>
      <c r="S728" s="131"/>
    </row>
    <row r="729">
      <c r="A729" s="131"/>
      <c r="B729" s="131"/>
      <c r="C729" s="182"/>
      <c r="D729" s="81"/>
      <c r="E729" s="81"/>
      <c r="F729" s="131"/>
      <c r="G729" s="131"/>
      <c r="H729" s="131"/>
      <c r="I729" s="131"/>
      <c r="J729" s="131"/>
      <c r="K729" s="131"/>
      <c r="L729" s="131"/>
      <c r="M729" s="131"/>
      <c r="N729" s="131"/>
      <c r="O729" s="131"/>
      <c r="P729" s="131"/>
      <c r="Q729" s="131"/>
      <c r="R729" s="131"/>
      <c r="S729" s="131"/>
    </row>
    <row r="730">
      <c r="A730" s="131"/>
      <c r="B730" s="131"/>
      <c r="C730" s="182"/>
      <c r="D730" s="81"/>
      <c r="E730" s="81"/>
      <c r="F730" s="131"/>
      <c r="G730" s="131"/>
      <c r="H730" s="131"/>
      <c r="I730" s="131"/>
      <c r="J730" s="131"/>
      <c r="K730" s="131"/>
      <c r="L730" s="131"/>
      <c r="M730" s="131"/>
      <c r="N730" s="131"/>
      <c r="O730" s="131"/>
      <c r="P730" s="131"/>
      <c r="Q730" s="131"/>
      <c r="R730" s="131"/>
      <c r="S730" s="131"/>
    </row>
    <row r="731">
      <c r="A731" s="131"/>
      <c r="B731" s="131"/>
      <c r="C731" s="182"/>
      <c r="D731" s="81"/>
      <c r="E731" s="81"/>
      <c r="F731" s="131"/>
      <c r="G731" s="131"/>
      <c r="H731" s="131"/>
      <c r="I731" s="131"/>
      <c r="J731" s="131"/>
      <c r="K731" s="131"/>
      <c r="L731" s="131"/>
      <c r="M731" s="131"/>
      <c r="N731" s="131"/>
      <c r="O731" s="131"/>
      <c r="P731" s="131"/>
      <c r="Q731" s="131"/>
      <c r="R731" s="131"/>
      <c r="S731" s="131"/>
    </row>
    <row r="732">
      <c r="A732" s="131"/>
      <c r="B732" s="131"/>
      <c r="C732" s="131"/>
      <c r="D732" s="81"/>
      <c r="E732" s="81"/>
      <c r="F732" s="131"/>
      <c r="G732" s="131"/>
      <c r="H732" s="131"/>
      <c r="I732" s="131"/>
      <c r="J732" s="131"/>
      <c r="K732" s="131"/>
      <c r="L732" s="131"/>
      <c r="M732" s="131"/>
      <c r="N732" s="131"/>
      <c r="O732" s="131"/>
      <c r="P732" s="131"/>
      <c r="Q732" s="131"/>
      <c r="R732" s="131"/>
      <c r="S732" s="131"/>
    </row>
    <row r="733">
      <c r="A733" s="131"/>
      <c r="B733" s="131"/>
      <c r="C733" s="182"/>
      <c r="D733" s="81"/>
      <c r="E733" s="81"/>
      <c r="F733" s="131"/>
      <c r="G733" s="131"/>
      <c r="H733" s="131"/>
      <c r="I733" s="131"/>
      <c r="J733" s="131"/>
      <c r="K733" s="131"/>
      <c r="L733" s="131"/>
      <c r="M733" s="131"/>
      <c r="N733" s="131"/>
      <c r="O733" s="131"/>
      <c r="P733" s="131"/>
      <c r="Q733" s="131"/>
      <c r="R733" s="131"/>
      <c r="S733" s="131"/>
    </row>
    <row r="734">
      <c r="A734" s="131"/>
      <c r="B734" s="131"/>
      <c r="C734" s="182"/>
      <c r="D734" s="81"/>
      <c r="E734" s="81"/>
      <c r="F734" s="131"/>
      <c r="G734" s="131"/>
      <c r="H734" s="131"/>
      <c r="I734" s="131"/>
      <c r="J734" s="131"/>
      <c r="K734" s="131"/>
      <c r="L734" s="131"/>
      <c r="M734" s="131"/>
      <c r="N734" s="131"/>
      <c r="O734" s="131"/>
      <c r="P734" s="131"/>
      <c r="Q734" s="131"/>
      <c r="R734" s="131"/>
      <c r="S734" s="131"/>
    </row>
    <row r="735">
      <c r="A735" s="131"/>
      <c r="B735" s="131"/>
      <c r="C735" s="182"/>
      <c r="D735" s="81"/>
      <c r="E735" s="81"/>
      <c r="F735" s="131"/>
      <c r="G735" s="131"/>
      <c r="H735" s="131"/>
      <c r="I735" s="131"/>
      <c r="J735" s="131"/>
      <c r="K735" s="131"/>
      <c r="L735" s="131"/>
      <c r="M735" s="131"/>
      <c r="N735" s="131"/>
      <c r="O735" s="131"/>
      <c r="P735" s="131"/>
      <c r="Q735" s="131"/>
      <c r="R735" s="131"/>
      <c r="S735" s="131"/>
    </row>
    <row r="736">
      <c r="A736" s="131"/>
      <c r="B736" s="131"/>
      <c r="C736" s="182"/>
      <c r="D736" s="81"/>
      <c r="E736" s="81"/>
      <c r="F736" s="131"/>
      <c r="G736" s="131"/>
      <c r="H736" s="131"/>
      <c r="I736" s="131"/>
      <c r="J736" s="131"/>
      <c r="K736" s="131"/>
      <c r="L736" s="131"/>
      <c r="M736" s="131"/>
      <c r="N736" s="131"/>
      <c r="O736" s="131"/>
      <c r="P736" s="131"/>
      <c r="Q736" s="131"/>
      <c r="R736" s="131"/>
      <c r="S736" s="131"/>
    </row>
    <row r="737">
      <c r="A737" s="131"/>
      <c r="B737" s="131"/>
      <c r="C737" s="182"/>
      <c r="D737" s="81"/>
      <c r="E737" s="81"/>
      <c r="F737" s="131"/>
      <c r="G737" s="131"/>
      <c r="H737" s="131"/>
      <c r="I737" s="131"/>
      <c r="J737" s="131"/>
      <c r="K737" s="131"/>
      <c r="L737" s="131"/>
      <c r="M737" s="131"/>
      <c r="N737" s="131"/>
      <c r="O737" s="131"/>
      <c r="P737" s="131"/>
      <c r="Q737" s="131"/>
      <c r="R737" s="131"/>
      <c r="S737" s="131"/>
    </row>
    <row r="738">
      <c r="A738" s="131"/>
      <c r="B738" s="131"/>
      <c r="C738" s="182"/>
      <c r="D738" s="81"/>
      <c r="E738" s="81"/>
      <c r="F738" s="131"/>
      <c r="G738" s="131"/>
      <c r="H738" s="131"/>
      <c r="I738" s="131"/>
      <c r="J738" s="131"/>
      <c r="K738" s="131"/>
      <c r="L738" s="131"/>
      <c r="M738" s="131"/>
      <c r="N738" s="131"/>
      <c r="O738" s="131"/>
      <c r="P738" s="131"/>
      <c r="Q738" s="131"/>
      <c r="R738" s="131"/>
      <c r="S738" s="131"/>
    </row>
    <row r="739">
      <c r="A739" s="131"/>
      <c r="B739" s="131"/>
      <c r="C739" s="182"/>
      <c r="D739" s="81"/>
      <c r="E739" s="81"/>
      <c r="F739" s="131"/>
      <c r="G739" s="131"/>
      <c r="H739" s="131"/>
      <c r="I739" s="131"/>
      <c r="J739" s="131"/>
      <c r="K739" s="131"/>
      <c r="L739" s="131"/>
      <c r="M739" s="131"/>
      <c r="N739" s="131"/>
      <c r="O739" s="131"/>
      <c r="P739" s="131"/>
      <c r="Q739" s="131"/>
      <c r="R739" s="131"/>
      <c r="S739" s="131"/>
    </row>
    <row r="740">
      <c r="A740" s="131"/>
      <c r="B740" s="131"/>
      <c r="C740" s="182"/>
      <c r="D740" s="81"/>
      <c r="E740" s="81"/>
      <c r="F740" s="131"/>
      <c r="G740" s="131"/>
      <c r="H740" s="131"/>
      <c r="I740" s="131"/>
      <c r="J740" s="131"/>
      <c r="K740" s="131"/>
      <c r="L740" s="131"/>
      <c r="M740" s="131"/>
      <c r="N740" s="131"/>
      <c r="O740" s="131"/>
      <c r="P740" s="131"/>
      <c r="Q740" s="131"/>
      <c r="R740" s="131"/>
      <c r="S740" s="131"/>
    </row>
    <row r="741">
      <c r="A741" s="131"/>
      <c r="B741" s="131"/>
      <c r="C741" s="182"/>
      <c r="D741" s="81"/>
      <c r="E741" s="81"/>
      <c r="F741" s="131"/>
      <c r="G741" s="131"/>
      <c r="H741" s="131"/>
      <c r="I741" s="131"/>
      <c r="J741" s="131"/>
      <c r="K741" s="131"/>
      <c r="L741" s="131"/>
      <c r="M741" s="131"/>
      <c r="N741" s="131"/>
      <c r="O741" s="131"/>
      <c r="P741" s="131"/>
      <c r="Q741" s="131"/>
      <c r="R741" s="131"/>
      <c r="S741" s="131"/>
    </row>
    <row r="742">
      <c r="A742" s="131"/>
      <c r="B742" s="131"/>
      <c r="C742" s="182"/>
      <c r="D742" s="81"/>
      <c r="E742" s="81"/>
      <c r="F742" s="131"/>
      <c r="G742" s="131"/>
      <c r="H742" s="131"/>
      <c r="I742" s="131"/>
      <c r="J742" s="131"/>
      <c r="K742" s="131"/>
      <c r="L742" s="131"/>
      <c r="M742" s="131"/>
      <c r="N742" s="131"/>
      <c r="O742" s="131"/>
      <c r="P742" s="131"/>
      <c r="Q742" s="131"/>
      <c r="R742" s="131"/>
      <c r="S742" s="131"/>
    </row>
    <row r="743">
      <c r="A743" s="131"/>
      <c r="B743" s="131"/>
      <c r="C743" s="182"/>
      <c r="D743" s="81"/>
      <c r="E743" s="81"/>
      <c r="F743" s="131"/>
      <c r="G743" s="131"/>
      <c r="H743" s="131"/>
      <c r="I743" s="131"/>
      <c r="J743" s="131"/>
      <c r="K743" s="131"/>
      <c r="L743" s="131"/>
      <c r="M743" s="131"/>
      <c r="N743" s="131"/>
      <c r="O743" s="131"/>
      <c r="P743" s="131"/>
      <c r="Q743" s="131"/>
      <c r="R743" s="131"/>
      <c r="S743" s="131"/>
    </row>
    <row r="744">
      <c r="A744" s="131"/>
      <c r="B744" s="131"/>
      <c r="C744" s="182"/>
      <c r="D744" s="81"/>
      <c r="E744" s="81"/>
      <c r="F744" s="131"/>
      <c r="G744" s="131"/>
      <c r="H744" s="131"/>
      <c r="I744" s="131"/>
      <c r="J744" s="131"/>
      <c r="K744" s="131"/>
      <c r="L744" s="131"/>
      <c r="M744" s="131"/>
      <c r="N744" s="131"/>
      <c r="O744" s="131"/>
      <c r="P744" s="131"/>
      <c r="Q744" s="131"/>
      <c r="R744" s="131"/>
      <c r="S744" s="131"/>
    </row>
    <row r="745">
      <c r="A745" s="131"/>
      <c r="B745" s="131"/>
      <c r="C745" s="131"/>
      <c r="D745" s="81"/>
      <c r="E745" s="81"/>
      <c r="F745" s="131"/>
      <c r="G745" s="131"/>
      <c r="H745" s="131"/>
      <c r="I745" s="131"/>
      <c r="J745" s="131"/>
      <c r="K745" s="131"/>
      <c r="L745" s="131"/>
      <c r="M745" s="131"/>
      <c r="N745" s="131"/>
      <c r="O745" s="131"/>
      <c r="P745" s="131"/>
      <c r="Q745" s="131"/>
      <c r="R745" s="131"/>
      <c r="S745" s="131"/>
    </row>
    <row r="746">
      <c r="A746" s="131"/>
      <c r="B746" s="131"/>
      <c r="C746" s="182"/>
      <c r="D746" s="81"/>
      <c r="E746" s="81"/>
      <c r="F746" s="131"/>
      <c r="G746" s="131"/>
      <c r="H746" s="131"/>
      <c r="I746" s="131"/>
      <c r="J746" s="131"/>
      <c r="K746" s="131"/>
      <c r="L746" s="131"/>
      <c r="M746" s="131"/>
      <c r="N746" s="131"/>
      <c r="O746" s="131"/>
      <c r="P746" s="131"/>
      <c r="Q746" s="131"/>
      <c r="R746" s="131"/>
      <c r="S746" s="131"/>
    </row>
    <row r="747">
      <c r="A747" s="131"/>
      <c r="B747" s="131"/>
      <c r="C747" s="182"/>
      <c r="D747" s="81"/>
      <c r="E747" s="81"/>
      <c r="F747" s="131"/>
      <c r="G747" s="131"/>
      <c r="H747" s="131"/>
      <c r="I747" s="131"/>
      <c r="J747" s="131"/>
      <c r="K747" s="131"/>
      <c r="L747" s="131"/>
      <c r="M747" s="131"/>
      <c r="N747" s="131"/>
      <c r="O747" s="131"/>
      <c r="P747" s="131"/>
      <c r="Q747" s="131"/>
      <c r="R747" s="131"/>
      <c r="S747" s="131"/>
    </row>
    <row r="748">
      <c r="A748" s="131"/>
      <c r="B748" s="131"/>
      <c r="C748" s="182"/>
      <c r="D748" s="81"/>
      <c r="E748" s="81"/>
      <c r="F748" s="131"/>
      <c r="G748" s="131"/>
      <c r="H748" s="131"/>
      <c r="I748" s="131"/>
      <c r="J748" s="131"/>
      <c r="K748" s="131"/>
      <c r="L748" s="131"/>
      <c r="M748" s="131"/>
      <c r="N748" s="131"/>
      <c r="O748" s="131"/>
      <c r="P748" s="131"/>
      <c r="Q748" s="131"/>
      <c r="R748" s="131"/>
      <c r="S748" s="131"/>
    </row>
    <row r="749">
      <c r="A749" s="131"/>
      <c r="B749" s="131"/>
      <c r="C749" s="182"/>
      <c r="D749" s="81"/>
      <c r="E749" s="81"/>
      <c r="F749" s="131"/>
      <c r="G749" s="131"/>
      <c r="H749" s="131"/>
      <c r="I749" s="131"/>
      <c r="J749" s="131"/>
      <c r="K749" s="131"/>
      <c r="L749" s="131"/>
      <c r="M749" s="131"/>
      <c r="N749" s="131"/>
      <c r="O749" s="131"/>
      <c r="P749" s="131"/>
      <c r="Q749" s="131"/>
      <c r="R749" s="131"/>
      <c r="S749" s="131"/>
    </row>
    <row r="750">
      <c r="A750" s="131"/>
      <c r="B750" s="131"/>
      <c r="C750" s="182"/>
      <c r="D750" s="81"/>
      <c r="E750" s="81"/>
      <c r="F750" s="131"/>
      <c r="G750" s="131"/>
      <c r="H750" s="131"/>
      <c r="I750" s="131"/>
      <c r="J750" s="131"/>
      <c r="K750" s="131"/>
      <c r="L750" s="131"/>
      <c r="M750" s="131"/>
      <c r="N750" s="131"/>
      <c r="O750" s="131"/>
      <c r="P750" s="131"/>
      <c r="Q750" s="131"/>
      <c r="R750" s="131"/>
      <c r="S750" s="131"/>
    </row>
    <row r="751">
      <c r="A751" s="131"/>
      <c r="B751" s="131"/>
      <c r="C751" s="131"/>
      <c r="D751" s="81"/>
      <c r="E751" s="81"/>
      <c r="F751" s="131"/>
      <c r="G751" s="131"/>
      <c r="H751" s="131"/>
      <c r="I751" s="131"/>
      <c r="J751" s="131"/>
      <c r="K751" s="131"/>
      <c r="L751" s="131"/>
      <c r="M751" s="131"/>
      <c r="N751" s="131"/>
      <c r="O751" s="131"/>
      <c r="P751" s="131"/>
      <c r="Q751" s="131"/>
      <c r="R751" s="131"/>
      <c r="S751" s="131"/>
    </row>
    <row r="752">
      <c r="A752" s="131"/>
      <c r="B752" s="131"/>
      <c r="C752" s="131"/>
      <c r="D752" s="81"/>
      <c r="E752" s="81"/>
      <c r="F752" s="131"/>
      <c r="G752" s="131"/>
      <c r="H752" s="131"/>
      <c r="I752" s="131"/>
      <c r="J752" s="131"/>
      <c r="K752" s="131"/>
      <c r="L752" s="131"/>
      <c r="M752" s="131"/>
      <c r="N752" s="131"/>
      <c r="O752" s="131"/>
      <c r="P752" s="131"/>
      <c r="Q752" s="131"/>
      <c r="R752" s="131"/>
      <c r="S752" s="131"/>
    </row>
    <row r="753">
      <c r="A753" s="131"/>
      <c r="B753" s="131"/>
      <c r="C753" s="131"/>
      <c r="D753" s="81"/>
      <c r="E753" s="81"/>
      <c r="F753" s="131"/>
      <c r="G753" s="131"/>
      <c r="H753" s="131"/>
      <c r="I753" s="131"/>
      <c r="J753" s="131"/>
      <c r="K753" s="131"/>
      <c r="L753" s="131"/>
      <c r="M753" s="131"/>
      <c r="N753" s="131"/>
      <c r="O753" s="131"/>
      <c r="P753" s="131"/>
      <c r="Q753" s="131"/>
      <c r="R753" s="131"/>
      <c r="S753" s="131"/>
    </row>
    <row r="754">
      <c r="A754" s="131"/>
      <c r="B754" s="131"/>
      <c r="C754" s="131"/>
      <c r="D754" s="81"/>
      <c r="E754" s="81"/>
      <c r="F754" s="131"/>
      <c r="G754" s="131"/>
      <c r="H754" s="131"/>
      <c r="I754" s="131"/>
      <c r="J754" s="131"/>
      <c r="K754" s="131"/>
      <c r="L754" s="131"/>
      <c r="M754" s="131"/>
      <c r="N754" s="131"/>
      <c r="O754" s="131"/>
      <c r="P754" s="131"/>
      <c r="Q754" s="131"/>
      <c r="R754" s="131"/>
      <c r="S754" s="131"/>
    </row>
    <row r="755">
      <c r="A755" s="131"/>
      <c r="B755" s="131"/>
      <c r="C755" s="131"/>
      <c r="D755" s="81"/>
      <c r="E755" s="81"/>
      <c r="F755" s="131"/>
      <c r="G755" s="131"/>
      <c r="H755" s="131"/>
      <c r="I755" s="131"/>
      <c r="J755" s="131"/>
      <c r="K755" s="131"/>
      <c r="L755" s="131"/>
      <c r="M755" s="131"/>
      <c r="N755" s="131"/>
      <c r="O755" s="131"/>
      <c r="P755" s="131"/>
      <c r="Q755" s="131"/>
      <c r="R755" s="131"/>
      <c r="S755" s="131"/>
    </row>
    <row r="756">
      <c r="A756" s="131"/>
      <c r="B756" s="131"/>
      <c r="C756" s="131"/>
      <c r="D756" s="81"/>
      <c r="E756" s="81"/>
      <c r="F756" s="131"/>
      <c r="G756" s="131"/>
      <c r="H756" s="131"/>
      <c r="I756" s="131"/>
      <c r="J756" s="131"/>
      <c r="K756" s="131"/>
      <c r="L756" s="131"/>
      <c r="M756" s="131"/>
      <c r="N756" s="131"/>
      <c r="O756" s="131"/>
      <c r="P756" s="131"/>
      <c r="Q756" s="131"/>
      <c r="R756" s="131"/>
      <c r="S756" s="131"/>
    </row>
    <row r="757">
      <c r="A757" s="131"/>
      <c r="B757" s="131"/>
      <c r="C757" s="131"/>
      <c r="D757" s="81"/>
      <c r="E757" s="81"/>
      <c r="F757" s="131"/>
      <c r="G757" s="131"/>
      <c r="H757" s="131"/>
      <c r="I757" s="131"/>
      <c r="J757" s="131"/>
      <c r="K757" s="131"/>
      <c r="L757" s="131"/>
      <c r="M757" s="131"/>
      <c r="N757" s="131"/>
      <c r="O757" s="131"/>
      <c r="P757" s="131"/>
      <c r="Q757" s="131"/>
      <c r="R757" s="131"/>
      <c r="S757" s="131"/>
    </row>
    <row r="758">
      <c r="A758" s="131"/>
      <c r="B758" s="131"/>
      <c r="C758" s="131"/>
      <c r="D758" s="81"/>
      <c r="E758" s="81"/>
      <c r="F758" s="131"/>
      <c r="G758" s="131"/>
      <c r="H758" s="131"/>
      <c r="I758" s="131"/>
      <c r="J758" s="131"/>
      <c r="K758" s="131"/>
      <c r="L758" s="131"/>
      <c r="M758" s="131"/>
      <c r="N758" s="131"/>
      <c r="O758" s="131"/>
      <c r="P758" s="131"/>
      <c r="Q758" s="131"/>
      <c r="R758" s="131"/>
      <c r="S758" s="131"/>
    </row>
    <row r="759">
      <c r="A759" s="131"/>
      <c r="B759" s="131"/>
      <c r="C759" s="131"/>
      <c r="D759" s="81"/>
      <c r="E759" s="81"/>
      <c r="F759" s="131"/>
      <c r="G759" s="131"/>
      <c r="H759" s="131"/>
      <c r="I759" s="131"/>
      <c r="J759" s="131"/>
      <c r="K759" s="131"/>
      <c r="L759" s="131"/>
      <c r="M759" s="131"/>
      <c r="N759" s="131"/>
      <c r="O759" s="131"/>
      <c r="P759" s="131"/>
      <c r="Q759" s="131"/>
      <c r="R759" s="131"/>
      <c r="S759" s="131"/>
    </row>
    <row r="760">
      <c r="A760" s="131"/>
      <c r="B760" s="131"/>
      <c r="C760" s="131"/>
      <c r="D760" s="81"/>
      <c r="E760" s="81"/>
      <c r="F760" s="131"/>
      <c r="G760" s="131"/>
      <c r="H760" s="131"/>
      <c r="I760" s="131"/>
      <c r="J760" s="131"/>
      <c r="K760" s="131"/>
      <c r="L760" s="131"/>
      <c r="M760" s="131"/>
      <c r="N760" s="131"/>
      <c r="O760" s="131"/>
      <c r="P760" s="131"/>
      <c r="Q760" s="131"/>
      <c r="R760" s="131"/>
      <c r="S760" s="131"/>
    </row>
    <row r="761">
      <c r="A761" s="131"/>
      <c r="B761" s="131"/>
      <c r="C761" s="131"/>
      <c r="D761" s="81"/>
      <c r="E761" s="81"/>
      <c r="F761" s="131"/>
      <c r="G761" s="131"/>
      <c r="H761" s="131"/>
      <c r="I761" s="131"/>
      <c r="J761" s="131"/>
      <c r="K761" s="131"/>
      <c r="L761" s="131"/>
      <c r="M761" s="131"/>
      <c r="N761" s="131"/>
      <c r="O761" s="131"/>
      <c r="P761" s="131"/>
      <c r="Q761" s="131"/>
      <c r="R761" s="131"/>
      <c r="S761" s="131"/>
    </row>
    <row r="762">
      <c r="A762" s="131"/>
      <c r="B762" s="131"/>
      <c r="C762" s="131"/>
      <c r="D762" s="81"/>
      <c r="E762" s="81"/>
      <c r="F762" s="131"/>
      <c r="G762" s="131"/>
      <c r="H762" s="131"/>
      <c r="I762" s="131"/>
      <c r="J762" s="131"/>
      <c r="K762" s="131"/>
      <c r="L762" s="131"/>
      <c r="M762" s="131"/>
      <c r="N762" s="131"/>
      <c r="O762" s="131"/>
      <c r="P762" s="131"/>
      <c r="Q762" s="131"/>
      <c r="R762" s="131"/>
      <c r="S762" s="131"/>
    </row>
    <row r="763">
      <c r="A763" s="131"/>
      <c r="B763" s="131"/>
      <c r="C763" s="131"/>
      <c r="D763" s="81"/>
      <c r="E763" s="81"/>
      <c r="F763" s="131"/>
      <c r="G763" s="131"/>
      <c r="H763" s="131"/>
      <c r="I763" s="131"/>
      <c r="J763" s="131"/>
      <c r="K763" s="131"/>
      <c r="L763" s="131"/>
      <c r="M763" s="131"/>
      <c r="N763" s="131"/>
      <c r="O763" s="131"/>
      <c r="P763" s="131"/>
      <c r="Q763" s="131"/>
      <c r="R763" s="131"/>
      <c r="S763" s="131"/>
    </row>
    <row r="764">
      <c r="A764" s="131"/>
      <c r="B764" s="131"/>
      <c r="C764" s="131"/>
      <c r="D764" s="81"/>
      <c r="E764" s="81"/>
      <c r="F764" s="131"/>
      <c r="G764" s="131"/>
      <c r="H764" s="131"/>
      <c r="I764" s="131"/>
      <c r="J764" s="131"/>
      <c r="K764" s="131"/>
      <c r="L764" s="131"/>
      <c r="M764" s="131"/>
      <c r="N764" s="131"/>
      <c r="O764" s="131"/>
      <c r="P764" s="131"/>
      <c r="Q764" s="131"/>
      <c r="R764" s="131"/>
      <c r="S764" s="131"/>
    </row>
    <row r="765">
      <c r="A765" s="131"/>
      <c r="B765" s="131"/>
      <c r="C765" s="131"/>
      <c r="D765" s="81"/>
      <c r="E765" s="81"/>
      <c r="F765" s="131"/>
      <c r="G765" s="131"/>
      <c r="H765" s="131"/>
      <c r="I765" s="131"/>
      <c r="J765" s="131"/>
      <c r="K765" s="131"/>
      <c r="L765" s="131"/>
      <c r="M765" s="131"/>
      <c r="N765" s="131"/>
      <c r="O765" s="131"/>
      <c r="P765" s="131"/>
      <c r="Q765" s="131"/>
      <c r="R765" s="131"/>
      <c r="S765" s="131"/>
    </row>
    <row r="766">
      <c r="A766" s="131"/>
      <c r="B766" s="131"/>
      <c r="C766" s="131"/>
      <c r="D766" s="81"/>
      <c r="E766" s="81"/>
      <c r="F766" s="131"/>
      <c r="G766" s="131"/>
      <c r="H766" s="131"/>
      <c r="I766" s="131"/>
      <c r="J766" s="131"/>
      <c r="K766" s="131"/>
      <c r="L766" s="131"/>
      <c r="M766" s="131"/>
      <c r="N766" s="131"/>
      <c r="O766" s="131"/>
      <c r="P766" s="131"/>
      <c r="Q766" s="131"/>
      <c r="R766" s="131"/>
      <c r="S766" s="131"/>
    </row>
    <row r="767">
      <c r="A767" s="131"/>
      <c r="B767" s="131"/>
      <c r="C767" s="131"/>
      <c r="D767" s="81"/>
      <c r="E767" s="81"/>
      <c r="F767" s="131"/>
      <c r="G767" s="131"/>
      <c r="H767" s="131"/>
      <c r="I767" s="131"/>
      <c r="J767" s="131"/>
      <c r="K767" s="131"/>
      <c r="L767" s="131"/>
      <c r="M767" s="131"/>
      <c r="N767" s="131"/>
      <c r="O767" s="131"/>
      <c r="P767" s="131"/>
      <c r="Q767" s="131"/>
      <c r="R767" s="131"/>
      <c r="S767" s="131"/>
    </row>
    <row r="768">
      <c r="A768" s="131"/>
      <c r="B768" s="131"/>
      <c r="C768" s="131"/>
      <c r="D768" s="81"/>
      <c r="E768" s="81"/>
      <c r="F768" s="131"/>
      <c r="G768" s="131"/>
      <c r="H768" s="131"/>
      <c r="I768" s="131"/>
      <c r="J768" s="131"/>
      <c r="K768" s="131"/>
      <c r="L768" s="131"/>
      <c r="M768" s="131"/>
      <c r="N768" s="131"/>
      <c r="O768" s="131"/>
      <c r="P768" s="131"/>
      <c r="Q768" s="131"/>
      <c r="R768" s="131"/>
      <c r="S768" s="131"/>
    </row>
    <row r="769">
      <c r="A769" s="131"/>
      <c r="B769" s="131"/>
      <c r="C769" s="131"/>
      <c r="D769" s="81"/>
      <c r="E769" s="81"/>
      <c r="F769" s="131"/>
      <c r="G769" s="131"/>
      <c r="H769" s="131"/>
      <c r="I769" s="131"/>
      <c r="J769" s="131"/>
      <c r="K769" s="131"/>
      <c r="L769" s="131"/>
      <c r="M769" s="131"/>
      <c r="N769" s="131"/>
      <c r="O769" s="131"/>
      <c r="P769" s="131"/>
      <c r="Q769" s="131"/>
      <c r="R769" s="131"/>
      <c r="S769" s="131"/>
    </row>
    <row r="770">
      <c r="A770" s="131"/>
      <c r="B770" s="131"/>
      <c r="C770" s="131"/>
      <c r="D770" s="81"/>
      <c r="E770" s="81"/>
      <c r="F770" s="131"/>
      <c r="G770" s="131"/>
      <c r="H770" s="131"/>
      <c r="I770" s="131"/>
      <c r="J770" s="131"/>
      <c r="K770" s="131"/>
      <c r="L770" s="131"/>
      <c r="M770" s="131"/>
      <c r="N770" s="131"/>
      <c r="O770" s="131"/>
      <c r="P770" s="131"/>
      <c r="Q770" s="131"/>
      <c r="R770" s="131"/>
      <c r="S770" s="131"/>
    </row>
    <row r="771">
      <c r="A771" s="131"/>
      <c r="B771" s="131"/>
      <c r="C771" s="131"/>
      <c r="D771" s="81"/>
      <c r="E771" s="81"/>
      <c r="F771" s="131"/>
      <c r="G771" s="131"/>
      <c r="H771" s="131"/>
      <c r="I771" s="131"/>
      <c r="J771" s="131"/>
      <c r="K771" s="131"/>
      <c r="L771" s="131"/>
      <c r="M771" s="131"/>
      <c r="N771" s="131"/>
      <c r="O771" s="131"/>
      <c r="P771" s="131"/>
      <c r="Q771" s="131"/>
      <c r="R771" s="131"/>
      <c r="S771" s="131"/>
    </row>
    <row r="772">
      <c r="A772" s="131"/>
      <c r="B772" s="131"/>
      <c r="C772" s="131"/>
      <c r="D772" s="81"/>
      <c r="E772" s="81"/>
      <c r="F772" s="131"/>
      <c r="G772" s="131"/>
      <c r="H772" s="131"/>
      <c r="I772" s="131"/>
      <c r="J772" s="131"/>
      <c r="K772" s="131"/>
      <c r="L772" s="131"/>
      <c r="M772" s="131"/>
      <c r="N772" s="131"/>
      <c r="O772" s="131"/>
      <c r="P772" s="131"/>
      <c r="Q772" s="131"/>
      <c r="R772" s="131"/>
      <c r="S772" s="131"/>
    </row>
    <row r="773">
      <c r="A773" s="131"/>
      <c r="B773" s="131"/>
      <c r="C773" s="131"/>
      <c r="D773" s="81"/>
      <c r="E773" s="81"/>
      <c r="F773" s="131"/>
      <c r="G773" s="131"/>
      <c r="H773" s="131"/>
      <c r="I773" s="131"/>
      <c r="J773" s="131"/>
      <c r="K773" s="131"/>
      <c r="L773" s="131"/>
      <c r="M773" s="131"/>
      <c r="N773" s="131"/>
      <c r="O773" s="131"/>
      <c r="P773" s="131"/>
      <c r="Q773" s="131"/>
      <c r="R773" s="131"/>
      <c r="S773" s="131"/>
    </row>
    <row r="774">
      <c r="A774" s="131"/>
      <c r="B774" s="131"/>
      <c r="C774" s="131"/>
      <c r="D774" s="81"/>
      <c r="E774" s="81"/>
      <c r="F774" s="131"/>
      <c r="G774" s="131"/>
      <c r="H774" s="131"/>
      <c r="I774" s="131"/>
      <c r="J774" s="131"/>
      <c r="K774" s="131"/>
      <c r="L774" s="131"/>
      <c r="M774" s="131"/>
      <c r="N774" s="131"/>
      <c r="O774" s="131"/>
      <c r="P774" s="131"/>
      <c r="Q774" s="131"/>
      <c r="R774" s="131"/>
      <c r="S774" s="131"/>
    </row>
    <row r="775">
      <c r="A775" s="131"/>
      <c r="B775" s="131"/>
      <c r="C775" s="131"/>
      <c r="D775" s="81"/>
      <c r="E775" s="81"/>
      <c r="F775" s="131"/>
      <c r="G775" s="131"/>
      <c r="H775" s="131"/>
      <c r="I775" s="131"/>
      <c r="J775" s="131"/>
      <c r="K775" s="131"/>
      <c r="L775" s="131"/>
      <c r="M775" s="131"/>
      <c r="N775" s="131"/>
      <c r="O775" s="131"/>
      <c r="P775" s="131"/>
      <c r="Q775" s="131"/>
      <c r="R775" s="131"/>
      <c r="S775" s="131"/>
    </row>
    <row r="776">
      <c r="A776" s="131"/>
      <c r="B776" s="131"/>
      <c r="C776" s="131"/>
      <c r="D776" s="81"/>
      <c r="E776" s="81"/>
      <c r="F776" s="131"/>
      <c r="G776" s="131"/>
      <c r="H776" s="131"/>
      <c r="I776" s="131"/>
      <c r="J776" s="131"/>
      <c r="K776" s="131"/>
      <c r="L776" s="131"/>
      <c r="M776" s="131"/>
      <c r="N776" s="131"/>
      <c r="O776" s="131"/>
      <c r="P776" s="131"/>
      <c r="Q776" s="131"/>
      <c r="R776" s="131"/>
      <c r="S776" s="131"/>
    </row>
    <row r="777">
      <c r="A777" s="131"/>
      <c r="B777" s="131"/>
      <c r="C777" s="131"/>
      <c r="D777" s="81"/>
      <c r="E777" s="81"/>
      <c r="F777" s="131"/>
      <c r="G777" s="131"/>
      <c r="H777" s="131"/>
      <c r="I777" s="131"/>
      <c r="J777" s="131"/>
      <c r="K777" s="131"/>
      <c r="L777" s="131"/>
      <c r="M777" s="131"/>
      <c r="N777" s="131"/>
      <c r="O777" s="131"/>
      <c r="P777" s="131"/>
      <c r="Q777" s="131"/>
      <c r="R777" s="131"/>
      <c r="S777" s="131"/>
    </row>
    <row r="778">
      <c r="A778" s="131"/>
      <c r="B778" s="131"/>
      <c r="C778" s="131"/>
      <c r="D778" s="81"/>
      <c r="E778" s="81"/>
      <c r="F778" s="131"/>
      <c r="G778" s="131"/>
      <c r="H778" s="131"/>
      <c r="I778" s="131"/>
      <c r="J778" s="131"/>
      <c r="K778" s="131"/>
      <c r="L778" s="131"/>
      <c r="M778" s="131"/>
      <c r="N778" s="131"/>
      <c r="O778" s="131"/>
      <c r="P778" s="131"/>
      <c r="Q778" s="131"/>
      <c r="R778" s="131"/>
      <c r="S778" s="131"/>
    </row>
    <row r="779">
      <c r="A779" s="131"/>
      <c r="B779" s="131"/>
      <c r="C779" s="131"/>
      <c r="D779" s="81"/>
      <c r="E779" s="81"/>
      <c r="F779" s="131"/>
      <c r="G779" s="131"/>
      <c r="H779" s="131"/>
      <c r="I779" s="131"/>
      <c r="J779" s="131"/>
      <c r="K779" s="131"/>
      <c r="L779" s="131"/>
      <c r="M779" s="131"/>
      <c r="N779" s="131"/>
      <c r="O779" s="131"/>
      <c r="P779" s="131"/>
      <c r="Q779" s="131"/>
      <c r="R779" s="131"/>
      <c r="S779" s="131"/>
    </row>
    <row r="780">
      <c r="A780" s="131"/>
      <c r="B780" s="131"/>
      <c r="C780" s="131"/>
      <c r="D780" s="81"/>
      <c r="E780" s="81"/>
      <c r="F780" s="131"/>
      <c r="G780" s="131"/>
      <c r="H780" s="131"/>
      <c r="I780" s="131"/>
      <c r="J780" s="131"/>
      <c r="K780" s="131"/>
      <c r="L780" s="131"/>
      <c r="M780" s="131"/>
      <c r="N780" s="131"/>
      <c r="O780" s="131"/>
      <c r="P780" s="131"/>
      <c r="Q780" s="131"/>
      <c r="R780" s="131"/>
      <c r="S780" s="131"/>
    </row>
    <row r="781">
      <c r="A781" s="131"/>
      <c r="B781" s="131"/>
      <c r="C781" s="131"/>
      <c r="D781" s="81"/>
      <c r="E781" s="81"/>
      <c r="F781" s="131"/>
      <c r="G781" s="131"/>
      <c r="H781" s="131"/>
      <c r="I781" s="131"/>
      <c r="J781" s="131"/>
      <c r="K781" s="131"/>
      <c r="L781" s="131"/>
      <c r="M781" s="131"/>
      <c r="N781" s="131"/>
      <c r="O781" s="131"/>
      <c r="P781" s="131"/>
      <c r="Q781" s="131"/>
      <c r="R781" s="131"/>
      <c r="S781" s="131"/>
    </row>
    <row r="782">
      <c r="A782" s="131"/>
      <c r="B782" s="131"/>
      <c r="C782" s="131"/>
      <c r="D782" s="81"/>
      <c r="E782" s="81"/>
      <c r="F782" s="131"/>
      <c r="G782" s="131"/>
      <c r="H782" s="131"/>
      <c r="I782" s="131"/>
      <c r="J782" s="131"/>
      <c r="K782" s="131"/>
      <c r="L782" s="131"/>
      <c r="M782" s="131"/>
      <c r="N782" s="131"/>
      <c r="O782" s="131"/>
      <c r="P782" s="131"/>
      <c r="Q782" s="131"/>
      <c r="R782" s="131"/>
      <c r="S782" s="131"/>
    </row>
    <row r="783">
      <c r="A783" s="131"/>
      <c r="B783" s="131"/>
      <c r="C783" s="131"/>
      <c r="D783" s="81"/>
      <c r="E783" s="81"/>
      <c r="F783" s="131"/>
      <c r="G783" s="131"/>
      <c r="H783" s="131"/>
      <c r="I783" s="131"/>
      <c r="J783" s="131"/>
      <c r="K783" s="131"/>
      <c r="L783" s="131"/>
      <c r="M783" s="131"/>
      <c r="N783" s="131"/>
      <c r="O783" s="131"/>
      <c r="P783" s="131"/>
      <c r="Q783" s="131"/>
      <c r="R783" s="131"/>
      <c r="S783" s="131"/>
    </row>
    <row r="784">
      <c r="A784" s="131"/>
      <c r="B784" s="131"/>
      <c r="C784" s="131"/>
      <c r="D784" s="81"/>
      <c r="E784" s="81"/>
      <c r="F784" s="131"/>
      <c r="G784" s="131"/>
      <c r="H784" s="131"/>
      <c r="I784" s="131"/>
      <c r="J784" s="131"/>
      <c r="K784" s="131"/>
      <c r="L784" s="131"/>
      <c r="M784" s="131"/>
      <c r="N784" s="131"/>
      <c r="O784" s="131"/>
      <c r="P784" s="131"/>
      <c r="Q784" s="131"/>
      <c r="R784" s="131"/>
      <c r="S784" s="131"/>
    </row>
    <row r="785">
      <c r="A785" s="131"/>
      <c r="B785" s="131"/>
      <c r="C785" s="131"/>
      <c r="D785" s="81"/>
      <c r="E785" s="81"/>
      <c r="F785" s="131"/>
      <c r="G785" s="131"/>
      <c r="H785" s="131"/>
      <c r="I785" s="131"/>
      <c r="J785" s="131"/>
      <c r="K785" s="131"/>
      <c r="L785" s="131"/>
      <c r="M785" s="131"/>
      <c r="N785" s="131"/>
      <c r="O785" s="131"/>
      <c r="P785" s="131"/>
      <c r="Q785" s="131"/>
      <c r="R785" s="131"/>
      <c r="S785" s="131"/>
    </row>
    <row r="786">
      <c r="A786" s="131"/>
      <c r="B786" s="131"/>
      <c r="C786" s="131"/>
      <c r="D786" s="81"/>
      <c r="E786" s="81"/>
      <c r="F786" s="131"/>
      <c r="G786" s="131"/>
      <c r="H786" s="131"/>
      <c r="I786" s="131"/>
      <c r="J786" s="131"/>
      <c r="K786" s="131"/>
      <c r="L786" s="131"/>
      <c r="M786" s="131"/>
      <c r="N786" s="131"/>
      <c r="O786" s="131"/>
      <c r="P786" s="131"/>
      <c r="Q786" s="131"/>
      <c r="R786" s="131"/>
      <c r="S786" s="131"/>
    </row>
    <row r="787">
      <c r="A787" s="131"/>
      <c r="B787" s="131"/>
      <c r="C787" s="131"/>
      <c r="D787" s="81"/>
      <c r="E787" s="81"/>
      <c r="F787" s="131"/>
      <c r="G787" s="131"/>
      <c r="H787" s="131"/>
      <c r="I787" s="131"/>
      <c r="J787" s="131"/>
      <c r="K787" s="131"/>
      <c r="L787" s="131"/>
      <c r="M787" s="131"/>
      <c r="N787" s="131"/>
      <c r="O787" s="131"/>
      <c r="P787" s="131"/>
      <c r="Q787" s="131"/>
      <c r="R787" s="131"/>
      <c r="S787" s="131"/>
    </row>
    <row r="788">
      <c r="A788" s="131"/>
      <c r="B788" s="131"/>
      <c r="C788" s="131"/>
      <c r="D788" s="81"/>
      <c r="E788" s="81"/>
      <c r="F788" s="131"/>
      <c r="G788" s="131"/>
      <c r="H788" s="131"/>
      <c r="I788" s="131"/>
      <c r="J788" s="131"/>
      <c r="K788" s="131"/>
      <c r="L788" s="131"/>
      <c r="M788" s="131"/>
      <c r="N788" s="131"/>
      <c r="O788" s="131"/>
      <c r="P788" s="131"/>
      <c r="Q788" s="131"/>
      <c r="R788" s="131"/>
      <c r="S788" s="131"/>
    </row>
    <row r="789">
      <c r="A789" s="131"/>
      <c r="B789" s="131"/>
      <c r="C789" s="131"/>
      <c r="D789" s="81"/>
      <c r="E789" s="81"/>
      <c r="F789" s="131"/>
      <c r="G789" s="131"/>
      <c r="H789" s="131"/>
      <c r="I789" s="131"/>
      <c r="J789" s="131"/>
      <c r="K789" s="131"/>
      <c r="L789" s="131"/>
      <c r="M789" s="131"/>
      <c r="N789" s="131"/>
      <c r="O789" s="131"/>
      <c r="P789" s="131"/>
      <c r="Q789" s="131"/>
      <c r="R789" s="131"/>
      <c r="S789" s="131"/>
    </row>
    <row r="790">
      <c r="A790" s="131"/>
      <c r="B790" s="131"/>
      <c r="C790" s="131"/>
      <c r="D790" s="81"/>
      <c r="E790" s="81"/>
      <c r="F790" s="131"/>
      <c r="G790" s="131"/>
      <c r="H790" s="131"/>
      <c r="I790" s="131"/>
      <c r="J790" s="131"/>
      <c r="K790" s="131"/>
      <c r="L790" s="131"/>
      <c r="M790" s="131"/>
      <c r="N790" s="131"/>
      <c r="O790" s="131"/>
      <c r="P790" s="131"/>
      <c r="Q790" s="131"/>
      <c r="R790" s="131"/>
      <c r="S790" s="131"/>
    </row>
    <row r="791">
      <c r="A791" s="131"/>
      <c r="B791" s="131"/>
      <c r="C791" s="131"/>
      <c r="D791" s="81"/>
      <c r="E791" s="81"/>
      <c r="F791" s="131"/>
      <c r="G791" s="131"/>
      <c r="H791" s="131"/>
      <c r="I791" s="131"/>
      <c r="J791" s="131"/>
      <c r="K791" s="131"/>
      <c r="L791" s="131"/>
      <c r="M791" s="131"/>
      <c r="N791" s="131"/>
      <c r="O791" s="131"/>
      <c r="P791" s="131"/>
      <c r="Q791" s="131"/>
      <c r="R791" s="131"/>
      <c r="S791" s="131"/>
    </row>
    <row r="792">
      <c r="A792" s="131"/>
      <c r="B792" s="131"/>
      <c r="C792" s="131"/>
      <c r="D792" s="81"/>
      <c r="E792" s="81"/>
      <c r="F792" s="131"/>
      <c r="G792" s="131"/>
      <c r="H792" s="131"/>
      <c r="I792" s="131"/>
      <c r="J792" s="131"/>
      <c r="K792" s="131"/>
      <c r="L792" s="131"/>
      <c r="M792" s="131"/>
      <c r="N792" s="131"/>
      <c r="O792" s="131"/>
      <c r="P792" s="131"/>
      <c r="Q792" s="131"/>
      <c r="R792" s="131"/>
      <c r="S792" s="131"/>
    </row>
    <row r="793">
      <c r="A793" s="131"/>
      <c r="B793" s="131"/>
      <c r="C793" s="131"/>
      <c r="D793" s="81"/>
      <c r="E793" s="81"/>
      <c r="F793" s="131"/>
      <c r="G793" s="131"/>
      <c r="H793" s="131"/>
      <c r="I793" s="131"/>
      <c r="J793" s="131"/>
      <c r="K793" s="131"/>
      <c r="L793" s="131"/>
      <c r="M793" s="131"/>
      <c r="N793" s="131"/>
      <c r="O793" s="131"/>
      <c r="P793" s="131"/>
      <c r="Q793" s="131"/>
      <c r="R793" s="131"/>
      <c r="S793" s="131"/>
    </row>
    <row r="794">
      <c r="A794" s="131"/>
      <c r="B794" s="131"/>
      <c r="C794" s="131"/>
      <c r="D794" s="81"/>
      <c r="E794" s="81"/>
      <c r="F794" s="131"/>
      <c r="G794" s="131"/>
      <c r="H794" s="131"/>
      <c r="I794" s="131"/>
      <c r="J794" s="131"/>
      <c r="K794" s="131"/>
      <c r="L794" s="131"/>
      <c r="M794" s="131"/>
      <c r="N794" s="131"/>
      <c r="O794" s="131"/>
      <c r="P794" s="131"/>
      <c r="Q794" s="131"/>
      <c r="R794" s="131"/>
      <c r="S794" s="131"/>
    </row>
    <row r="795">
      <c r="A795" s="131"/>
      <c r="B795" s="131"/>
      <c r="C795" s="131"/>
      <c r="D795" s="81"/>
      <c r="E795" s="81"/>
      <c r="F795" s="131"/>
      <c r="G795" s="131"/>
      <c r="H795" s="131"/>
      <c r="I795" s="131"/>
      <c r="J795" s="131"/>
      <c r="K795" s="131"/>
      <c r="L795" s="131"/>
      <c r="M795" s="131"/>
      <c r="N795" s="131"/>
      <c r="O795" s="131"/>
      <c r="P795" s="131"/>
      <c r="Q795" s="131"/>
      <c r="R795" s="131"/>
      <c r="S795" s="131"/>
    </row>
    <row r="796">
      <c r="A796" s="131"/>
      <c r="B796" s="131"/>
      <c r="C796" s="131"/>
      <c r="D796" s="81"/>
      <c r="E796" s="81"/>
      <c r="F796" s="131"/>
      <c r="G796" s="131"/>
      <c r="H796" s="131"/>
      <c r="I796" s="131"/>
      <c r="J796" s="131"/>
      <c r="K796" s="131"/>
      <c r="L796" s="131"/>
      <c r="M796" s="131"/>
      <c r="N796" s="131"/>
      <c r="O796" s="131"/>
      <c r="P796" s="131"/>
      <c r="Q796" s="131"/>
      <c r="R796" s="131"/>
      <c r="S796" s="131"/>
    </row>
    <row r="797">
      <c r="A797" s="131"/>
      <c r="B797" s="131"/>
      <c r="C797" s="131"/>
      <c r="D797" s="81"/>
      <c r="E797" s="81"/>
      <c r="F797" s="131"/>
      <c r="G797" s="131"/>
      <c r="H797" s="131"/>
      <c r="I797" s="131"/>
      <c r="J797" s="131"/>
      <c r="K797" s="131"/>
      <c r="L797" s="131"/>
      <c r="M797" s="131"/>
      <c r="N797" s="131"/>
      <c r="O797" s="131"/>
      <c r="P797" s="131"/>
      <c r="Q797" s="131"/>
      <c r="R797" s="131"/>
      <c r="S797" s="131"/>
    </row>
    <row r="798">
      <c r="A798" s="131"/>
      <c r="B798" s="131"/>
      <c r="C798" s="131"/>
      <c r="D798" s="81"/>
      <c r="E798" s="81"/>
      <c r="F798" s="131"/>
      <c r="G798" s="131"/>
      <c r="H798" s="131"/>
      <c r="I798" s="131"/>
      <c r="J798" s="131"/>
      <c r="K798" s="131"/>
      <c r="L798" s="131"/>
      <c r="M798" s="131"/>
      <c r="N798" s="131"/>
      <c r="O798" s="131"/>
      <c r="P798" s="131"/>
      <c r="Q798" s="131"/>
      <c r="R798" s="131"/>
      <c r="S798" s="131"/>
    </row>
    <row r="799">
      <c r="A799" s="131"/>
      <c r="B799" s="131"/>
      <c r="C799" s="131"/>
      <c r="D799" s="81"/>
      <c r="E799" s="81"/>
      <c r="F799" s="131"/>
      <c r="G799" s="131"/>
      <c r="H799" s="131"/>
      <c r="I799" s="131"/>
      <c r="J799" s="131"/>
      <c r="K799" s="131"/>
      <c r="L799" s="131"/>
      <c r="M799" s="131"/>
      <c r="N799" s="131"/>
      <c r="O799" s="131"/>
      <c r="P799" s="131"/>
      <c r="Q799" s="131"/>
      <c r="R799" s="131"/>
      <c r="S799" s="131"/>
    </row>
    <row r="800">
      <c r="A800" s="131"/>
      <c r="B800" s="131"/>
      <c r="C800" s="131"/>
      <c r="D800" s="81"/>
      <c r="E800" s="81"/>
      <c r="F800" s="131"/>
      <c r="G800" s="131"/>
      <c r="H800" s="131"/>
      <c r="I800" s="131"/>
      <c r="J800" s="131"/>
      <c r="K800" s="131"/>
      <c r="L800" s="131"/>
      <c r="M800" s="131"/>
      <c r="N800" s="131"/>
      <c r="O800" s="131"/>
      <c r="P800" s="131"/>
      <c r="Q800" s="131"/>
      <c r="R800" s="131"/>
      <c r="S800" s="131"/>
    </row>
    <row r="801">
      <c r="A801" s="131"/>
      <c r="B801" s="131"/>
      <c r="C801" s="131"/>
      <c r="D801" s="81"/>
      <c r="E801" s="81"/>
      <c r="F801" s="131"/>
      <c r="G801" s="131"/>
      <c r="H801" s="131"/>
      <c r="I801" s="131"/>
      <c r="J801" s="131"/>
      <c r="K801" s="131"/>
      <c r="L801" s="131"/>
      <c r="M801" s="131"/>
      <c r="N801" s="131"/>
      <c r="O801" s="131"/>
      <c r="P801" s="131"/>
      <c r="Q801" s="131"/>
      <c r="R801" s="131"/>
      <c r="S801" s="131"/>
    </row>
    <row r="802">
      <c r="A802" s="131"/>
      <c r="B802" s="131"/>
      <c r="C802" s="131"/>
      <c r="D802" s="81"/>
      <c r="E802" s="81"/>
      <c r="F802" s="131"/>
      <c r="G802" s="131"/>
      <c r="H802" s="131"/>
      <c r="I802" s="131"/>
      <c r="J802" s="131"/>
      <c r="K802" s="131"/>
      <c r="L802" s="131"/>
      <c r="M802" s="131"/>
      <c r="N802" s="131"/>
      <c r="O802" s="131"/>
      <c r="P802" s="131"/>
      <c r="Q802" s="131"/>
      <c r="R802" s="131"/>
      <c r="S802" s="131"/>
    </row>
    <row r="803">
      <c r="A803" s="131"/>
      <c r="B803" s="131"/>
      <c r="C803" s="131"/>
      <c r="D803" s="81"/>
      <c r="E803" s="81"/>
      <c r="F803" s="131"/>
      <c r="G803" s="131"/>
      <c r="H803" s="131"/>
      <c r="I803" s="131"/>
      <c r="J803" s="131"/>
      <c r="K803" s="131"/>
      <c r="L803" s="131"/>
      <c r="M803" s="131"/>
      <c r="N803" s="131"/>
      <c r="O803" s="131"/>
      <c r="P803" s="131"/>
      <c r="Q803" s="131"/>
      <c r="R803" s="131"/>
      <c r="S803" s="131"/>
    </row>
    <row r="804">
      <c r="A804" s="131"/>
      <c r="B804" s="131"/>
      <c r="C804" s="131"/>
      <c r="D804" s="81"/>
      <c r="E804" s="81"/>
      <c r="F804" s="131"/>
      <c r="G804" s="131"/>
      <c r="H804" s="131"/>
      <c r="I804" s="131"/>
      <c r="J804" s="131"/>
      <c r="K804" s="131"/>
      <c r="L804" s="131"/>
      <c r="M804" s="131"/>
      <c r="N804" s="131"/>
      <c r="O804" s="131"/>
      <c r="P804" s="131"/>
      <c r="Q804" s="131"/>
      <c r="R804" s="131"/>
      <c r="S804" s="131"/>
    </row>
    <row r="805">
      <c r="A805" s="131"/>
      <c r="B805" s="131"/>
      <c r="C805" s="131"/>
      <c r="D805" s="81"/>
      <c r="E805" s="81"/>
      <c r="F805" s="131"/>
      <c r="G805" s="131"/>
      <c r="H805" s="131"/>
      <c r="I805" s="131"/>
      <c r="J805" s="131"/>
      <c r="K805" s="131"/>
      <c r="L805" s="131"/>
      <c r="M805" s="131"/>
      <c r="N805" s="131"/>
      <c r="O805" s="131"/>
      <c r="P805" s="131"/>
      <c r="Q805" s="131"/>
      <c r="R805" s="131"/>
      <c r="S805" s="131"/>
    </row>
    <row r="806">
      <c r="A806" s="131"/>
      <c r="B806" s="131"/>
      <c r="C806" s="131"/>
      <c r="D806" s="81"/>
      <c r="E806" s="81"/>
      <c r="F806" s="131"/>
      <c r="G806" s="131"/>
      <c r="H806" s="131"/>
      <c r="I806" s="131"/>
      <c r="J806" s="131"/>
      <c r="K806" s="131"/>
      <c r="L806" s="131"/>
      <c r="M806" s="131"/>
      <c r="N806" s="131"/>
      <c r="O806" s="131"/>
      <c r="P806" s="131"/>
      <c r="Q806" s="131"/>
      <c r="R806" s="131"/>
      <c r="S806" s="131"/>
    </row>
    <row r="807">
      <c r="A807" s="131"/>
      <c r="B807" s="131"/>
      <c r="C807" s="131"/>
      <c r="D807" s="81"/>
      <c r="E807" s="81"/>
      <c r="F807" s="131"/>
      <c r="G807" s="131"/>
      <c r="H807" s="131"/>
      <c r="I807" s="131"/>
      <c r="J807" s="131"/>
      <c r="K807" s="131"/>
      <c r="L807" s="131"/>
      <c r="M807" s="131"/>
      <c r="N807" s="131"/>
      <c r="O807" s="131"/>
      <c r="P807" s="131"/>
      <c r="Q807" s="131"/>
      <c r="R807" s="131"/>
      <c r="S807" s="131"/>
    </row>
    <row r="808">
      <c r="A808" s="131"/>
      <c r="B808" s="131"/>
      <c r="C808" s="131"/>
      <c r="D808" s="81"/>
      <c r="E808" s="81"/>
      <c r="F808" s="131"/>
      <c r="G808" s="131"/>
      <c r="H808" s="131"/>
      <c r="I808" s="131"/>
      <c r="J808" s="131"/>
      <c r="K808" s="131"/>
      <c r="L808" s="131"/>
      <c r="M808" s="131"/>
      <c r="N808" s="131"/>
      <c r="O808" s="131"/>
      <c r="P808" s="131"/>
      <c r="Q808" s="131"/>
      <c r="R808" s="131"/>
      <c r="S808" s="131"/>
    </row>
    <row r="809">
      <c r="A809" s="131"/>
      <c r="B809" s="131"/>
      <c r="C809" s="131"/>
      <c r="D809" s="81"/>
      <c r="E809" s="81"/>
      <c r="F809" s="131"/>
      <c r="G809" s="131"/>
      <c r="H809" s="131"/>
      <c r="I809" s="131"/>
      <c r="J809" s="131"/>
      <c r="K809" s="131"/>
      <c r="L809" s="131"/>
      <c r="M809" s="131"/>
      <c r="N809" s="131"/>
      <c r="O809" s="131"/>
      <c r="P809" s="131"/>
      <c r="Q809" s="131"/>
      <c r="R809" s="131"/>
      <c r="S809" s="131"/>
    </row>
    <row r="810">
      <c r="A810" s="131"/>
      <c r="B810" s="131"/>
      <c r="C810" s="131"/>
      <c r="D810" s="81"/>
      <c r="E810" s="81"/>
      <c r="F810" s="131"/>
      <c r="G810" s="131"/>
      <c r="H810" s="131"/>
      <c r="I810" s="131"/>
      <c r="J810" s="131"/>
      <c r="K810" s="131"/>
      <c r="L810" s="131"/>
      <c r="M810" s="131"/>
      <c r="N810" s="131"/>
      <c r="O810" s="131"/>
      <c r="P810" s="131"/>
      <c r="Q810" s="131"/>
      <c r="R810" s="131"/>
      <c r="S810" s="131"/>
    </row>
    <row r="811">
      <c r="A811" s="131"/>
      <c r="B811" s="131"/>
      <c r="C811" s="131"/>
      <c r="D811" s="81"/>
      <c r="E811" s="81"/>
      <c r="F811" s="131"/>
      <c r="G811" s="131"/>
      <c r="H811" s="131"/>
      <c r="I811" s="131"/>
      <c r="J811" s="131"/>
      <c r="K811" s="131"/>
      <c r="L811" s="131"/>
      <c r="M811" s="131"/>
      <c r="N811" s="131"/>
      <c r="O811" s="131"/>
      <c r="P811" s="131"/>
      <c r="Q811" s="131"/>
      <c r="R811" s="131"/>
      <c r="S811" s="131"/>
    </row>
    <row r="812">
      <c r="A812" s="131"/>
      <c r="B812" s="131"/>
      <c r="C812" s="131"/>
      <c r="D812" s="81"/>
      <c r="E812" s="81"/>
      <c r="F812" s="131"/>
      <c r="G812" s="131"/>
      <c r="H812" s="131"/>
      <c r="I812" s="131"/>
      <c r="J812" s="131"/>
      <c r="K812" s="131"/>
      <c r="L812" s="131"/>
      <c r="M812" s="131"/>
      <c r="N812" s="131"/>
      <c r="O812" s="131"/>
      <c r="P812" s="131"/>
      <c r="Q812" s="131"/>
      <c r="R812" s="131"/>
      <c r="S812" s="131"/>
    </row>
    <row r="813">
      <c r="A813" s="131"/>
      <c r="B813" s="131"/>
      <c r="C813" s="131"/>
      <c r="D813" s="81"/>
      <c r="E813" s="81"/>
      <c r="F813" s="131"/>
      <c r="G813" s="131"/>
      <c r="H813" s="131"/>
      <c r="I813" s="131"/>
      <c r="J813" s="131"/>
      <c r="K813" s="131"/>
      <c r="L813" s="131"/>
      <c r="M813" s="131"/>
      <c r="N813" s="131"/>
      <c r="O813" s="131"/>
      <c r="P813" s="131"/>
      <c r="Q813" s="131"/>
      <c r="R813" s="131"/>
      <c r="S813" s="131"/>
    </row>
    <row r="814">
      <c r="A814" s="131"/>
      <c r="B814" s="131"/>
      <c r="C814" s="131"/>
      <c r="D814" s="81"/>
      <c r="E814" s="81"/>
      <c r="F814" s="131"/>
      <c r="G814" s="131"/>
      <c r="H814" s="131"/>
      <c r="I814" s="131"/>
      <c r="J814" s="131"/>
      <c r="K814" s="131"/>
      <c r="L814" s="131"/>
      <c r="M814" s="131"/>
      <c r="N814" s="131"/>
      <c r="O814" s="131"/>
      <c r="P814" s="131"/>
      <c r="Q814" s="131"/>
      <c r="R814" s="131"/>
      <c r="S814" s="131"/>
    </row>
    <row r="815">
      <c r="A815" s="131"/>
      <c r="B815" s="131"/>
      <c r="C815" s="131"/>
      <c r="D815" s="81"/>
      <c r="E815" s="81"/>
      <c r="F815" s="131"/>
      <c r="G815" s="131"/>
      <c r="H815" s="131"/>
      <c r="I815" s="131"/>
      <c r="J815" s="131"/>
      <c r="K815" s="131"/>
      <c r="L815" s="131"/>
      <c r="M815" s="131"/>
      <c r="N815" s="131"/>
      <c r="O815" s="131"/>
      <c r="P815" s="131"/>
      <c r="Q815" s="131"/>
      <c r="R815" s="131"/>
      <c r="S815" s="131"/>
    </row>
    <row r="816">
      <c r="A816" s="131"/>
      <c r="B816" s="131"/>
      <c r="C816" s="131"/>
      <c r="D816" s="81"/>
      <c r="E816" s="81"/>
      <c r="F816" s="131"/>
      <c r="G816" s="131"/>
      <c r="H816" s="131"/>
      <c r="I816" s="131"/>
      <c r="J816" s="131"/>
      <c r="K816" s="131"/>
      <c r="L816" s="131"/>
      <c r="M816" s="131"/>
      <c r="N816" s="131"/>
      <c r="O816" s="131"/>
      <c r="P816" s="131"/>
      <c r="Q816" s="131"/>
      <c r="R816" s="131"/>
      <c r="S816" s="131"/>
    </row>
    <row r="817">
      <c r="A817" s="131"/>
      <c r="B817" s="131"/>
      <c r="C817" s="131"/>
      <c r="D817" s="81"/>
      <c r="E817" s="81"/>
      <c r="F817" s="131"/>
      <c r="G817" s="131"/>
      <c r="H817" s="131"/>
      <c r="I817" s="131"/>
      <c r="J817" s="131"/>
      <c r="K817" s="131"/>
      <c r="L817" s="131"/>
      <c r="M817" s="131"/>
      <c r="N817" s="131"/>
      <c r="O817" s="131"/>
      <c r="P817" s="131"/>
      <c r="Q817" s="131"/>
      <c r="R817" s="131"/>
      <c r="S817" s="131"/>
    </row>
    <row r="818">
      <c r="A818" s="131"/>
      <c r="B818" s="131"/>
      <c r="C818" s="131"/>
      <c r="D818" s="81"/>
      <c r="E818" s="81"/>
      <c r="F818" s="131"/>
      <c r="G818" s="131"/>
      <c r="H818" s="131"/>
      <c r="I818" s="131"/>
      <c r="J818" s="131"/>
      <c r="K818" s="131"/>
      <c r="L818" s="131"/>
      <c r="M818" s="131"/>
      <c r="N818" s="131"/>
      <c r="O818" s="131"/>
      <c r="P818" s="131"/>
      <c r="Q818" s="131"/>
      <c r="R818" s="131"/>
      <c r="S818" s="131"/>
    </row>
    <row r="819">
      <c r="A819" s="131"/>
      <c r="B819" s="131"/>
      <c r="C819" s="131"/>
      <c r="D819" s="81"/>
      <c r="E819" s="81"/>
      <c r="F819" s="131"/>
      <c r="G819" s="131"/>
      <c r="H819" s="131"/>
      <c r="I819" s="131"/>
      <c r="J819" s="131"/>
      <c r="K819" s="131"/>
      <c r="L819" s="131"/>
      <c r="M819" s="131"/>
      <c r="N819" s="131"/>
      <c r="O819" s="131"/>
      <c r="P819" s="131"/>
      <c r="Q819" s="131"/>
      <c r="R819" s="131"/>
      <c r="S819" s="131"/>
    </row>
    <row r="820">
      <c r="A820" s="131"/>
      <c r="B820" s="131"/>
      <c r="C820" s="131"/>
      <c r="D820" s="81"/>
      <c r="E820" s="81"/>
      <c r="F820" s="131"/>
      <c r="G820" s="131"/>
      <c r="H820" s="131"/>
      <c r="I820" s="131"/>
      <c r="J820" s="131"/>
      <c r="K820" s="131"/>
      <c r="L820" s="131"/>
      <c r="M820" s="131"/>
      <c r="N820" s="131"/>
      <c r="O820" s="131"/>
      <c r="P820" s="131"/>
      <c r="Q820" s="131"/>
      <c r="R820" s="131"/>
      <c r="S820" s="131"/>
    </row>
    <row r="821">
      <c r="A821" s="131"/>
      <c r="B821" s="131"/>
      <c r="C821" s="131"/>
      <c r="D821" s="81"/>
      <c r="E821" s="81"/>
      <c r="F821" s="131"/>
      <c r="G821" s="131"/>
      <c r="H821" s="131"/>
      <c r="I821" s="131"/>
      <c r="J821" s="131"/>
      <c r="K821" s="131"/>
      <c r="L821" s="131"/>
      <c r="M821" s="131"/>
      <c r="N821" s="131"/>
      <c r="O821" s="131"/>
      <c r="P821" s="131"/>
      <c r="Q821" s="131"/>
      <c r="R821" s="131"/>
      <c r="S821" s="131"/>
    </row>
    <row r="822">
      <c r="A822" s="131"/>
      <c r="B822" s="131"/>
      <c r="C822" s="131"/>
      <c r="D822" s="81"/>
      <c r="E822" s="81"/>
      <c r="F822" s="131"/>
      <c r="G822" s="131"/>
      <c r="H822" s="131"/>
      <c r="I822" s="131"/>
      <c r="J822" s="131"/>
      <c r="K822" s="131"/>
      <c r="L822" s="131"/>
      <c r="M822" s="131"/>
      <c r="N822" s="131"/>
      <c r="O822" s="131"/>
      <c r="P822" s="131"/>
      <c r="Q822" s="131"/>
      <c r="R822" s="131"/>
      <c r="S822" s="131"/>
    </row>
    <row r="823">
      <c r="A823" s="131"/>
      <c r="B823" s="131"/>
      <c r="C823" s="131"/>
      <c r="D823" s="81"/>
      <c r="E823" s="81"/>
      <c r="F823" s="131"/>
      <c r="G823" s="131"/>
      <c r="H823" s="131"/>
      <c r="I823" s="131"/>
      <c r="J823" s="131"/>
      <c r="K823" s="131"/>
      <c r="L823" s="131"/>
      <c r="M823" s="131"/>
      <c r="N823" s="131"/>
      <c r="O823" s="131"/>
      <c r="P823" s="131"/>
      <c r="Q823" s="131"/>
      <c r="R823" s="131"/>
      <c r="S823" s="131"/>
    </row>
    <row r="824">
      <c r="A824" s="131"/>
      <c r="B824" s="131"/>
      <c r="C824" s="131"/>
      <c r="D824" s="81"/>
      <c r="E824" s="81"/>
      <c r="F824" s="131"/>
      <c r="G824" s="131"/>
      <c r="H824" s="131"/>
      <c r="I824" s="131"/>
      <c r="J824" s="131"/>
      <c r="K824" s="131"/>
      <c r="L824" s="131"/>
      <c r="M824" s="131"/>
      <c r="N824" s="131"/>
      <c r="O824" s="131"/>
      <c r="P824" s="131"/>
      <c r="Q824" s="131"/>
      <c r="R824" s="131"/>
      <c r="S824" s="131"/>
    </row>
    <row r="825">
      <c r="A825" s="131"/>
      <c r="B825" s="131"/>
      <c r="C825" s="131"/>
      <c r="D825" s="81"/>
      <c r="E825" s="81"/>
      <c r="F825" s="131"/>
      <c r="G825" s="131"/>
      <c r="H825" s="131"/>
      <c r="I825" s="131"/>
      <c r="J825" s="131"/>
      <c r="K825" s="131"/>
      <c r="L825" s="131"/>
      <c r="M825" s="131"/>
      <c r="N825" s="131"/>
      <c r="O825" s="131"/>
      <c r="P825" s="131"/>
      <c r="Q825" s="131"/>
      <c r="R825" s="131"/>
      <c r="S825" s="131"/>
    </row>
    <row r="826">
      <c r="A826" s="131"/>
      <c r="B826" s="131"/>
      <c r="C826" s="131"/>
      <c r="D826" s="81"/>
      <c r="E826" s="81"/>
      <c r="F826" s="131"/>
      <c r="G826" s="131"/>
      <c r="H826" s="131"/>
      <c r="I826" s="131"/>
      <c r="J826" s="131"/>
      <c r="K826" s="131"/>
      <c r="L826" s="131"/>
      <c r="M826" s="131"/>
      <c r="N826" s="131"/>
      <c r="O826" s="131"/>
      <c r="P826" s="131"/>
      <c r="Q826" s="131"/>
      <c r="R826" s="131"/>
      <c r="S826" s="131"/>
    </row>
    <row r="827">
      <c r="A827" s="131"/>
      <c r="B827" s="131"/>
      <c r="C827" s="131"/>
      <c r="D827" s="81"/>
      <c r="E827" s="81"/>
      <c r="F827" s="131"/>
      <c r="G827" s="131"/>
      <c r="H827" s="131"/>
      <c r="I827" s="131"/>
      <c r="J827" s="131"/>
      <c r="K827" s="131"/>
      <c r="L827" s="131"/>
      <c r="M827" s="131"/>
      <c r="N827" s="131"/>
      <c r="O827" s="131"/>
      <c r="P827" s="131"/>
      <c r="Q827" s="131"/>
      <c r="R827" s="131"/>
      <c r="S827" s="131"/>
    </row>
    <row r="828">
      <c r="A828" s="131"/>
      <c r="B828" s="131"/>
      <c r="C828" s="131"/>
      <c r="D828" s="81"/>
      <c r="E828" s="81"/>
      <c r="F828" s="131"/>
      <c r="G828" s="131"/>
      <c r="H828" s="131"/>
      <c r="I828" s="131"/>
      <c r="J828" s="131"/>
      <c r="K828" s="131"/>
      <c r="L828" s="131"/>
      <c r="M828" s="131"/>
      <c r="N828" s="131"/>
      <c r="O828" s="131"/>
      <c r="P828" s="131"/>
      <c r="Q828" s="131"/>
      <c r="R828" s="131"/>
      <c r="S828" s="131"/>
    </row>
    <row r="829">
      <c r="A829" s="131"/>
      <c r="B829" s="131"/>
      <c r="C829" s="131"/>
      <c r="D829" s="81"/>
      <c r="E829" s="81"/>
      <c r="F829" s="131"/>
      <c r="G829" s="131"/>
      <c r="H829" s="131"/>
      <c r="I829" s="131"/>
      <c r="J829" s="131"/>
      <c r="K829" s="131"/>
      <c r="L829" s="131"/>
      <c r="M829" s="131"/>
      <c r="N829" s="131"/>
      <c r="O829" s="131"/>
      <c r="P829" s="131"/>
      <c r="Q829" s="131"/>
      <c r="R829" s="131"/>
      <c r="S829" s="131"/>
    </row>
    <row r="830">
      <c r="A830" s="131"/>
      <c r="B830" s="131"/>
      <c r="C830" s="131"/>
      <c r="D830" s="81"/>
      <c r="E830" s="81"/>
      <c r="F830" s="131"/>
      <c r="G830" s="131"/>
      <c r="H830" s="131"/>
      <c r="I830" s="131"/>
      <c r="J830" s="131"/>
      <c r="K830" s="131"/>
      <c r="L830" s="131"/>
      <c r="M830" s="131"/>
      <c r="N830" s="131"/>
      <c r="O830" s="131"/>
      <c r="P830" s="131"/>
      <c r="Q830" s="131"/>
      <c r="R830" s="131"/>
      <c r="S830" s="131"/>
    </row>
    <row r="831">
      <c r="A831" s="131"/>
      <c r="B831" s="131"/>
      <c r="C831" s="131"/>
      <c r="D831" s="81"/>
      <c r="E831" s="81"/>
      <c r="F831" s="131"/>
      <c r="G831" s="131"/>
      <c r="H831" s="131"/>
      <c r="I831" s="131"/>
      <c r="J831" s="131"/>
      <c r="K831" s="131"/>
      <c r="L831" s="131"/>
      <c r="M831" s="131"/>
      <c r="N831" s="131"/>
      <c r="O831" s="131"/>
      <c r="P831" s="131"/>
      <c r="Q831" s="131"/>
      <c r="R831" s="131"/>
      <c r="S831" s="131"/>
    </row>
    <row r="832">
      <c r="A832" s="131"/>
      <c r="B832" s="131"/>
      <c r="C832" s="131"/>
      <c r="D832" s="81"/>
      <c r="E832" s="81"/>
      <c r="F832" s="131"/>
      <c r="G832" s="131"/>
      <c r="H832" s="131"/>
      <c r="I832" s="131"/>
      <c r="J832" s="131"/>
      <c r="K832" s="131"/>
      <c r="L832" s="131"/>
      <c r="M832" s="131"/>
      <c r="N832" s="131"/>
      <c r="O832" s="131"/>
      <c r="P832" s="131"/>
      <c r="Q832" s="131"/>
      <c r="R832" s="131"/>
      <c r="S832" s="131"/>
    </row>
    <row r="833">
      <c r="A833" s="131"/>
      <c r="B833" s="131"/>
      <c r="C833" s="131"/>
      <c r="D833" s="81"/>
      <c r="E833" s="81"/>
      <c r="F833" s="131"/>
      <c r="G833" s="131"/>
      <c r="H833" s="131"/>
      <c r="I833" s="131"/>
      <c r="J833" s="131"/>
      <c r="K833" s="131"/>
      <c r="L833" s="131"/>
      <c r="M833" s="131"/>
      <c r="N833" s="131"/>
      <c r="O833" s="131"/>
      <c r="P833" s="131"/>
      <c r="Q833" s="131"/>
      <c r="R833" s="131"/>
      <c r="S833" s="131"/>
    </row>
    <row r="834">
      <c r="A834" s="131"/>
      <c r="B834" s="131"/>
      <c r="C834" s="131"/>
      <c r="D834" s="81"/>
      <c r="E834" s="81"/>
      <c r="F834" s="131"/>
      <c r="G834" s="131"/>
      <c r="H834" s="131"/>
      <c r="I834" s="131"/>
      <c r="J834" s="131"/>
      <c r="K834" s="131"/>
      <c r="L834" s="131"/>
      <c r="M834" s="131"/>
      <c r="N834" s="131"/>
      <c r="O834" s="131"/>
      <c r="P834" s="131"/>
      <c r="Q834" s="131"/>
      <c r="R834" s="131"/>
      <c r="S834" s="131"/>
    </row>
    <row r="835">
      <c r="A835" s="131"/>
      <c r="B835" s="131"/>
      <c r="C835" s="131"/>
      <c r="D835" s="81"/>
      <c r="E835" s="81"/>
      <c r="F835" s="131"/>
      <c r="G835" s="131"/>
      <c r="H835" s="131"/>
      <c r="I835" s="131"/>
      <c r="J835" s="131"/>
      <c r="K835" s="131"/>
      <c r="L835" s="131"/>
      <c r="M835" s="131"/>
      <c r="N835" s="131"/>
      <c r="O835" s="131"/>
      <c r="P835" s="131"/>
      <c r="Q835" s="131"/>
      <c r="R835" s="131"/>
      <c r="S835" s="131"/>
    </row>
    <row r="836">
      <c r="A836" s="131"/>
      <c r="B836" s="131"/>
      <c r="C836" s="131"/>
      <c r="D836" s="81"/>
      <c r="E836" s="81"/>
      <c r="F836" s="131"/>
      <c r="G836" s="131"/>
      <c r="H836" s="131"/>
      <c r="I836" s="131"/>
      <c r="J836" s="131"/>
      <c r="K836" s="131"/>
      <c r="L836" s="131"/>
      <c r="M836" s="131"/>
      <c r="N836" s="131"/>
      <c r="O836" s="131"/>
      <c r="P836" s="131"/>
      <c r="Q836" s="131"/>
      <c r="R836" s="131"/>
      <c r="S836" s="131"/>
    </row>
    <row r="837">
      <c r="A837" s="131"/>
      <c r="B837" s="131"/>
      <c r="C837" s="131"/>
      <c r="D837" s="81"/>
      <c r="E837" s="81"/>
      <c r="F837" s="131"/>
      <c r="G837" s="131"/>
      <c r="H837" s="131"/>
      <c r="I837" s="131"/>
      <c r="J837" s="131"/>
      <c r="K837" s="131"/>
      <c r="L837" s="131"/>
      <c r="M837" s="131"/>
      <c r="N837" s="131"/>
      <c r="O837" s="131"/>
      <c r="P837" s="131"/>
      <c r="Q837" s="131"/>
      <c r="R837" s="131"/>
      <c r="S837" s="131"/>
    </row>
    <row r="838">
      <c r="A838" s="131"/>
      <c r="B838" s="131"/>
      <c r="C838" s="131"/>
      <c r="D838" s="81"/>
      <c r="E838" s="81"/>
      <c r="F838" s="131"/>
      <c r="G838" s="131"/>
      <c r="H838" s="131"/>
      <c r="I838" s="131"/>
      <c r="J838" s="131"/>
      <c r="K838" s="131"/>
      <c r="L838" s="131"/>
      <c r="M838" s="131"/>
      <c r="N838" s="131"/>
      <c r="O838" s="131"/>
      <c r="P838" s="131"/>
      <c r="Q838" s="131"/>
      <c r="R838" s="131"/>
      <c r="S838" s="131"/>
    </row>
    <row r="839">
      <c r="A839" s="131"/>
      <c r="B839" s="131"/>
      <c r="C839" s="131"/>
      <c r="D839" s="81"/>
      <c r="E839" s="81"/>
      <c r="F839" s="131"/>
      <c r="G839" s="131"/>
      <c r="H839" s="131"/>
      <c r="I839" s="131"/>
      <c r="J839" s="131"/>
      <c r="K839" s="131"/>
      <c r="L839" s="131"/>
      <c r="M839" s="131"/>
      <c r="N839" s="131"/>
      <c r="O839" s="131"/>
      <c r="P839" s="131"/>
      <c r="Q839" s="131"/>
      <c r="R839" s="131"/>
      <c r="S839" s="131"/>
    </row>
    <row r="840">
      <c r="A840" s="131"/>
      <c r="B840" s="131"/>
      <c r="C840" s="131"/>
      <c r="D840" s="81"/>
      <c r="E840" s="81"/>
      <c r="F840" s="131"/>
      <c r="G840" s="131"/>
      <c r="H840" s="131"/>
      <c r="I840" s="131"/>
      <c r="J840" s="131"/>
      <c r="K840" s="131"/>
      <c r="L840" s="131"/>
      <c r="M840" s="131"/>
      <c r="N840" s="131"/>
      <c r="O840" s="131"/>
      <c r="P840" s="131"/>
      <c r="Q840" s="131"/>
      <c r="R840" s="131"/>
      <c r="S840" s="131"/>
    </row>
    <row r="841">
      <c r="A841" s="131"/>
      <c r="B841" s="131"/>
      <c r="C841" s="131"/>
      <c r="D841" s="81"/>
      <c r="E841" s="81"/>
      <c r="F841" s="131"/>
      <c r="G841" s="131"/>
      <c r="H841" s="131"/>
      <c r="I841" s="131"/>
      <c r="J841" s="131"/>
      <c r="K841" s="131"/>
      <c r="L841" s="131"/>
      <c r="M841" s="131"/>
      <c r="N841" s="131"/>
      <c r="O841" s="131"/>
      <c r="P841" s="131"/>
      <c r="Q841" s="131"/>
      <c r="R841" s="131"/>
      <c r="S841" s="131"/>
    </row>
    <row r="842">
      <c r="A842" s="131"/>
      <c r="B842" s="131"/>
      <c r="C842" s="131"/>
      <c r="D842" s="81"/>
      <c r="E842" s="81"/>
      <c r="F842" s="131"/>
      <c r="G842" s="131"/>
      <c r="H842" s="131"/>
      <c r="I842" s="131"/>
      <c r="J842" s="131"/>
      <c r="K842" s="131"/>
      <c r="L842" s="131"/>
      <c r="M842" s="131"/>
      <c r="N842" s="131"/>
      <c r="O842" s="131"/>
      <c r="P842" s="131"/>
      <c r="Q842" s="131"/>
      <c r="R842" s="131"/>
      <c r="S842" s="131"/>
    </row>
    <row r="843">
      <c r="A843" s="131"/>
      <c r="B843" s="131"/>
      <c r="C843" s="131"/>
      <c r="D843" s="81"/>
      <c r="E843" s="81"/>
      <c r="F843" s="131"/>
      <c r="G843" s="131"/>
      <c r="H843" s="131"/>
      <c r="I843" s="131"/>
      <c r="J843" s="131"/>
      <c r="K843" s="131"/>
      <c r="L843" s="131"/>
      <c r="M843" s="131"/>
      <c r="N843" s="131"/>
      <c r="O843" s="131"/>
      <c r="P843" s="131"/>
      <c r="Q843" s="131"/>
      <c r="R843" s="131"/>
      <c r="S843" s="131"/>
    </row>
    <row r="844">
      <c r="A844" s="131"/>
      <c r="B844" s="131"/>
      <c r="C844" s="131"/>
      <c r="D844" s="81"/>
      <c r="E844" s="81"/>
      <c r="F844" s="131"/>
      <c r="G844" s="131"/>
      <c r="H844" s="131"/>
      <c r="I844" s="131"/>
      <c r="J844" s="131"/>
      <c r="K844" s="131"/>
      <c r="L844" s="131"/>
      <c r="M844" s="131"/>
      <c r="N844" s="131"/>
      <c r="O844" s="131"/>
      <c r="P844" s="131"/>
      <c r="Q844" s="131"/>
      <c r="R844" s="131"/>
      <c r="S844" s="131"/>
    </row>
    <row r="845">
      <c r="A845" s="131"/>
      <c r="B845" s="131"/>
      <c r="C845" s="131"/>
      <c r="D845" s="81"/>
      <c r="E845" s="81"/>
      <c r="F845" s="131"/>
      <c r="G845" s="131"/>
      <c r="H845" s="131"/>
      <c r="I845" s="131"/>
      <c r="J845" s="131"/>
      <c r="K845" s="131"/>
      <c r="L845" s="131"/>
      <c r="M845" s="131"/>
      <c r="N845" s="131"/>
      <c r="O845" s="131"/>
      <c r="P845" s="131"/>
      <c r="Q845" s="131"/>
      <c r="R845" s="131"/>
      <c r="S845" s="131"/>
    </row>
    <row r="846">
      <c r="A846" s="131"/>
      <c r="B846" s="131"/>
      <c r="C846" s="131"/>
      <c r="D846" s="81"/>
      <c r="E846" s="81"/>
      <c r="F846" s="131"/>
      <c r="G846" s="131"/>
      <c r="H846" s="131"/>
      <c r="I846" s="131"/>
      <c r="J846" s="131"/>
      <c r="K846" s="131"/>
      <c r="L846" s="131"/>
      <c r="M846" s="131"/>
      <c r="N846" s="131"/>
      <c r="O846" s="131"/>
      <c r="P846" s="131"/>
      <c r="Q846" s="131"/>
      <c r="R846" s="131"/>
      <c r="S846" s="131"/>
    </row>
    <row r="847">
      <c r="A847" s="131"/>
      <c r="B847" s="131"/>
      <c r="C847" s="131"/>
      <c r="D847" s="81"/>
      <c r="E847" s="81"/>
      <c r="F847" s="131"/>
      <c r="G847" s="131"/>
      <c r="H847" s="131"/>
      <c r="I847" s="131"/>
      <c r="J847" s="131"/>
      <c r="K847" s="131"/>
      <c r="L847" s="131"/>
      <c r="M847" s="131"/>
      <c r="N847" s="131"/>
      <c r="O847" s="131"/>
      <c r="P847" s="131"/>
      <c r="Q847" s="131"/>
      <c r="R847" s="131"/>
      <c r="S847" s="131"/>
    </row>
    <row r="848">
      <c r="A848" s="131"/>
      <c r="B848" s="131"/>
      <c r="C848" s="131"/>
      <c r="D848" s="81"/>
      <c r="E848" s="81"/>
      <c r="F848" s="131"/>
      <c r="G848" s="131"/>
      <c r="H848" s="131"/>
      <c r="I848" s="131"/>
      <c r="J848" s="131"/>
      <c r="K848" s="131"/>
      <c r="L848" s="131"/>
      <c r="M848" s="131"/>
      <c r="N848" s="131"/>
      <c r="O848" s="131"/>
      <c r="P848" s="131"/>
      <c r="Q848" s="131"/>
      <c r="R848" s="131"/>
      <c r="S848" s="131"/>
    </row>
    <row r="849">
      <c r="A849" s="131"/>
      <c r="B849" s="131"/>
      <c r="C849" s="131"/>
      <c r="D849" s="81"/>
      <c r="E849" s="81"/>
      <c r="F849" s="131"/>
      <c r="G849" s="131"/>
      <c r="H849" s="131"/>
      <c r="I849" s="131"/>
      <c r="J849" s="131"/>
      <c r="K849" s="131"/>
      <c r="L849" s="131"/>
      <c r="M849" s="131"/>
      <c r="N849" s="131"/>
      <c r="O849" s="131"/>
      <c r="P849" s="131"/>
      <c r="Q849" s="131"/>
      <c r="R849" s="131"/>
      <c r="S849" s="131"/>
    </row>
    <row r="850">
      <c r="A850" s="131"/>
      <c r="B850" s="131"/>
      <c r="C850" s="131"/>
      <c r="D850" s="81"/>
      <c r="E850" s="81"/>
      <c r="F850" s="131"/>
      <c r="G850" s="131"/>
      <c r="H850" s="131"/>
      <c r="I850" s="131"/>
      <c r="J850" s="131"/>
      <c r="K850" s="131"/>
      <c r="L850" s="131"/>
      <c r="M850" s="131"/>
      <c r="N850" s="131"/>
      <c r="O850" s="131"/>
      <c r="P850" s="131"/>
      <c r="Q850" s="131"/>
      <c r="R850" s="131"/>
      <c r="S850" s="131"/>
    </row>
    <row r="851">
      <c r="A851" s="131"/>
      <c r="B851" s="131"/>
      <c r="C851" s="131"/>
      <c r="D851" s="81"/>
      <c r="E851" s="81"/>
      <c r="F851" s="131"/>
      <c r="G851" s="131"/>
      <c r="H851" s="131"/>
      <c r="I851" s="131"/>
      <c r="J851" s="131"/>
      <c r="K851" s="131"/>
      <c r="L851" s="131"/>
      <c r="M851" s="131"/>
      <c r="N851" s="131"/>
      <c r="O851" s="131"/>
      <c r="P851" s="131"/>
      <c r="Q851" s="131"/>
      <c r="R851" s="131"/>
      <c r="S851" s="131"/>
    </row>
    <row r="852">
      <c r="A852" s="131"/>
      <c r="B852" s="131"/>
      <c r="C852" s="131"/>
      <c r="D852" s="81"/>
      <c r="E852" s="81"/>
      <c r="F852" s="131"/>
      <c r="G852" s="131"/>
      <c r="H852" s="131"/>
      <c r="I852" s="131"/>
      <c r="J852" s="131"/>
      <c r="K852" s="131"/>
      <c r="L852" s="131"/>
      <c r="M852" s="131"/>
      <c r="N852" s="131"/>
      <c r="O852" s="131"/>
      <c r="P852" s="131"/>
      <c r="Q852" s="131"/>
      <c r="R852" s="131"/>
      <c r="S852" s="131"/>
    </row>
    <row r="853">
      <c r="A853" s="131"/>
      <c r="B853" s="131"/>
      <c r="C853" s="131"/>
      <c r="D853" s="81"/>
      <c r="E853" s="81"/>
      <c r="F853" s="131"/>
      <c r="G853" s="131"/>
      <c r="H853" s="131"/>
      <c r="I853" s="131"/>
      <c r="J853" s="131"/>
      <c r="K853" s="131"/>
      <c r="L853" s="131"/>
      <c r="M853" s="131"/>
      <c r="N853" s="131"/>
      <c r="O853" s="131"/>
      <c r="P853" s="131"/>
      <c r="Q853" s="131"/>
      <c r="R853" s="131"/>
      <c r="S853" s="131"/>
    </row>
    <row r="854">
      <c r="A854" s="131"/>
      <c r="B854" s="131"/>
      <c r="C854" s="131"/>
      <c r="D854" s="81"/>
      <c r="E854" s="81"/>
      <c r="F854" s="131"/>
      <c r="G854" s="131"/>
      <c r="H854" s="131"/>
      <c r="I854" s="131"/>
      <c r="J854" s="131"/>
      <c r="K854" s="131"/>
      <c r="L854" s="131"/>
      <c r="M854" s="131"/>
      <c r="N854" s="131"/>
      <c r="O854" s="131"/>
      <c r="P854" s="131"/>
      <c r="Q854" s="131"/>
      <c r="R854" s="131"/>
      <c r="S854" s="131"/>
    </row>
    <row r="855">
      <c r="A855" s="131"/>
      <c r="B855" s="131"/>
      <c r="C855" s="131"/>
      <c r="D855" s="81"/>
      <c r="E855" s="81"/>
      <c r="F855" s="131"/>
      <c r="G855" s="131"/>
      <c r="H855" s="131"/>
      <c r="I855" s="131"/>
      <c r="J855" s="131"/>
      <c r="K855" s="131"/>
      <c r="L855" s="131"/>
      <c r="M855" s="131"/>
      <c r="N855" s="131"/>
      <c r="O855" s="131"/>
      <c r="P855" s="131"/>
      <c r="Q855" s="131"/>
      <c r="R855" s="131"/>
      <c r="S855" s="131"/>
    </row>
    <row r="856">
      <c r="A856" s="131"/>
      <c r="B856" s="131"/>
      <c r="C856" s="131"/>
      <c r="D856" s="81"/>
      <c r="E856" s="81"/>
      <c r="F856" s="131"/>
      <c r="G856" s="131"/>
      <c r="H856" s="131"/>
      <c r="I856" s="131"/>
      <c r="J856" s="131"/>
      <c r="K856" s="131"/>
      <c r="L856" s="131"/>
      <c r="M856" s="131"/>
      <c r="N856" s="131"/>
      <c r="O856" s="131"/>
      <c r="P856" s="131"/>
      <c r="Q856" s="131"/>
      <c r="R856" s="131"/>
      <c r="S856" s="131"/>
    </row>
    <row r="857">
      <c r="A857" s="131"/>
      <c r="B857" s="131"/>
      <c r="C857" s="131"/>
      <c r="D857" s="81"/>
      <c r="E857" s="81"/>
      <c r="F857" s="131"/>
      <c r="G857" s="131"/>
      <c r="H857" s="131"/>
      <c r="I857" s="131"/>
      <c r="J857" s="131"/>
      <c r="K857" s="131"/>
      <c r="L857" s="131"/>
      <c r="M857" s="131"/>
      <c r="N857" s="131"/>
      <c r="O857" s="131"/>
      <c r="P857" s="131"/>
      <c r="Q857" s="131"/>
      <c r="R857" s="131"/>
      <c r="S857" s="131"/>
    </row>
    <row r="858">
      <c r="A858" s="131"/>
      <c r="B858" s="131"/>
      <c r="C858" s="131"/>
      <c r="D858" s="81"/>
      <c r="E858" s="81"/>
      <c r="F858" s="131"/>
      <c r="G858" s="131"/>
      <c r="H858" s="131"/>
      <c r="I858" s="131"/>
      <c r="J858" s="131"/>
      <c r="K858" s="131"/>
      <c r="L858" s="131"/>
      <c r="M858" s="131"/>
      <c r="N858" s="131"/>
      <c r="O858" s="131"/>
      <c r="P858" s="131"/>
      <c r="Q858" s="131"/>
      <c r="R858" s="131"/>
      <c r="S858" s="131"/>
    </row>
    <row r="859">
      <c r="A859" s="131"/>
      <c r="B859" s="131"/>
      <c r="C859" s="131"/>
      <c r="D859" s="81"/>
      <c r="E859" s="81"/>
      <c r="F859" s="131"/>
      <c r="G859" s="131"/>
      <c r="H859" s="131"/>
      <c r="I859" s="131"/>
      <c r="J859" s="131"/>
      <c r="K859" s="131"/>
      <c r="L859" s="131"/>
      <c r="M859" s="131"/>
      <c r="N859" s="131"/>
      <c r="O859" s="131"/>
      <c r="P859" s="131"/>
      <c r="Q859" s="131"/>
      <c r="R859" s="131"/>
      <c r="S859" s="131"/>
    </row>
    <row r="860">
      <c r="A860" s="131"/>
      <c r="B860" s="131"/>
      <c r="C860" s="131"/>
      <c r="D860" s="81"/>
      <c r="E860" s="81"/>
      <c r="F860" s="131"/>
      <c r="G860" s="131"/>
      <c r="H860" s="131"/>
      <c r="I860" s="131"/>
      <c r="J860" s="131"/>
      <c r="K860" s="131"/>
      <c r="L860" s="131"/>
      <c r="M860" s="131"/>
      <c r="N860" s="131"/>
      <c r="O860" s="131"/>
      <c r="P860" s="131"/>
      <c r="Q860" s="131"/>
      <c r="R860" s="131"/>
      <c r="S860" s="131"/>
    </row>
    <row r="861">
      <c r="A861" s="131"/>
      <c r="B861" s="131"/>
      <c r="C861" s="131"/>
      <c r="D861" s="81"/>
      <c r="E861" s="81"/>
      <c r="F861" s="131"/>
      <c r="G861" s="131"/>
      <c r="H861" s="131"/>
      <c r="I861" s="131"/>
      <c r="J861" s="131"/>
      <c r="K861" s="131"/>
      <c r="L861" s="131"/>
      <c r="M861" s="131"/>
      <c r="N861" s="131"/>
      <c r="O861" s="131"/>
      <c r="P861" s="131"/>
      <c r="Q861" s="131"/>
      <c r="R861" s="131"/>
      <c r="S861" s="131"/>
    </row>
    <row r="862">
      <c r="A862" s="131"/>
      <c r="B862" s="131"/>
      <c r="C862" s="131"/>
      <c r="D862" s="81"/>
      <c r="E862" s="81"/>
      <c r="F862" s="131"/>
      <c r="G862" s="131"/>
      <c r="H862" s="131"/>
      <c r="I862" s="131"/>
      <c r="J862" s="131"/>
      <c r="K862" s="131"/>
      <c r="L862" s="131"/>
      <c r="M862" s="131"/>
      <c r="N862" s="131"/>
      <c r="O862" s="131"/>
      <c r="P862" s="131"/>
      <c r="Q862" s="131"/>
      <c r="R862" s="131"/>
      <c r="S862" s="131"/>
    </row>
    <row r="863">
      <c r="A863" s="131"/>
      <c r="B863" s="131"/>
      <c r="C863" s="131"/>
      <c r="D863" s="81"/>
      <c r="E863" s="81"/>
      <c r="F863" s="131"/>
      <c r="G863" s="131"/>
      <c r="H863" s="131"/>
      <c r="I863" s="131"/>
      <c r="J863" s="131"/>
      <c r="K863" s="131"/>
      <c r="L863" s="131"/>
      <c r="M863" s="131"/>
      <c r="N863" s="131"/>
      <c r="O863" s="131"/>
      <c r="P863" s="131"/>
      <c r="Q863" s="131"/>
      <c r="R863" s="131"/>
      <c r="S863" s="131"/>
    </row>
    <row r="864">
      <c r="A864" s="131"/>
      <c r="B864" s="131"/>
      <c r="C864" s="131"/>
      <c r="D864" s="81"/>
      <c r="E864" s="81"/>
      <c r="F864" s="131"/>
      <c r="G864" s="131"/>
      <c r="H864" s="131"/>
      <c r="I864" s="131"/>
      <c r="J864" s="131"/>
      <c r="K864" s="131"/>
      <c r="L864" s="131"/>
      <c r="M864" s="131"/>
      <c r="N864" s="131"/>
      <c r="O864" s="131"/>
      <c r="P864" s="131"/>
      <c r="Q864" s="131"/>
      <c r="R864" s="131"/>
      <c r="S864" s="131"/>
    </row>
    <row r="865">
      <c r="A865" s="131"/>
      <c r="B865" s="131"/>
      <c r="C865" s="131"/>
      <c r="D865" s="81"/>
      <c r="E865" s="81"/>
      <c r="F865" s="131"/>
      <c r="G865" s="131"/>
      <c r="H865" s="131"/>
      <c r="I865" s="131"/>
      <c r="J865" s="131"/>
      <c r="K865" s="131"/>
      <c r="L865" s="131"/>
      <c r="M865" s="131"/>
      <c r="N865" s="131"/>
      <c r="O865" s="131"/>
      <c r="P865" s="131"/>
      <c r="Q865" s="131"/>
      <c r="R865" s="131"/>
      <c r="S865" s="131"/>
    </row>
    <row r="866">
      <c r="A866" s="131"/>
      <c r="B866" s="131"/>
      <c r="C866" s="131"/>
      <c r="D866" s="81"/>
      <c r="E866" s="81"/>
      <c r="F866" s="131"/>
      <c r="G866" s="131"/>
      <c r="H866" s="131"/>
      <c r="I866" s="131"/>
      <c r="J866" s="131"/>
      <c r="K866" s="131"/>
      <c r="L866" s="131"/>
      <c r="M866" s="131"/>
      <c r="N866" s="131"/>
      <c r="O866" s="131"/>
      <c r="P866" s="131"/>
      <c r="Q866" s="131"/>
      <c r="R866" s="131"/>
      <c r="S866" s="131"/>
    </row>
    <row r="867">
      <c r="A867" s="131"/>
      <c r="B867" s="131"/>
      <c r="C867" s="131"/>
      <c r="D867" s="81"/>
      <c r="E867" s="81"/>
      <c r="F867" s="131"/>
      <c r="G867" s="131"/>
      <c r="H867" s="131"/>
      <c r="I867" s="131"/>
      <c r="J867" s="131"/>
      <c r="K867" s="131"/>
      <c r="L867" s="131"/>
      <c r="M867" s="131"/>
      <c r="N867" s="131"/>
      <c r="O867" s="131"/>
      <c r="P867" s="131"/>
      <c r="Q867" s="131"/>
      <c r="R867" s="131"/>
      <c r="S867" s="131"/>
    </row>
    <row r="868">
      <c r="A868" s="131"/>
      <c r="B868" s="131"/>
      <c r="C868" s="131"/>
      <c r="D868" s="81"/>
      <c r="E868" s="81"/>
      <c r="F868" s="131"/>
      <c r="G868" s="131"/>
      <c r="H868" s="131"/>
      <c r="I868" s="131"/>
      <c r="J868" s="131"/>
      <c r="K868" s="131"/>
      <c r="L868" s="131"/>
      <c r="M868" s="131"/>
      <c r="N868" s="131"/>
      <c r="O868" s="131"/>
      <c r="P868" s="131"/>
      <c r="Q868" s="131"/>
      <c r="R868" s="131"/>
      <c r="S868" s="131"/>
    </row>
    <row r="869">
      <c r="A869" s="131"/>
      <c r="B869" s="131"/>
      <c r="C869" s="131"/>
      <c r="D869" s="81"/>
      <c r="E869" s="81"/>
      <c r="F869" s="131"/>
      <c r="G869" s="131"/>
      <c r="H869" s="131"/>
      <c r="I869" s="131"/>
      <c r="J869" s="131"/>
      <c r="K869" s="131"/>
      <c r="L869" s="131"/>
      <c r="M869" s="131"/>
      <c r="N869" s="131"/>
      <c r="O869" s="131"/>
      <c r="P869" s="131"/>
      <c r="Q869" s="131"/>
      <c r="R869" s="131"/>
      <c r="S869" s="131"/>
    </row>
    <row r="870">
      <c r="A870" s="131"/>
      <c r="B870" s="131"/>
      <c r="C870" s="131"/>
      <c r="D870" s="81"/>
      <c r="E870" s="81"/>
      <c r="F870" s="131"/>
      <c r="G870" s="131"/>
      <c r="H870" s="131"/>
      <c r="I870" s="131"/>
      <c r="J870" s="131"/>
      <c r="K870" s="131"/>
      <c r="L870" s="131"/>
      <c r="M870" s="131"/>
      <c r="N870" s="131"/>
      <c r="O870" s="131"/>
      <c r="P870" s="131"/>
      <c r="Q870" s="131"/>
      <c r="R870" s="131"/>
      <c r="S870" s="131"/>
    </row>
    <row r="871">
      <c r="A871" s="131"/>
      <c r="B871" s="131"/>
      <c r="C871" s="131"/>
      <c r="D871" s="81"/>
      <c r="E871" s="81"/>
      <c r="F871" s="131"/>
      <c r="G871" s="131"/>
      <c r="H871" s="131"/>
      <c r="I871" s="131"/>
      <c r="J871" s="131"/>
      <c r="K871" s="131"/>
      <c r="L871" s="131"/>
      <c r="M871" s="131"/>
      <c r="N871" s="131"/>
      <c r="O871" s="131"/>
      <c r="P871" s="131"/>
      <c r="Q871" s="131"/>
      <c r="R871" s="131"/>
      <c r="S871" s="131"/>
    </row>
    <row r="872">
      <c r="A872" s="131"/>
      <c r="B872" s="131"/>
      <c r="C872" s="131"/>
      <c r="D872" s="81"/>
      <c r="E872" s="81"/>
      <c r="F872" s="131"/>
      <c r="G872" s="131"/>
      <c r="H872" s="131"/>
      <c r="I872" s="131"/>
      <c r="J872" s="131"/>
      <c r="K872" s="131"/>
      <c r="L872" s="131"/>
      <c r="M872" s="131"/>
      <c r="N872" s="131"/>
      <c r="O872" s="131"/>
      <c r="P872" s="131"/>
      <c r="Q872" s="131"/>
      <c r="R872" s="131"/>
      <c r="S872" s="131"/>
    </row>
    <row r="873">
      <c r="A873" s="131"/>
      <c r="B873" s="131"/>
      <c r="C873" s="131"/>
      <c r="D873" s="81"/>
      <c r="E873" s="81"/>
      <c r="F873" s="131"/>
      <c r="G873" s="131"/>
      <c r="H873" s="131"/>
      <c r="I873" s="131"/>
      <c r="J873" s="131"/>
      <c r="K873" s="131"/>
      <c r="L873" s="131"/>
      <c r="M873" s="131"/>
      <c r="N873" s="131"/>
      <c r="O873" s="131"/>
      <c r="P873" s="131"/>
      <c r="Q873" s="131"/>
      <c r="R873" s="131"/>
      <c r="S873" s="131"/>
    </row>
    <row r="874">
      <c r="A874" s="131"/>
      <c r="B874" s="131"/>
      <c r="C874" s="131"/>
      <c r="D874" s="81"/>
      <c r="E874" s="81"/>
      <c r="F874" s="131"/>
      <c r="G874" s="131"/>
      <c r="H874" s="131"/>
      <c r="I874" s="131"/>
      <c r="J874" s="131"/>
      <c r="K874" s="131"/>
      <c r="L874" s="131"/>
      <c r="M874" s="131"/>
      <c r="N874" s="131"/>
      <c r="O874" s="131"/>
      <c r="P874" s="131"/>
      <c r="Q874" s="131"/>
      <c r="R874" s="131"/>
      <c r="S874" s="131"/>
    </row>
    <row r="875">
      <c r="A875" s="131"/>
      <c r="B875" s="131"/>
      <c r="C875" s="131"/>
      <c r="D875" s="81"/>
      <c r="E875" s="81"/>
      <c r="F875" s="131"/>
      <c r="G875" s="131"/>
      <c r="H875" s="131"/>
      <c r="I875" s="131"/>
      <c r="J875" s="131"/>
      <c r="K875" s="131"/>
      <c r="L875" s="131"/>
      <c r="M875" s="131"/>
      <c r="N875" s="131"/>
      <c r="O875" s="131"/>
      <c r="P875" s="131"/>
      <c r="Q875" s="131"/>
      <c r="R875" s="131"/>
      <c r="S875" s="131"/>
    </row>
    <row r="876">
      <c r="A876" s="131"/>
      <c r="B876" s="131"/>
      <c r="C876" s="131"/>
      <c r="D876" s="81"/>
      <c r="E876" s="81"/>
      <c r="F876" s="131"/>
      <c r="G876" s="131"/>
      <c r="H876" s="131"/>
      <c r="I876" s="131"/>
      <c r="J876" s="131"/>
      <c r="K876" s="131"/>
      <c r="L876" s="131"/>
      <c r="M876" s="131"/>
      <c r="N876" s="131"/>
      <c r="O876" s="131"/>
      <c r="P876" s="131"/>
      <c r="Q876" s="131"/>
      <c r="R876" s="131"/>
      <c r="S876" s="131"/>
    </row>
    <row r="877">
      <c r="A877" s="131"/>
      <c r="B877" s="131"/>
      <c r="C877" s="131"/>
      <c r="D877" s="81"/>
      <c r="E877" s="81"/>
      <c r="F877" s="131"/>
      <c r="G877" s="131"/>
      <c r="H877" s="131"/>
      <c r="I877" s="131"/>
      <c r="J877" s="131"/>
      <c r="K877" s="131"/>
      <c r="L877" s="131"/>
      <c r="M877" s="131"/>
      <c r="N877" s="131"/>
      <c r="O877" s="131"/>
      <c r="P877" s="131"/>
      <c r="Q877" s="131"/>
      <c r="R877" s="131"/>
      <c r="S877" s="131"/>
    </row>
    <row r="878">
      <c r="A878" s="131"/>
      <c r="B878" s="131"/>
      <c r="C878" s="131"/>
      <c r="D878" s="81"/>
      <c r="E878" s="81"/>
      <c r="F878" s="131"/>
      <c r="G878" s="131"/>
      <c r="H878" s="131"/>
      <c r="I878" s="131"/>
      <c r="J878" s="131"/>
      <c r="K878" s="131"/>
      <c r="L878" s="131"/>
      <c r="M878" s="131"/>
      <c r="N878" s="131"/>
      <c r="O878" s="131"/>
      <c r="P878" s="131"/>
      <c r="Q878" s="131"/>
      <c r="R878" s="131"/>
      <c r="S878" s="131"/>
    </row>
    <row r="879">
      <c r="A879" s="131"/>
      <c r="B879" s="131"/>
      <c r="C879" s="131"/>
      <c r="D879" s="81"/>
      <c r="E879" s="81"/>
      <c r="F879" s="131"/>
      <c r="G879" s="131"/>
      <c r="H879" s="131"/>
      <c r="I879" s="131"/>
      <c r="J879" s="131"/>
      <c r="K879" s="131"/>
      <c r="L879" s="131"/>
      <c r="M879" s="131"/>
      <c r="N879" s="131"/>
      <c r="O879" s="131"/>
      <c r="P879" s="131"/>
      <c r="Q879" s="131"/>
      <c r="R879" s="131"/>
      <c r="S879" s="131"/>
    </row>
    <row r="880">
      <c r="A880" s="131"/>
      <c r="B880" s="131"/>
      <c r="C880" s="131"/>
      <c r="D880" s="81"/>
      <c r="E880" s="81"/>
      <c r="F880" s="131"/>
      <c r="G880" s="131"/>
      <c r="H880" s="131"/>
      <c r="I880" s="131"/>
      <c r="J880" s="131"/>
      <c r="K880" s="131"/>
      <c r="L880" s="131"/>
      <c r="M880" s="131"/>
      <c r="N880" s="131"/>
      <c r="O880" s="131"/>
      <c r="P880" s="131"/>
      <c r="Q880" s="131"/>
      <c r="R880" s="131"/>
      <c r="S880" s="131"/>
    </row>
    <row r="881">
      <c r="A881" s="131"/>
      <c r="B881" s="131"/>
      <c r="C881" s="131"/>
      <c r="D881" s="81"/>
      <c r="E881" s="81"/>
      <c r="F881" s="131"/>
      <c r="G881" s="131"/>
      <c r="H881" s="131"/>
      <c r="I881" s="131"/>
      <c r="J881" s="131"/>
      <c r="K881" s="131"/>
      <c r="L881" s="131"/>
      <c r="M881" s="131"/>
      <c r="N881" s="131"/>
      <c r="O881" s="131"/>
      <c r="P881" s="131"/>
      <c r="Q881" s="131"/>
      <c r="R881" s="131"/>
      <c r="S881" s="131"/>
    </row>
    <row r="882">
      <c r="A882" s="131"/>
      <c r="B882" s="131"/>
      <c r="C882" s="131"/>
      <c r="D882" s="81"/>
      <c r="E882" s="81"/>
      <c r="F882" s="131"/>
      <c r="G882" s="131"/>
      <c r="H882" s="131"/>
      <c r="I882" s="131"/>
      <c r="J882" s="131"/>
      <c r="K882" s="131"/>
      <c r="L882" s="131"/>
      <c r="M882" s="131"/>
      <c r="N882" s="131"/>
      <c r="O882" s="131"/>
      <c r="P882" s="131"/>
      <c r="Q882" s="131"/>
      <c r="R882" s="131"/>
      <c r="S882" s="131"/>
    </row>
    <row r="883">
      <c r="A883" s="131"/>
      <c r="B883" s="131"/>
      <c r="C883" s="131"/>
      <c r="D883" s="81"/>
      <c r="E883" s="81"/>
      <c r="F883" s="131"/>
      <c r="G883" s="131"/>
      <c r="H883" s="131"/>
      <c r="I883" s="131"/>
      <c r="J883" s="131"/>
      <c r="K883" s="131"/>
      <c r="L883" s="131"/>
      <c r="M883" s="131"/>
      <c r="N883" s="131"/>
      <c r="O883" s="131"/>
      <c r="P883" s="131"/>
      <c r="Q883" s="131"/>
      <c r="R883" s="131"/>
      <c r="S883" s="131"/>
    </row>
    <row r="884">
      <c r="A884" s="131"/>
      <c r="B884" s="131"/>
      <c r="C884" s="131"/>
      <c r="D884" s="81"/>
      <c r="E884" s="81"/>
      <c r="F884" s="131"/>
      <c r="G884" s="131"/>
      <c r="H884" s="131"/>
      <c r="I884" s="131"/>
      <c r="J884" s="131"/>
      <c r="K884" s="131"/>
      <c r="L884" s="131"/>
      <c r="M884" s="131"/>
      <c r="N884" s="131"/>
      <c r="O884" s="131"/>
      <c r="P884" s="131"/>
      <c r="Q884" s="131"/>
      <c r="R884" s="131"/>
      <c r="S884" s="131"/>
    </row>
    <row r="885">
      <c r="A885" s="131"/>
      <c r="B885" s="131"/>
      <c r="C885" s="131"/>
      <c r="D885" s="81"/>
      <c r="E885" s="81"/>
      <c r="F885" s="131"/>
      <c r="G885" s="131"/>
      <c r="H885" s="131"/>
      <c r="I885" s="131"/>
      <c r="J885" s="131"/>
      <c r="K885" s="131"/>
      <c r="L885" s="131"/>
      <c r="M885" s="131"/>
      <c r="N885" s="131"/>
      <c r="O885" s="131"/>
      <c r="P885" s="131"/>
      <c r="Q885" s="131"/>
      <c r="R885" s="131"/>
      <c r="S885" s="131"/>
    </row>
    <row r="886">
      <c r="A886" s="131"/>
      <c r="B886" s="131"/>
      <c r="C886" s="131"/>
      <c r="D886" s="81"/>
      <c r="E886" s="81"/>
      <c r="F886" s="131"/>
      <c r="G886" s="131"/>
      <c r="H886" s="131"/>
      <c r="I886" s="131"/>
      <c r="J886" s="131"/>
      <c r="K886" s="131"/>
      <c r="L886" s="131"/>
      <c r="M886" s="131"/>
      <c r="N886" s="131"/>
      <c r="O886" s="131"/>
      <c r="P886" s="131"/>
      <c r="Q886" s="131"/>
      <c r="R886" s="131"/>
      <c r="S886" s="131"/>
    </row>
    <row r="887">
      <c r="A887" s="131"/>
      <c r="B887" s="131"/>
      <c r="C887" s="131"/>
      <c r="D887" s="81"/>
      <c r="E887" s="81"/>
      <c r="F887" s="131"/>
      <c r="G887" s="131"/>
      <c r="H887" s="131"/>
      <c r="I887" s="131"/>
      <c r="J887" s="131"/>
      <c r="K887" s="131"/>
      <c r="L887" s="131"/>
      <c r="M887" s="131"/>
      <c r="N887" s="131"/>
      <c r="O887" s="131"/>
      <c r="P887" s="131"/>
      <c r="Q887" s="131"/>
      <c r="R887" s="131"/>
      <c r="S887" s="131"/>
    </row>
    <row r="888">
      <c r="A888" s="131"/>
      <c r="B888" s="131"/>
      <c r="C888" s="131"/>
      <c r="D888" s="81"/>
      <c r="E888" s="81"/>
      <c r="F888" s="131"/>
      <c r="G888" s="131"/>
      <c r="H888" s="131"/>
      <c r="I888" s="131"/>
      <c r="J888" s="131"/>
      <c r="K888" s="131"/>
      <c r="L888" s="131"/>
      <c r="M888" s="131"/>
      <c r="N888" s="131"/>
      <c r="O888" s="131"/>
      <c r="P888" s="131"/>
      <c r="Q888" s="131"/>
      <c r="R888" s="131"/>
      <c r="S888" s="131"/>
    </row>
    <row r="889">
      <c r="A889" s="131"/>
      <c r="B889" s="131"/>
      <c r="C889" s="131"/>
      <c r="D889" s="81"/>
      <c r="E889" s="81"/>
      <c r="F889" s="131"/>
      <c r="G889" s="131"/>
      <c r="H889" s="131"/>
      <c r="I889" s="131"/>
      <c r="J889" s="131"/>
      <c r="K889" s="131"/>
      <c r="L889" s="131"/>
      <c r="M889" s="131"/>
      <c r="N889" s="131"/>
      <c r="O889" s="131"/>
      <c r="P889" s="131"/>
      <c r="Q889" s="131"/>
      <c r="R889" s="131"/>
      <c r="S889" s="131"/>
    </row>
    <row r="890">
      <c r="A890" s="131"/>
      <c r="B890" s="131"/>
      <c r="C890" s="131"/>
      <c r="D890" s="81"/>
      <c r="E890" s="81"/>
      <c r="F890" s="131"/>
      <c r="G890" s="131"/>
      <c r="H890" s="131"/>
      <c r="I890" s="131"/>
      <c r="J890" s="131"/>
      <c r="K890" s="131"/>
      <c r="L890" s="131"/>
      <c r="M890" s="131"/>
      <c r="N890" s="131"/>
      <c r="O890" s="131"/>
      <c r="P890" s="131"/>
      <c r="Q890" s="131"/>
      <c r="R890" s="131"/>
      <c r="S890" s="131"/>
    </row>
    <row r="891">
      <c r="A891" s="131"/>
      <c r="B891" s="131"/>
      <c r="C891" s="131"/>
      <c r="D891" s="81"/>
      <c r="E891" s="81"/>
      <c r="F891" s="131"/>
      <c r="G891" s="131"/>
      <c r="H891" s="131"/>
      <c r="I891" s="131"/>
      <c r="J891" s="131"/>
      <c r="K891" s="131"/>
      <c r="L891" s="131"/>
      <c r="M891" s="131"/>
      <c r="N891" s="131"/>
      <c r="O891" s="131"/>
      <c r="P891" s="131"/>
      <c r="Q891" s="131"/>
      <c r="R891" s="131"/>
      <c r="S891" s="131"/>
    </row>
    <row r="892">
      <c r="A892" s="131"/>
      <c r="B892" s="131"/>
      <c r="C892" s="131"/>
      <c r="D892" s="81"/>
      <c r="E892" s="81"/>
      <c r="F892" s="131"/>
      <c r="G892" s="131"/>
      <c r="H892" s="131"/>
      <c r="I892" s="131"/>
      <c r="J892" s="131"/>
      <c r="K892" s="131"/>
      <c r="L892" s="131"/>
      <c r="M892" s="131"/>
      <c r="N892" s="131"/>
      <c r="O892" s="131"/>
      <c r="P892" s="131"/>
      <c r="Q892" s="131"/>
      <c r="R892" s="131"/>
      <c r="S892" s="131"/>
    </row>
    <row r="893">
      <c r="A893" s="131"/>
      <c r="B893" s="131"/>
      <c r="C893" s="131"/>
      <c r="D893" s="81"/>
      <c r="E893" s="81"/>
      <c r="F893" s="131"/>
      <c r="G893" s="131"/>
      <c r="H893" s="131"/>
      <c r="I893" s="131"/>
      <c r="J893" s="131"/>
      <c r="K893" s="131"/>
      <c r="L893" s="131"/>
      <c r="M893" s="131"/>
      <c r="N893" s="131"/>
      <c r="O893" s="131"/>
      <c r="P893" s="131"/>
      <c r="Q893" s="131"/>
      <c r="R893" s="131"/>
      <c r="S893" s="131"/>
    </row>
    <row r="894">
      <c r="A894" s="131"/>
      <c r="B894" s="131"/>
      <c r="C894" s="131"/>
      <c r="D894" s="81"/>
      <c r="E894" s="81"/>
      <c r="F894" s="131"/>
      <c r="G894" s="131"/>
      <c r="H894" s="131"/>
      <c r="I894" s="131"/>
      <c r="J894" s="131"/>
      <c r="K894" s="131"/>
      <c r="L894" s="131"/>
      <c r="M894" s="131"/>
      <c r="N894" s="131"/>
      <c r="O894" s="131"/>
      <c r="P894" s="131"/>
      <c r="Q894" s="131"/>
      <c r="R894" s="131"/>
      <c r="S894" s="131"/>
    </row>
    <row r="895">
      <c r="A895" s="131"/>
      <c r="B895" s="131"/>
      <c r="C895" s="131"/>
      <c r="D895" s="81"/>
      <c r="E895" s="81"/>
      <c r="F895" s="131"/>
      <c r="G895" s="131"/>
      <c r="H895" s="131"/>
      <c r="I895" s="131"/>
      <c r="J895" s="131"/>
      <c r="K895" s="131"/>
      <c r="L895" s="131"/>
      <c r="M895" s="131"/>
      <c r="N895" s="131"/>
      <c r="O895" s="131"/>
      <c r="P895" s="131"/>
      <c r="Q895" s="131"/>
      <c r="R895" s="131"/>
      <c r="S895" s="131"/>
    </row>
    <row r="896">
      <c r="A896" s="131"/>
      <c r="B896" s="131"/>
      <c r="C896" s="131"/>
      <c r="D896" s="81"/>
      <c r="E896" s="81"/>
      <c r="F896" s="131"/>
      <c r="G896" s="131"/>
      <c r="H896" s="131"/>
      <c r="I896" s="131"/>
      <c r="J896" s="131"/>
      <c r="K896" s="131"/>
      <c r="L896" s="131"/>
      <c r="M896" s="131"/>
      <c r="N896" s="131"/>
      <c r="O896" s="131"/>
      <c r="P896" s="131"/>
      <c r="Q896" s="131"/>
      <c r="R896" s="131"/>
      <c r="S896" s="131"/>
    </row>
    <row r="897">
      <c r="A897" s="131"/>
      <c r="B897" s="131"/>
      <c r="C897" s="131"/>
      <c r="D897" s="81"/>
      <c r="E897" s="81"/>
      <c r="F897" s="131"/>
      <c r="G897" s="131"/>
      <c r="H897" s="131"/>
      <c r="I897" s="131"/>
      <c r="J897" s="131"/>
      <c r="K897" s="131"/>
      <c r="L897" s="131"/>
      <c r="M897" s="131"/>
      <c r="N897" s="131"/>
      <c r="O897" s="131"/>
      <c r="P897" s="131"/>
      <c r="Q897" s="131"/>
      <c r="R897" s="131"/>
      <c r="S897" s="131"/>
    </row>
    <row r="898">
      <c r="A898" s="131"/>
      <c r="B898" s="131"/>
      <c r="C898" s="131"/>
      <c r="D898" s="81"/>
      <c r="E898" s="81"/>
      <c r="F898" s="131"/>
      <c r="G898" s="131"/>
      <c r="H898" s="131"/>
      <c r="I898" s="131"/>
      <c r="J898" s="131"/>
      <c r="K898" s="131"/>
      <c r="L898" s="131"/>
      <c r="M898" s="131"/>
      <c r="N898" s="131"/>
      <c r="O898" s="131"/>
      <c r="P898" s="131"/>
      <c r="Q898" s="131"/>
      <c r="R898" s="131"/>
      <c r="S898" s="131"/>
    </row>
    <row r="899">
      <c r="A899" s="131"/>
      <c r="B899" s="131"/>
      <c r="C899" s="131"/>
      <c r="D899" s="81"/>
      <c r="E899" s="81"/>
      <c r="F899" s="131"/>
      <c r="G899" s="131"/>
      <c r="H899" s="131"/>
      <c r="I899" s="131"/>
      <c r="J899" s="131"/>
      <c r="K899" s="131"/>
      <c r="L899" s="131"/>
      <c r="M899" s="131"/>
      <c r="N899" s="131"/>
      <c r="O899" s="131"/>
      <c r="P899" s="131"/>
      <c r="Q899" s="131"/>
      <c r="R899" s="131"/>
      <c r="S899" s="131"/>
    </row>
    <row r="900">
      <c r="A900" s="131"/>
      <c r="B900" s="131"/>
      <c r="C900" s="131"/>
      <c r="D900" s="81"/>
      <c r="E900" s="81"/>
      <c r="F900" s="131"/>
      <c r="G900" s="131"/>
      <c r="H900" s="131"/>
      <c r="I900" s="131"/>
      <c r="J900" s="131"/>
      <c r="K900" s="131"/>
      <c r="L900" s="131"/>
      <c r="M900" s="131"/>
      <c r="N900" s="131"/>
      <c r="O900" s="131"/>
      <c r="P900" s="131"/>
      <c r="Q900" s="131"/>
      <c r="R900" s="131"/>
      <c r="S900" s="131"/>
    </row>
    <row r="901">
      <c r="A901" s="131"/>
      <c r="B901" s="131"/>
      <c r="C901" s="131"/>
      <c r="D901" s="81"/>
      <c r="E901" s="81"/>
      <c r="F901" s="131"/>
      <c r="G901" s="131"/>
      <c r="H901" s="131"/>
      <c r="I901" s="131"/>
      <c r="J901" s="131"/>
      <c r="K901" s="131"/>
      <c r="L901" s="131"/>
      <c r="M901" s="131"/>
      <c r="N901" s="131"/>
      <c r="O901" s="131"/>
      <c r="P901" s="131"/>
      <c r="Q901" s="131"/>
      <c r="R901" s="131"/>
      <c r="S901" s="131"/>
    </row>
    <row r="902">
      <c r="A902" s="131"/>
      <c r="B902" s="131"/>
      <c r="C902" s="131"/>
      <c r="D902" s="81"/>
      <c r="E902" s="81"/>
      <c r="F902" s="131"/>
      <c r="G902" s="131"/>
      <c r="H902" s="131"/>
      <c r="I902" s="131"/>
      <c r="J902" s="131"/>
      <c r="K902" s="131"/>
      <c r="L902" s="131"/>
      <c r="M902" s="131"/>
      <c r="N902" s="131"/>
      <c r="O902" s="131"/>
      <c r="P902" s="131"/>
      <c r="Q902" s="131"/>
      <c r="R902" s="131"/>
      <c r="S902" s="131"/>
    </row>
    <row r="903">
      <c r="A903" s="131"/>
      <c r="B903" s="131"/>
      <c r="C903" s="131"/>
      <c r="D903" s="81"/>
      <c r="E903" s="81"/>
      <c r="F903" s="131"/>
      <c r="G903" s="131"/>
      <c r="H903" s="131"/>
      <c r="I903" s="131"/>
      <c r="J903" s="131"/>
      <c r="K903" s="131"/>
      <c r="L903" s="131"/>
      <c r="M903" s="131"/>
      <c r="N903" s="131"/>
      <c r="O903" s="131"/>
      <c r="P903" s="131"/>
      <c r="Q903" s="131"/>
      <c r="R903" s="131"/>
      <c r="S903" s="131"/>
    </row>
    <row r="904">
      <c r="A904" s="131"/>
      <c r="B904" s="131"/>
      <c r="C904" s="131"/>
      <c r="D904" s="81"/>
      <c r="E904" s="81"/>
      <c r="F904" s="131"/>
      <c r="G904" s="131"/>
      <c r="H904" s="131"/>
      <c r="I904" s="131"/>
      <c r="J904" s="131"/>
      <c r="K904" s="131"/>
      <c r="L904" s="131"/>
      <c r="M904" s="131"/>
      <c r="N904" s="131"/>
      <c r="O904" s="131"/>
      <c r="P904" s="131"/>
      <c r="Q904" s="131"/>
      <c r="R904" s="131"/>
      <c r="S904" s="131"/>
    </row>
    <row r="905">
      <c r="A905" s="131"/>
      <c r="B905" s="131"/>
      <c r="C905" s="131"/>
      <c r="D905" s="81"/>
      <c r="E905" s="81"/>
      <c r="F905" s="131"/>
      <c r="G905" s="131"/>
      <c r="H905" s="131"/>
      <c r="I905" s="131"/>
      <c r="J905" s="131"/>
      <c r="K905" s="131"/>
      <c r="L905" s="131"/>
      <c r="M905" s="131"/>
      <c r="N905" s="131"/>
      <c r="O905" s="131"/>
      <c r="P905" s="131"/>
      <c r="Q905" s="131"/>
      <c r="R905" s="131"/>
      <c r="S905" s="131"/>
    </row>
    <row r="906">
      <c r="A906" s="131"/>
      <c r="B906" s="131"/>
      <c r="C906" s="131"/>
      <c r="D906" s="81"/>
      <c r="E906" s="81"/>
      <c r="F906" s="131"/>
      <c r="G906" s="131"/>
      <c r="H906" s="131"/>
      <c r="I906" s="131"/>
      <c r="J906" s="131"/>
      <c r="K906" s="131"/>
      <c r="L906" s="131"/>
      <c r="M906" s="131"/>
      <c r="N906" s="131"/>
      <c r="O906" s="131"/>
      <c r="P906" s="131"/>
      <c r="Q906" s="131"/>
      <c r="R906" s="131"/>
      <c r="S906" s="131"/>
    </row>
    <row r="907">
      <c r="A907" s="131"/>
      <c r="B907" s="131"/>
      <c r="C907" s="131"/>
      <c r="D907" s="81"/>
      <c r="E907" s="81"/>
      <c r="F907" s="131"/>
      <c r="G907" s="131"/>
      <c r="H907" s="131"/>
      <c r="I907" s="131"/>
      <c r="J907" s="131"/>
      <c r="K907" s="131"/>
      <c r="L907" s="131"/>
      <c r="M907" s="131"/>
      <c r="N907" s="131"/>
      <c r="O907" s="131"/>
      <c r="P907" s="131"/>
      <c r="Q907" s="131"/>
      <c r="R907" s="131"/>
      <c r="S907" s="131"/>
    </row>
    <row r="908">
      <c r="A908" s="131"/>
      <c r="B908" s="131"/>
      <c r="C908" s="131"/>
      <c r="D908" s="81"/>
      <c r="E908" s="81"/>
      <c r="F908" s="131"/>
      <c r="G908" s="131"/>
      <c r="H908" s="131"/>
      <c r="I908" s="131"/>
      <c r="J908" s="131"/>
      <c r="K908" s="131"/>
      <c r="L908" s="131"/>
      <c r="M908" s="131"/>
      <c r="N908" s="131"/>
      <c r="O908" s="131"/>
      <c r="P908" s="131"/>
      <c r="Q908" s="131"/>
      <c r="R908" s="131"/>
      <c r="S908" s="131"/>
    </row>
    <row r="909">
      <c r="A909" s="131"/>
      <c r="B909" s="131"/>
      <c r="C909" s="131"/>
      <c r="D909" s="81"/>
      <c r="E909" s="81"/>
      <c r="F909" s="131"/>
      <c r="G909" s="131"/>
      <c r="H909" s="131"/>
      <c r="I909" s="131"/>
      <c r="J909" s="131"/>
      <c r="K909" s="131"/>
      <c r="L909" s="131"/>
      <c r="M909" s="131"/>
      <c r="N909" s="131"/>
      <c r="O909" s="131"/>
      <c r="P909" s="131"/>
      <c r="Q909" s="131"/>
      <c r="R909" s="131"/>
      <c r="S909" s="131"/>
    </row>
    <row r="910">
      <c r="A910" s="131"/>
      <c r="B910" s="131"/>
      <c r="C910" s="131"/>
      <c r="D910" s="81"/>
      <c r="E910" s="81"/>
      <c r="F910" s="131"/>
      <c r="G910" s="131"/>
      <c r="H910" s="131"/>
      <c r="I910" s="131"/>
      <c r="J910" s="131"/>
      <c r="K910" s="131"/>
      <c r="L910" s="131"/>
      <c r="M910" s="131"/>
      <c r="N910" s="131"/>
      <c r="O910" s="131"/>
      <c r="P910" s="131"/>
      <c r="Q910" s="131"/>
      <c r="R910" s="131"/>
      <c r="S910" s="131"/>
    </row>
    <row r="911">
      <c r="A911" s="131"/>
      <c r="B911" s="131"/>
      <c r="C911" s="131"/>
      <c r="D911" s="81"/>
      <c r="E911" s="81"/>
      <c r="F911" s="131"/>
      <c r="G911" s="131"/>
      <c r="H911" s="131"/>
      <c r="I911" s="131"/>
      <c r="J911" s="131"/>
      <c r="K911" s="131"/>
      <c r="L911" s="131"/>
      <c r="M911" s="131"/>
      <c r="N911" s="131"/>
      <c r="O911" s="131"/>
      <c r="P911" s="131"/>
      <c r="Q911" s="131"/>
      <c r="R911" s="131"/>
      <c r="S911" s="131"/>
    </row>
    <row r="912">
      <c r="A912" s="131"/>
      <c r="B912" s="131"/>
      <c r="C912" s="131"/>
      <c r="D912" s="81"/>
      <c r="E912" s="81"/>
      <c r="F912" s="131"/>
      <c r="G912" s="131"/>
      <c r="H912" s="131"/>
      <c r="I912" s="131"/>
      <c r="J912" s="131"/>
      <c r="K912" s="131"/>
      <c r="L912" s="131"/>
      <c r="M912" s="131"/>
      <c r="N912" s="131"/>
      <c r="O912" s="131"/>
      <c r="P912" s="131"/>
      <c r="Q912" s="131"/>
      <c r="R912" s="131"/>
      <c r="S912" s="131"/>
    </row>
    <row r="913">
      <c r="A913" s="131"/>
      <c r="B913" s="131"/>
      <c r="C913" s="131"/>
      <c r="D913" s="81"/>
      <c r="E913" s="81"/>
      <c r="F913" s="131"/>
      <c r="G913" s="131"/>
      <c r="H913" s="131"/>
      <c r="I913" s="131"/>
      <c r="J913" s="131"/>
      <c r="K913" s="131"/>
      <c r="L913" s="131"/>
      <c r="M913" s="131"/>
      <c r="N913" s="131"/>
      <c r="O913" s="131"/>
      <c r="P913" s="131"/>
      <c r="Q913" s="131"/>
      <c r="R913" s="131"/>
      <c r="S913" s="131"/>
    </row>
    <row r="914">
      <c r="A914" s="131"/>
      <c r="B914" s="131"/>
      <c r="C914" s="131"/>
      <c r="D914" s="81"/>
      <c r="E914" s="81"/>
      <c r="F914" s="131"/>
      <c r="G914" s="131"/>
      <c r="H914" s="131"/>
      <c r="I914" s="131"/>
      <c r="J914" s="131"/>
      <c r="K914" s="131"/>
      <c r="L914" s="131"/>
      <c r="M914" s="131"/>
      <c r="N914" s="131"/>
      <c r="O914" s="131"/>
      <c r="P914" s="131"/>
      <c r="Q914" s="131"/>
      <c r="R914" s="131"/>
      <c r="S914" s="131"/>
    </row>
    <row r="915">
      <c r="A915" s="131"/>
      <c r="B915" s="131"/>
      <c r="C915" s="131"/>
      <c r="D915" s="81"/>
      <c r="E915" s="81"/>
      <c r="F915" s="131"/>
      <c r="G915" s="131"/>
      <c r="H915" s="131"/>
      <c r="I915" s="131"/>
      <c r="J915" s="131"/>
      <c r="K915" s="131"/>
      <c r="L915" s="131"/>
      <c r="M915" s="131"/>
      <c r="N915" s="131"/>
      <c r="O915" s="131"/>
      <c r="P915" s="131"/>
      <c r="Q915" s="131"/>
      <c r="R915" s="131"/>
      <c r="S915" s="131"/>
    </row>
    <row r="916">
      <c r="A916" s="131"/>
      <c r="B916" s="131"/>
      <c r="C916" s="131"/>
      <c r="D916" s="81"/>
      <c r="E916" s="81"/>
      <c r="F916" s="131"/>
      <c r="G916" s="131"/>
      <c r="H916" s="131"/>
      <c r="I916" s="131"/>
      <c r="J916" s="131"/>
      <c r="K916" s="131"/>
      <c r="L916" s="131"/>
      <c r="M916" s="131"/>
      <c r="N916" s="131"/>
      <c r="O916" s="131"/>
      <c r="P916" s="131"/>
      <c r="Q916" s="131"/>
      <c r="R916" s="131"/>
      <c r="S916" s="131"/>
    </row>
    <row r="917">
      <c r="A917" s="131"/>
      <c r="B917" s="131"/>
      <c r="C917" s="131"/>
      <c r="D917" s="81"/>
      <c r="E917" s="81"/>
      <c r="F917" s="131"/>
      <c r="G917" s="131"/>
      <c r="H917" s="131"/>
      <c r="I917" s="131"/>
      <c r="J917" s="131"/>
      <c r="K917" s="131"/>
      <c r="L917" s="131"/>
      <c r="M917" s="131"/>
      <c r="N917" s="131"/>
      <c r="O917" s="131"/>
      <c r="P917" s="131"/>
      <c r="Q917" s="131"/>
      <c r="R917" s="131"/>
      <c r="S917" s="131"/>
    </row>
    <row r="918">
      <c r="A918" s="131"/>
      <c r="B918" s="131"/>
      <c r="C918" s="131"/>
      <c r="D918" s="81"/>
      <c r="E918" s="81"/>
      <c r="F918" s="131"/>
      <c r="G918" s="131"/>
      <c r="H918" s="131"/>
      <c r="I918" s="131"/>
      <c r="J918" s="131"/>
      <c r="K918" s="131"/>
      <c r="L918" s="131"/>
      <c r="M918" s="131"/>
      <c r="N918" s="131"/>
      <c r="O918" s="131"/>
      <c r="P918" s="131"/>
      <c r="Q918" s="131"/>
      <c r="R918" s="131"/>
      <c r="S918" s="131"/>
    </row>
    <row r="919">
      <c r="A919" s="131"/>
      <c r="B919" s="131"/>
      <c r="C919" s="131"/>
      <c r="D919" s="81"/>
      <c r="E919" s="81"/>
      <c r="F919" s="131"/>
      <c r="G919" s="131"/>
      <c r="H919" s="131"/>
      <c r="I919" s="131"/>
      <c r="J919" s="131"/>
      <c r="K919" s="131"/>
      <c r="L919" s="131"/>
      <c r="M919" s="131"/>
      <c r="N919" s="131"/>
      <c r="O919" s="131"/>
      <c r="P919" s="131"/>
      <c r="Q919" s="131"/>
      <c r="R919" s="131"/>
      <c r="S919" s="131"/>
    </row>
    <row r="920">
      <c r="A920" s="131"/>
      <c r="B920" s="131"/>
      <c r="C920" s="131"/>
      <c r="D920" s="81"/>
      <c r="E920" s="81"/>
      <c r="F920" s="131"/>
      <c r="G920" s="131"/>
      <c r="H920" s="131"/>
      <c r="I920" s="131"/>
      <c r="J920" s="131"/>
      <c r="K920" s="131"/>
      <c r="L920" s="131"/>
      <c r="M920" s="131"/>
      <c r="N920" s="131"/>
      <c r="O920" s="131"/>
      <c r="P920" s="131"/>
      <c r="Q920" s="131"/>
      <c r="R920" s="131"/>
      <c r="S920" s="131"/>
    </row>
    <row r="921">
      <c r="A921" s="131"/>
      <c r="B921" s="131"/>
      <c r="C921" s="131"/>
      <c r="D921" s="81"/>
      <c r="E921" s="81"/>
      <c r="F921" s="131"/>
      <c r="G921" s="131"/>
      <c r="H921" s="131"/>
      <c r="I921" s="131"/>
      <c r="J921" s="131"/>
      <c r="K921" s="131"/>
      <c r="L921" s="131"/>
      <c r="M921" s="131"/>
      <c r="N921" s="131"/>
      <c r="O921" s="131"/>
      <c r="P921" s="131"/>
      <c r="Q921" s="131"/>
      <c r="R921" s="131"/>
      <c r="S921" s="131"/>
    </row>
    <row r="922">
      <c r="A922" s="131"/>
      <c r="B922" s="131"/>
      <c r="C922" s="131"/>
      <c r="D922" s="81"/>
      <c r="E922" s="81"/>
      <c r="F922" s="131"/>
      <c r="G922" s="131"/>
      <c r="H922" s="131"/>
      <c r="I922" s="131"/>
      <c r="J922" s="131"/>
      <c r="K922" s="131"/>
      <c r="L922" s="131"/>
      <c r="M922" s="131"/>
      <c r="N922" s="131"/>
      <c r="O922" s="131"/>
      <c r="P922" s="131"/>
      <c r="Q922" s="131"/>
      <c r="R922" s="131"/>
      <c r="S922" s="131"/>
    </row>
    <row r="923">
      <c r="A923" s="131"/>
      <c r="B923" s="131"/>
      <c r="C923" s="131"/>
      <c r="D923" s="81"/>
      <c r="E923" s="81"/>
      <c r="F923" s="131"/>
      <c r="G923" s="131"/>
      <c r="H923" s="131"/>
      <c r="I923" s="131"/>
      <c r="J923" s="131"/>
      <c r="K923" s="131"/>
      <c r="L923" s="131"/>
      <c r="M923" s="131"/>
      <c r="N923" s="131"/>
      <c r="O923" s="131"/>
      <c r="P923" s="131"/>
      <c r="Q923" s="131"/>
      <c r="R923" s="131"/>
      <c r="S923" s="131"/>
    </row>
    <row r="924">
      <c r="A924" s="131"/>
      <c r="B924" s="131"/>
      <c r="C924" s="131"/>
      <c r="D924" s="81"/>
      <c r="E924" s="81"/>
      <c r="F924" s="131"/>
      <c r="G924" s="131"/>
      <c r="H924" s="131"/>
      <c r="I924" s="131"/>
      <c r="J924" s="131"/>
      <c r="K924" s="131"/>
      <c r="L924" s="131"/>
      <c r="M924" s="131"/>
      <c r="N924" s="131"/>
      <c r="O924" s="131"/>
      <c r="P924" s="131"/>
      <c r="Q924" s="131"/>
      <c r="R924" s="131"/>
      <c r="S924" s="131"/>
    </row>
    <row r="925">
      <c r="A925" s="131"/>
      <c r="B925" s="131"/>
      <c r="C925" s="131"/>
      <c r="D925" s="81"/>
      <c r="E925" s="81"/>
      <c r="F925" s="131"/>
      <c r="G925" s="131"/>
      <c r="H925" s="131"/>
      <c r="I925" s="131"/>
      <c r="J925" s="131"/>
      <c r="K925" s="131"/>
      <c r="L925" s="131"/>
      <c r="M925" s="131"/>
      <c r="N925" s="131"/>
      <c r="O925" s="131"/>
      <c r="P925" s="131"/>
      <c r="Q925" s="131"/>
      <c r="R925" s="131"/>
      <c r="S925" s="131"/>
    </row>
    <row r="926">
      <c r="A926" s="131"/>
      <c r="B926" s="131"/>
      <c r="C926" s="131"/>
      <c r="D926" s="81"/>
      <c r="E926" s="81"/>
      <c r="F926" s="131"/>
      <c r="G926" s="131"/>
      <c r="H926" s="131"/>
      <c r="I926" s="131"/>
      <c r="J926" s="131"/>
      <c r="K926" s="131"/>
      <c r="L926" s="131"/>
      <c r="M926" s="131"/>
      <c r="N926" s="131"/>
      <c r="O926" s="131"/>
      <c r="P926" s="131"/>
      <c r="Q926" s="131"/>
      <c r="R926" s="131"/>
      <c r="S926" s="131"/>
    </row>
    <row r="927">
      <c r="A927" s="131"/>
      <c r="B927" s="131"/>
      <c r="C927" s="131"/>
      <c r="D927" s="81"/>
      <c r="E927" s="81"/>
      <c r="F927" s="131"/>
      <c r="G927" s="131"/>
      <c r="H927" s="131"/>
      <c r="I927" s="131"/>
      <c r="J927" s="131"/>
      <c r="K927" s="131"/>
      <c r="L927" s="131"/>
      <c r="M927" s="131"/>
      <c r="N927" s="131"/>
      <c r="O927" s="131"/>
      <c r="P927" s="131"/>
      <c r="Q927" s="131"/>
      <c r="R927" s="131"/>
      <c r="S927" s="131"/>
    </row>
    <row r="928">
      <c r="A928" s="131"/>
      <c r="B928" s="131"/>
      <c r="C928" s="131"/>
      <c r="D928" s="81"/>
      <c r="E928" s="81"/>
      <c r="F928" s="131"/>
      <c r="G928" s="131"/>
      <c r="H928" s="131"/>
      <c r="I928" s="131"/>
      <c r="J928" s="131"/>
      <c r="K928" s="131"/>
      <c r="L928" s="131"/>
      <c r="M928" s="131"/>
      <c r="N928" s="131"/>
      <c r="O928" s="131"/>
      <c r="P928" s="131"/>
      <c r="Q928" s="131"/>
      <c r="R928" s="131"/>
      <c r="S928" s="131"/>
    </row>
    <row r="929">
      <c r="A929" s="131"/>
      <c r="B929" s="131"/>
      <c r="C929" s="131"/>
      <c r="D929" s="81"/>
      <c r="E929" s="81"/>
      <c r="F929" s="131"/>
      <c r="G929" s="131"/>
      <c r="H929" s="131"/>
      <c r="I929" s="131"/>
      <c r="J929" s="131"/>
      <c r="K929" s="131"/>
      <c r="L929" s="131"/>
      <c r="M929" s="131"/>
      <c r="N929" s="131"/>
      <c r="O929" s="131"/>
      <c r="P929" s="131"/>
      <c r="Q929" s="131"/>
      <c r="R929" s="131"/>
      <c r="S929" s="131"/>
    </row>
    <row r="930">
      <c r="A930" s="131"/>
      <c r="B930" s="131"/>
      <c r="C930" s="131"/>
      <c r="D930" s="81"/>
      <c r="E930" s="81"/>
      <c r="F930" s="131"/>
      <c r="G930" s="131"/>
      <c r="H930" s="131"/>
      <c r="I930" s="131"/>
      <c r="J930" s="131"/>
      <c r="K930" s="131"/>
      <c r="L930" s="131"/>
      <c r="M930" s="131"/>
      <c r="N930" s="131"/>
      <c r="O930" s="131"/>
      <c r="P930" s="131"/>
      <c r="Q930" s="131"/>
      <c r="R930" s="131"/>
      <c r="S930" s="131"/>
    </row>
    <row r="931">
      <c r="A931" s="131"/>
      <c r="B931" s="131"/>
      <c r="C931" s="131"/>
      <c r="D931" s="81"/>
      <c r="E931" s="81"/>
      <c r="F931" s="131"/>
      <c r="G931" s="131"/>
      <c r="H931" s="131"/>
      <c r="I931" s="131"/>
      <c r="J931" s="131"/>
      <c r="K931" s="131"/>
      <c r="L931" s="131"/>
      <c r="M931" s="131"/>
      <c r="N931" s="131"/>
      <c r="O931" s="131"/>
      <c r="P931" s="131"/>
      <c r="Q931" s="131"/>
      <c r="R931" s="131"/>
      <c r="S931" s="131"/>
    </row>
    <row r="932">
      <c r="A932" s="131"/>
      <c r="B932" s="131"/>
      <c r="C932" s="131"/>
      <c r="D932" s="81"/>
      <c r="E932" s="81"/>
      <c r="F932" s="131"/>
      <c r="G932" s="131"/>
      <c r="H932" s="131"/>
      <c r="I932" s="131"/>
      <c r="J932" s="131"/>
      <c r="K932" s="131"/>
      <c r="L932" s="131"/>
      <c r="M932" s="131"/>
      <c r="N932" s="131"/>
      <c r="O932" s="131"/>
      <c r="P932" s="131"/>
      <c r="Q932" s="131"/>
      <c r="R932" s="131"/>
      <c r="S932" s="131"/>
    </row>
    <row r="933">
      <c r="A933" s="131"/>
      <c r="B933" s="131"/>
      <c r="C933" s="131"/>
      <c r="D933" s="81"/>
      <c r="E933" s="81"/>
      <c r="F933" s="131"/>
      <c r="G933" s="131"/>
      <c r="H933" s="131"/>
      <c r="I933" s="131"/>
      <c r="J933" s="131"/>
      <c r="K933" s="131"/>
      <c r="L933" s="131"/>
      <c r="M933" s="131"/>
      <c r="N933" s="131"/>
      <c r="O933" s="131"/>
      <c r="P933" s="131"/>
      <c r="Q933" s="131"/>
      <c r="R933" s="131"/>
      <c r="S933" s="131"/>
    </row>
    <row r="934">
      <c r="A934" s="131"/>
      <c r="B934" s="131"/>
      <c r="C934" s="131"/>
      <c r="D934" s="81"/>
      <c r="E934" s="81"/>
      <c r="F934" s="131"/>
      <c r="G934" s="131"/>
      <c r="H934" s="131"/>
      <c r="I934" s="131"/>
      <c r="J934" s="131"/>
      <c r="K934" s="131"/>
      <c r="L934" s="131"/>
      <c r="M934" s="131"/>
      <c r="N934" s="131"/>
      <c r="O934" s="131"/>
      <c r="P934" s="131"/>
      <c r="Q934" s="131"/>
      <c r="R934" s="131"/>
      <c r="S934" s="131"/>
    </row>
    <row r="935">
      <c r="A935" s="131"/>
      <c r="B935" s="131"/>
      <c r="C935" s="131"/>
      <c r="D935" s="81"/>
      <c r="E935" s="81"/>
      <c r="F935" s="131"/>
      <c r="G935" s="131"/>
      <c r="H935" s="131"/>
      <c r="I935" s="131"/>
      <c r="J935" s="131"/>
      <c r="K935" s="131"/>
      <c r="L935" s="131"/>
      <c r="M935" s="131"/>
      <c r="N935" s="131"/>
      <c r="O935" s="131"/>
      <c r="P935" s="131"/>
      <c r="Q935" s="131"/>
      <c r="R935" s="131"/>
      <c r="S935" s="131"/>
    </row>
    <row r="936">
      <c r="A936" s="131"/>
      <c r="B936" s="131"/>
      <c r="C936" s="131"/>
      <c r="D936" s="81"/>
      <c r="E936" s="81"/>
      <c r="F936" s="131"/>
      <c r="G936" s="131"/>
      <c r="H936" s="131"/>
      <c r="I936" s="131"/>
      <c r="J936" s="131"/>
      <c r="K936" s="131"/>
      <c r="L936" s="131"/>
      <c r="M936" s="131"/>
      <c r="N936" s="131"/>
      <c r="O936" s="131"/>
      <c r="P936" s="131"/>
      <c r="Q936" s="131"/>
      <c r="R936" s="131"/>
      <c r="S936" s="131"/>
    </row>
    <row r="937">
      <c r="A937" s="131"/>
      <c r="B937" s="131"/>
      <c r="C937" s="131"/>
      <c r="D937" s="81"/>
      <c r="E937" s="81"/>
      <c r="F937" s="131"/>
      <c r="G937" s="131"/>
      <c r="H937" s="131"/>
      <c r="I937" s="131"/>
      <c r="J937" s="131"/>
      <c r="K937" s="131"/>
      <c r="L937" s="131"/>
      <c r="M937" s="131"/>
      <c r="N937" s="131"/>
      <c r="O937" s="131"/>
      <c r="P937" s="131"/>
      <c r="Q937" s="131"/>
      <c r="R937" s="131"/>
      <c r="S937" s="131"/>
    </row>
    <row r="938">
      <c r="A938" s="131"/>
      <c r="B938" s="131"/>
      <c r="C938" s="131"/>
      <c r="D938" s="81"/>
      <c r="E938" s="81"/>
      <c r="F938" s="131"/>
      <c r="G938" s="131"/>
      <c r="H938" s="131"/>
      <c r="I938" s="131"/>
      <c r="J938" s="131"/>
      <c r="K938" s="131"/>
      <c r="L938" s="131"/>
      <c r="M938" s="131"/>
      <c r="N938" s="131"/>
      <c r="O938" s="131"/>
      <c r="P938" s="131"/>
      <c r="Q938" s="131"/>
      <c r="R938" s="131"/>
      <c r="S938" s="131"/>
    </row>
    <row r="939">
      <c r="A939" s="131"/>
      <c r="B939" s="131"/>
      <c r="C939" s="131"/>
      <c r="D939" s="81"/>
      <c r="E939" s="81"/>
      <c r="F939" s="131"/>
      <c r="G939" s="131"/>
      <c r="H939" s="131"/>
      <c r="I939" s="131"/>
      <c r="J939" s="131"/>
      <c r="K939" s="131"/>
      <c r="L939" s="131"/>
      <c r="M939" s="131"/>
      <c r="N939" s="131"/>
      <c r="O939" s="131"/>
      <c r="P939" s="131"/>
      <c r="Q939" s="131"/>
      <c r="R939" s="131"/>
      <c r="S939" s="131"/>
    </row>
    <row r="940">
      <c r="A940" s="131"/>
      <c r="B940" s="131"/>
      <c r="C940" s="131"/>
      <c r="D940" s="81"/>
      <c r="E940" s="81"/>
      <c r="F940" s="131"/>
      <c r="G940" s="131"/>
      <c r="H940" s="131"/>
      <c r="I940" s="131"/>
      <c r="J940" s="131"/>
      <c r="K940" s="131"/>
      <c r="L940" s="131"/>
      <c r="M940" s="131"/>
      <c r="N940" s="131"/>
      <c r="O940" s="131"/>
      <c r="P940" s="131"/>
      <c r="Q940" s="131"/>
      <c r="R940" s="131"/>
      <c r="S940" s="131"/>
    </row>
    <row r="941">
      <c r="A941" s="131"/>
      <c r="B941" s="131"/>
      <c r="C941" s="131"/>
      <c r="D941" s="81"/>
      <c r="E941" s="81"/>
      <c r="F941" s="131"/>
      <c r="G941" s="131"/>
      <c r="H941" s="131"/>
      <c r="I941" s="131"/>
      <c r="J941" s="131"/>
      <c r="K941" s="131"/>
      <c r="L941" s="131"/>
      <c r="M941" s="131"/>
      <c r="N941" s="131"/>
      <c r="O941" s="131"/>
      <c r="P941" s="131"/>
      <c r="Q941" s="131"/>
      <c r="R941" s="131"/>
      <c r="S941" s="131"/>
    </row>
    <row r="942">
      <c r="A942" s="131"/>
      <c r="B942" s="131"/>
      <c r="C942" s="131"/>
      <c r="D942" s="81"/>
      <c r="E942" s="81"/>
      <c r="F942" s="131"/>
      <c r="G942" s="131"/>
      <c r="H942" s="131"/>
      <c r="I942" s="131"/>
      <c r="J942" s="131"/>
      <c r="K942" s="131"/>
      <c r="L942" s="131"/>
      <c r="M942" s="131"/>
      <c r="N942" s="131"/>
      <c r="O942" s="131"/>
      <c r="P942" s="131"/>
      <c r="Q942" s="131"/>
      <c r="R942" s="131"/>
      <c r="S942" s="131"/>
    </row>
    <row r="943">
      <c r="A943" s="131"/>
      <c r="B943" s="131"/>
      <c r="C943" s="131"/>
      <c r="D943" s="81"/>
      <c r="E943" s="81"/>
      <c r="F943" s="131"/>
      <c r="G943" s="131"/>
      <c r="H943" s="131"/>
      <c r="I943" s="131"/>
      <c r="J943" s="131"/>
      <c r="K943" s="131"/>
      <c r="L943" s="131"/>
      <c r="M943" s="131"/>
      <c r="N943" s="131"/>
      <c r="O943" s="131"/>
      <c r="P943" s="131"/>
      <c r="Q943" s="131"/>
      <c r="R943" s="131"/>
      <c r="S943" s="131"/>
    </row>
    <row r="944">
      <c r="A944" s="131"/>
      <c r="B944" s="131"/>
      <c r="C944" s="131"/>
      <c r="D944" s="81"/>
      <c r="E944" s="81"/>
      <c r="F944" s="131"/>
      <c r="G944" s="131"/>
      <c r="H944" s="131"/>
      <c r="I944" s="131"/>
      <c r="J944" s="131"/>
      <c r="K944" s="131"/>
      <c r="L944" s="131"/>
      <c r="M944" s="131"/>
      <c r="N944" s="131"/>
      <c r="O944" s="131"/>
      <c r="P944" s="131"/>
      <c r="Q944" s="131"/>
      <c r="R944" s="131"/>
      <c r="S944" s="131"/>
    </row>
    <row r="945">
      <c r="A945" s="131"/>
      <c r="B945" s="131"/>
      <c r="C945" s="131"/>
      <c r="D945" s="81"/>
      <c r="E945" s="81"/>
      <c r="F945" s="131"/>
      <c r="G945" s="131"/>
      <c r="H945" s="131"/>
      <c r="I945" s="131"/>
      <c r="J945" s="131"/>
      <c r="K945" s="131"/>
      <c r="L945" s="131"/>
      <c r="M945" s="131"/>
      <c r="N945" s="131"/>
      <c r="O945" s="131"/>
      <c r="P945" s="131"/>
      <c r="Q945" s="131"/>
      <c r="R945" s="131"/>
      <c r="S945" s="131"/>
    </row>
    <row r="946">
      <c r="A946" s="131"/>
      <c r="B946" s="131"/>
      <c r="C946" s="131"/>
      <c r="D946" s="81"/>
      <c r="E946" s="81"/>
      <c r="F946" s="131"/>
      <c r="G946" s="131"/>
      <c r="H946" s="131"/>
      <c r="I946" s="131"/>
      <c r="J946" s="131"/>
      <c r="K946" s="131"/>
      <c r="L946" s="131"/>
      <c r="M946" s="131"/>
      <c r="N946" s="131"/>
      <c r="O946" s="131"/>
      <c r="P946" s="131"/>
      <c r="Q946" s="131"/>
      <c r="R946" s="131"/>
      <c r="S946" s="131"/>
    </row>
    <row r="947">
      <c r="A947" s="131"/>
      <c r="B947" s="131"/>
      <c r="C947" s="131"/>
      <c r="D947" s="81"/>
      <c r="E947" s="81"/>
      <c r="F947" s="131"/>
      <c r="G947" s="131"/>
      <c r="H947" s="131"/>
      <c r="I947" s="131"/>
      <c r="J947" s="131"/>
      <c r="K947" s="131"/>
      <c r="L947" s="131"/>
      <c r="M947" s="131"/>
      <c r="N947" s="131"/>
      <c r="O947" s="131"/>
      <c r="P947" s="131"/>
      <c r="Q947" s="131"/>
      <c r="R947" s="131"/>
      <c r="S947" s="131"/>
    </row>
    <row r="948">
      <c r="A948" s="131"/>
      <c r="B948" s="131"/>
      <c r="C948" s="131"/>
      <c r="D948" s="81"/>
      <c r="E948" s="81"/>
      <c r="F948" s="131"/>
      <c r="G948" s="131"/>
      <c r="H948" s="131"/>
      <c r="I948" s="131"/>
      <c r="J948" s="131"/>
      <c r="K948" s="131"/>
      <c r="L948" s="131"/>
      <c r="M948" s="131"/>
      <c r="N948" s="131"/>
      <c r="O948" s="131"/>
      <c r="P948" s="131"/>
      <c r="Q948" s="131"/>
      <c r="R948" s="131"/>
      <c r="S948" s="131"/>
    </row>
    <row r="949">
      <c r="A949" s="131"/>
      <c r="B949" s="131"/>
      <c r="C949" s="131"/>
      <c r="D949" s="81"/>
      <c r="E949" s="81"/>
      <c r="F949" s="131"/>
      <c r="G949" s="131"/>
      <c r="H949" s="131"/>
      <c r="I949" s="131"/>
      <c r="J949" s="131"/>
      <c r="K949" s="131"/>
      <c r="L949" s="131"/>
      <c r="M949" s="131"/>
      <c r="N949" s="131"/>
      <c r="O949" s="131"/>
      <c r="P949" s="131"/>
      <c r="Q949" s="131"/>
      <c r="R949" s="131"/>
      <c r="S949" s="131"/>
    </row>
    <row r="950">
      <c r="A950" s="131"/>
      <c r="B950" s="131"/>
      <c r="C950" s="131"/>
      <c r="D950" s="81"/>
      <c r="E950" s="81"/>
      <c r="F950" s="131"/>
      <c r="G950" s="131"/>
      <c r="H950" s="131"/>
      <c r="I950" s="131"/>
      <c r="J950" s="131"/>
      <c r="K950" s="131"/>
      <c r="L950" s="131"/>
      <c r="M950" s="131"/>
      <c r="N950" s="131"/>
      <c r="O950" s="131"/>
      <c r="P950" s="131"/>
      <c r="Q950" s="131"/>
      <c r="R950" s="131"/>
      <c r="S950" s="131"/>
    </row>
    <row r="951">
      <c r="A951" s="131"/>
      <c r="B951" s="131"/>
      <c r="C951" s="131"/>
      <c r="D951" s="81"/>
      <c r="E951" s="81"/>
      <c r="F951" s="131"/>
      <c r="G951" s="131"/>
      <c r="H951" s="131"/>
      <c r="I951" s="131"/>
      <c r="J951" s="131"/>
      <c r="K951" s="131"/>
      <c r="L951" s="131"/>
      <c r="M951" s="131"/>
      <c r="N951" s="131"/>
      <c r="O951" s="131"/>
      <c r="P951" s="131"/>
      <c r="Q951" s="131"/>
      <c r="R951" s="131"/>
      <c r="S951" s="131"/>
    </row>
    <row r="952">
      <c r="A952" s="131"/>
      <c r="B952" s="131"/>
      <c r="C952" s="131"/>
      <c r="D952" s="81"/>
      <c r="E952" s="81"/>
      <c r="F952" s="131"/>
      <c r="G952" s="131"/>
      <c r="H952" s="131"/>
      <c r="I952" s="131"/>
      <c r="J952" s="131"/>
      <c r="K952" s="131"/>
      <c r="L952" s="131"/>
      <c r="M952" s="131"/>
      <c r="N952" s="131"/>
      <c r="O952" s="131"/>
      <c r="P952" s="131"/>
      <c r="Q952" s="131"/>
      <c r="R952" s="131"/>
      <c r="S952" s="131"/>
    </row>
    <row r="953">
      <c r="A953" s="131"/>
      <c r="B953" s="131"/>
      <c r="C953" s="131"/>
      <c r="D953" s="81"/>
      <c r="E953" s="81"/>
      <c r="F953" s="131"/>
      <c r="G953" s="131"/>
      <c r="H953" s="131"/>
      <c r="I953" s="131"/>
      <c r="J953" s="131"/>
      <c r="K953" s="131"/>
      <c r="L953" s="131"/>
      <c r="M953" s="131"/>
      <c r="N953" s="131"/>
      <c r="O953" s="131"/>
      <c r="P953" s="131"/>
      <c r="Q953" s="131"/>
      <c r="R953" s="131"/>
      <c r="S953" s="131"/>
    </row>
    <row r="954">
      <c r="A954" s="131"/>
      <c r="B954" s="131"/>
      <c r="C954" s="131"/>
      <c r="D954" s="81"/>
      <c r="E954" s="81"/>
      <c r="F954" s="131"/>
      <c r="G954" s="131"/>
      <c r="H954" s="131"/>
      <c r="I954" s="131"/>
      <c r="J954" s="131"/>
      <c r="K954" s="131"/>
      <c r="L954" s="131"/>
      <c r="M954" s="131"/>
      <c r="N954" s="131"/>
      <c r="O954" s="131"/>
      <c r="P954" s="131"/>
      <c r="Q954" s="131"/>
      <c r="R954" s="131"/>
      <c r="S954" s="131"/>
    </row>
    <row r="955">
      <c r="A955" s="131"/>
      <c r="B955" s="131"/>
      <c r="C955" s="131"/>
      <c r="D955" s="81"/>
      <c r="E955" s="81"/>
      <c r="F955" s="131"/>
      <c r="G955" s="131"/>
      <c r="H955" s="131"/>
      <c r="I955" s="131"/>
      <c r="J955" s="131"/>
      <c r="K955" s="131"/>
      <c r="L955" s="131"/>
      <c r="M955" s="131"/>
      <c r="N955" s="131"/>
      <c r="O955" s="131"/>
      <c r="P955" s="131"/>
      <c r="Q955" s="131"/>
      <c r="R955" s="131"/>
      <c r="S955" s="131"/>
    </row>
    <row r="956">
      <c r="A956" s="131"/>
      <c r="B956" s="131"/>
      <c r="C956" s="131"/>
      <c r="D956" s="81"/>
      <c r="E956" s="81"/>
      <c r="F956" s="131"/>
      <c r="G956" s="131"/>
      <c r="H956" s="131"/>
      <c r="I956" s="131"/>
      <c r="J956" s="131"/>
      <c r="K956" s="131"/>
      <c r="L956" s="131"/>
      <c r="M956" s="131"/>
      <c r="N956" s="131"/>
      <c r="O956" s="131"/>
      <c r="P956" s="131"/>
      <c r="Q956" s="131"/>
      <c r="R956" s="131"/>
      <c r="S956" s="131"/>
    </row>
    <row r="957">
      <c r="A957" s="131"/>
      <c r="B957" s="131"/>
      <c r="C957" s="131"/>
      <c r="D957" s="81"/>
      <c r="E957" s="81"/>
      <c r="F957" s="131"/>
      <c r="G957" s="131"/>
      <c r="H957" s="131"/>
      <c r="I957" s="131"/>
      <c r="J957" s="131"/>
      <c r="K957" s="131"/>
      <c r="L957" s="131"/>
      <c r="M957" s="131"/>
      <c r="N957" s="131"/>
      <c r="O957" s="131"/>
      <c r="P957" s="131"/>
      <c r="Q957" s="131"/>
      <c r="R957" s="131"/>
      <c r="S957" s="131"/>
    </row>
    <row r="958">
      <c r="A958" s="131"/>
      <c r="B958" s="131"/>
      <c r="C958" s="131"/>
      <c r="D958" s="81"/>
      <c r="E958" s="81"/>
      <c r="F958" s="131"/>
      <c r="G958" s="131"/>
      <c r="H958" s="131"/>
      <c r="I958" s="131"/>
      <c r="J958" s="131"/>
      <c r="K958" s="131"/>
      <c r="L958" s="131"/>
      <c r="M958" s="131"/>
      <c r="N958" s="131"/>
      <c r="O958" s="131"/>
      <c r="P958" s="131"/>
      <c r="Q958" s="131"/>
      <c r="R958" s="131"/>
      <c r="S958" s="131"/>
    </row>
    <row r="959">
      <c r="A959" s="131"/>
      <c r="B959" s="131"/>
      <c r="C959" s="131"/>
      <c r="D959" s="81"/>
      <c r="E959" s="81"/>
      <c r="F959" s="131"/>
      <c r="G959" s="131"/>
      <c r="H959" s="131"/>
      <c r="I959" s="131"/>
      <c r="J959" s="131"/>
      <c r="K959" s="131"/>
      <c r="L959" s="131"/>
      <c r="M959" s="131"/>
      <c r="N959" s="131"/>
      <c r="O959" s="131"/>
      <c r="P959" s="131"/>
      <c r="Q959" s="131"/>
      <c r="R959" s="131"/>
      <c r="S959" s="131"/>
    </row>
    <row r="960">
      <c r="A960" s="131"/>
      <c r="B960" s="131"/>
      <c r="C960" s="131"/>
      <c r="D960" s="81"/>
      <c r="E960" s="81"/>
      <c r="F960" s="131"/>
      <c r="G960" s="131"/>
      <c r="H960" s="131"/>
      <c r="I960" s="131"/>
      <c r="J960" s="131"/>
      <c r="K960" s="131"/>
      <c r="L960" s="131"/>
      <c r="M960" s="131"/>
      <c r="N960" s="131"/>
      <c r="O960" s="131"/>
      <c r="P960" s="131"/>
      <c r="Q960" s="131"/>
      <c r="R960" s="131"/>
      <c r="S960" s="131"/>
    </row>
    <row r="961">
      <c r="A961" s="131"/>
      <c r="B961" s="131"/>
      <c r="C961" s="131"/>
      <c r="D961" s="81"/>
      <c r="E961" s="81"/>
      <c r="F961" s="131"/>
      <c r="G961" s="131"/>
      <c r="H961" s="131"/>
      <c r="I961" s="131"/>
      <c r="J961" s="131"/>
      <c r="K961" s="131"/>
      <c r="L961" s="131"/>
      <c r="M961" s="131"/>
      <c r="N961" s="131"/>
      <c r="O961" s="131"/>
      <c r="P961" s="131"/>
      <c r="Q961" s="131"/>
      <c r="R961" s="131"/>
      <c r="S961" s="131"/>
    </row>
    <row r="962">
      <c r="A962" s="131"/>
      <c r="B962" s="131"/>
      <c r="C962" s="131"/>
      <c r="D962" s="81"/>
      <c r="E962" s="81"/>
      <c r="F962" s="131"/>
      <c r="G962" s="131"/>
      <c r="H962" s="131"/>
      <c r="I962" s="131"/>
      <c r="J962" s="131"/>
      <c r="K962" s="131"/>
      <c r="L962" s="131"/>
      <c r="M962" s="131"/>
      <c r="N962" s="131"/>
      <c r="O962" s="131"/>
      <c r="P962" s="131"/>
      <c r="Q962" s="131"/>
      <c r="R962" s="131"/>
      <c r="S962" s="131"/>
    </row>
    <row r="963">
      <c r="A963" s="131"/>
      <c r="B963" s="131"/>
      <c r="C963" s="131"/>
      <c r="D963" s="81"/>
      <c r="E963" s="81"/>
      <c r="F963" s="131"/>
      <c r="G963" s="131"/>
      <c r="H963" s="131"/>
      <c r="I963" s="131"/>
      <c r="J963" s="131"/>
      <c r="K963" s="131"/>
      <c r="L963" s="131"/>
      <c r="M963" s="131"/>
      <c r="N963" s="131"/>
      <c r="O963" s="131"/>
      <c r="P963" s="131"/>
      <c r="Q963" s="131"/>
      <c r="R963" s="131"/>
      <c r="S963" s="131"/>
    </row>
    <row r="964">
      <c r="A964" s="131"/>
      <c r="B964" s="131"/>
      <c r="C964" s="131"/>
      <c r="D964" s="81"/>
      <c r="E964" s="81"/>
      <c r="F964" s="131"/>
      <c r="G964" s="131"/>
      <c r="H964" s="131"/>
      <c r="I964" s="131"/>
      <c r="J964" s="131"/>
      <c r="K964" s="131"/>
      <c r="L964" s="131"/>
      <c r="M964" s="131"/>
      <c r="N964" s="131"/>
      <c r="O964" s="131"/>
      <c r="P964" s="131"/>
      <c r="Q964" s="131"/>
      <c r="R964" s="131"/>
      <c r="S964" s="131"/>
    </row>
    <row r="965">
      <c r="A965" s="131"/>
      <c r="B965" s="131"/>
      <c r="C965" s="131"/>
      <c r="D965" s="81"/>
      <c r="E965" s="81"/>
      <c r="F965" s="131"/>
      <c r="G965" s="131"/>
      <c r="H965" s="131"/>
      <c r="I965" s="131"/>
      <c r="J965" s="131"/>
      <c r="K965" s="131"/>
      <c r="L965" s="131"/>
      <c r="M965" s="131"/>
      <c r="N965" s="131"/>
      <c r="O965" s="131"/>
      <c r="P965" s="131"/>
      <c r="Q965" s="131"/>
      <c r="R965" s="131"/>
      <c r="S965" s="131"/>
    </row>
    <row r="966">
      <c r="A966" s="131"/>
      <c r="B966" s="131"/>
      <c r="C966" s="131"/>
      <c r="D966" s="81"/>
      <c r="E966" s="81"/>
      <c r="F966" s="131"/>
      <c r="G966" s="131"/>
      <c r="H966" s="131"/>
      <c r="I966" s="131"/>
      <c r="J966" s="131"/>
      <c r="K966" s="131"/>
      <c r="L966" s="131"/>
      <c r="M966" s="131"/>
      <c r="N966" s="131"/>
      <c r="O966" s="131"/>
      <c r="P966" s="131"/>
      <c r="Q966" s="131"/>
      <c r="R966" s="131"/>
      <c r="S966" s="131"/>
    </row>
    <row r="967">
      <c r="A967" s="131"/>
      <c r="B967" s="131"/>
      <c r="C967" s="131"/>
      <c r="D967" s="81"/>
      <c r="E967" s="81"/>
      <c r="F967" s="131"/>
      <c r="G967" s="131"/>
      <c r="H967" s="131"/>
      <c r="I967" s="131"/>
      <c r="J967" s="131"/>
      <c r="K967" s="131"/>
      <c r="L967" s="131"/>
      <c r="M967" s="131"/>
      <c r="N967" s="131"/>
      <c r="O967" s="131"/>
      <c r="P967" s="131"/>
      <c r="Q967" s="131"/>
      <c r="R967" s="131"/>
      <c r="S967" s="131"/>
    </row>
    <row r="968">
      <c r="A968" s="131"/>
      <c r="B968" s="131"/>
      <c r="C968" s="131"/>
      <c r="D968" s="81"/>
      <c r="E968" s="81"/>
      <c r="F968" s="131"/>
      <c r="G968" s="131"/>
      <c r="H968" s="131"/>
      <c r="I968" s="131"/>
      <c r="J968" s="131"/>
      <c r="K968" s="131"/>
      <c r="L968" s="131"/>
      <c r="M968" s="131"/>
      <c r="N968" s="131"/>
      <c r="O968" s="131"/>
      <c r="P968" s="131"/>
      <c r="Q968" s="131"/>
      <c r="R968" s="131"/>
      <c r="S968" s="131"/>
    </row>
    <row r="969">
      <c r="A969" s="131"/>
      <c r="B969" s="131"/>
      <c r="C969" s="131"/>
      <c r="D969" s="81"/>
      <c r="E969" s="81"/>
      <c r="F969" s="131"/>
      <c r="G969" s="131"/>
      <c r="H969" s="131"/>
      <c r="I969" s="131"/>
      <c r="J969" s="131"/>
      <c r="K969" s="131"/>
      <c r="L969" s="131"/>
      <c r="M969" s="131"/>
      <c r="N969" s="131"/>
      <c r="O969" s="131"/>
      <c r="P969" s="131"/>
      <c r="Q969" s="131"/>
      <c r="R969" s="131"/>
      <c r="S969" s="131"/>
    </row>
    <row r="970">
      <c r="A970" s="131"/>
      <c r="B970" s="131"/>
      <c r="C970" s="131"/>
      <c r="D970" s="81"/>
      <c r="E970" s="81"/>
      <c r="F970" s="131"/>
      <c r="G970" s="131"/>
      <c r="H970" s="131"/>
      <c r="I970" s="131"/>
      <c r="J970" s="131"/>
      <c r="K970" s="131"/>
      <c r="L970" s="131"/>
      <c r="M970" s="131"/>
      <c r="N970" s="131"/>
      <c r="O970" s="131"/>
      <c r="P970" s="131"/>
      <c r="Q970" s="131"/>
      <c r="R970" s="131"/>
      <c r="S970" s="131"/>
    </row>
    <row r="971">
      <c r="A971" s="131"/>
      <c r="B971" s="131"/>
      <c r="C971" s="131"/>
      <c r="D971" s="81"/>
      <c r="E971" s="81"/>
      <c r="F971" s="131"/>
      <c r="G971" s="131"/>
      <c r="H971" s="131"/>
      <c r="I971" s="131"/>
      <c r="J971" s="131"/>
      <c r="K971" s="131"/>
      <c r="L971" s="131"/>
      <c r="M971" s="131"/>
      <c r="N971" s="131"/>
      <c r="O971" s="131"/>
      <c r="P971" s="131"/>
      <c r="Q971" s="131"/>
      <c r="R971" s="131"/>
      <c r="S971" s="131"/>
    </row>
    <row r="972">
      <c r="A972" s="131"/>
      <c r="B972" s="131"/>
      <c r="C972" s="131"/>
      <c r="D972" s="81"/>
      <c r="E972" s="81"/>
      <c r="F972" s="131"/>
      <c r="G972" s="131"/>
      <c r="H972" s="131"/>
      <c r="I972" s="131"/>
      <c r="J972" s="131"/>
      <c r="K972" s="131"/>
      <c r="L972" s="131"/>
      <c r="M972" s="131"/>
      <c r="N972" s="131"/>
      <c r="O972" s="131"/>
      <c r="P972" s="131"/>
      <c r="Q972" s="131"/>
      <c r="R972" s="131"/>
      <c r="S972" s="131"/>
    </row>
    <row r="973">
      <c r="A973" s="131"/>
      <c r="B973" s="131"/>
      <c r="C973" s="131"/>
      <c r="D973" s="81"/>
      <c r="E973" s="81"/>
      <c r="F973" s="131"/>
      <c r="G973" s="131"/>
      <c r="H973" s="131"/>
      <c r="I973" s="131"/>
      <c r="J973" s="131"/>
      <c r="K973" s="131"/>
      <c r="L973" s="131"/>
      <c r="M973" s="131"/>
      <c r="N973" s="131"/>
      <c r="O973" s="131"/>
      <c r="P973" s="131"/>
      <c r="Q973" s="131"/>
      <c r="R973" s="131"/>
      <c r="S973" s="131"/>
    </row>
    <row r="974">
      <c r="A974" s="131"/>
      <c r="B974" s="131"/>
      <c r="C974" s="131"/>
      <c r="D974" s="81"/>
      <c r="E974" s="81"/>
      <c r="F974" s="131"/>
      <c r="G974" s="131"/>
      <c r="H974" s="131"/>
      <c r="I974" s="131"/>
      <c r="J974" s="131"/>
      <c r="K974" s="131"/>
      <c r="L974" s="131"/>
      <c r="M974" s="131"/>
      <c r="N974" s="131"/>
      <c r="O974" s="131"/>
      <c r="P974" s="131"/>
      <c r="Q974" s="131"/>
      <c r="R974" s="131"/>
      <c r="S974" s="131"/>
    </row>
    <row r="975">
      <c r="A975" s="131"/>
      <c r="B975" s="131"/>
      <c r="C975" s="131"/>
      <c r="D975" s="81"/>
      <c r="E975" s="81"/>
      <c r="F975" s="131"/>
      <c r="G975" s="131"/>
      <c r="H975" s="131"/>
      <c r="I975" s="131"/>
      <c r="J975" s="131"/>
      <c r="K975" s="131"/>
      <c r="L975" s="131"/>
      <c r="M975" s="131"/>
      <c r="N975" s="131"/>
      <c r="O975" s="131"/>
      <c r="P975" s="131"/>
      <c r="Q975" s="131"/>
      <c r="R975" s="131"/>
      <c r="S975" s="131"/>
    </row>
    <row r="976">
      <c r="A976" s="131"/>
      <c r="B976" s="131"/>
      <c r="C976" s="131"/>
      <c r="D976" s="81"/>
      <c r="E976" s="81"/>
      <c r="F976" s="131"/>
      <c r="G976" s="131"/>
      <c r="H976" s="131"/>
      <c r="I976" s="131"/>
      <c r="J976" s="131"/>
      <c r="K976" s="131"/>
      <c r="L976" s="131"/>
      <c r="M976" s="131"/>
      <c r="N976" s="131"/>
      <c r="O976" s="131"/>
      <c r="P976" s="131"/>
      <c r="Q976" s="131"/>
      <c r="R976" s="131"/>
      <c r="S976" s="131"/>
    </row>
    <row r="977">
      <c r="A977" s="131"/>
      <c r="B977" s="131"/>
      <c r="C977" s="131"/>
      <c r="D977" s="81"/>
      <c r="E977" s="81"/>
      <c r="F977" s="131"/>
      <c r="G977" s="131"/>
      <c r="H977" s="131"/>
      <c r="I977" s="131"/>
      <c r="J977" s="131"/>
      <c r="K977" s="131"/>
      <c r="L977" s="131"/>
      <c r="M977" s="131"/>
      <c r="N977" s="131"/>
      <c r="O977" s="131"/>
      <c r="P977" s="131"/>
      <c r="Q977" s="131"/>
      <c r="R977" s="131"/>
      <c r="S977" s="131"/>
    </row>
    <row r="978">
      <c r="A978" s="131"/>
      <c r="B978" s="131"/>
      <c r="C978" s="131"/>
      <c r="D978" s="81"/>
      <c r="E978" s="81"/>
      <c r="F978" s="131"/>
      <c r="G978" s="131"/>
      <c r="H978" s="131"/>
      <c r="I978" s="131"/>
      <c r="J978" s="131"/>
      <c r="K978" s="131"/>
      <c r="L978" s="131"/>
      <c r="M978" s="131"/>
      <c r="N978" s="131"/>
      <c r="O978" s="131"/>
      <c r="P978" s="131"/>
      <c r="Q978" s="131"/>
      <c r="R978" s="131"/>
      <c r="S978" s="131"/>
    </row>
    <row r="979">
      <c r="A979" s="131"/>
      <c r="B979" s="131"/>
      <c r="C979" s="131"/>
      <c r="D979" s="81"/>
      <c r="E979" s="81"/>
      <c r="F979" s="131"/>
      <c r="G979" s="131"/>
      <c r="H979" s="131"/>
      <c r="I979" s="131"/>
      <c r="J979" s="131"/>
      <c r="K979" s="131"/>
      <c r="L979" s="131"/>
      <c r="M979" s="131"/>
      <c r="N979" s="131"/>
      <c r="O979" s="131"/>
      <c r="P979" s="131"/>
      <c r="Q979" s="131"/>
      <c r="R979" s="131"/>
      <c r="S979" s="131"/>
    </row>
    <row r="980">
      <c r="A980" s="131"/>
      <c r="B980" s="131"/>
      <c r="C980" s="131"/>
      <c r="D980" s="81"/>
      <c r="E980" s="81"/>
      <c r="F980" s="131"/>
      <c r="G980" s="131"/>
      <c r="H980" s="131"/>
      <c r="I980" s="131"/>
      <c r="J980" s="131"/>
      <c r="K980" s="131"/>
      <c r="L980" s="131"/>
      <c r="M980" s="131"/>
      <c r="N980" s="131"/>
      <c r="O980" s="131"/>
      <c r="P980" s="131"/>
      <c r="Q980" s="131"/>
      <c r="R980" s="131"/>
      <c r="S980" s="131"/>
    </row>
    <row r="981">
      <c r="A981" s="131"/>
      <c r="B981" s="131"/>
      <c r="C981" s="131"/>
      <c r="D981" s="81"/>
      <c r="E981" s="81"/>
      <c r="F981" s="131"/>
      <c r="G981" s="131"/>
      <c r="H981" s="131"/>
      <c r="I981" s="131"/>
      <c r="J981" s="131"/>
      <c r="K981" s="131"/>
      <c r="L981" s="131"/>
      <c r="M981" s="131"/>
      <c r="N981" s="131"/>
      <c r="O981" s="131"/>
      <c r="P981" s="131"/>
      <c r="Q981" s="131"/>
      <c r="R981" s="131"/>
      <c r="S981" s="131"/>
    </row>
    <row r="982">
      <c r="A982" s="131"/>
      <c r="B982" s="131"/>
      <c r="C982" s="131"/>
      <c r="D982" s="81"/>
      <c r="E982" s="81"/>
      <c r="F982" s="131"/>
      <c r="G982" s="131"/>
      <c r="H982" s="131"/>
      <c r="I982" s="131"/>
      <c r="J982" s="131"/>
      <c r="K982" s="131"/>
      <c r="L982" s="131"/>
      <c r="M982" s="131"/>
      <c r="N982" s="131"/>
      <c r="O982" s="131"/>
      <c r="P982" s="131"/>
      <c r="Q982" s="131"/>
      <c r="R982" s="131"/>
      <c r="S982" s="131"/>
    </row>
    <row r="983">
      <c r="A983" s="131"/>
      <c r="B983" s="131"/>
      <c r="C983" s="131"/>
      <c r="D983" s="81"/>
      <c r="E983" s="81"/>
      <c r="F983" s="131"/>
      <c r="G983" s="131"/>
      <c r="H983" s="131"/>
      <c r="I983" s="131"/>
      <c r="J983" s="131"/>
      <c r="K983" s="131"/>
      <c r="L983" s="131"/>
      <c r="M983" s="131"/>
      <c r="N983" s="131"/>
      <c r="O983" s="131"/>
      <c r="P983" s="131"/>
      <c r="Q983" s="131"/>
      <c r="R983" s="131"/>
      <c r="S983" s="131"/>
    </row>
    <row r="984">
      <c r="A984" s="131"/>
      <c r="B984" s="131"/>
      <c r="C984" s="131"/>
      <c r="D984" s="81"/>
      <c r="E984" s="81"/>
      <c r="F984" s="131"/>
      <c r="G984" s="131"/>
      <c r="H984" s="131"/>
      <c r="I984" s="131"/>
      <c r="J984" s="131"/>
      <c r="K984" s="131"/>
      <c r="L984" s="131"/>
      <c r="M984" s="131"/>
      <c r="N984" s="131"/>
      <c r="O984" s="131"/>
      <c r="P984" s="131"/>
      <c r="Q984" s="131"/>
      <c r="R984" s="131"/>
      <c r="S984" s="131"/>
    </row>
    <row r="985">
      <c r="A985" s="131"/>
      <c r="B985" s="131"/>
      <c r="C985" s="131"/>
      <c r="D985" s="81"/>
      <c r="E985" s="81"/>
      <c r="F985" s="131"/>
      <c r="G985" s="131"/>
      <c r="H985" s="131"/>
      <c r="I985" s="131"/>
      <c r="J985" s="131"/>
      <c r="K985" s="131"/>
      <c r="L985" s="131"/>
      <c r="M985" s="131"/>
      <c r="N985" s="131"/>
      <c r="O985" s="131"/>
      <c r="P985" s="131"/>
      <c r="Q985" s="131"/>
      <c r="R985" s="131"/>
      <c r="S985" s="131"/>
    </row>
    <row r="986">
      <c r="A986" s="131"/>
      <c r="B986" s="131"/>
      <c r="C986" s="131"/>
      <c r="D986" s="81"/>
      <c r="E986" s="81"/>
      <c r="F986" s="131"/>
      <c r="G986" s="131"/>
      <c r="H986" s="131"/>
      <c r="I986" s="131"/>
      <c r="J986" s="131"/>
      <c r="K986" s="131"/>
      <c r="L986" s="131"/>
      <c r="M986" s="131"/>
      <c r="N986" s="131"/>
      <c r="O986" s="131"/>
      <c r="P986" s="131"/>
      <c r="Q986" s="131"/>
      <c r="R986" s="131"/>
      <c r="S986" s="131"/>
    </row>
    <row r="987">
      <c r="A987" s="131"/>
      <c r="B987" s="131"/>
      <c r="C987" s="131"/>
      <c r="D987" s="81"/>
      <c r="E987" s="81"/>
      <c r="F987" s="131"/>
      <c r="G987" s="131"/>
      <c r="H987" s="131"/>
      <c r="I987" s="131"/>
      <c r="J987" s="131"/>
      <c r="K987" s="131"/>
      <c r="L987" s="131"/>
      <c r="M987" s="131"/>
      <c r="N987" s="131"/>
      <c r="O987" s="131"/>
      <c r="P987" s="131"/>
      <c r="Q987" s="131"/>
      <c r="R987" s="131"/>
      <c r="S987" s="131"/>
    </row>
    <row r="988">
      <c r="A988" s="131"/>
      <c r="B988" s="131"/>
      <c r="C988" s="131"/>
      <c r="D988" s="81"/>
      <c r="E988" s="81"/>
      <c r="F988" s="131"/>
      <c r="G988" s="131"/>
      <c r="H988" s="131"/>
      <c r="I988" s="131"/>
      <c r="J988" s="131"/>
      <c r="K988" s="131"/>
      <c r="L988" s="131"/>
      <c r="M988" s="131"/>
      <c r="N988" s="131"/>
      <c r="O988" s="131"/>
      <c r="P988" s="131"/>
      <c r="Q988" s="131"/>
      <c r="R988" s="131"/>
      <c r="S988" s="131"/>
    </row>
    <row r="989">
      <c r="A989" s="131"/>
      <c r="B989" s="131"/>
      <c r="C989" s="131"/>
      <c r="D989" s="81"/>
      <c r="E989" s="81"/>
      <c r="F989" s="131"/>
      <c r="G989" s="131"/>
      <c r="H989" s="131"/>
      <c r="I989" s="131"/>
      <c r="J989" s="131"/>
      <c r="K989" s="131"/>
      <c r="L989" s="131"/>
      <c r="M989" s="131"/>
      <c r="N989" s="131"/>
      <c r="O989" s="131"/>
      <c r="P989" s="131"/>
      <c r="Q989" s="131"/>
      <c r="R989" s="131"/>
      <c r="S989" s="131"/>
    </row>
    <row r="990">
      <c r="A990" s="131"/>
      <c r="B990" s="131"/>
      <c r="C990" s="131"/>
      <c r="D990" s="81"/>
      <c r="E990" s="81"/>
      <c r="F990" s="131"/>
      <c r="G990" s="131"/>
      <c r="H990" s="131"/>
      <c r="I990" s="131"/>
      <c r="J990" s="131"/>
      <c r="K990" s="131"/>
      <c r="L990" s="131"/>
      <c r="M990" s="131"/>
      <c r="N990" s="131"/>
      <c r="O990" s="131"/>
      <c r="P990" s="131"/>
      <c r="Q990" s="131"/>
      <c r="R990" s="131"/>
      <c r="S990" s="131"/>
    </row>
    <row r="991">
      <c r="A991" s="131"/>
      <c r="B991" s="131"/>
      <c r="C991" s="131"/>
      <c r="D991" s="81"/>
      <c r="E991" s="81"/>
      <c r="F991" s="131"/>
      <c r="G991" s="131"/>
      <c r="H991" s="131"/>
      <c r="I991" s="131"/>
      <c r="J991" s="131"/>
      <c r="K991" s="131"/>
      <c r="L991" s="131"/>
      <c r="M991" s="131"/>
      <c r="N991" s="131"/>
      <c r="O991" s="131"/>
      <c r="P991" s="131"/>
      <c r="Q991" s="131"/>
      <c r="R991" s="131"/>
      <c r="S991" s="131"/>
    </row>
    <row r="992">
      <c r="A992" s="131"/>
      <c r="B992" s="131"/>
      <c r="C992" s="131"/>
      <c r="D992" s="81"/>
      <c r="E992" s="81"/>
      <c r="F992" s="131"/>
      <c r="G992" s="131"/>
      <c r="H992" s="131"/>
      <c r="I992" s="131"/>
      <c r="J992" s="131"/>
      <c r="K992" s="131"/>
      <c r="L992" s="131"/>
      <c r="M992" s="131"/>
      <c r="N992" s="131"/>
      <c r="O992" s="131"/>
      <c r="P992" s="131"/>
      <c r="Q992" s="131"/>
      <c r="R992" s="131"/>
      <c r="S992" s="131"/>
    </row>
    <row r="993">
      <c r="A993" s="131"/>
      <c r="B993" s="131"/>
      <c r="C993" s="131"/>
      <c r="D993" s="81"/>
      <c r="E993" s="81"/>
      <c r="F993" s="131"/>
      <c r="G993" s="131"/>
      <c r="H993" s="131"/>
      <c r="I993" s="131"/>
      <c r="J993" s="131"/>
      <c r="K993" s="131"/>
      <c r="L993" s="131"/>
      <c r="M993" s="131"/>
      <c r="N993" s="131"/>
      <c r="O993" s="131"/>
      <c r="P993" s="131"/>
      <c r="Q993" s="131"/>
      <c r="R993" s="131"/>
      <c r="S993" s="131"/>
    </row>
    <row r="994">
      <c r="A994" s="131"/>
      <c r="B994" s="131"/>
      <c r="C994" s="131"/>
      <c r="D994" s="81"/>
      <c r="E994" s="81"/>
      <c r="F994" s="131"/>
      <c r="G994" s="131"/>
      <c r="H994" s="131"/>
      <c r="I994" s="131"/>
      <c r="J994" s="131"/>
      <c r="K994" s="131"/>
      <c r="L994" s="131"/>
      <c r="M994" s="131"/>
      <c r="N994" s="131"/>
      <c r="O994" s="131"/>
      <c r="P994" s="131"/>
      <c r="Q994" s="131"/>
      <c r="R994" s="131"/>
      <c r="S994" s="131"/>
    </row>
    <row r="995">
      <c r="A995" s="131"/>
      <c r="B995" s="131"/>
      <c r="C995" s="131"/>
      <c r="D995" s="81"/>
      <c r="E995" s="81"/>
      <c r="F995" s="131"/>
      <c r="G995" s="131"/>
      <c r="H995" s="131"/>
      <c r="I995" s="131"/>
      <c r="J995" s="131"/>
      <c r="K995" s="131"/>
      <c r="L995" s="131"/>
      <c r="M995" s="131"/>
      <c r="N995" s="131"/>
      <c r="O995" s="131"/>
      <c r="P995" s="131"/>
      <c r="Q995" s="131"/>
      <c r="R995" s="131"/>
      <c r="S995" s="131"/>
    </row>
    <row r="996">
      <c r="A996" s="131"/>
      <c r="B996" s="131"/>
      <c r="C996" s="131"/>
      <c r="D996" s="81"/>
      <c r="E996" s="81"/>
      <c r="F996" s="131"/>
      <c r="G996" s="131"/>
      <c r="H996" s="131"/>
      <c r="I996" s="131"/>
      <c r="J996" s="131"/>
      <c r="K996" s="131"/>
      <c r="L996" s="131"/>
      <c r="M996" s="131"/>
      <c r="N996" s="131"/>
      <c r="O996" s="131"/>
      <c r="P996" s="131"/>
      <c r="Q996" s="131"/>
      <c r="R996" s="131"/>
      <c r="S996" s="131"/>
    </row>
    <row r="997">
      <c r="A997" s="131"/>
      <c r="B997" s="131"/>
      <c r="C997" s="131"/>
      <c r="D997" s="81"/>
      <c r="E997" s="81"/>
      <c r="F997" s="131"/>
      <c r="G997" s="131"/>
      <c r="H997" s="131"/>
      <c r="I997" s="131"/>
      <c r="J997" s="131"/>
      <c r="K997" s="131"/>
      <c r="L997" s="131"/>
      <c r="M997" s="131"/>
      <c r="N997" s="131"/>
      <c r="O997" s="131"/>
      <c r="P997" s="131"/>
      <c r="Q997" s="131"/>
      <c r="R997" s="131"/>
      <c r="S997" s="131"/>
    </row>
    <row r="998">
      <c r="A998" s="131"/>
      <c r="B998" s="131"/>
      <c r="C998" s="131"/>
      <c r="D998" s="81"/>
      <c r="E998" s="81"/>
      <c r="F998" s="131"/>
      <c r="G998" s="131"/>
      <c r="H998" s="131"/>
      <c r="I998" s="131"/>
      <c r="J998" s="131"/>
      <c r="K998" s="131"/>
      <c r="L998" s="131"/>
      <c r="M998" s="131"/>
      <c r="N998" s="131"/>
      <c r="O998" s="131"/>
      <c r="P998" s="131"/>
      <c r="Q998" s="131"/>
      <c r="R998" s="131"/>
      <c r="S998" s="131"/>
    </row>
    <row r="999">
      <c r="A999" s="131"/>
      <c r="B999" s="131"/>
      <c r="C999" s="131"/>
      <c r="D999" s="81"/>
      <c r="E999" s="81"/>
      <c r="F999" s="131"/>
      <c r="G999" s="131"/>
      <c r="H999" s="131"/>
      <c r="I999" s="131"/>
      <c r="J999" s="131"/>
      <c r="K999" s="131"/>
      <c r="L999" s="131"/>
      <c r="M999" s="131"/>
      <c r="N999" s="131"/>
      <c r="O999" s="131"/>
      <c r="P999" s="131"/>
      <c r="Q999" s="131"/>
      <c r="R999" s="131"/>
      <c r="S999" s="131"/>
    </row>
    <row r="1000">
      <c r="A1000" s="131"/>
      <c r="B1000" s="131"/>
      <c r="C1000" s="131"/>
      <c r="D1000" s="81"/>
      <c r="E1000" s="81"/>
      <c r="F1000" s="131"/>
      <c r="G1000" s="131"/>
      <c r="H1000" s="131"/>
      <c r="I1000" s="131"/>
      <c r="J1000" s="131"/>
      <c r="K1000" s="131"/>
      <c r="L1000" s="131"/>
      <c r="M1000" s="131"/>
      <c r="N1000" s="131"/>
      <c r="O1000" s="131"/>
      <c r="P1000" s="131"/>
      <c r="Q1000" s="131"/>
      <c r="R1000" s="131"/>
      <c r="S1000" s="131"/>
    </row>
    <row r="1001">
      <c r="A1001" s="131"/>
      <c r="B1001" s="131"/>
      <c r="C1001" s="131"/>
      <c r="D1001" s="81"/>
      <c r="E1001" s="81"/>
      <c r="F1001" s="131"/>
      <c r="G1001" s="131"/>
      <c r="H1001" s="131"/>
      <c r="I1001" s="131"/>
      <c r="J1001" s="131"/>
      <c r="K1001" s="131"/>
      <c r="L1001" s="131"/>
      <c r="M1001" s="131"/>
      <c r="N1001" s="131"/>
      <c r="O1001" s="131"/>
      <c r="P1001" s="131"/>
      <c r="Q1001" s="131"/>
      <c r="R1001" s="131"/>
      <c r="S1001" s="131"/>
    </row>
    <row r="1002">
      <c r="A1002" s="131"/>
      <c r="B1002" s="131"/>
      <c r="C1002" s="131"/>
      <c r="D1002" s="81"/>
      <c r="E1002" s="81"/>
      <c r="F1002" s="131"/>
      <c r="G1002" s="131"/>
      <c r="H1002" s="131"/>
      <c r="I1002" s="131"/>
      <c r="J1002" s="131"/>
      <c r="K1002" s="131"/>
      <c r="L1002" s="131"/>
      <c r="M1002" s="131"/>
      <c r="N1002" s="131"/>
      <c r="O1002" s="131"/>
      <c r="P1002" s="131"/>
      <c r="Q1002" s="131"/>
      <c r="R1002" s="131"/>
      <c r="S1002" s="131"/>
    </row>
    <row r="1003">
      <c r="A1003" s="131"/>
      <c r="B1003" s="131"/>
      <c r="C1003" s="131"/>
      <c r="D1003" s="81"/>
      <c r="E1003" s="81"/>
      <c r="F1003" s="131"/>
      <c r="G1003" s="131"/>
      <c r="H1003" s="131"/>
      <c r="I1003" s="131"/>
      <c r="J1003" s="131"/>
      <c r="K1003" s="131"/>
      <c r="L1003" s="131"/>
      <c r="M1003" s="131"/>
      <c r="N1003" s="131"/>
      <c r="O1003" s="131"/>
      <c r="P1003" s="131"/>
      <c r="Q1003" s="131"/>
      <c r="R1003" s="131"/>
      <c r="S1003" s="131"/>
    </row>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A4E4"/>
    <outlinePr summaryBelow="0" summaryRight="0"/>
    <pageSetUpPr/>
  </sheetPr>
  <sheetViews>
    <sheetView workbookViewId="0"/>
  </sheetViews>
  <sheetFormatPr customHeight="1" defaultColWidth="12.63" defaultRowHeight="15.0"/>
  <cols>
    <col customWidth="1" min="1" max="1" width="13.25"/>
    <col customWidth="1" min="2" max="2" width="21.5"/>
    <col customWidth="1" min="3" max="3" width="74.0"/>
    <col customWidth="1" min="4" max="4" width="16.13"/>
    <col customWidth="1" min="5" max="5" width="14.88"/>
    <col customWidth="1" min="6" max="7" width="9.25"/>
  </cols>
  <sheetData>
    <row r="1">
      <c r="A1" s="8" t="s">
        <v>23</v>
      </c>
      <c r="B1" s="8" t="s">
        <v>24</v>
      </c>
      <c r="C1" s="8" t="s">
        <v>25</v>
      </c>
      <c r="D1" s="119" t="s">
        <v>26</v>
      </c>
      <c r="E1" s="26" t="s">
        <v>27</v>
      </c>
      <c r="F1" s="83" t="s">
        <v>28</v>
      </c>
      <c r="G1" s="8" t="s">
        <v>29</v>
      </c>
    </row>
    <row r="2" ht="15.75" customHeight="1">
      <c r="A2" s="230" t="s">
        <v>4206</v>
      </c>
      <c r="B2" s="231"/>
      <c r="C2" s="231"/>
      <c r="D2" s="232"/>
      <c r="E2" s="233"/>
      <c r="F2" s="234"/>
      <c r="G2" s="235"/>
    </row>
    <row r="3" ht="15.75" customHeight="1">
      <c r="A3" s="28" t="s">
        <v>4207</v>
      </c>
      <c r="B3" s="31"/>
      <c r="C3" s="31"/>
      <c r="D3" s="51"/>
      <c r="E3" s="51"/>
      <c r="F3" s="51"/>
      <c r="G3" s="51"/>
    </row>
    <row r="4" ht="15.75" customHeight="1">
      <c r="A4" s="40" t="s">
        <v>4208</v>
      </c>
      <c r="B4" s="41" t="s">
        <v>4209</v>
      </c>
      <c r="C4" s="40" t="s">
        <v>4210</v>
      </c>
      <c r="D4" s="236" t="s">
        <v>4211</v>
      </c>
      <c r="E4" s="96" t="s">
        <v>4212</v>
      </c>
      <c r="F4" s="122">
        <v>0.21</v>
      </c>
      <c r="G4" s="237" t="str">
        <f>VLOOKUP("G135MAE60",STOCK!$B$2:$Q$3641,3,FALSE)</f>
        <v>Mayor a 5</v>
      </c>
    </row>
    <row r="5" ht="15.75" customHeight="1">
      <c r="A5" s="28" t="s">
        <v>4213</v>
      </c>
      <c r="C5" s="31"/>
      <c r="D5" s="51"/>
      <c r="E5" s="149"/>
      <c r="F5" s="121"/>
      <c r="G5" s="31"/>
    </row>
    <row r="6" ht="15.75" customHeight="1">
      <c r="A6" s="40" t="s">
        <v>4208</v>
      </c>
      <c r="B6" s="41" t="s">
        <v>4214</v>
      </c>
      <c r="C6" s="40" t="s">
        <v>4215</v>
      </c>
      <c r="D6" s="236" t="s">
        <v>4216</v>
      </c>
      <c r="E6" s="96" t="s">
        <v>4217</v>
      </c>
      <c r="F6" s="122">
        <v>0.21</v>
      </c>
      <c r="G6" s="237" t="str">
        <f>VLOOKUP("XLI800",STOCK!$B$2:$Q$3641,3,FALSE)</f>
        <v>Mayor a 5</v>
      </c>
    </row>
    <row r="7" ht="15.75" customHeight="1">
      <c r="A7" s="33" t="s">
        <v>4208</v>
      </c>
      <c r="B7" s="45" t="s">
        <v>4218</v>
      </c>
      <c r="C7" s="33" t="s">
        <v>4219</v>
      </c>
      <c r="D7" s="238" t="s">
        <v>4220</v>
      </c>
      <c r="E7" s="101" t="s">
        <v>4221</v>
      </c>
      <c r="F7" s="37">
        <v>0.21</v>
      </c>
      <c r="G7" s="46" t="str">
        <f>VLOOKUP("XLI1500",STOCK!$B$2:$Q$3641,3,FALSE)</f>
        <v>Menor a 5</v>
      </c>
    </row>
    <row r="8" ht="15.75" customHeight="1">
      <c r="A8" s="40" t="s">
        <v>4208</v>
      </c>
      <c r="B8" s="41" t="s">
        <v>4222</v>
      </c>
      <c r="C8" s="40" t="s">
        <v>4223</v>
      </c>
      <c r="D8" s="236" t="s">
        <v>4224</v>
      </c>
      <c r="E8" s="96" t="s">
        <v>4225</v>
      </c>
      <c r="F8" s="122">
        <v>0.21</v>
      </c>
      <c r="G8" s="49" t="str">
        <f>VLOOKUP("XLI2500",STOCK!$B$2:$Q$3641,3,FALSE)</f>
        <v>Menor a 5</v>
      </c>
    </row>
    <row r="9" ht="15.75" customHeight="1">
      <c r="A9" s="33" t="s">
        <v>4208</v>
      </c>
      <c r="B9" s="59" t="s">
        <v>4226</v>
      </c>
      <c r="C9" s="33" t="s">
        <v>4227</v>
      </c>
      <c r="D9" s="238" t="s">
        <v>4228</v>
      </c>
      <c r="E9" s="101" t="s">
        <v>4229</v>
      </c>
      <c r="F9" s="37">
        <v>0.21</v>
      </c>
      <c r="G9" s="38" t="str">
        <f>VLOOKUP("XLI3500",STOCK!$B$2:$Q$3641,3,FALSE)</f>
        <v>Mayor a 5</v>
      </c>
    </row>
    <row r="10" ht="15.75" customHeight="1">
      <c r="A10" s="239" t="s">
        <v>4230</v>
      </c>
      <c r="C10" s="31"/>
      <c r="D10" s="51"/>
      <c r="E10" s="149"/>
      <c r="F10" s="121"/>
      <c r="G10" s="31"/>
    </row>
    <row r="11" ht="15.75" customHeight="1">
      <c r="A11" s="40" t="s">
        <v>4208</v>
      </c>
      <c r="B11" s="41" t="s">
        <v>4231</v>
      </c>
      <c r="C11" s="40" t="s">
        <v>4232</v>
      </c>
      <c r="D11" s="236" t="s">
        <v>4233</v>
      </c>
      <c r="E11" s="96" t="s">
        <v>4234</v>
      </c>
      <c r="F11" s="122">
        <v>0.21</v>
      </c>
      <c r="G11" s="49" t="str">
        <f>VLOOKUP("XLS1002",STOCK!$B$2:$Q$3641,3,FALSE)</f>
        <v>Menor a 5</v>
      </c>
    </row>
    <row r="12" ht="15.75" customHeight="1">
      <c r="A12" s="33" t="s">
        <v>4208</v>
      </c>
      <c r="B12" s="45" t="s">
        <v>4235</v>
      </c>
      <c r="C12" s="33" t="s">
        <v>4236</v>
      </c>
      <c r="D12" s="238" t="s">
        <v>4237</v>
      </c>
      <c r="E12" s="101" t="s">
        <v>4238</v>
      </c>
      <c r="F12" s="37">
        <v>0.21</v>
      </c>
      <c r="G12" s="38" t="str">
        <f>VLOOKUP("XLS1502",STOCK!$B$2:$Q$3641,3,FALSE)</f>
        <v>Menor a 5</v>
      </c>
    </row>
    <row r="13" ht="15.75" customHeight="1">
      <c r="A13" s="40" t="s">
        <v>4208</v>
      </c>
      <c r="B13" s="41" t="s">
        <v>4239</v>
      </c>
      <c r="C13" s="40" t="s">
        <v>4240</v>
      </c>
      <c r="D13" s="236" t="s">
        <v>4241</v>
      </c>
      <c r="E13" s="96" t="s">
        <v>4242</v>
      </c>
      <c r="F13" s="122">
        <v>0.21</v>
      </c>
      <c r="G13" s="38" t="str">
        <f>VLOOKUP("XLS2002",STOCK!$B$2:$Q$3641,3,FALSE)</f>
        <v>Mayor a 5</v>
      </c>
    </row>
    <row r="14" ht="15.75" customHeight="1">
      <c r="A14" s="33" t="s">
        <v>4208</v>
      </c>
      <c r="B14" s="34" t="s">
        <v>4243</v>
      </c>
      <c r="C14" s="33" t="s">
        <v>4244</v>
      </c>
      <c r="D14" s="238" t="s">
        <v>4245</v>
      </c>
      <c r="E14" s="101" t="s">
        <v>4246</v>
      </c>
      <c r="F14" s="37">
        <v>0.21</v>
      </c>
      <c r="G14" s="38" t="str">
        <f>VLOOKUP("XLS1502",STOCK!$B$2:$Q$3641,3,FALSE)</f>
        <v>Menor a 5</v>
      </c>
    </row>
    <row r="15" ht="15.75" customHeight="1">
      <c r="A15" s="28" t="s">
        <v>4247</v>
      </c>
      <c r="C15" s="31"/>
      <c r="D15" s="51"/>
      <c r="E15" s="149"/>
      <c r="F15" s="121"/>
      <c r="G15" s="31"/>
    </row>
    <row r="16" ht="15.75" customHeight="1">
      <c r="A16" s="76" t="s">
        <v>4208</v>
      </c>
      <c r="B16" s="240" t="s">
        <v>4248</v>
      </c>
      <c r="C16" s="76" t="s">
        <v>4249</v>
      </c>
      <c r="D16" s="236" t="s">
        <v>4250</v>
      </c>
      <c r="E16" s="96" t="s">
        <v>4251</v>
      </c>
      <c r="F16" s="122">
        <v>0.21</v>
      </c>
      <c r="G16" s="49" t="str">
        <f>VLOOKUP("XTI4002-U",STOCK!$B$2:$Q$3641,3,FALSE)</f>
        <v>Menor a 5</v>
      </c>
    </row>
    <row r="17" ht="15.75" customHeight="1">
      <c r="A17" s="28" t="s">
        <v>4252</v>
      </c>
      <c r="C17" s="31"/>
      <c r="D17" s="51"/>
      <c r="E17" s="149"/>
      <c r="F17" s="121"/>
      <c r="G17" s="171"/>
    </row>
    <row r="18" ht="15.75" customHeight="1">
      <c r="A18" s="40" t="s">
        <v>4208</v>
      </c>
      <c r="B18" s="41" t="s">
        <v>4253</v>
      </c>
      <c r="C18" s="40" t="s">
        <v>4254</v>
      </c>
      <c r="D18" s="236" t="s">
        <v>4255</v>
      </c>
      <c r="E18" s="96" t="s">
        <v>4256</v>
      </c>
      <c r="F18" s="122">
        <v>0.21</v>
      </c>
      <c r="G18" s="46" t="str">
        <f>VLOOKUP("CT875A",STOCK!$B$2:$Q$3641,3,FALSE)</f>
        <v>Menor a 5</v>
      </c>
    </row>
    <row r="19" ht="15.75" customHeight="1">
      <c r="A19" s="33" t="s">
        <v>4208</v>
      </c>
      <c r="B19" s="45" t="s">
        <v>4257</v>
      </c>
      <c r="C19" s="33" t="s">
        <v>4258</v>
      </c>
      <c r="D19" s="238" t="s">
        <v>4259</v>
      </c>
      <c r="E19" s="101" t="s">
        <v>4260</v>
      </c>
      <c r="F19" s="37">
        <v>0.21</v>
      </c>
      <c r="G19" s="49" t="str">
        <f>VLOOKUP("CT4150A",STOCK!$B$2:$Q$3641,3,FALSE)</f>
        <v>Menor a 5</v>
      </c>
    </row>
    <row r="20" ht="15.75" customHeight="1">
      <c r="A20" s="40" t="s">
        <v>4208</v>
      </c>
      <c r="B20" s="41" t="s">
        <v>4261</v>
      </c>
      <c r="C20" s="40" t="s">
        <v>4262</v>
      </c>
      <c r="D20" s="236" t="s">
        <v>4263</v>
      </c>
      <c r="E20" s="96" t="s">
        <v>4264</v>
      </c>
      <c r="F20" s="122">
        <v>0.21</v>
      </c>
      <c r="G20" s="46" t="str">
        <f>VLOOKUP("CT8150A",STOCK!$B$2:$Q$3641,3,FALSE)</f>
        <v>Menor a 5</v>
      </c>
    </row>
    <row r="21" ht="15.75" customHeight="1">
      <c r="A21" s="28" t="s">
        <v>4265</v>
      </c>
      <c r="C21" s="31"/>
      <c r="D21" s="121"/>
      <c r="E21" s="121"/>
      <c r="F21" s="121"/>
      <c r="G21" s="171"/>
    </row>
    <row r="22" ht="15.75" customHeight="1">
      <c r="A22" s="40" t="s">
        <v>4208</v>
      </c>
      <c r="B22" s="64" t="s">
        <v>4266</v>
      </c>
      <c r="C22" s="241" t="s">
        <v>4267</v>
      </c>
      <c r="D22" s="236" t="s">
        <v>4268</v>
      </c>
      <c r="E22" s="96" t="s">
        <v>4269</v>
      </c>
      <c r="F22" s="122">
        <v>0.21</v>
      </c>
      <c r="G22" s="49" t="str">
        <f>VLOOKUP("NCDI2X300-U",STOCK!$B$2:$Q$3641,3,FALSE)</f>
        <v>Menor a 5</v>
      </c>
    </row>
    <row r="23" ht="15.75" customHeight="1">
      <c r="A23" s="33" t="s">
        <v>4208</v>
      </c>
      <c r="B23" s="65" t="s">
        <v>4270</v>
      </c>
      <c r="C23" s="242" t="s">
        <v>4271</v>
      </c>
      <c r="D23" s="238" t="s">
        <v>4272</v>
      </c>
      <c r="E23" s="101" t="s">
        <v>4273</v>
      </c>
      <c r="F23" s="37">
        <v>0.21</v>
      </c>
      <c r="G23" s="49" t="str">
        <f>VLOOKUP("CDI4X300",STOCK!$B$2:$Q$3641,3,FALSE)</f>
        <v>Menor a 5</v>
      </c>
    </row>
    <row r="24" ht="15.75" customHeight="1">
      <c r="A24" s="40" t="s">
        <v>4208</v>
      </c>
      <c r="B24" s="241" t="s">
        <v>4274</v>
      </c>
      <c r="C24" s="241" t="s">
        <v>4275</v>
      </c>
      <c r="D24" s="236" t="s">
        <v>4276</v>
      </c>
      <c r="E24" s="96" t="s">
        <v>4277</v>
      </c>
      <c r="F24" s="122">
        <v>0.21</v>
      </c>
      <c r="G24" s="49" t="str">
        <f>VLOOKUP("NCDI4X600-U",STOCK!$B$2:$Q$3641,3,FALSE)</f>
        <v>Menor a 5</v>
      </c>
    </row>
    <row r="25" ht="15.75" customHeight="1">
      <c r="A25" s="28" t="s">
        <v>4278</v>
      </c>
      <c r="C25" s="31"/>
      <c r="D25" s="31"/>
      <c r="E25" s="31"/>
      <c r="F25" s="31"/>
      <c r="G25" s="31"/>
    </row>
    <row r="26" ht="15.75" customHeight="1">
      <c r="A26" s="40" t="s">
        <v>4208</v>
      </c>
      <c r="B26" s="64" t="s">
        <v>4279</v>
      </c>
      <c r="C26" s="40" t="s">
        <v>4280</v>
      </c>
      <c r="D26" s="236" t="s">
        <v>4281</v>
      </c>
      <c r="E26" s="96" t="s">
        <v>4282</v>
      </c>
      <c r="F26" s="122">
        <v>0.21</v>
      </c>
      <c r="G26" s="49" t="str">
        <f>VLOOKUP("DCI2X300",STOCK!$B$2:$Q$3641,3,FALSE)</f>
        <v>Menor a 5</v>
      </c>
    </row>
    <row r="27" ht="15.75" customHeight="1">
      <c r="A27" s="33" t="s">
        <v>4208</v>
      </c>
      <c r="B27" s="33" t="s">
        <v>4283</v>
      </c>
      <c r="C27" s="33" t="s">
        <v>4284</v>
      </c>
      <c r="D27" s="238" t="s">
        <v>4285</v>
      </c>
      <c r="E27" s="101" t="s">
        <v>4286</v>
      </c>
      <c r="F27" s="37">
        <v>0.21</v>
      </c>
      <c r="G27" s="49" t="str">
        <f>VLOOKUP("DCI4X300",STOCK!$B$2:$Q$3641,3,FALSE)</f>
        <v>Menor a 5</v>
      </c>
    </row>
    <row r="28" ht="15.75" customHeight="1">
      <c r="A28" s="28" t="s">
        <v>4287</v>
      </c>
      <c r="C28" s="31"/>
      <c r="D28" s="51"/>
      <c r="E28" s="51"/>
      <c r="F28" s="121"/>
      <c r="G28" s="31"/>
    </row>
    <row r="29" ht="15.75" customHeight="1">
      <c r="A29" s="40" t="s">
        <v>4288</v>
      </c>
      <c r="B29" s="41" t="s">
        <v>4289</v>
      </c>
      <c r="C29" s="40" t="s">
        <v>4290</v>
      </c>
      <c r="D29" s="236" t="s">
        <v>4291</v>
      </c>
      <c r="E29" s="96" t="s">
        <v>4292</v>
      </c>
      <c r="F29" s="122">
        <v>0.21</v>
      </c>
      <c r="G29" s="38" t="str">
        <f>VLOOKUP("VMA160",STOCK!$B$2:$Q$3641,3,FALSE)</f>
        <v>Mayor a 5</v>
      </c>
    </row>
    <row r="30" ht="15.75" customHeight="1">
      <c r="A30" s="33" t="s">
        <v>4288</v>
      </c>
      <c r="B30" s="45" t="s">
        <v>4293</v>
      </c>
      <c r="C30" s="33" t="s">
        <v>4294</v>
      </c>
      <c r="D30" s="238" t="s">
        <v>4295</v>
      </c>
      <c r="E30" s="101" t="s">
        <v>4296</v>
      </c>
      <c r="F30" s="37">
        <v>0.21</v>
      </c>
      <c r="G30" s="38" t="str">
        <f>VLOOKUP("VMA1240",STOCK!$B$2:$Q$3641,3,FALSE)</f>
        <v>Menor a 5</v>
      </c>
    </row>
    <row r="31" ht="15.75" customHeight="1">
      <c r="A31" s="40" t="s">
        <v>4288</v>
      </c>
      <c r="B31" s="41" t="s">
        <v>4297</v>
      </c>
      <c r="C31" s="40" t="s">
        <v>4298</v>
      </c>
      <c r="D31" s="236" t="s">
        <v>4299</v>
      </c>
      <c r="E31" s="96" t="s">
        <v>4300</v>
      </c>
      <c r="F31" s="122">
        <v>0.21</v>
      </c>
      <c r="G31" s="38" t="str">
        <f>VLOOKUP("VMA1240",STOCK!$B$2:$Q$3641,3,FALSE)</f>
        <v>Menor a 5</v>
      </c>
    </row>
    <row r="32" ht="15.75" customHeight="1">
      <c r="A32" s="242" t="s">
        <v>4288</v>
      </c>
      <c r="B32" s="45" t="s">
        <v>4301</v>
      </c>
      <c r="C32" s="33" t="s">
        <v>4302</v>
      </c>
      <c r="D32" s="238" t="s">
        <v>4303</v>
      </c>
      <c r="E32" s="101" t="s">
        <v>4304</v>
      </c>
      <c r="F32" s="37">
        <v>0.21</v>
      </c>
      <c r="G32" s="49" t="str">
        <f>VLOOKUP("VMA260",STOCK!$B$2:$Q$3641,3,FALSE)</f>
        <v>Menor a 5</v>
      </c>
    </row>
    <row r="33" ht="15.75" customHeight="1">
      <c r="A33" s="40" t="s">
        <v>4288</v>
      </c>
      <c r="B33" s="148" t="s">
        <v>4305</v>
      </c>
      <c r="C33" s="241" t="s">
        <v>4306</v>
      </c>
      <c r="D33" s="236" t="s">
        <v>4307</v>
      </c>
      <c r="E33" s="96" t="s">
        <v>4308</v>
      </c>
      <c r="F33" s="122">
        <v>0.21</v>
      </c>
      <c r="G33" s="160" t="str">
        <f>VLOOKUP("VMA2120",STOCK!$B$2:$Q$3641,3,FALSE)</f>
        <v>Menor a 5</v>
      </c>
    </row>
    <row r="34" ht="15.75" customHeight="1">
      <c r="A34" s="28" t="s">
        <v>4309</v>
      </c>
      <c r="C34" s="31"/>
      <c r="D34" s="51"/>
      <c r="E34" s="149"/>
      <c r="F34" s="121"/>
      <c r="G34" s="171"/>
    </row>
    <row r="35" ht="15.75" customHeight="1">
      <c r="A35" s="40" t="s">
        <v>4288</v>
      </c>
      <c r="B35" s="41" t="s">
        <v>4310</v>
      </c>
      <c r="C35" s="40" t="s">
        <v>4311</v>
      </c>
      <c r="D35" s="236" t="s">
        <v>4312</v>
      </c>
      <c r="E35" s="96" t="s">
        <v>4313</v>
      </c>
      <c r="F35" s="122">
        <v>0.21</v>
      </c>
      <c r="G35" s="49" t="str">
        <f>VLOOKUP("CSMA240",STOCK!$B$2:$Q$3641,3,FALSE)</f>
        <v>Menor a 5</v>
      </c>
    </row>
    <row r="36" ht="15.75" customHeight="1">
      <c r="A36" s="33" t="s">
        <v>4288</v>
      </c>
      <c r="B36" s="45" t="s">
        <v>4314</v>
      </c>
      <c r="C36" s="33" t="s">
        <v>4315</v>
      </c>
      <c r="D36" s="238" t="s">
        <v>4316</v>
      </c>
      <c r="E36" s="101" t="s">
        <v>4317</v>
      </c>
      <c r="F36" s="37">
        <v>0.21</v>
      </c>
      <c r="G36" s="46" t="str">
        <f>VLOOKUP("CSMA280",STOCK!$B$2:$Q$3641,3,FALSE)</f>
        <v>Menor a 5</v>
      </c>
    </row>
    <row r="37" ht="15.75" customHeight="1">
      <c r="A37" s="40" t="s">
        <v>4288</v>
      </c>
      <c r="B37" s="41" t="s">
        <v>4318</v>
      </c>
      <c r="C37" s="40" t="s">
        <v>4319</v>
      </c>
      <c r="D37" s="236" t="s">
        <v>4320</v>
      </c>
      <c r="E37" s="96" t="s">
        <v>4321</v>
      </c>
      <c r="F37" s="122">
        <v>0.21</v>
      </c>
      <c r="G37" s="38" t="str">
        <f>VLOOKUP("CSR-V-BLK",STOCK!$B$2:$Q$3641,3,FALSE)</f>
        <v>Mayor a 5</v>
      </c>
    </row>
    <row r="38" ht="15.75" customHeight="1">
      <c r="A38" s="28" t="s">
        <v>4322</v>
      </c>
      <c r="B38" s="31"/>
      <c r="C38" s="31"/>
      <c r="D38" s="51"/>
      <c r="E38" s="51"/>
      <c r="F38" s="51"/>
      <c r="G38" s="51"/>
    </row>
    <row r="39" ht="16.5" customHeight="1">
      <c r="A39" s="40" t="s">
        <v>4288</v>
      </c>
      <c r="B39" s="41" t="s">
        <v>4323</v>
      </c>
      <c r="C39" s="40" t="s">
        <v>4324</v>
      </c>
      <c r="D39" s="236" t="s">
        <v>4325</v>
      </c>
      <c r="E39" s="96" t="s">
        <v>4326</v>
      </c>
      <c r="F39" s="122">
        <v>0.21</v>
      </c>
      <c r="G39" s="49" t="str">
        <f>VLOOKUP("NCSA140Z",STOCK!$B$2:$Q$3641,3,FALSE)</f>
        <v>Menor a 5</v>
      </c>
    </row>
    <row r="40" ht="15.75" customHeight="1">
      <c r="A40" s="33" t="s">
        <v>4288</v>
      </c>
      <c r="B40" s="45" t="s">
        <v>4327</v>
      </c>
      <c r="C40" s="33" t="s">
        <v>4328</v>
      </c>
      <c r="D40" s="238" t="s">
        <v>4329</v>
      </c>
      <c r="E40" s="101" t="s">
        <v>4330</v>
      </c>
      <c r="F40" s="37">
        <v>0.21</v>
      </c>
      <c r="G40" s="49" t="str">
        <f>VLOOKUP("NCSA180Z",STOCK!$B$2:$Q$3641,3,FALSE)</f>
        <v>Menor a 5</v>
      </c>
    </row>
    <row r="41" ht="15.75" hidden="1" customHeight="1">
      <c r="A41" s="243" t="s">
        <v>2136</v>
      </c>
      <c r="B41" s="244"/>
      <c r="C41" s="244"/>
      <c r="D41" s="245"/>
      <c r="E41" s="246"/>
      <c r="F41" s="247"/>
      <c r="G41" s="244"/>
    </row>
    <row r="42" ht="15.75" customHeight="1">
      <c r="A42" s="40" t="s">
        <v>4288</v>
      </c>
      <c r="B42" s="41" t="s">
        <v>4331</v>
      </c>
      <c r="C42" s="40" t="s">
        <v>4332</v>
      </c>
      <c r="D42" s="236" t="s">
        <v>4333</v>
      </c>
      <c r="E42" s="96" t="s">
        <v>4334</v>
      </c>
      <c r="F42" s="122">
        <v>0.21</v>
      </c>
      <c r="G42" s="38" t="str">
        <f>VLOOKUP("104SET-BT",STOCK!$B$2:$Q$3641,3,FALSE)</f>
        <v>Mayor a 5</v>
      </c>
    </row>
    <row r="43" ht="15.0" customHeight="1">
      <c r="A43" s="33" t="s">
        <v>4288</v>
      </c>
      <c r="B43" s="45" t="s">
        <v>4335</v>
      </c>
      <c r="C43" s="33" t="s">
        <v>4336</v>
      </c>
      <c r="D43" s="238" t="s">
        <v>4337</v>
      </c>
      <c r="E43" s="101" t="s">
        <v>4338</v>
      </c>
      <c r="F43" s="37">
        <v>0.21</v>
      </c>
      <c r="G43" s="46" t="str">
        <f>VLOOKUP("305P MKII",STOCK!$B$2:$Q$3641,3,FALSE)</f>
        <v>Menor a 5</v>
      </c>
    </row>
    <row r="44" ht="15.75" customHeight="1">
      <c r="A44" s="40" t="s">
        <v>4288</v>
      </c>
      <c r="B44" s="41" t="s">
        <v>4339</v>
      </c>
      <c r="C44" s="40" t="s">
        <v>4340</v>
      </c>
      <c r="D44" s="236" t="s">
        <v>4341</v>
      </c>
      <c r="E44" s="96" t="s">
        <v>4342</v>
      </c>
      <c r="F44" s="122">
        <v>0.21</v>
      </c>
      <c r="G44" s="46" t="str">
        <f>VLOOKUP("306P MKII",STOCK!$B$2:$Q$3641,3,FALSE)</f>
        <v>Menor a 5</v>
      </c>
    </row>
    <row r="45" ht="15.75" customHeight="1">
      <c r="A45" s="33" t="s">
        <v>4288</v>
      </c>
      <c r="B45" s="45" t="s">
        <v>4343</v>
      </c>
      <c r="C45" s="33" t="s">
        <v>4344</v>
      </c>
      <c r="D45" s="238" t="s">
        <v>4345</v>
      </c>
      <c r="E45" s="101" t="s">
        <v>4346</v>
      </c>
      <c r="F45" s="37">
        <v>0.21</v>
      </c>
      <c r="G45" s="38" t="str">
        <f>VLOOKUP("308P MKII",STOCK!$B$2:$Q$3641,3,FALSE)</f>
        <v>Mayor a 5</v>
      </c>
    </row>
    <row r="46" ht="15.75" customHeight="1">
      <c r="A46" s="40" t="s">
        <v>4288</v>
      </c>
      <c r="B46" s="41" t="s">
        <v>4347</v>
      </c>
      <c r="C46" s="40" t="s">
        <v>4348</v>
      </c>
      <c r="D46" s="236" t="s">
        <v>4349</v>
      </c>
      <c r="E46" s="96" t="s">
        <v>4350</v>
      </c>
      <c r="F46" s="122">
        <v>0.21</v>
      </c>
      <c r="G46" s="46" t="str">
        <f>VLOOKUP("LSR310S",STOCK!$B$2:$Q$3641,3,FALSE)</f>
        <v>Menor a 5</v>
      </c>
    </row>
    <row r="47" ht="15.75" customHeight="1">
      <c r="A47" s="33" t="s">
        <v>4288</v>
      </c>
      <c r="B47" s="45" t="s">
        <v>4351</v>
      </c>
      <c r="C47" s="33" t="s">
        <v>4352</v>
      </c>
      <c r="D47" s="238" t="s">
        <v>4353</v>
      </c>
      <c r="E47" s="101" t="s">
        <v>4354</v>
      </c>
      <c r="F47" s="37">
        <v>0.21</v>
      </c>
      <c r="G47" s="49" t="str">
        <f>VLOOKUP("LSR708i",STOCK!$B$2:$Q$3641,3,FALSE)</f>
        <v>Menor a 5</v>
      </c>
    </row>
    <row r="48" ht="15.75" customHeight="1">
      <c r="A48" s="230" t="s">
        <v>4355</v>
      </c>
      <c r="B48" s="231"/>
      <c r="C48" s="231"/>
      <c r="D48" s="232"/>
      <c r="E48" s="233"/>
      <c r="F48" s="234"/>
      <c r="G48" s="248"/>
    </row>
    <row r="49" ht="15.75" customHeight="1">
      <c r="A49" s="28" t="s">
        <v>4356</v>
      </c>
      <c r="C49" s="31"/>
      <c r="D49" s="51"/>
      <c r="E49" s="149"/>
      <c r="F49" s="121"/>
      <c r="G49" s="171"/>
    </row>
    <row r="50" ht="15.75" customHeight="1">
      <c r="A50" s="40" t="s">
        <v>4288</v>
      </c>
      <c r="B50" s="148" t="s">
        <v>4357</v>
      </c>
      <c r="C50" s="40" t="s">
        <v>4358</v>
      </c>
      <c r="D50" s="249" t="s">
        <v>4359</v>
      </c>
      <c r="E50" s="43" t="s">
        <v>4360</v>
      </c>
      <c r="F50" s="122">
        <v>0.21</v>
      </c>
      <c r="G50" s="46" t="str">
        <f>VLOOKUP("CONTROL1PRO",STOCK!$B$2:$Q$3641,3,FALSE)</f>
        <v>Menor a 5</v>
      </c>
    </row>
    <row r="51" ht="15.75" customHeight="1">
      <c r="A51" s="33" t="s">
        <v>4288</v>
      </c>
      <c r="B51" s="45" t="s">
        <v>4361</v>
      </c>
      <c r="C51" s="33" t="s">
        <v>4362</v>
      </c>
      <c r="D51" s="250" t="s">
        <v>4363</v>
      </c>
      <c r="E51" s="36" t="s">
        <v>4364</v>
      </c>
      <c r="F51" s="37">
        <v>0.21</v>
      </c>
      <c r="G51" s="38" t="str">
        <f>VLOOKUP("CONTROL2PST",STOCK!$B$2:$Q$3641,3,FALSE)</f>
        <v>Mayor a 5</v>
      </c>
    </row>
    <row r="52" ht="15.75" customHeight="1">
      <c r="A52" s="40" t="s">
        <v>4288</v>
      </c>
      <c r="B52" s="64" t="s">
        <v>4365</v>
      </c>
      <c r="C52" s="40" t="s">
        <v>4366</v>
      </c>
      <c r="D52" s="249" t="s">
        <v>4367</v>
      </c>
      <c r="E52" s="43" t="s">
        <v>4368</v>
      </c>
      <c r="F52" s="122">
        <v>0.21</v>
      </c>
      <c r="G52" s="46" t="str">
        <f>VLOOKUP("CONTROL5",STOCK!$B$2:$Q$3641,3,FALSE)</f>
        <v>Menor a 5</v>
      </c>
    </row>
    <row r="53" ht="15.75" customHeight="1">
      <c r="A53" s="33" t="s">
        <v>4288</v>
      </c>
      <c r="B53" s="65" t="s">
        <v>4369</v>
      </c>
      <c r="C53" s="33" t="s">
        <v>4370</v>
      </c>
      <c r="D53" s="250" t="s">
        <v>4371</v>
      </c>
      <c r="E53" s="36" t="s">
        <v>4372</v>
      </c>
      <c r="F53" s="37">
        <v>0.21</v>
      </c>
      <c r="G53" s="174" t="str">
        <f>VLOOKUP("CONTROL 25-1",STOCK!$B$2:$Q$3641,3,FALSE)</f>
        <v>Mayor a 5</v>
      </c>
    </row>
    <row r="54" ht="15.75" customHeight="1">
      <c r="A54" s="40" t="s">
        <v>4288</v>
      </c>
      <c r="B54" s="64" t="s">
        <v>4373</v>
      </c>
      <c r="C54" s="40" t="s">
        <v>4374</v>
      </c>
      <c r="D54" s="249" t="s">
        <v>4375</v>
      </c>
      <c r="E54" s="43" t="s">
        <v>4376</v>
      </c>
      <c r="F54" s="122">
        <v>0.21</v>
      </c>
      <c r="G54" s="251" t="str">
        <f>VLOOKUP("CONTROL 28-1",STOCK!$B$2:$Q$3641,3,FALSE)</f>
        <v>Menor a 5</v>
      </c>
    </row>
    <row r="55" ht="15.75" customHeight="1">
      <c r="A55" s="33" t="s">
        <v>4288</v>
      </c>
      <c r="B55" s="33" t="s">
        <v>4377</v>
      </c>
      <c r="C55" s="33" t="s">
        <v>4378</v>
      </c>
      <c r="D55" s="250" t="s">
        <v>4379</v>
      </c>
      <c r="E55" s="36" t="s">
        <v>4380</v>
      </c>
      <c r="F55" s="37">
        <v>0.21</v>
      </c>
      <c r="G55" s="174" t="str">
        <f>VLOOKUP("CONTROL HST",STOCK!$B$2:$Q$3641,3,FALSE)</f>
        <v>Menor a 5</v>
      </c>
    </row>
    <row r="56" ht="15.75" customHeight="1">
      <c r="A56" s="40" t="s">
        <v>4288</v>
      </c>
      <c r="B56" s="241" t="s">
        <v>4381</v>
      </c>
      <c r="C56" s="40" t="s">
        <v>4382</v>
      </c>
      <c r="D56" s="249" t="s">
        <v>4379</v>
      </c>
      <c r="E56" s="43" t="s">
        <v>4380</v>
      </c>
      <c r="F56" s="122">
        <v>0.21</v>
      </c>
      <c r="G56" s="174" t="str">
        <f>VLOOKUP("CONTROL HST-WH",STOCK!$B$2:$Q$3641,3,FALSE)</f>
        <v>Menor a 5</v>
      </c>
    </row>
    <row r="57" ht="15.75" customHeight="1">
      <c r="A57" s="33" t="s">
        <v>4288</v>
      </c>
      <c r="B57" s="65" t="s">
        <v>4383</v>
      </c>
      <c r="C57" s="33" t="s">
        <v>4384</v>
      </c>
      <c r="D57" s="250" t="s">
        <v>4363</v>
      </c>
      <c r="E57" s="36" t="s">
        <v>4364</v>
      </c>
      <c r="F57" s="37">
        <v>0.21</v>
      </c>
      <c r="G57" s="174" t="str">
        <f>VLOOKUP("CONTROLCRV",STOCK!$B$2:$Q$3641,3,FALSE)</f>
        <v>Menor a 5</v>
      </c>
    </row>
    <row r="58" ht="15.75" customHeight="1">
      <c r="A58" s="40" t="s">
        <v>4288</v>
      </c>
      <c r="B58" s="40" t="s">
        <v>4385</v>
      </c>
      <c r="C58" s="40" t="s">
        <v>4386</v>
      </c>
      <c r="D58" s="249" t="s">
        <v>4363</v>
      </c>
      <c r="E58" s="43" t="s">
        <v>4364</v>
      </c>
      <c r="F58" s="122">
        <v>0.21</v>
      </c>
      <c r="G58" s="174" t="str">
        <f>VLOOKUP("CONTROLCRV-WH",STOCK!$B$2:$Q$3641,3,FALSE)</f>
        <v>Menor a 5</v>
      </c>
    </row>
    <row r="59" ht="15.75" customHeight="1">
      <c r="A59" s="28" t="s">
        <v>4387</v>
      </c>
      <c r="B59" s="31"/>
      <c r="C59" s="31"/>
      <c r="D59" s="171"/>
      <c r="E59" s="171"/>
      <c r="F59" s="171"/>
      <c r="G59" s="171"/>
    </row>
    <row r="60" ht="15.75" customHeight="1">
      <c r="A60" s="40" t="s">
        <v>4288</v>
      </c>
      <c r="B60" s="40" t="s">
        <v>4388</v>
      </c>
      <c r="C60" s="40" t="s">
        <v>4389</v>
      </c>
      <c r="D60" s="236" t="s">
        <v>4390</v>
      </c>
      <c r="E60" s="96" t="s">
        <v>2823</v>
      </c>
      <c r="F60" s="122">
        <v>0.21</v>
      </c>
      <c r="G60" s="174" t="str">
        <f>VLOOKUP("CSS-H15",STOCK!$B$2:$Q$3641,3,FALSE)</f>
        <v>Mayor a 5</v>
      </c>
    </row>
    <row r="61" ht="15.75" customHeight="1">
      <c r="A61" s="33" t="s">
        <v>4288</v>
      </c>
      <c r="B61" s="33" t="s">
        <v>4391</v>
      </c>
      <c r="C61" s="33" t="s">
        <v>4392</v>
      </c>
      <c r="D61" s="238" t="s">
        <v>4393</v>
      </c>
      <c r="E61" s="101" t="s">
        <v>4394</v>
      </c>
      <c r="F61" s="37">
        <v>0.21</v>
      </c>
      <c r="G61" s="174" t="str">
        <f>VLOOKUP("CSS-H30",STOCK!$B$2:$Q$3641,3,FALSE)</f>
        <v>Mayor a 5</v>
      </c>
    </row>
    <row r="62" ht="15.75" customHeight="1">
      <c r="A62" s="28" t="s">
        <v>4395</v>
      </c>
      <c r="C62" s="31"/>
      <c r="D62" s="171"/>
      <c r="E62" s="171"/>
      <c r="F62" s="171"/>
      <c r="G62" s="171"/>
    </row>
    <row r="63" ht="15.75" customHeight="1">
      <c r="A63" s="40" t="s">
        <v>4288</v>
      </c>
      <c r="B63" s="41" t="s">
        <v>4396</v>
      </c>
      <c r="C63" s="40" t="s">
        <v>4397</v>
      </c>
      <c r="D63" s="236" t="s">
        <v>4398</v>
      </c>
      <c r="E63" s="96" t="s">
        <v>4399</v>
      </c>
      <c r="F63" s="122">
        <v>0.21</v>
      </c>
      <c r="G63" s="38" t="str">
        <f>VLOOKUP("CBT50LA-1",STOCK!$B$2:$Q$3641,3,FALSE)</f>
        <v>Menor a 5</v>
      </c>
    </row>
    <row r="64" ht="15.75" customHeight="1">
      <c r="A64" s="33" t="s">
        <v>4288</v>
      </c>
      <c r="B64" s="45" t="s">
        <v>4400</v>
      </c>
      <c r="C64" s="33" t="s">
        <v>4397</v>
      </c>
      <c r="D64" s="238" t="s">
        <v>4398</v>
      </c>
      <c r="E64" s="101" t="s">
        <v>4399</v>
      </c>
      <c r="F64" s="37">
        <v>0.21</v>
      </c>
      <c r="G64" s="38" t="str">
        <f>VLOOKUP("CBT50LA-1-WH",STOCK!$B$2:$Q$3641,3,FALSE)</f>
        <v>Menor a 5</v>
      </c>
    </row>
    <row r="65" ht="15.75" customHeight="1">
      <c r="A65" s="40" t="s">
        <v>4288</v>
      </c>
      <c r="B65" s="41" t="s">
        <v>4401</v>
      </c>
      <c r="C65" s="40" t="s">
        <v>4402</v>
      </c>
      <c r="D65" s="236" t="s">
        <v>4403</v>
      </c>
      <c r="E65" s="96" t="s">
        <v>4404</v>
      </c>
      <c r="F65" s="122">
        <v>0.21</v>
      </c>
      <c r="G65" s="49" t="str">
        <f>VLOOKUP("CBT70J-1",STOCK!$B$2:$Q$3641,3,FALSE)</f>
        <v>Menor a 5</v>
      </c>
    </row>
    <row r="66" ht="15.75" customHeight="1">
      <c r="A66" s="33" t="s">
        <v>4288</v>
      </c>
      <c r="B66" s="33" t="s">
        <v>4405</v>
      </c>
      <c r="C66" s="33" t="s">
        <v>4406</v>
      </c>
      <c r="D66" s="238" t="s">
        <v>4407</v>
      </c>
      <c r="E66" s="101" t="s">
        <v>4408</v>
      </c>
      <c r="F66" s="37">
        <v>0.21</v>
      </c>
      <c r="G66" s="174" t="str">
        <f>VLOOKUP("CBT70JE-1",STOCK!$B$2:$Q$3641,3,FALSE)</f>
        <v>Menor a 5</v>
      </c>
    </row>
    <row r="67" ht="15.75" customHeight="1">
      <c r="A67" s="28" t="s">
        <v>4409</v>
      </c>
      <c r="C67" s="31"/>
      <c r="D67" s="51"/>
      <c r="E67" s="149"/>
      <c r="F67" s="121"/>
      <c r="G67" s="171"/>
    </row>
    <row r="68" ht="15.75" customHeight="1">
      <c r="A68" s="40" t="s">
        <v>4288</v>
      </c>
      <c r="B68" s="41" t="s">
        <v>4410</v>
      </c>
      <c r="C68" s="40" t="s">
        <v>4411</v>
      </c>
      <c r="D68" s="236" t="s">
        <v>4412</v>
      </c>
      <c r="E68" s="96" t="s">
        <v>4413</v>
      </c>
      <c r="F68" s="122">
        <v>0.21</v>
      </c>
      <c r="G68" s="38" t="str">
        <f>VLOOKUP("CONTROL85M",STOCK!$B$2:$Q$3641,3,FALSE)</f>
        <v>Mayor a 5</v>
      </c>
    </row>
    <row r="69" ht="15.75" customHeight="1">
      <c r="A69" s="33" t="s">
        <v>4288</v>
      </c>
      <c r="B69" s="45" t="s">
        <v>4414</v>
      </c>
      <c r="C69" s="33" t="s">
        <v>4415</v>
      </c>
      <c r="D69" s="238" t="s">
        <v>4416</v>
      </c>
      <c r="E69" s="101" t="s">
        <v>4417</v>
      </c>
      <c r="F69" s="37">
        <v>0.21</v>
      </c>
      <c r="G69" s="38" t="str">
        <f>VLOOKUP("CONTROL88M",STOCK!$B$2:$Q$3641,3,FALSE)</f>
        <v>Mayor a 5</v>
      </c>
    </row>
    <row r="70" ht="15.75" customHeight="1">
      <c r="A70" s="241" t="s">
        <v>4288</v>
      </c>
      <c r="B70" s="148" t="s">
        <v>4418</v>
      </c>
      <c r="C70" s="40" t="s">
        <v>4419</v>
      </c>
      <c r="D70" s="236" t="s">
        <v>4420</v>
      </c>
      <c r="E70" s="96" t="s">
        <v>4421</v>
      </c>
      <c r="F70" s="122">
        <v>0.21</v>
      </c>
      <c r="G70" s="251" t="str">
        <f>VLOOKUP("CONTROL89MS",STOCK!$B$2:$Q$3641,3,FALSE)</f>
        <v>Mayor a 5</v>
      </c>
    </row>
    <row r="71" ht="15.75" customHeight="1">
      <c r="A71" s="28" t="s">
        <v>4422</v>
      </c>
      <c r="C71" s="31"/>
      <c r="D71" s="51"/>
      <c r="E71" s="149"/>
      <c r="F71" s="121"/>
      <c r="G71" s="171"/>
    </row>
    <row r="72" ht="15.75" customHeight="1">
      <c r="A72" s="40" t="s">
        <v>4288</v>
      </c>
      <c r="B72" s="41" t="s">
        <v>4423</v>
      </c>
      <c r="C72" s="40" t="s">
        <v>4424</v>
      </c>
      <c r="D72" s="236" t="s">
        <v>4425</v>
      </c>
      <c r="E72" s="96" t="s">
        <v>4426</v>
      </c>
      <c r="F72" s="122">
        <v>0.21</v>
      </c>
      <c r="G72" s="49" t="str">
        <f>VLOOKUP("GSB8-GN",STOCK!$B$2:$Q$3641,3,FALSE)</f>
        <v>Menor a 5</v>
      </c>
    </row>
    <row r="73" ht="15.75" customHeight="1">
      <c r="A73" s="33" t="s">
        <v>4288</v>
      </c>
      <c r="B73" s="45" t="s">
        <v>4427</v>
      </c>
      <c r="C73" s="33" t="s">
        <v>4428</v>
      </c>
      <c r="D73" s="238" t="s">
        <v>4429</v>
      </c>
      <c r="E73" s="101" t="s">
        <v>4430</v>
      </c>
      <c r="F73" s="37">
        <v>0.21</v>
      </c>
      <c r="G73" s="38" t="str">
        <f>VLOOKUP("GSB12-GN",STOCK!$B$2:$Q$3641,3,FALSE)</f>
        <v>Mayor a 5</v>
      </c>
    </row>
    <row r="74" ht="15.75" customHeight="1">
      <c r="A74" s="28" t="s">
        <v>4431</v>
      </c>
      <c r="B74" s="31"/>
      <c r="C74" s="31"/>
      <c r="D74" s="31"/>
      <c r="E74" s="31"/>
      <c r="F74" s="31"/>
      <c r="G74" s="31"/>
    </row>
    <row r="75" ht="15.75" customHeight="1">
      <c r="A75" s="40" t="s">
        <v>4288</v>
      </c>
      <c r="B75" s="41" t="s">
        <v>4432</v>
      </c>
      <c r="C75" s="40" t="s">
        <v>4433</v>
      </c>
      <c r="D75" s="236" t="s">
        <v>4434</v>
      </c>
      <c r="E75" s="96" t="s">
        <v>4435</v>
      </c>
      <c r="F75" s="122">
        <v>0.21</v>
      </c>
      <c r="G75" s="38" t="str">
        <f>VLOOKUP("GSF3-GN",STOCK!$B$2:$Q$3641,3,FALSE)</f>
        <v>Mayor a 5</v>
      </c>
    </row>
    <row r="76" ht="15.75" customHeight="1">
      <c r="A76" s="33" t="s">
        <v>4288</v>
      </c>
      <c r="B76" s="252" t="s">
        <v>4436</v>
      </c>
      <c r="C76" s="33" t="s">
        <v>4437</v>
      </c>
      <c r="D76" s="238" t="s">
        <v>4438</v>
      </c>
      <c r="E76" s="101" t="s">
        <v>4439</v>
      </c>
      <c r="F76" s="37">
        <v>0.21</v>
      </c>
      <c r="G76" s="251" t="str">
        <f>VLOOKUP("GSF6-GN",STOCK!$B$2:$Q$3641,3,FALSE)</f>
        <v>Menor a 5</v>
      </c>
    </row>
    <row r="77" ht="15.75" customHeight="1">
      <c r="A77" s="28" t="s">
        <v>4440</v>
      </c>
      <c r="C77" s="31"/>
      <c r="D77" s="51"/>
      <c r="E77" s="149"/>
      <c r="F77" s="121"/>
      <c r="G77" s="171"/>
    </row>
    <row r="78" ht="15.75" customHeight="1">
      <c r="A78" s="40" t="s">
        <v>4288</v>
      </c>
      <c r="B78" s="41" t="s">
        <v>4441</v>
      </c>
      <c r="C78" s="40" t="s">
        <v>4442</v>
      </c>
      <c r="D78" s="236" t="s">
        <v>4443</v>
      </c>
      <c r="E78" s="96" t="s">
        <v>4444</v>
      </c>
      <c r="F78" s="122">
        <v>0.21</v>
      </c>
      <c r="G78" s="46" t="str">
        <f>VLOOKUP("CONTROL24C-M",STOCK!$B$2:$Q$3641,3,FALSE)</f>
        <v>Menor a 5</v>
      </c>
    </row>
    <row r="79" ht="15.75" customHeight="1">
      <c r="A79" s="33" t="s">
        <v>4288</v>
      </c>
      <c r="B79" s="45" t="s">
        <v>4445</v>
      </c>
      <c r="C79" s="33" t="s">
        <v>4446</v>
      </c>
      <c r="D79" s="238" t="s">
        <v>4447</v>
      </c>
      <c r="E79" s="101" t="s">
        <v>4448</v>
      </c>
      <c r="F79" s="37">
        <v>0.21</v>
      </c>
      <c r="G79" s="49" t="str">
        <f>VLOOKUP("CONTROL24C-T",STOCK!$B$2:$Q$3641,3,FALSE)</f>
        <v>Menor a 5</v>
      </c>
    </row>
    <row r="80" ht="15.75" customHeight="1">
      <c r="A80" s="40" t="s">
        <v>4288</v>
      </c>
      <c r="B80" s="41">
        <v>8124.0</v>
      </c>
      <c r="C80" s="40" t="s">
        <v>4449</v>
      </c>
      <c r="D80" s="236" t="s">
        <v>4450</v>
      </c>
      <c r="E80" s="96" t="s">
        <v>4451</v>
      </c>
      <c r="F80" s="122">
        <v>0.21</v>
      </c>
      <c r="G80" s="171"/>
    </row>
    <row r="81" ht="15.75" customHeight="1">
      <c r="A81" s="33" t="s">
        <v>4288</v>
      </c>
      <c r="B81" s="45">
        <v>8128.0</v>
      </c>
      <c r="C81" s="33" t="s">
        <v>4452</v>
      </c>
      <c r="D81" s="238" t="s">
        <v>4453</v>
      </c>
      <c r="E81" s="101" t="s">
        <v>4454</v>
      </c>
      <c r="F81" s="37">
        <v>0.21</v>
      </c>
      <c r="G81" s="171"/>
    </row>
    <row r="82" ht="15.75" customHeight="1">
      <c r="A82" s="40" t="s">
        <v>4288</v>
      </c>
      <c r="B82" s="41" t="s">
        <v>4455</v>
      </c>
      <c r="C82" s="40" t="s">
        <v>4456</v>
      </c>
      <c r="D82" s="236" t="s">
        <v>4457</v>
      </c>
      <c r="E82" s="96" t="s">
        <v>4458</v>
      </c>
      <c r="F82" s="122">
        <v>0.21</v>
      </c>
      <c r="G82" s="38" t="str">
        <f>VLOOKUP("CSS8004",STOCK!$B$2:$Q$3641,3,FALSE)</f>
        <v>Mayor a 5</v>
      </c>
    </row>
    <row r="83" ht="15.75" customHeight="1">
      <c r="A83" s="33" t="s">
        <v>4288</v>
      </c>
      <c r="B83" s="45" t="s">
        <v>4459</v>
      </c>
      <c r="C83" s="33" t="s">
        <v>4460</v>
      </c>
      <c r="D83" s="238" t="s">
        <v>4461</v>
      </c>
      <c r="E83" s="101" t="s">
        <v>4462</v>
      </c>
      <c r="F83" s="37">
        <v>0.21</v>
      </c>
      <c r="G83" s="38" t="str">
        <f>VLOOKUP("CSS8008",STOCK!$B$2:$Q$3641,3,FALSE)</f>
        <v>Mayor a 5</v>
      </c>
    </row>
    <row r="84" ht="15.75" customHeight="1">
      <c r="A84" s="40" t="s">
        <v>4288</v>
      </c>
      <c r="B84" s="41" t="s">
        <v>4463</v>
      </c>
      <c r="C84" s="40" t="s">
        <v>4464</v>
      </c>
      <c r="D84" s="249" t="s">
        <v>4465</v>
      </c>
      <c r="E84" s="43" t="s">
        <v>4466</v>
      </c>
      <c r="F84" s="122">
        <v>0.21</v>
      </c>
      <c r="G84" s="174" t="str">
        <f>VLOOKUP("C64P/T",STOCK!$B$2:$Q$3641,3,FALSE)</f>
        <v>Mayor a 5</v>
      </c>
    </row>
    <row r="85" ht="15.75" customHeight="1">
      <c r="A85" s="33" t="s">
        <v>4288</v>
      </c>
      <c r="B85" s="45" t="s">
        <v>4467</v>
      </c>
      <c r="C85" s="33" t="s">
        <v>4468</v>
      </c>
      <c r="D85" s="238" t="s">
        <v>4465</v>
      </c>
      <c r="E85" s="101" t="s">
        <v>4466</v>
      </c>
      <c r="F85" s="37">
        <v>0.21</v>
      </c>
      <c r="G85" s="174" t="str">
        <f>VLOOKUP("C64P/T-WH",STOCK!$B$2:$Q$3641,3,FALSE)</f>
        <v>Mayor a 5</v>
      </c>
    </row>
    <row r="86" ht="15.75" customHeight="1">
      <c r="A86" s="40" t="s">
        <v>4288</v>
      </c>
      <c r="B86" s="41" t="s">
        <v>4469</v>
      </c>
      <c r="C86" s="40" t="s">
        <v>4470</v>
      </c>
      <c r="D86" s="236" t="s">
        <v>4471</v>
      </c>
      <c r="E86" s="96" t="s">
        <v>4472</v>
      </c>
      <c r="F86" s="122">
        <v>0.21</v>
      </c>
      <c r="G86" s="49" t="str">
        <f>VLOOKUP("C65P/T",STOCK!$B$2:$Q$3641,3,FALSE)</f>
        <v>Menor a 5</v>
      </c>
    </row>
    <row r="87" ht="15.75" customHeight="1">
      <c r="A87" s="33" t="s">
        <v>4288</v>
      </c>
      <c r="B87" s="45" t="s">
        <v>4473</v>
      </c>
      <c r="C87" s="33" t="s">
        <v>4474</v>
      </c>
      <c r="D87" s="238" t="s">
        <v>4475</v>
      </c>
      <c r="E87" s="101" t="s">
        <v>4476</v>
      </c>
      <c r="F87" s="37">
        <v>0.21</v>
      </c>
      <c r="G87" s="174" t="str">
        <f>VLOOKUP("LCT 81C/TM",STOCK!$B$2:$Q$3641,3,FALSE)</f>
        <v>Menor a 5</v>
      </c>
    </row>
    <row r="88" ht="15.75" customHeight="1">
      <c r="A88" s="230" t="s">
        <v>1720</v>
      </c>
      <c r="B88" s="231"/>
      <c r="C88" s="231"/>
      <c r="D88" s="232"/>
      <c r="E88" s="233"/>
      <c r="F88" s="234"/>
      <c r="G88" s="253"/>
    </row>
    <row r="89" ht="15.75" customHeight="1">
      <c r="A89" s="40" t="s">
        <v>4477</v>
      </c>
      <c r="B89" s="40" t="s">
        <v>4478</v>
      </c>
      <c r="C89" s="40" t="s">
        <v>4479</v>
      </c>
      <c r="D89" s="236" t="s">
        <v>4480</v>
      </c>
      <c r="E89" s="96" t="s">
        <v>4481</v>
      </c>
      <c r="F89" s="122">
        <v>0.21</v>
      </c>
      <c r="G89" s="38" t="str">
        <f>VLOOKUP("C44-USB",STOCK!$B$2:$Q$3641,3,FALSE)</f>
        <v>Mayor a 5</v>
      </c>
    </row>
    <row r="90" ht="15.75" customHeight="1">
      <c r="A90" s="33" t="s">
        <v>4477</v>
      </c>
      <c r="B90" s="33" t="s">
        <v>4482</v>
      </c>
      <c r="C90" s="33" t="s">
        <v>4483</v>
      </c>
      <c r="D90" s="238" t="s">
        <v>4484</v>
      </c>
      <c r="E90" s="101" t="s">
        <v>4485</v>
      </c>
      <c r="F90" s="37">
        <v>0.21</v>
      </c>
      <c r="G90" s="46" t="str">
        <f>VLOOKUP("p220",STOCK!$B$2:$Q$3641,3,FALSE)</f>
        <v>Menor a 5</v>
      </c>
    </row>
    <row r="91" ht="15.75" customHeight="1">
      <c r="A91" s="40" t="s">
        <v>4477</v>
      </c>
      <c r="B91" s="40" t="s">
        <v>4486</v>
      </c>
      <c r="C91" s="40" t="s">
        <v>4487</v>
      </c>
      <c r="D91" s="236" t="s">
        <v>4488</v>
      </c>
      <c r="E91" s="96" t="s">
        <v>4489</v>
      </c>
      <c r="F91" s="122">
        <v>0.21</v>
      </c>
      <c r="G91" s="251" t="str">
        <f>VLOOKUP("p420",STOCK!$B$2:$Q$3641,3,FALSE)</f>
        <v>Mayor a 5</v>
      </c>
    </row>
    <row r="92" ht="15.75" customHeight="1">
      <c r="A92" s="230" t="s">
        <v>4490</v>
      </c>
      <c r="B92" s="231"/>
      <c r="C92" s="231"/>
      <c r="D92" s="232"/>
      <c r="E92" s="233"/>
      <c r="F92" s="234"/>
      <c r="G92" s="253"/>
    </row>
    <row r="93" ht="15.75" customHeight="1">
      <c r="A93" s="40" t="s">
        <v>4288</v>
      </c>
      <c r="B93" s="41" t="s">
        <v>4491</v>
      </c>
      <c r="C93" s="40" t="s">
        <v>4492</v>
      </c>
      <c r="D93" s="236" t="s">
        <v>4493</v>
      </c>
      <c r="E93" s="96" t="s">
        <v>4494</v>
      </c>
      <c r="F93" s="122">
        <v>0.21</v>
      </c>
      <c r="G93" s="168" t="str">
        <f>VLOOKUP("PSB-1/230",STOCK!$B$2:$Q$3641,3,FALSE)</f>
        <v>Menor a 5</v>
      </c>
    </row>
    <row r="94" ht="15.75" customHeight="1">
      <c r="A94" s="230" t="s">
        <v>4495</v>
      </c>
      <c r="B94" s="231"/>
      <c r="C94" s="231"/>
      <c r="D94" s="232"/>
      <c r="E94" s="233"/>
      <c r="F94" s="234"/>
      <c r="G94" s="253"/>
    </row>
    <row r="95" ht="15.75" customHeight="1">
      <c r="A95" s="40" t="s">
        <v>4288</v>
      </c>
      <c r="B95" s="40" t="s">
        <v>4496</v>
      </c>
      <c r="C95" s="40" t="s">
        <v>4497</v>
      </c>
      <c r="D95" s="254" t="s">
        <v>2975</v>
      </c>
      <c r="E95" s="225"/>
      <c r="F95" s="156"/>
      <c r="G95" s="251" t="str">
        <f>VLOOKUP("ACTPACK",STOCK!$B$2:$Q$3641,3,FALSE)</f>
        <v>Mayor a 5</v>
      </c>
    </row>
    <row r="96" ht="15.75" customHeight="1">
      <c r="A96" s="230" t="s">
        <v>4498</v>
      </c>
      <c r="B96" s="231"/>
      <c r="C96" s="231"/>
      <c r="D96" s="232"/>
      <c r="E96" s="233"/>
      <c r="F96" s="234"/>
      <c r="G96" s="253"/>
    </row>
    <row r="97" ht="15.75" customHeight="1">
      <c r="A97" s="40" t="s">
        <v>4499</v>
      </c>
      <c r="B97" s="40" t="s">
        <v>4500</v>
      </c>
      <c r="C97" s="40" t="s">
        <v>4501</v>
      </c>
      <c r="D97" s="236" t="s">
        <v>4502</v>
      </c>
      <c r="E97" s="96" t="s">
        <v>4503</v>
      </c>
      <c r="F97" s="122">
        <v>0.21</v>
      </c>
      <c r="G97" s="38" t="str">
        <f>VLOOKUP("DBXCT2",STOCK!$B$2:$Q$3641,3,FALSE)</f>
        <v>Mayor a 5</v>
      </c>
    </row>
    <row r="98" ht="15.75" customHeight="1">
      <c r="A98" s="33" t="s">
        <v>4499</v>
      </c>
      <c r="B98" s="33" t="s">
        <v>4504</v>
      </c>
      <c r="C98" s="33" t="s">
        <v>4505</v>
      </c>
      <c r="D98" s="238" t="s">
        <v>4506</v>
      </c>
      <c r="E98" s="101" t="s">
        <v>4507</v>
      </c>
      <c r="F98" s="37">
        <v>0.21</v>
      </c>
      <c r="G98" s="38" t="str">
        <f>VLOOKUP("DBXRTA-M",STOCK!$B$2:$Q$3641,3,FALSE)</f>
        <v>Mayor a 5</v>
      </c>
    </row>
    <row r="99" ht="15.75" customHeight="1">
      <c r="A99" s="40" t="s">
        <v>4499</v>
      </c>
      <c r="B99" s="40" t="s">
        <v>4508</v>
      </c>
      <c r="C99" s="40" t="s">
        <v>4509</v>
      </c>
      <c r="D99" s="236" t="s">
        <v>4510</v>
      </c>
      <c r="E99" s="96" t="s">
        <v>4511</v>
      </c>
      <c r="F99" s="122">
        <v>0.21</v>
      </c>
      <c r="G99" s="174" t="str">
        <f>VLOOKUP("DBX234SV/220V",STOCK!$B$2:$Q$3641,3,FALSE)</f>
        <v>Menor a 5</v>
      </c>
    </row>
    <row r="100" ht="15.75" customHeight="1">
      <c r="A100" s="33" t="s">
        <v>4499</v>
      </c>
      <c r="B100" s="33" t="s">
        <v>4512</v>
      </c>
      <c r="C100" s="152"/>
      <c r="D100" s="238" t="s">
        <v>4513</v>
      </c>
      <c r="E100" s="101" t="s">
        <v>4514</v>
      </c>
      <c r="F100" s="255" t="s">
        <v>4515</v>
      </c>
      <c r="G100" s="38" t="str">
        <f>VLOOKUP("DBXPA2-V/220V",STOCK!$B$2:$Q$3641,3,FALSE)</f>
        <v>Mayor a 5</v>
      </c>
    </row>
    <row r="101" ht="15.75" customHeight="1">
      <c r="A101" s="230" t="s">
        <v>4516</v>
      </c>
      <c r="B101" s="231"/>
      <c r="C101" s="231"/>
      <c r="D101" s="232"/>
      <c r="E101" s="233"/>
      <c r="F101" s="234"/>
      <c r="G101" s="253"/>
    </row>
    <row r="102" ht="15.75" customHeight="1">
      <c r="A102" s="40" t="s">
        <v>4288</v>
      </c>
      <c r="B102" s="40" t="s">
        <v>4517</v>
      </c>
      <c r="C102" s="40" t="s">
        <v>4518</v>
      </c>
      <c r="D102" s="236" t="s">
        <v>4519</v>
      </c>
      <c r="E102" s="96" t="s">
        <v>4520</v>
      </c>
      <c r="F102" s="122">
        <v>0.21</v>
      </c>
      <c r="G102" s="49" t="str">
        <f>VLOOKUP("HPD5739",STOCK!$B$2:$Q$3641,3,FALSE)</f>
        <v>Menor a 5</v>
      </c>
    </row>
    <row r="103" ht="15.75" customHeight="1">
      <c r="A103" s="33" t="s">
        <v>4288</v>
      </c>
      <c r="B103" s="45" t="s">
        <v>4521</v>
      </c>
      <c r="C103" s="33" t="s">
        <v>4522</v>
      </c>
      <c r="D103" s="238" t="s">
        <v>4523</v>
      </c>
      <c r="E103" s="101" t="s">
        <v>4524</v>
      </c>
      <c r="F103" s="37">
        <v>0.21</v>
      </c>
      <c r="G103" s="49" t="str">
        <f>VLOOKUP("5732-M/HF",STOCK!$B$2:$Q$3641,3,FALSE)</f>
        <v>Menor a 5</v>
      </c>
    </row>
    <row r="104" ht="15.75" customHeight="1">
      <c r="A104" s="256"/>
      <c r="B104" s="256"/>
      <c r="C104" s="256"/>
      <c r="D104" s="257"/>
      <c r="E104" s="258"/>
      <c r="F104" s="259"/>
      <c r="G104" s="256"/>
    </row>
    <row r="105" ht="15.75" customHeight="1">
      <c r="A105" s="256"/>
      <c r="B105" s="256"/>
      <c r="C105" s="256"/>
      <c r="D105" s="257"/>
      <c r="E105" s="258"/>
      <c r="F105" s="259"/>
      <c r="G105" s="256"/>
    </row>
    <row r="106" ht="15.75" customHeight="1">
      <c r="A106" s="256"/>
      <c r="B106" s="256"/>
      <c r="C106" s="256"/>
      <c r="D106" s="257"/>
      <c r="E106" s="258"/>
      <c r="F106" s="259"/>
      <c r="G106" s="256"/>
    </row>
    <row r="107" ht="15.75" customHeight="1">
      <c r="A107" s="256"/>
      <c r="B107" s="256"/>
      <c r="C107" s="256"/>
      <c r="D107" s="257"/>
      <c r="E107" s="258"/>
      <c r="F107" s="259"/>
      <c r="G107" s="256"/>
    </row>
    <row r="108" ht="15.75" customHeight="1">
      <c r="A108" s="256"/>
      <c r="B108" s="256"/>
      <c r="C108" s="256"/>
      <c r="D108" s="257"/>
      <c r="E108" s="258"/>
      <c r="F108" s="259"/>
      <c r="G108" s="256"/>
    </row>
    <row r="109" ht="15.75" customHeight="1">
      <c r="A109" s="256"/>
      <c r="B109" s="256"/>
      <c r="C109" s="256"/>
      <c r="D109" s="257"/>
      <c r="E109" s="258"/>
      <c r="F109" s="259"/>
      <c r="G109" s="256"/>
    </row>
    <row r="110" ht="15.75" customHeight="1">
      <c r="A110" s="256"/>
      <c r="B110" s="256"/>
      <c r="C110" s="256"/>
      <c r="D110" s="257"/>
      <c r="E110" s="258"/>
      <c r="F110" s="259"/>
      <c r="G110" s="256"/>
    </row>
    <row r="111" ht="15.75" customHeight="1">
      <c r="A111" s="256"/>
      <c r="B111" s="256"/>
      <c r="C111" s="256"/>
      <c r="D111" s="257"/>
      <c r="E111" s="258"/>
      <c r="F111" s="259"/>
      <c r="G111" s="256"/>
    </row>
    <row r="112" ht="15.75" customHeight="1">
      <c r="A112" s="256"/>
      <c r="B112" s="256"/>
      <c r="C112" s="256"/>
      <c r="D112" s="257"/>
      <c r="E112" s="258"/>
      <c r="F112" s="259"/>
      <c r="G112" s="256"/>
    </row>
    <row r="113" ht="15.75" customHeight="1">
      <c r="A113" s="256"/>
      <c r="B113" s="256"/>
      <c r="C113" s="256"/>
      <c r="D113" s="257"/>
      <c r="E113" s="258"/>
      <c r="F113" s="259"/>
      <c r="G113" s="256"/>
    </row>
    <row r="114" ht="15.75" customHeight="1">
      <c r="A114" s="256"/>
      <c r="B114" s="256"/>
      <c r="C114" s="256"/>
      <c r="D114" s="257"/>
      <c r="E114" s="258"/>
      <c r="F114" s="259"/>
      <c r="G114" s="256"/>
    </row>
    <row r="115" ht="15.75" customHeight="1">
      <c r="A115" s="256"/>
      <c r="B115" s="256"/>
      <c r="C115" s="256"/>
      <c r="D115" s="257"/>
      <c r="E115" s="258"/>
      <c r="F115" s="259"/>
      <c r="G115" s="256"/>
    </row>
    <row r="116" ht="15.75" customHeight="1">
      <c r="A116" s="256"/>
      <c r="B116" s="256"/>
      <c r="C116" s="256"/>
      <c r="D116" s="257"/>
      <c r="E116" s="258"/>
      <c r="F116" s="259"/>
      <c r="G116" s="256"/>
    </row>
    <row r="117" ht="15.75" customHeight="1">
      <c r="A117" s="256"/>
      <c r="B117" s="256"/>
      <c r="C117" s="256"/>
      <c r="D117" s="257"/>
      <c r="E117" s="258"/>
      <c r="F117" s="259"/>
      <c r="G117" s="256"/>
    </row>
    <row r="118" ht="15.75" customHeight="1">
      <c r="A118" s="256"/>
      <c r="B118" s="256"/>
      <c r="C118" s="256"/>
      <c r="D118" s="257"/>
      <c r="E118" s="258"/>
      <c r="F118" s="259"/>
      <c r="G118" s="256"/>
    </row>
    <row r="119" ht="15.75" customHeight="1">
      <c r="A119" s="256"/>
      <c r="B119" s="256"/>
      <c r="C119" s="256"/>
      <c r="D119" s="257"/>
      <c r="E119" s="258"/>
      <c r="F119" s="259"/>
      <c r="G119" s="256"/>
    </row>
    <row r="120" ht="15.75" customHeight="1">
      <c r="A120" s="256"/>
      <c r="B120" s="256"/>
      <c r="C120" s="256"/>
      <c r="D120" s="257"/>
      <c r="E120" s="258"/>
      <c r="F120" s="259"/>
      <c r="G120" s="256"/>
    </row>
    <row r="121" ht="15.75" customHeight="1">
      <c r="A121" s="256"/>
      <c r="B121" s="256"/>
      <c r="C121" s="256"/>
      <c r="D121" s="257"/>
      <c r="E121" s="258"/>
      <c r="F121" s="259"/>
      <c r="G121" s="256"/>
    </row>
    <row r="122" ht="15.75" customHeight="1">
      <c r="A122" s="256"/>
      <c r="B122" s="256"/>
      <c r="C122" s="256"/>
      <c r="D122" s="257"/>
      <c r="E122" s="258"/>
      <c r="F122" s="259"/>
      <c r="G122" s="256"/>
    </row>
    <row r="123" ht="15.75" customHeight="1">
      <c r="A123" s="256"/>
      <c r="B123" s="256"/>
      <c r="C123" s="256"/>
      <c r="D123" s="257"/>
      <c r="E123" s="258"/>
      <c r="F123" s="259"/>
      <c r="G123" s="256"/>
    </row>
    <row r="124" ht="15.75" customHeight="1">
      <c r="A124" s="256"/>
      <c r="B124" s="256"/>
      <c r="C124" s="256"/>
      <c r="D124" s="257"/>
      <c r="E124" s="258"/>
      <c r="F124" s="259"/>
      <c r="G124" s="256"/>
    </row>
    <row r="125" ht="15.75" customHeight="1">
      <c r="A125" s="256"/>
      <c r="B125" s="256"/>
      <c r="C125" s="256"/>
      <c r="D125" s="257"/>
      <c r="E125" s="258"/>
      <c r="F125" s="259"/>
      <c r="G125" s="256"/>
    </row>
    <row r="126" ht="15.75" customHeight="1">
      <c r="A126" s="256"/>
      <c r="B126" s="256"/>
      <c r="C126" s="256"/>
      <c r="D126" s="257"/>
      <c r="E126" s="258"/>
      <c r="F126" s="259"/>
      <c r="G126" s="256"/>
    </row>
    <row r="127" ht="15.75" customHeight="1">
      <c r="A127" s="256"/>
      <c r="B127" s="256"/>
      <c r="C127" s="256"/>
      <c r="D127" s="257"/>
      <c r="E127" s="258"/>
      <c r="F127" s="259"/>
      <c r="G127" s="256"/>
    </row>
    <row r="128" ht="15.75" customHeight="1">
      <c r="A128" s="256"/>
      <c r="B128" s="256"/>
      <c r="C128" s="256"/>
      <c r="D128" s="257"/>
      <c r="E128" s="258"/>
      <c r="F128" s="259"/>
      <c r="G128" s="256"/>
    </row>
    <row r="129" ht="15.75" customHeight="1">
      <c r="A129" s="256"/>
      <c r="B129" s="256"/>
      <c r="C129" s="256"/>
      <c r="D129" s="257"/>
      <c r="E129" s="258"/>
      <c r="F129" s="259"/>
      <c r="G129" s="256"/>
    </row>
    <row r="130" ht="15.75" customHeight="1">
      <c r="A130" s="256"/>
      <c r="B130" s="256"/>
      <c r="C130" s="256"/>
      <c r="D130" s="257"/>
      <c r="E130" s="258"/>
      <c r="F130" s="259"/>
      <c r="G130" s="256"/>
    </row>
    <row r="131" ht="15.75" customHeight="1">
      <c r="A131" s="256"/>
      <c r="B131" s="256"/>
      <c r="C131" s="256"/>
      <c r="D131" s="257"/>
      <c r="E131" s="258"/>
      <c r="F131" s="259"/>
      <c r="G131" s="256"/>
    </row>
    <row r="132" ht="15.75" customHeight="1">
      <c r="A132" s="256"/>
      <c r="B132" s="256"/>
      <c r="C132" s="256"/>
      <c r="D132" s="257"/>
      <c r="E132" s="258"/>
      <c r="F132" s="259"/>
      <c r="G132" s="256"/>
    </row>
    <row r="133" ht="15.75" customHeight="1">
      <c r="A133" s="256"/>
      <c r="B133" s="256"/>
      <c r="C133" s="256"/>
      <c r="D133" s="257"/>
      <c r="E133" s="258"/>
      <c r="F133" s="259"/>
      <c r="G133" s="256"/>
    </row>
    <row r="134" ht="15.75" customHeight="1">
      <c r="A134" s="256"/>
      <c r="B134" s="256"/>
      <c r="C134" s="256"/>
      <c r="D134" s="257"/>
      <c r="E134" s="258"/>
      <c r="F134" s="259"/>
      <c r="G134" s="256"/>
    </row>
    <row r="135" ht="15.75" customHeight="1">
      <c r="A135" s="256"/>
      <c r="B135" s="256"/>
      <c r="C135" s="256"/>
      <c r="D135" s="257"/>
      <c r="E135" s="258"/>
      <c r="F135" s="259"/>
      <c r="G135" s="256"/>
    </row>
    <row r="136" ht="15.75" customHeight="1">
      <c r="A136" s="256"/>
      <c r="B136" s="256"/>
      <c r="C136" s="256"/>
      <c r="D136" s="257"/>
      <c r="E136" s="258"/>
      <c r="F136" s="259"/>
      <c r="G136" s="256"/>
    </row>
    <row r="137" ht="15.75" customHeight="1">
      <c r="A137" s="256"/>
      <c r="B137" s="256"/>
      <c r="C137" s="256"/>
      <c r="D137" s="257"/>
      <c r="E137" s="258"/>
      <c r="F137" s="259"/>
      <c r="G137" s="256"/>
    </row>
    <row r="138" ht="15.75" customHeight="1">
      <c r="A138" s="256"/>
      <c r="B138" s="256"/>
      <c r="C138" s="256"/>
      <c r="D138" s="257"/>
      <c r="E138" s="258"/>
      <c r="F138" s="259"/>
      <c r="G138" s="256"/>
    </row>
    <row r="139" ht="15.75" customHeight="1">
      <c r="A139" s="256"/>
      <c r="B139" s="256"/>
      <c r="C139" s="256"/>
      <c r="D139" s="257"/>
      <c r="E139" s="258"/>
      <c r="F139" s="259"/>
      <c r="G139" s="256"/>
    </row>
    <row r="140" ht="15.75" customHeight="1">
      <c r="A140" s="256"/>
      <c r="B140" s="256"/>
      <c r="C140" s="256"/>
      <c r="D140" s="257"/>
      <c r="E140" s="258"/>
      <c r="F140" s="259"/>
      <c r="G140" s="256"/>
    </row>
    <row r="141" ht="15.75" customHeight="1">
      <c r="A141" s="256"/>
      <c r="B141" s="256"/>
      <c r="C141" s="256"/>
      <c r="D141" s="257"/>
      <c r="E141" s="258"/>
      <c r="F141" s="259"/>
      <c r="G141" s="256"/>
    </row>
    <row r="142" ht="15.75" customHeight="1">
      <c r="A142" s="256"/>
      <c r="B142" s="256"/>
      <c r="C142" s="256"/>
      <c r="D142" s="257"/>
      <c r="E142" s="258"/>
      <c r="F142" s="259"/>
      <c r="G142" s="256"/>
    </row>
    <row r="143" ht="15.75" customHeight="1">
      <c r="A143" s="256"/>
      <c r="B143" s="256"/>
      <c r="C143" s="256"/>
      <c r="D143" s="257"/>
      <c r="E143" s="258"/>
      <c r="F143" s="259"/>
      <c r="G143" s="256"/>
    </row>
    <row r="144" ht="15.75" customHeight="1">
      <c r="A144" s="256"/>
      <c r="B144" s="256"/>
      <c r="C144" s="256"/>
      <c r="D144" s="257"/>
      <c r="E144" s="258"/>
      <c r="F144" s="259"/>
      <c r="G144" s="256"/>
    </row>
    <row r="145" ht="15.75" customHeight="1">
      <c r="A145" s="256"/>
      <c r="B145" s="256"/>
      <c r="C145" s="256"/>
      <c r="D145" s="257"/>
      <c r="E145" s="258"/>
      <c r="F145" s="259"/>
      <c r="G145" s="256"/>
    </row>
    <row r="146" ht="15.75" customHeight="1">
      <c r="A146" s="256"/>
      <c r="B146" s="256"/>
      <c r="C146" s="256"/>
      <c r="D146" s="257"/>
      <c r="E146" s="258"/>
      <c r="F146" s="259"/>
      <c r="G146" s="256"/>
    </row>
    <row r="147" ht="15.75" customHeight="1">
      <c r="A147" s="256"/>
      <c r="B147" s="256"/>
      <c r="C147" s="256"/>
      <c r="D147" s="257"/>
      <c r="E147" s="258"/>
      <c r="F147" s="259"/>
      <c r="G147" s="256"/>
    </row>
    <row r="148" ht="15.75" customHeight="1">
      <c r="A148" s="256"/>
      <c r="B148" s="256"/>
      <c r="C148" s="256"/>
      <c r="D148" s="257"/>
      <c r="E148" s="258"/>
      <c r="F148" s="259"/>
      <c r="G148" s="256"/>
    </row>
    <row r="149" ht="15.75" customHeight="1">
      <c r="A149" s="256"/>
      <c r="B149" s="256"/>
      <c r="C149" s="256"/>
      <c r="D149" s="257"/>
      <c r="E149" s="258"/>
      <c r="F149" s="259"/>
      <c r="G149" s="256"/>
    </row>
    <row r="150" ht="15.75" customHeight="1">
      <c r="A150" s="256"/>
      <c r="B150" s="256"/>
      <c r="C150" s="256"/>
      <c r="D150" s="257"/>
      <c r="E150" s="258"/>
      <c r="F150" s="259"/>
      <c r="G150" s="256"/>
    </row>
    <row r="151" ht="15.75" customHeight="1">
      <c r="A151" s="256"/>
      <c r="B151" s="256"/>
      <c r="C151" s="256"/>
      <c r="D151" s="257"/>
      <c r="E151" s="258"/>
      <c r="F151" s="259"/>
      <c r="G151" s="256"/>
    </row>
    <row r="152" ht="15.75" customHeight="1">
      <c r="A152" s="256"/>
      <c r="B152" s="256"/>
      <c r="C152" s="256"/>
      <c r="D152" s="257"/>
      <c r="E152" s="258"/>
      <c r="F152" s="259"/>
      <c r="G152" s="256"/>
    </row>
    <row r="153" ht="15.75" customHeight="1">
      <c r="A153" s="256"/>
      <c r="B153" s="256"/>
      <c r="C153" s="256"/>
      <c r="D153" s="257"/>
      <c r="E153" s="258"/>
      <c r="F153" s="259"/>
      <c r="G153" s="256"/>
    </row>
    <row r="154" ht="15.75" customHeight="1">
      <c r="A154" s="256"/>
      <c r="B154" s="256"/>
      <c r="C154" s="256"/>
      <c r="D154" s="257"/>
      <c r="E154" s="258"/>
      <c r="F154" s="259"/>
      <c r="G154" s="256"/>
    </row>
    <row r="155" ht="15.75" customHeight="1">
      <c r="A155" s="256"/>
      <c r="B155" s="256"/>
      <c r="C155" s="256"/>
      <c r="D155" s="257"/>
      <c r="E155" s="258"/>
      <c r="F155" s="259"/>
      <c r="G155" s="256"/>
    </row>
    <row r="156" ht="15.75" customHeight="1">
      <c r="A156" s="256"/>
      <c r="B156" s="256"/>
      <c r="C156" s="256"/>
      <c r="D156" s="257"/>
      <c r="E156" s="258"/>
      <c r="F156" s="259"/>
      <c r="G156" s="256"/>
    </row>
    <row r="157" ht="15.75" customHeight="1">
      <c r="A157" s="256"/>
      <c r="B157" s="256"/>
      <c r="C157" s="256"/>
      <c r="D157" s="257"/>
      <c r="E157" s="258"/>
      <c r="F157" s="259"/>
      <c r="G157" s="256"/>
    </row>
    <row r="158" ht="15.75" customHeight="1">
      <c r="A158" s="256"/>
      <c r="B158" s="256"/>
      <c r="C158" s="256"/>
      <c r="D158" s="257"/>
      <c r="E158" s="258"/>
      <c r="F158" s="259"/>
      <c r="G158" s="256"/>
    </row>
    <row r="159" ht="15.75" customHeight="1">
      <c r="A159" s="256"/>
      <c r="B159" s="256"/>
      <c r="C159" s="256"/>
      <c r="D159" s="257"/>
      <c r="E159" s="258"/>
      <c r="F159" s="259"/>
      <c r="G159" s="256"/>
    </row>
    <row r="160" ht="15.75" customHeight="1">
      <c r="A160" s="256"/>
      <c r="B160" s="256"/>
      <c r="C160" s="256"/>
      <c r="D160" s="257"/>
      <c r="E160" s="258"/>
      <c r="F160" s="259"/>
      <c r="G160" s="256"/>
    </row>
    <row r="161" ht="15.75" customHeight="1">
      <c r="A161" s="256"/>
      <c r="B161" s="256"/>
      <c r="C161" s="256"/>
      <c r="D161" s="257"/>
      <c r="E161" s="258"/>
      <c r="F161" s="259"/>
      <c r="G161" s="256"/>
    </row>
    <row r="162" ht="15.75" customHeight="1">
      <c r="A162" s="256"/>
      <c r="B162" s="256"/>
      <c r="C162" s="256"/>
      <c r="D162" s="257"/>
      <c r="E162" s="258"/>
      <c r="F162" s="259"/>
      <c r="G162" s="256"/>
    </row>
    <row r="163" ht="15.75" customHeight="1">
      <c r="A163" s="256"/>
      <c r="B163" s="256"/>
      <c r="C163" s="256"/>
      <c r="D163" s="257"/>
      <c r="E163" s="258"/>
      <c r="F163" s="259"/>
      <c r="G163" s="256"/>
    </row>
    <row r="164" ht="15.75" customHeight="1">
      <c r="A164" s="256"/>
      <c r="B164" s="256"/>
      <c r="C164" s="256"/>
      <c r="D164" s="257"/>
      <c r="E164" s="258"/>
      <c r="F164" s="259"/>
      <c r="G164" s="256"/>
    </row>
    <row r="165" ht="15.75" customHeight="1">
      <c r="A165" s="256"/>
      <c r="B165" s="256"/>
      <c r="C165" s="256"/>
      <c r="D165" s="257"/>
      <c r="E165" s="258"/>
      <c r="F165" s="259"/>
      <c r="G165" s="256"/>
    </row>
    <row r="166" ht="15.75" customHeight="1">
      <c r="A166" s="256"/>
      <c r="B166" s="256"/>
      <c r="C166" s="256"/>
      <c r="D166" s="257"/>
      <c r="E166" s="258"/>
      <c r="F166" s="259"/>
      <c r="G166" s="256"/>
    </row>
    <row r="167" ht="15.75" customHeight="1">
      <c r="A167" s="256"/>
      <c r="B167" s="256"/>
      <c r="C167" s="256"/>
      <c r="D167" s="257"/>
      <c r="E167" s="258"/>
      <c r="F167" s="259"/>
      <c r="G167" s="256"/>
    </row>
    <row r="168" ht="15.75" customHeight="1">
      <c r="A168" s="256"/>
      <c r="B168" s="256"/>
      <c r="C168" s="256"/>
      <c r="D168" s="257"/>
      <c r="E168" s="258"/>
      <c r="F168" s="259"/>
      <c r="G168" s="256"/>
    </row>
    <row r="169" ht="15.75" customHeight="1">
      <c r="A169" s="256"/>
      <c r="B169" s="256"/>
      <c r="C169" s="256"/>
      <c r="D169" s="257"/>
      <c r="E169" s="258"/>
      <c r="F169" s="259"/>
      <c r="G169" s="256"/>
    </row>
    <row r="170" ht="15.75" customHeight="1">
      <c r="A170" s="256"/>
      <c r="B170" s="256"/>
      <c r="C170" s="256"/>
      <c r="D170" s="257"/>
      <c r="E170" s="258"/>
      <c r="F170" s="259"/>
      <c r="G170" s="256"/>
    </row>
    <row r="171" ht="15.75" customHeight="1">
      <c r="A171" s="256"/>
      <c r="B171" s="256"/>
      <c r="C171" s="256"/>
      <c r="D171" s="257"/>
      <c r="E171" s="258"/>
      <c r="F171" s="259"/>
      <c r="G171" s="256"/>
    </row>
    <row r="172" ht="15.75" customHeight="1">
      <c r="A172" s="256"/>
      <c r="B172" s="256"/>
      <c r="C172" s="256"/>
      <c r="D172" s="257"/>
      <c r="E172" s="258"/>
      <c r="F172" s="259"/>
      <c r="G172" s="256"/>
    </row>
    <row r="173" ht="15.75" customHeight="1">
      <c r="A173" s="256"/>
      <c r="B173" s="256"/>
      <c r="C173" s="256"/>
      <c r="D173" s="257"/>
      <c r="E173" s="258"/>
      <c r="F173" s="259"/>
      <c r="G173" s="256"/>
    </row>
    <row r="174" ht="15.75" customHeight="1">
      <c r="A174" s="256"/>
      <c r="B174" s="256"/>
      <c r="C174" s="256"/>
      <c r="D174" s="257"/>
      <c r="E174" s="258"/>
      <c r="F174" s="259"/>
      <c r="G174" s="256"/>
    </row>
    <row r="175" ht="15.75" customHeight="1">
      <c r="A175" s="256"/>
      <c r="B175" s="256"/>
      <c r="C175" s="256"/>
      <c r="D175" s="257"/>
      <c r="E175" s="258"/>
      <c r="F175" s="259"/>
      <c r="G175" s="256"/>
    </row>
    <row r="176" ht="15.75" customHeight="1">
      <c r="A176" s="256"/>
      <c r="B176" s="256"/>
      <c r="C176" s="256"/>
      <c r="D176" s="257"/>
      <c r="E176" s="258"/>
      <c r="F176" s="259"/>
      <c r="G176" s="256"/>
    </row>
    <row r="177" ht="15.75" customHeight="1">
      <c r="A177" s="256"/>
      <c r="B177" s="256"/>
      <c r="C177" s="256"/>
      <c r="D177" s="257"/>
      <c r="E177" s="258"/>
      <c r="F177" s="259"/>
      <c r="G177" s="256"/>
    </row>
    <row r="178" ht="15.75" customHeight="1">
      <c r="A178" s="256"/>
      <c r="B178" s="256"/>
      <c r="C178" s="256"/>
      <c r="D178" s="257"/>
      <c r="E178" s="258"/>
      <c r="F178" s="259"/>
      <c r="G178" s="256"/>
    </row>
    <row r="179" ht="15.75" customHeight="1">
      <c r="A179" s="256"/>
      <c r="B179" s="256"/>
      <c r="C179" s="256"/>
      <c r="D179" s="257"/>
      <c r="E179" s="258"/>
      <c r="F179" s="259"/>
      <c r="G179" s="256"/>
    </row>
    <row r="180" ht="15.75" customHeight="1">
      <c r="A180" s="256"/>
      <c r="B180" s="256"/>
      <c r="C180" s="256"/>
      <c r="D180" s="257"/>
      <c r="E180" s="258"/>
      <c r="F180" s="259"/>
      <c r="G180" s="256"/>
    </row>
    <row r="181" ht="15.75" customHeight="1">
      <c r="A181" s="256"/>
      <c r="B181" s="256"/>
      <c r="C181" s="256"/>
      <c r="D181" s="257"/>
      <c r="E181" s="258"/>
      <c r="F181" s="259"/>
      <c r="G181" s="256"/>
    </row>
    <row r="182" ht="15.75" customHeight="1">
      <c r="A182" s="256"/>
      <c r="B182" s="256"/>
      <c r="C182" s="256"/>
      <c r="D182" s="257"/>
      <c r="E182" s="258"/>
      <c r="F182" s="259"/>
      <c r="G182" s="256"/>
    </row>
    <row r="183" ht="15.75" customHeight="1">
      <c r="A183" s="256"/>
      <c r="B183" s="256"/>
      <c r="C183" s="256"/>
      <c r="D183" s="257"/>
      <c r="E183" s="258"/>
      <c r="F183" s="259"/>
      <c r="G183" s="256"/>
    </row>
    <row r="184" ht="15.75" customHeight="1">
      <c r="A184" s="256"/>
      <c r="B184" s="256"/>
      <c r="C184" s="256"/>
      <c r="D184" s="257"/>
      <c r="E184" s="258"/>
      <c r="F184" s="259"/>
      <c r="G184" s="256"/>
    </row>
    <row r="185" ht="15.75" customHeight="1">
      <c r="A185" s="256"/>
      <c r="B185" s="256"/>
      <c r="C185" s="256"/>
      <c r="D185" s="257"/>
      <c r="E185" s="258"/>
      <c r="F185" s="259"/>
      <c r="G185" s="256"/>
    </row>
    <row r="186" ht="15.75" customHeight="1">
      <c r="A186" s="256"/>
      <c r="B186" s="256"/>
      <c r="C186" s="256"/>
      <c r="D186" s="257"/>
      <c r="E186" s="258"/>
      <c r="F186" s="259"/>
      <c r="G186" s="256"/>
    </row>
    <row r="187" ht="15.75" customHeight="1">
      <c r="A187" s="256"/>
      <c r="B187" s="256"/>
      <c r="C187" s="256"/>
      <c r="D187" s="257"/>
      <c r="E187" s="258"/>
      <c r="F187" s="259"/>
      <c r="G187" s="256"/>
    </row>
    <row r="188" ht="15.75" customHeight="1">
      <c r="A188" s="256"/>
      <c r="B188" s="256"/>
      <c r="C188" s="256"/>
      <c r="D188" s="257"/>
      <c r="E188" s="258"/>
      <c r="F188" s="259"/>
      <c r="G188" s="256"/>
    </row>
    <row r="189" ht="15.75" customHeight="1">
      <c r="A189" s="256"/>
      <c r="B189" s="256"/>
      <c r="C189" s="256"/>
      <c r="D189" s="257"/>
      <c r="E189" s="258"/>
      <c r="F189" s="259"/>
      <c r="G189" s="256"/>
    </row>
    <row r="190" ht="15.75" customHeight="1">
      <c r="A190" s="256"/>
      <c r="B190" s="256"/>
      <c r="C190" s="256"/>
      <c r="D190" s="257"/>
      <c r="E190" s="258"/>
      <c r="F190" s="259"/>
      <c r="G190" s="256"/>
    </row>
    <row r="191" ht="15.75" customHeight="1">
      <c r="A191" s="256"/>
      <c r="B191" s="256"/>
      <c r="C191" s="256"/>
      <c r="D191" s="257"/>
      <c r="E191" s="258"/>
      <c r="F191" s="259"/>
      <c r="G191" s="256"/>
    </row>
    <row r="192" ht="15.75" customHeight="1">
      <c r="A192" s="256"/>
      <c r="B192" s="256"/>
      <c r="C192" s="256"/>
      <c r="D192" s="257"/>
      <c r="E192" s="258"/>
      <c r="F192" s="259"/>
      <c r="G192" s="256"/>
    </row>
    <row r="193" ht="15.75" customHeight="1">
      <c r="A193" s="256"/>
      <c r="B193" s="256"/>
      <c r="C193" s="256"/>
      <c r="D193" s="257"/>
      <c r="E193" s="258"/>
      <c r="F193" s="259"/>
      <c r="G193" s="256"/>
    </row>
    <row r="194" ht="15.75" customHeight="1">
      <c r="A194" s="256"/>
      <c r="B194" s="256"/>
      <c r="C194" s="256"/>
      <c r="D194" s="257"/>
      <c r="E194" s="258"/>
      <c r="F194" s="259"/>
      <c r="G194" s="256"/>
    </row>
    <row r="195" ht="15.75" customHeight="1">
      <c r="A195" s="256"/>
      <c r="B195" s="256"/>
      <c r="C195" s="256"/>
      <c r="D195" s="257"/>
      <c r="E195" s="258"/>
      <c r="F195" s="259"/>
      <c r="G195" s="256"/>
    </row>
    <row r="196" ht="15.75" customHeight="1">
      <c r="A196" s="256"/>
      <c r="B196" s="256"/>
      <c r="C196" s="256"/>
      <c r="D196" s="257"/>
      <c r="E196" s="258"/>
      <c r="F196" s="259"/>
      <c r="G196" s="256"/>
    </row>
    <row r="197" ht="15.75" customHeight="1">
      <c r="A197" s="256"/>
      <c r="B197" s="256"/>
      <c r="C197" s="256"/>
      <c r="D197" s="257"/>
      <c r="E197" s="258"/>
      <c r="F197" s="259"/>
      <c r="G197" s="256"/>
    </row>
    <row r="198" ht="15.75" customHeight="1">
      <c r="A198" s="256"/>
      <c r="B198" s="256"/>
      <c r="C198" s="256"/>
      <c r="D198" s="257"/>
      <c r="E198" s="258"/>
      <c r="F198" s="259"/>
      <c r="G198" s="256"/>
    </row>
    <row r="199" ht="15.75" customHeight="1">
      <c r="A199" s="256"/>
      <c r="B199" s="256"/>
      <c r="C199" s="256"/>
      <c r="D199" s="257"/>
      <c r="E199" s="258"/>
      <c r="F199" s="259"/>
      <c r="G199" s="256"/>
    </row>
    <row r="200" ht="15.75" customHeight="1">
      <c r="A200" s="256"/>
      <c r="B200" s="256"/>
      <c r="C200" s="256"/>
      <c r="D200" s="257"/>
      <c r="E200" s="258"/>
      <c r="F200" s="259"/>
      <c r="G200" s="256"/>
    </row>
    <row r="201" ht="15.75" customHeight="1">
      <c r="A201" s="256"/>
      <c r="B201" s="256"/>
      <c r="C201" s="256"/>
      <c r="D201" s="257"/>
      <c r="E201" s="258"/>
      <c r="F201" s="259"/>
      <c r="G201" s="256"/>
    </row>
    <row r="202" ht="15.75" customHeight="1">
      <c r="A202" s="256"/>
      <c r="B202" s="256"/>
      <c r="C202" s="256"/>
      <c r="D202" s="257"/>
      <c r="E202" s="258"/>
      <c r="F202" s="259"/>
      <c r="G202" s="256"/>
    </row>
    <row r="203" ht="15.75" customHeight="1">
      <c r="A203" s="256"/>
      <c r="B203" s="256"/>
      <c r="C203" s="256"/>
      <c r="D203" s="257"/>
      <c r="E203" s="258"/>
      <c r="F203" s="259"/>
      <c r="G203" s="256"/>
    </row>
    <row r="204" ht="15.75" customHeight="1">
      <c r="A204" s="256"/>
      <c r="B204" s="256"/>
      <c r="C204" s="256"/>
      <c r="D204" s="257"/>
      <c r="E204" s="258"/>
      <c r="F204" s="259"/>
      <c r="G204" s="256"/>
    </row>
    <row r="205" ht="15.75" customHeight="1">
      <c r="A205" s="256"/>
      <c r="B205" s="256"/>
      <c r="C205" s="256"/>
      <c r="D205" s="257"/>
      <c r="E205" s="258"/>
      <c r="F205" s="259"/>
      <c r="G205" s="256"/>
    </row>
    <row r="206" ht="15.75" customHeight="1">
      <c r="A206" s="256"/>
      <c r="B206" s="256"/>
      <c r="C206" s="256"/>
      <c r="D206" s="257"/>
      <c r="E206" s="258"/>
      <c r="F206" s="259"/>
      <c r="G206" s="256"/>
    </row>
    <row r="207" ht="15.75" customHeight="1">
      <c r="A207" s="256"/>
      <c r="B207" s="256"/>
      <c r="C207" s="256"/>
      <c r="D207" s="257"/>
      <c r="E207" s="258"/>
      <c r="F207" s="259"/>
      <c r="G207" s="256"/>
    </row>
    <row r="208" ht="15.75" customHeight="1">
      <c r="A208" s="256"/>
      <c r="B208" s="256"/>
      <c r="C208" s="256"/>
      <c r="D208" s="257"/>
      <c r="E208" s="258"/>
      <c r="F208" s="259"/>
      <c r="G208" s="256"/>
    </row>
    <row r="209" ht="15.75" customHeight="1">
      <c r="A209" s="256"/>
      <c r="B209" s="256"/>
      <c r="C209" s="256"/>
      <c r="D209" s="257"/>
      <c r="E209" s="258"/>
      <c r="F209" s="259"/>
      <c r="G209" s="256"/>
    </row>
    <row r="210" ht="15.75" customHeight="1">
      <c r="A210" s="256"/>
      <c r="B210" s="256"/>
      <c r="C210" s="256"/>
      <c r="D210" s="257"/>
      <c r="E210" s="258"/>
      <c r="F210" s="259"/>
      <c r="G210" s="256"/>
    </row>
    <row r="211" ht="15.75" customHeight="1">
      <c r="A211" s="256"/>
      <c r="B211" s="256"/>
      <c r="C211" s="256"/>
      <c r="D211" s="257"/>
      <c r="E211" s="258"/>
      <c r="F211" s="259"/>
      <c r="G211" s="256"/>
    </row>
    <row r="212" ht="15.75" customHeight="1">
      <c r="A212" s="256"/>
      <c r="B212" s="256"/>
      <c r="C212" s="256"/>
      <c r="D212" s="257"/>
      <c r="E212" s="258"/>
      <c r="F212" s="259"/>
      <c r="G212" s="256"/>
    </row>
    <row r="213" ht="15.75" customHeight="1">
      <c r="A213" s="256"/>
      <c r="B213" s="256"/>
      <c r="C213" s="256"/>
      <c r="D213" s="257"/>
      <c r="E213" s="258"/>
      <c r="F213" s="259"/>
      <c r="G213" s="256"/>
    </row>
    <row r="214" ht="15.75" customHeight="1">
      <c r="A214" s="256"/>
      <c r="B214" s="256"/>
      <c r="C214" s="256"/>
      <c r="D214" s="257"/>
      <c r="E214" s="258"/>
      <c r="F214" s="259"/>
      <c r="G214" s="256"/>
    </row>
    <row r="215" ht="15.75" customHeight="1">
      <c r="A215" s="256"/>
      <c r="B215" s="256"/>
      <c r="C215" s="256"/>
      <c r="D215" s="257"/>
      <c r="E215" s="258"/>
      <c r="F215" s="259"/>
      <c r="G215" s="256"/>
    </row>
    <row r="216" ht="15.75" customHeight="1">
      <c r="A216" s="256"/>
      <c r="B216" s="256"/>
      <c r="C216" s="256"/>
      <c r="D216" s="257"/>
      <c r="E216" s="258"/>
      <c r="F216" s="259"/>
      <c r="G216" s="256"/>
    </row>
    <row r="217" ht="15.75" customHeight="1">
      <c r="A217" s="256"/>
      <c r="B217" s="256"/>
      <c r="C217" s="256"/>
      <c r="D217" s="257"/>
      <c r="E217" s="258"/>
      <c r="F217" s="259"/>
      <c r="G217" s="256"/>
    </row>
    <row r="218" ht="15.75" customHeight="1">
      <c r="A218" s="256"/>
      <c r="B218" s="256"/>
      <c r="C218" s="256"/>
      <c r="D218" s="257"/>
      <c r="E218" s="258"/>
      <c r="F218" s="259"/>
      <c r="G218" s="256"/>
    </row>
    <row r="219" ht="15.75" customHeight="1">
      <c r="A219" s="256"/>
      <c r="B219" s="256"/>
      <c r="C219" s="256"/>
      <c r="D219" s="257"/>
      <c r="E219" s="258"/>
      <c r="F219" s="259"/>
      <c r="G219" s="256"/>
    </row>
    <row r="220" ht="15.75" customHeight="1">
      <c r="A220" s="256"/>
      <c r="B220" s="256"/>
      <c r="C220" s="256"/>
      <c r="D220" s="257"/>
      <c r="E220" s="258"/>
      <c r="F220" s="259"/>
      <c r="G220" s="256"/>
    </row>
    <row r="221" ht="15.75" customHeight="1">
      <c r="A221" s="256"/>
      <c r="B221" s="256"/>
      <c r="C221" s="256"/>
      <c r="D221" s="257"/>
      <c r="E221" s="258"/>
      <c r="F221" s="259"/>
      <c r="G221" s="256"/>
    </row>
    <row r="222" ht="15.75" customHeight="1">
      <c r="A222" s="256"/>
      <c r="B222" s="256"/>
      <c r="C222" s="256"/>
      <c r="D222" s="257"/>
      <c r="E222" s="258"/>
      <c r="F222" s="259"/>
      <c r="G222" s="256"/>
    </row>
    <row r="223" ht="15.75" customHeight="1">
      <c r="A223" s="256"/>
      <c r="B223" s="256"/>
      <c r="C223" s="256"/>
      <c r="D223" s="257"/>
      <c r="E223" s="258"/>
      <c r="F223" s="259"/>
      <c r="G223" s="256"/>
    </row>
    <row r="224" ht="15.75" customHeight="1">
      <c r="A224" s="256"/>
      <c r="B224" s="256"/>
      <c r="C224" s="256"/>
      <c r="D224" s="257"/>
      <c r="E224" s="258"/>
      <c r="F224" s="259"/>
      <c r="G224" s="256"/>
    </row>
    <row r="225" ht="15.75" customHeight="1">
      <c r="A225" s="256"/>
      <c r="B225" s="256"/>
      <c r="C225" s="256"/>
      <c r="D225" s="257"/>
      <c r="E225" s="258"/>
      <c r="F225" s="259"/>
      <c r="G225" s="256"/>
    </row>
    <row r="226" ht="15.75" customHeight="1">
      <c r="A226" s="256"/>
      <c r="B226" s="256"/>
      <c r="C226" s="256"/>
      <c r="D226" s="257"/>
      <c r="E226" s="258"/>
      <c r="F226" s="259"/>
      <c r="G226" s="256"/>
    </row>
    <row r="227" ht="15.75" customHeight="1">
      <c r="A227" s="256"/>
      <c r="B227" s="256"/>
      <c r="C227" s="256"/>
      <c r="D227" s="257"/>
      <c r="E227" s="258"/>
      <c r="F227" s="259"/>
      <c r="G227" s="256"/>
    </row>
    <row r="228" ht="15.75" customHeight="1">
      <c r="A228" s="256"/>
      <c r="B228" s="256"/>
      <c r="C228" s="256"/>
      <c r="D228" s="257"/>
      <c r="E228" s="258"/>
      <c r="F228" s="259"/>
      <c r="G228" s="256"/>
    </row>
    <row r="229" ht="15.75" customHeight="1">
      <c r="A229" s="256"/>
      <c r="B229" s="256"/>
      <c r="C229" s="256"/>
      <c r="D229" s="257"/>
      <c r="E229" s="258"/>
      <c r="F229" s="259"/>
      <c r="G229" s="256"/>
    </row>
    <row r="230" ht="15.75" customHeight="1">
      <c r="A230" s="256"/>
      <c r="B230" s="256"/>
      <c r="C230" s="256"/>
      <c r="D230" s="257"/>
      <c r="E230" s="258"/>
      <c r="F230" s="259"/>
      <c r="G230" s="256"/>
    </row>
    <row r="231" ht="15.75" customHeight="1">
      <c r="A231" s="256"/>
      <c r="B231" s="256"/>
      <c r="C231" s="256"/>
      <c r="D231" s="257"/>
      <c r="E231" s="258"/>
      <c r="F231" s="259"/>
      <c r="G231" s="256"/>
    </row>
    <row r="232" ht="15.75" customHeight="1">
      <c r="A232" s="256"/>
      <c r="B232" s="256"/>
      <c r="C232" s="256"/>
      <c r="D232" s="257"/>
      <c r="E232" s="258"/>
      <c r="F232" s="259"/>
      <c r="G232" s="256"/>
    </row>
    <row r="233" ht="15.75" customHeight="1">
      <c r="A233" s="256"/>
      <c r="B233" s="256"/>
      <c r="C233" s="256"/>
      <c r="D233" s="257"/>
      <c r="E233" s="258"/>
      <c r="F233" s="259"/>
      <c r="G233" s="256"/>
    </row>
    <row r="234" ht="15.75" customHeight="1">
      <c r="A234" s="256"/>
      <c r="B234" s="256"/>
      <c r="C234" s="256"/>
      <c r="D234" s="257"/>
      <c r="E234" s="258"/>
      <c r="F234" s="259"/>
      <c r="G234" s="256"/>
    </row>
    <row r="235" ht="15.75" customHeight="1">
      <c r="A235" s="256"/>
      <c r="B235" s="256"/>
      <c r="C235" s="256"/>
      <c r="D235" s="257"/>
      <c r="E235" s="258"/>
      <c r="F235" s="259"/>
      <c r="G235" s="256"/>
    </row>
    <row r="236" ht="15.75" customHeight="1">
      <c r="A236" s="256"/>
      <c r="B236" s="256"/>
      <c r="C236" s="256"/>
      <c r="D236" s="257"/>
      <c r="E236" s="258"/>
      <c r="F236" s="259"/>
      <c r="G236" s="256"/>
    </row>
    <row r="237" ht="15.75" customHeight="1">
      <c r="A237" s="256"/>
      <c r="B237" s="256"/>
      <c r="C237" s="256"/>
      <c r="D237" s="257"/>
      <c r="E237" s="258"/>
      <c r="F237" s="259"/>
      <c r="G237" s="256"/>
    </row>
    <row r="238" ht="15.75" customHeight="1">
      <c r="A238" s="256"/>
      <c r="B238" s="256"/>
      <c r="C238" s="256"/>
      <c r="D238" s="257"/>
      <c r="E238" s="258"/>
      <c r="F238" s="259"/>
      <c r="G238" s="256"/>
    </row>
    <row r="239" ht="15.75" customHeight="1">
      <c r="A239" s="256"/>
      <c r="B239" s="256"/>
      <c r="C239" s="256"/>
      <c r="D239" s="257"/>
      <c r="E239" s="258"/>
      <c r="F239" s="259"/>
      <c r="G239" s="256"/>
    </row>
    <row r="240" ht="15.75" customHeight="1">
      <c r="A240" s="256"/>
      <c r="B240" s="256"/>
      <c r="C240" s="256"/>
      <c r="D240" s="257"/>
      <c r="E240" s="258"/>
      <c r="F240" s="259"/>
      <c r="G240" s="256"/>
    </row>
    <row r="241" ht="15.75" customHeight="1">
      <c r="A241" s="256"/>
      <c r="B241" s="256"/>
      <c r="C241" s="256"/>
      <c r="D241" s="257"/>
      <c r="E241" s="258"/>
      <c r="F241" s="259"/>
      <c r="G241" s="256"/>
    </row>
    <row r="242" ht="15.75" customHeight="1">
      <c r="A242" s="256"/>
      <c r="B242" s="256"/>
      <c r="C242" s="256"/>
      <c r="D242" s="257"/>
      <c r="E242" s="258"/>
      <c r="F242" s="259"/>
      <c r="G242" s="256"/>
    </row>
    <row r="243" ht="15.75" customHeight="1">
      <c r="A243" s="256"/>
      <c r="B243" s="256"/>
      <c r="C243" s="256"/>
      <c r="D243" s="257"/>
      <c r="E243" s="258"/>
      <c r="F243" s="259"/>
      <c r="G243" s="256"/>
    </row>
    <row r="244" ht="15.75" customHeight="1">
      <c r="A244" s="256"/>
      <c r="B244" s="256"/>
      <c r="C244" s="256"/>
      <c r="D244" s="257"/>
      <c r="E244" s="258"/>
      <c r="F244" s="259"/>
      <c r="G244" s="256"/>
    </row>
    <row r="245" ht="15.75" customHeight="1">
      <c r="A245" s="256"/>
      <c r="B245" s="256"/>
      <c r="C245" s="256"/>
      <c r="D245" s="257"/>
      <c r="E245" s="258"/>
      <c r="F245" s="259"/>
      <c r="G245" s="256"/>
    </row>
    <row r="246" ht="15.75" customHeight="1">
      <c r="A246" s="256"/>
      <c r="B246" s="256"/>
      <c r="C246" s="256"/>
      <c r="D246" s="257"/>
      <c r="E246" s="258"/>
      <c r="F246" s="259"/>
      <c r="G246" s="256"/>
    </row>
    <row r="247" ht="15.75" customHeight="1">
      <c r="A247" s="256"/>
      <c r="B247" s="256"/>
      <c r="C247" s="256"/>
      <c r="D247" s="257"/>
      <c r="E247" s="258"/>
      <c r="F247" s="259"/>
      <c r="G247" s="256"/>
    </row>
    <row r="248" ht="15.75" customHeight="1">
      <c r="A248" s="256"/>
      <c r="B248" s="256"/>
      <c r="C248" s="256"/>
      <c r="D248" s="257"/>
      <c r="E248" s="258"/>
      <c r="F248" s="259"/>
      <c r="G248" s="256"/>
    </row>
    <row r="249" ht="15.75" customHeight="1">
      <c r="A249" s="256"/>
      <c r="B249" s="256"/>
      <c r="C249" s="256"/>
      <c r="D249" s="257"/>
      <c r="E249" s="258"/>
      <c r="F249" s="259"/>
      <c r="G249" s="256"/>
    </row>
    <row r="250" ht="15.75" customHeight="1">
      <c r="A250" s="256"/>
      <c r="B250" s="256"/>
      <c r="C250" s="256"/>
      <c r="D250" s="257"/>
      <c r="E250" s="258"/>
      <c r="F250" s="259"/>
      <c r="G250" s="256"/>
    </row>
    <row r="251" ht="15.75" customHeight="1">
      <c r="A251" s="256"/>
      <c r="B251" s="256"/>
      <c r="C251" s="256"/>
      <c r="D251" s="257"/>
      <c r="E251" s="258"/>
      <c r="F251" s="259"/>
      <c r="G251" s="256"/>
    </row>
    <row r="252" ht="15.75" customHeight="1">
      <c r="A252" s="256"/>
      <c r="B252" s="256"/>
      <c r="C252" s="256"/>
      <c r="D252" s="257"/>
      <c r="E252" s="258"/>
      <c r="F252" s="259"/>
      <c r="G252" s="256"/>
    </row>
    <row r="253" ht="15.75" customHeight="1">
      <c r="A253" s="256"/>
      <c r="B253" s="256"/>
      <c r="C253" s="256"/>
      <c r="D253" s="257"/>
      <c r="E253" s="258"/>
      <c r="F253" s="259"/>
      <c r="G253" s="256"/>
    </row>
    <row r="254" ht="15.75" customHeight="1">
      <c r="A254" s="256"/>
      <c r="B254" s="256"/>
      <c r="C254" s="256"/>
      <c r="D254" s="257"/>
      <c r="E254" s="258"/>
      <c r="F254" s="259"/>
      <c r="G254" s="256"/>
    </row>
    <row r="255" ht="15.75" customHeight="1">
      <c r="A255" s="256"/>
      <c r="B255" s="256"/>
      <c r="C255" s="256"/>
      <c r="D255" s="257"/>
      <c r="E255" s="258"/>
      <c r="F255" s="259"/>
      <c r="G255" s="256"/>
    </row>
    <row r="256" ht="15.75" customHeight="1">
      <c r="A256" s="256"/>
      <c r="B256" s="256"/>
      <c r="C256" s="256"/>
      <c r="D256" s="257"/>
      <c r="E256" s="258"/>
      <c r="F256" s="259"/>
      <c r="G256" s="256"/>
    </row>
    <row r="257" ht="15.75" customHeight="1">
      <c r="A257" s="256"/>
      <c r="B257" s="256"/>
      <c r="C257" s="256"/>
      <c r="D257" s="257"/>
      <c r="E257" s="258"/>
      <c r="F257" s="259"/>
      <c r="G257" s="256"/>
    </row>
    <row r="258" ht="15.75" customHeight="1">
      <c r="A258" s="256"/>
      <c r="B258" s="256"/>
      <c r="C258" s="256"/>
      <c r="D258" s="257"/>
      <c r="E258" s="258"/>
      <c r="F258" s="259"/>
      <c r="G258" s="256"/>
    </row>
    <row r="259" ht="15.75" customHeight="1">
      <c r="A259" s="256"/>
      <c r="B259" s="256"/>
      <c r="C259" s="256"/>
      <c r="D259" s="257"/>
      <c r="E259" s="258"/>
      <c r="F259" s="259"/>
      <c r="G259" s="256"/>
    </row>
    <row r="260" ht="15.75" customHeight="1">
      <c r="A260" s="256"/>
      <c r="B260" s="256"/>
      <c r="C260" s="256"/>
      <c r="D260" s="257"/>
      <c r="E260" s="258"/>
      <c r="F260" s="259"/>
      <c r="G260" s="256"/>
    </row>
    <row r="261" ht="15.75" customHeight="1">
      <c r="A261" s="256"/>
      <c r="B261" s="256"/>
      <c r="C261" s="256"/>
      <c r="D261" s="257"/>
      <c r="E261" s="258"/>
      <c r="F261" s="259"/>
      <c r="G261" s="256"/>
    </row>
    <row r="262" ht="15.75" customHeight="1">
      <c r="A262" s="256"/>
      <c r="B262" s="256"/>
      <c r="C262" s="256"/>
      <c r="D262" s="257"/>
      <c r="E262" s="258"/>
      <c r="F262" s="259"/>
      <c r="G262" s="256"/>
    </row>
    <row r="263" ht="15.75" customHeight="1">
      <c r="A263" s="256"/>
      <c r="B263" s="256"/>
      <c r="C263" s="256"/>
      <c r="D263" s="257"/>
      <c r="E263" s="258"/>
      <c r="F263" s="259"/>
      <c r="G263" s="256"/>
    </row>
    <row r="264" ht="15.75" customHeight="1">
      <c r="A264" s="256"/>
      <c r="B264" s="256"/>
      <c r="C264" s="256"/>
      <c r="D264" s="257"/>
      <c r="E264" s="258"/>
      <c r="F264" s="259"/>
      <c r="G264" s="256"/>
    </row>
    <row r="265" ht="15.75" customHeight="1">
      <c r="A265" s="256"/>
      <c r="B265" s="256"/>
      <c r="C265" s="256"/>
      <c r="D265" s="257"/>
      <c r="E265" s="258"/>
      <c r="F265" s="259"/>
      <c r="G265" s="256"/>
    </row>
    <row r="266" ht="15.75" customHeight="1">
      <c r="A266" s="256"/>
      <c r="B266" s="256"/>
      <c r="C266" s="256"/>
      <c r="D266" s="257"/>
      <c r="E266" s="258"/>
      <c r="F266" s="259"/>
      <c r="G266" s="256"/>
    </row>
    <row r="267" ht="15.75" customHeight="1">
      <c r="A267" s="256"/>
      <c r="B267" s="256"/>
      <c r="C267" s="256"/>
      <c r="D267" s="257"/>
      <c r="E267" s="258"/>
      <c r="F267" s="259"/>
      <c r="G267" s="256"/>
    </row>
    <row r="268" ht="15.75" customHeight="1">
      <c r="A268" s="256"/>
      <c r="B268" s="256"/>
      <c r="C268" s="256"/>
      <c r="D268" s="257"/>
      <c r="E268" s="258"/>
      <c r="F268" s="259"/>
      <c r="G268" s="256"/>
    </row>
    <row r="269" ht="15.75" customHeight="1">
      <c r="A269" s="256"/>
      <c r="B269" s="256"/>
      <c r="C269" s="256"/>
      <c r="D269" s="257"/>
      <c r="E269" s="258"/>
      <c r="F269" s="259"/>
      <c r="G269" s="256"/>
    </row>
    <row r="270" ht="15.75" customHeight="1">
      <c r="A270" s="256"/>
      <c r="B270" s="256"/>
      <c r="C270" s="256"/>
      <c r="D270" s="257"/>
      <c r="E270" s="258"/>
      <c r="F270" s="259"/>
      <c r="G270" s="256"/>
    </row>
    <row r="271" ht="15.75" customHeight="1">
      <c r="A271" s="256"/>
      <c r="B271" s="256"/>
      <c r="C271" s="256"/>
      <c r="D271" s="257"/>
      <c r="E271" s="258"/>
      <c r="F271" s="259"/>
      <c r="G271" s="256"/>
    </row>
    <row r="272" ht="15.75" customHeight="1">
      <c r="A272" s="256"/>
      <c r="B272" s="256"/>
      <c r="C272" s="256"/>
      <c r="D272" s="257"/>
      <c r="E272" s="258"/>
      <c r="F272" s="259"/>
      <c r="G272" s="256"/>
    </row>
    <row r="273" ht="15.75" customHeight="1">
      <c r="A273" s="256"/>
      <c r="B273" s="256"/>
      <c r="C273" s="256"/>
      <c r="D273" s="257"/>
      <c r="E273" s="258"/>
      <c r="F273" s="259"/>
      <c r="G273" s="256"/>
    </row>
    <row r="274" ht="15.75" customHeight="1">
      <c r="A274" s="256"/>
      <c r="B274" s="256"/>
      <c r="C274" s="256"/>
      <c r="D274" s="257"/>
      <c r="E274" s="258"/>
      <c r="F274" s="259"/>
      <c r="G274" s="256"/>
    </row>
    <row r="275" ht="15.75" customHeight="1">
      <c r="A275" s="256"/>
      <c r="B275" s="256"/>
      <c r="C275" s="256"/>
      <c r="D275" s="257"/>
      <c r="E275" s="258"/>
      <c r="F275" s="259"/>
      <c r="G275" s="256"/>
    </row>
    <row r="276" ht="15.75" customHeight="1">
      <c r="A276" s="256"/>
      <c r="B276" s="256"/>
      <c r="C276" s="256"/>
      <c r="D276" s="257"/>
      <c r="E276" s="258"/>
      <c r="F276" s="259"/>
      <c r="G276" s="256"/>
    </row>
    <row r="277" ht="15.75" customHeight="1">
      <c r="A277" s="256"/>
      <c r="B277" s="256"/>
      <c r="C277" s="256"/>
      <c r="D277" s="257"/>
      <c r="E277" s="258"/>
      <c r="F277" s="259"/>
      <c r="G277" s="256"/>
    </row>
    <row r="278" ht="15.75" customHeight="1">
      <c r="A278" s="256"/>
      <c r="B278" s="256"/>
      <c r="C278" s="256"/>
      <c r="D278" s="257"/>
      <c r="E278" s="258"/>
      <c r="F278" s="259"/>
      <c r="G278" s="256"/>
    </row>
    <row r="279" ht="15.75" customHeight="1">
      <c r="A279" s="256"/>
      <c r="B279" s="256"/>
      <c r="C279" s="256"/>
      <c r="D279" s="257"/>
      <c r="E279" s="258"/>
      <c r="F279" s="259"/>
      <c r="G279" s="256"/>
    </row>
    <row r="280" ht="15.75" customHeight="1">
      <c r="A280" s="256"/>
      <c r="B280" s="256"/>
      <c r="C280" s="256"/>
      <c r="D280" s="257"/>
      <c r="E280" s="258"/>
      <c r="F280" s="259"/>
      <c r="G280" s="256"/>
    </row>
    <row r="281" ht="15.75" customHeight="1">
      <c r="A281" s="256"/>
      <c r="B281" s="256"/>
      <c r="C281" s="256"/>
      <c r="D281" s="257"/>
      <c r="E281" s="258"/>
      <c r="F281" s="259"/>
      <c r="G281" s="256"/>
    </row>
    <row r="282" ht="15.75" customHeight="1">
      <c r="A282" s="256"/>
      <c r="B282" s="256"/>
      <c r="C282" s="256"/>
      <c r="D282" s="257"/>
      <c r="E282" s="258"/>
      <c r="F282" s="259"/>
      <c r="G282" s="256"/>
    </row>
    <row r="283" ht="15.75" customHeight="1">
      <c r="A283" s="256"/>
      <c r="B283" s="256"/>
      <c r="C283" s="256"/>
      <c r="D283" s="257"/>
      <c r="E283" s="258"/>
      <c r="F283" s="259"/>
      <c r="G283" s="256"/>
    </row>
    <row r="284" ht="15.75" customHeight="1">
      <c r="A284" s="256"/>
      <c r="B284" s="256"/>
      <c r="C284" s="256"/>
      <c r="D284" s="257"/>
      <c r="E284" s="258"/>
      <c r="F284" s="259"/>
      <c r="G284" s="256"/>
    </row>
    <row r="285" ht="15.75" customHeight="1">
      <c r="A285" s="256"/>
      <c r="B285" s="256"/>
      <c r="C285" s="256"/>
      <c r="D285" s="257"/>
      <c r="E285" s="258"/>
      <c r="F285" s="259"/>
      <c r="G285" s="256"/>
    </row>
    <row r="286" ht="15.75" customHeight="1">
      <c r="A286" s="256"/>
      <c r="B286" s="256"/>
      <c r="C286" s="256"/>
      <c r="D286" s="257"/>
      <c r="E286" s="258"/>
      <c r="F286" s="259"/>
      <c r="G286" s="256"/>
    </row>
    <row r="287" ht="15.75" customHeight="1">
      <c r="A287" s="256"/>
      <c r="B287" s="256"/>
      <c r="C287" s="256"/>
      <c r="D287" s="257"/>
      <c r="E287" s="258"/>
      <c r="F287" s="259"/>
      <c r="G287" s="256"/>
    </row>
    <row r="288" ht="15.75" customHeight="1">
      <c r="A288" s="256"/>
      <c r="B288" s="256"/>
      <c r="C288" s="256"/>
      <c r="D288" s="257"/>
      <c r="E288" s="258"/>
      <c r="F288" s="259"/>
      <c r="G288" s="256"/>
    </row>
    <row r="289" ht="15.75" customHeight="1">
      <c r="A289" s="256"/>
      <c r="B289" s="256"/>
      <c r="C289" s="256"/>
      <c r="D289" s="257"/>
      <c r="E289" s="258"/>
      <c r="F289" s="259"/>
      <c r="G289" s="256"/>
    </row>
    <row r="290" ht="15.75" customHeight="1">
      <c r="A290" s="256"/>
      <c r="B290" s="256"/>
      <c r="C290" s="256"/>
      <c r="D290" s="257"/>
      <c r="E290" s="258"/>
      <c r="F290" s="259"/>
      <c r="G290" s="256"/>
    </row>
    <row r="291" ht="15.75" customHeight="1">
      <c r="A291" s="256"/>
      <c r="B291" s="256"/>
      <c r="C291" s="256"/>
      <c r="D291" s="257"/>
      <c r="E291" s="258"/>
      <c r="F291" s="259"/>
      <c r="G291" s="256"/>
    </row>
    <row r="292" ht="15.75" customHeight="1">
      <c r="A292" s="256"/>
      <c r="B292" s="256"/>
      <c r="C292" s="256"/>
      <c r="D292" s="257"/>
      <c r="E292" s="258"/>
      <c r="F292" s="259"/>
      <c r="G292" s="256"/>
    </row>
    <row r="293" ht="15.75" customHeight="1">
      <c r="A293" s="256"/>
      <c r="B293" s="256"/>
      <c r="C293" s="256"/>
      <c r="D293" s="257"/>
      <c r="E293" s="258"/>
      <c r="F293" s="259"/>
      <c r="G293" s="256"/>
    </row>
    <row r="294" ht="15.75" customHeight="1">
      <c r="A294" s="256"/>
      <c r="B294" s="256"/>
      <c r="C294" s="256"/>
      <c r="D294" s="257"/>
      <c r="E294" s="258"/>
      <c r="F294" s="259"/>
      <c r="G294" s="256"/>
    </row>
    <row r="295" ht="15.75" customHeight="1">
      <c r="A295" s="256"/>
      <c r="B295" s="256"/>
      <c r="C295" s="256"/>
      <c r="D295" s="257"/>
      <c r="E295" s="258"/>
      <c r="F295" s="259"/>
      <c r="G295" s="256"/>
    </row>
    <row r="296" ht="15.75" customHeight="1">
      <c r="A296" s="256"/>
      <c r="B296" s="256"/>
      <c r="C296" s="256"/>
      <c r="D296" s="257"/>
      <c r="E296" s="258"/>
      <c r="F296" s="259"/>
      <c r="G296" s="256"/>
    </row>
    <row r="297" ht="15.75" customHeight="1">
      <c r="A297" s="256"/>
      <c r="B297" s="256"/>
      <c r="C297" s="256"/>
      <c r="D297" s="257"/>
      <c r="E297" s="258"/>
      <c r="F297" s="259"/>
      <c r="G297" s="256"/>
    </row>
    <row r="298" ht="15.75" customHeight="1">
      <c r="A298" s="256"/>
      <c r="B298" s="256"/>
      <c r="C298" s="256"/>
      <c r="D298" s="257"/>
      <c r="E298" s="258"/>
      <c r="F298" s="259"/>
      <c r="G298" s="256"/>
    </row>
    <row r="299" ht="15.75" customHeight="1">
      <c r="A299" s="256"/>
      <c r="B299" s="256"/>
      <c r="C299" s="256"/>
      <c r="D299" s="257"/>
      <c r="E299" s="258"/>
      <c r="F299" s="259"/>
      <c r="G299" s="256"/>
    </row>
    <row r="300" ht="15.75" customHeight="1">
      <c r="A300" s="256"/>
      <c r="B300" s="256"/>
      <c r="C300" s="256"/>
      <c r="D300" s="257"/>
      <c r="E300" s="258"/>
      <c r="F300" s="259"/>
      <c r="G300" s="256"/>
    </row>
    <row r="301" ht="15.75" customHeight="1">
      <c r="A301" s="256"/>
      <c r="B301" s="256"/>
      <c r="C301" s="256"/>
      <c r="D301" s="257"/>
      <c r="E301" s="258"/>
      <c r="F301" s="259"/>
      <c r="G301" s="256"/>
    </row>
    <row r="302" ht="15.75" customHeight="1">
      <c r="A302" s="256"/>
      <c r="B302" s="256"/>
      <c r="C302" s="256"/>
      <c r="D302" s="257"/>
      <c r="E302" s="258"/>
      <c r="F302" s="259"/>
      <c r="G302" s="256"/>
    </row>
    <row r="303" ht="15.75" customHeight="1">
      <c r="A303" s="256"/>
      <c r="B303" s="256"/>
      <c r="C303" s="256"/>
      <c r="D303" s="257"/>
      <c r="E303" s="258"/>
      <c r="F303" s="259"/>
      <c r="G303" s="256"/>
    </row>
    <row r="304" ht="15.75" customHeight="1">
      <c r="A304" s="256"/>
      <c r="B304" s="256"/>
      <c r="C304" s="256"/>
      <c r="D304" s="257"/>
      <c r="E304" s="258"/>
      <c r="F304" s="259"/>
      <c r="G304" s="256"/>
    </row>
    <row r="305" ht="15.75" customHeight="1">
      <c r="A305" s="256"/>
      <c r="B305" s="256"/>
      <c r="C305" s="256"/>
      <c r="D305" s="257"/>
      <c r="E305" s="258"/>
      <c r="F305" s="259"/>
      <c r="G305" s="256"/>
    </row>
    <row r="306" ht="15.75" customHeight="1">
      <c r="A306" s="256"/>
      <c r="B306" s="256"/>
      <c r="C306" s="256"/>
      <c r="D306" s="257"/>
      <c r="E306" s="258"/>
      <c r="F306" s="259"/>
      <c r="G306" s="256"/>
    </row>
    <row r="307" ht="15.75" customHeight="1">
      <c r="A307" s="256"/>
      <c r="B307" s="256"/>
      <c r="C307" s="256"/>
      <c r="D307" s="257"/>
      <c r="E307" s="258"/>
      <c r="F307" s="259"/>
      <c r="G307" s="256"/>
    </row>
    <row r="308" ht="15.75" customHeight="1">
      <c r="A308" s="256"/>
      <c r="B308" s="256"/>
      <c r="C308" s="256"/>
      <c r="D308" s="257"/>
      <c r="E308" s="258"/>
      <c r="F308" s="259"/>
      <c r="G308" s="256"/>
    </row>
    <row r="309" ht="15.75" customHeight="1">
      <c r="A309" s="256"/>
      <c r="B309" s="256"/>
      <c r="C309" s="256"/>
      <c r="D309" s="257"/>
      <c r="E309" s="258"/>
      <c r="F309" s="259"/>
      <c r="G309" s="256"/>
    </row>
    <row r="310" ht="15.75" customHeight="1">
      <c r="A310" s="256"/>
      <c r="B310" s="256"/>
      <c r="C310" s="256"/>
      <c r="D310" s="257"/>
      <c r="E310" s="258"/>
      <c r="F310" s="259"/>
      <c r="G310" s="256"/>
    </row>
    <row r="311" ht="15.75" customHeight="1">
      <c r="A311" s="256"/>
      <c r="B311" s="256"/>
      <c r="C311" s="256"/>
      <c r="D311" s="257"/>
      <c r="E311" s="258"/>
      <c r="F311" s="259"/>
      <c r="G311" s="256"/>
    </row>
    <row r="312" ht="15.75" customHeight="1">
      <c r="A312" s="256"/>
      <c r="B312" s="256"/>
      <c r="C312" s="256"/>
      <c r="D312" s="257"/>
      <c r="E312" s="258"/>
      <c r="F312" s="259"/>
      <c r="G312" s="256"/>
    </row>
    <row r="313" ht="15.75" customHeight="1">
      <c r="A313" s="256"/>
      <c r="B313" s="256"/>
      <c r="C313" s="256"/>
      <c r="D313" s="257"/>
      <c r="E313" s="258"/>
      <c r="F313" s="259"/>
      <c r="G313" s="256"/>
    </row>
    <row r="314" ht="15.75" customHeight="1">
      <c r="A314" s="256"/>
      <c r="B314" s="256"/>
      <c r="C314" s="256"/>
      <c r="D314" s="257"/>
      <c r="E314" s="258"/>
      <c r="F314" s="259"/>
      <c r="G314" s="256"/>
    </row>
    <row r="315" ht="15.75" customHeight="1">
      <c r="A315" s="256"/>
      <c r="B315" s="256"/>
      <c r="C315" s="256"/>
      <c r="D315" s="257"/>
      <c r="E315" s="258"/>
      <c r="F315" s="259"/>
      <c r="G315" s="256"/>
    </row>
    <row r="316" ht="15.75" customHeight="1">
      <c r="A316" s="256"/>
      <c r="B316" s="256"/>
      <c r="C316" s="256"/>
      <c r="D316" s="257"/>
      <c r="E316" s="258"/>
      <c r="F316" s="259"/>
      <c r="G316" s="256"/>
    </row>
    <row r="317" ht="15.75" customHeight="1">
      <c r="A317" s="256"/>
      <c r="B317" s="256"/>
      <c r="C317" s="256"/>
      <c r="D317" s="257"/>
      <c r="E317" s="258"/>
      <c r="F317" s="259"/>
      <c r="G317" s="256"/>
    </row>
    <row r="318" ht="15.75" customHeight="1">
      <c r="A318" s="256"/>
      <c r="B318" s="256"/>
      <c r="C318" s="256"/>
      <c r="D318" s="257"/>
      <c r="E318" s="258"/>
      <c r="F318" s="259"/>
      <c r="G318" s="256"/>
    </row>
    <row r="319" ht="15.75" customHeight="1">
      <c r="A319" s="256"/>
      <c r="B319" s="256"/>
      <c r="C319" s="256"/>
      <c r="D319" s="257"/>
      <c r="E319" s="258"/>
      <c r="F319" s="259"/>
      <c r="G319" s="256"/>
    </row>
    <row r="320" ht="15.75" customHeight="1">
      <c r="A320" s="256"/>
      <c r="B320" s="256"/>
      <c r="C320" s="256"/>
      <c r="D320" s="257"/>
      <c r="E320" s="258"/>
      <c r="F320" s="259"/>
      <c r="G320" s="256"/>
    </row>
    <row r="321" ht="15.75" customHeight="1">
      <c r="A321" s="256"/>
      <c r="B321" s="256"/>
      <c r="C321" s="256"/>
      <c r="D321" s="257"/>
      <c r="E321" s="258"/>
      <c r="F321" s="259"/>
      <c r="G321" s="256"/>
    </row>
    <row r="322" ht="15.75" customHeight="1">
      <c r="A322" s="256"/>
      <c r="B322" s="256"/>
      <c r="C322" s="256"/>
      <c r="D322" s="257"/>
      <c r="E322" s="258"/>
      <c r="F322" s="259"/>
      <c r="G322" s="256"/>
    </row>
    <row r="323" ht="15.75" customHeight="1">
      <c r="A323" s="256"/>
      <c r="B323" s="256"/>
      <c r="C323" s="256"/>
      <c r="D323" s="257"/>
      <c r="E323" s="258"/>
      <c r="F323" s="259"/>
      <c r="G323" s="256"/>
    </row>
    <row r="324" ht="15.75" customHeight="1">
      <c r="A324" s="256"/>
      <c r="B324" s="256"/>
      <c r="C324" s="256"/>
      <c r="D324" s="257"/>
      <c r="E324" s="258"/>
      <c r="F324" s="259"/>
      <c r="G324" s="256"/>
    </row>
    <row r="325" ht="15.75" customHeight="1">
      <c r="A325" s="256"/>
      <c r="B325" s="256"/>
      <c r="C325" s="256"/>
      <c r="D325" s="257"/>
      <c r="E325" s="258"/>
      <c r="F325" s="259"/>
      <c r="G325" s="256"/>
    </row>
    <row r="326" ht="15.75" customHeight="1">
      <c r="A326" s="256"/>
      <c r="B326" s="256"/>
      <c r="C326" s="256"/>
      <c r="D326" s="257"/>
      <c r="E326" s="258"/>
      <c r="F326" s="259"/>
      <c r="G326" s="256"/>
    </row>
    <row r="327" ht="15.75" customHeight="1">
      <c r="A327" s="256"/>
      <c r="B327" s="256"/>
      <c r="C327" s="256"/>
      <c r="D327" s="257"/>
      <c r="E327" s="258"/>
      <c r="F327" s="259"/>
      <c r="G327" s="256"/>
    </row>
    <row r="328" ht="15.75" customHeight="1">
      <c r="A328" s="256"/>
      <c r="B328" s="256"/>
      <c r="C328" s="256"/>
      <c r="D328" s="257"/>
      <c r="E328" s="258"/>
      <c r="F328" s="259"/>
      <c r="G328" s="256"/>
    </row>
    <row r="329" ht="15.75" customHeight="1">
      <c r="A329" s="256"/>
      <c r="B329" s="256"/>
      <c r="C329" s="256"/>
      <c r="D329" s="257"/>
      <c r="E329" s="258"/>
      <c r="F329" s="259"/>
      <c r="G329" s="256"/>
    </row>
    <row r="330" ht="15.75" customHeight="1">
      <c r="A330" s="256"/>
      <c r="B330" s="256"/>
      <c r="C330" s="256"/>
      <c r="D330" s="257"/>
      <c r="E330" s="258"/>
      <c r="F330" s="259"/>
      <c r="G330" s="256"/>
    </row>
    <row r="331" ht="15.75" customHeight="1">
      <c r="A331" s="256"/>
      <c r="B331" s="256"/>
      <c r="C331" s="256"/>
      <c r="D331" s="257"/>
      <c r="E331" s="258"/>
      <c r="F331" s="259"/>
      <c r="G331" s="256"/>
    </row>
    <row r="332" ht="15.75" customHeight="1">
      <c r="A332" s="256"/>
      <c r="B332" s="256"/>
      <c r="C332" s="256"/>
      <c r="D332" s="257"/>
      <c r="E332" s="258"/>
      <c r="F332" s="259"/>
      <c r="G332" s="256"/>
    </row>
    <row r="333" ht="15.75" customHeight="1">
      <c r="A333" s="256"/>
      <c r="B333" s="256"/>
      <c r="C333" s="256"/>
      <c r="D333" s="257"/>
      <c r="E333" s="258"/>
      <c r="F333" s="259"/>
      <c r="G333" s="256"/>
    </row>
    <row r="334" ht="15.75" customHeight="1">
      <c r="A334" s="256"/>
      <c r="B334" s="256"/>
      <c r="C334" s="256"/>
      <c r="D334" s="257"/>
      <c r="E334" s="258"/>
      <c r="F334" s="259"/>
      <c r="G334" s="256"/>
    </row>
    <row r="335" ht="15.75" customHeight="1">
      <c r="A335" s="256"/>
      <c r="B335" s="256"/>
      <c r="C335" s="256"/>
      <c r="D335" s="257"/>
      <c r="E335" s="258"/>
      <c r="F335" s="259"/>
      <c r="G335" s="256"/>
    </row>
    <row r="336" ht="15.75" customHeight="1">
      <c r="A336" s="256"/>
      <c r="B336" s="256"/>
      <c r="C336" s="256"/>
      <c r="D336" s="257"/>
      <c r="E336" s="258"/>
      <c r="F336" s="259"/>
      <c r="G336" s="256"/>
    </row>
    <row r="337" ht="15.75" customHeight="1">
      <c r="A337" s="256"/>
      <c r="B337" s="256"/>
      <c r="C337" s="256"/>
      <c r="D337" s="257"/>
      <c r="E337" s="258"/>
      <c r="F337" s="259"/>
      <c r="G337" s="256"/>
    </row>
    <row r="338" ht="15.75" customHeight="1">
      <c r="A338" s="256"/>
      <c r="B338" s="256"/>
      <c r="C338" s="256"/>
      <c r="D338" s="257"/>
      <c r="E338" s="258"/>
      <c r="F338" s="259"/>
      <c r="G338" s="256"/>
    </row>
    <row r="339" ht="15.75" customHeight="1">
      <c r="A339" s="256"/>
      <c r="B339" s="256"/>
      <c r="C339" s="256"/>
      <c r="D339" s="257"/>
      <c r="E339" s="258"/>
      <c r="F339" s="259"/>
      <c r="G339" s="256"/>
    </row>
    <row r="340" ht="15.75" customHeight="1">
      <c r="A340" s="256"/>
      <c r="B340" s="256"/>
      <c r="C340" s="256"/>
      <c r="D340" s="257"/>
      <c r="E340" s="258"/>
      <c r="F340" s="259"/>
      <c r="G340" s="256"/>
    </row>
    <row r="341" ht="15.75" customHeight="1">
      <c r="A341" s="256"/>
      <c r="B341" s="256"/>
      <c r="C341" s="256"/>
      <c r="D341" s="257"/>
      <c r="E341" s="258"/>
      <c r="F341" s="259"/>
      <c r="G341" s="256"/>
    </row>
    <row r="342" ht="15.75" customHeight="1">
      <c r="A342" s="256"/>
      <c r="B342" s="256"/>
      <c r="C342" s="256"/>
      <c r="D342" s="257"/>
      <c r="E342" s="258"/>
      <c r="F342" s="259"/>
      <c r="G342" s="256"/>
    </row>
    <row r="343" ht="15.75" customHeight="1">
      <c r="A343" s="256"/>
      <c r="B343" s="256"/>
      <c r="C343" s="256"/>
      <c r="D343" s="257"/>
      <c r="E343" s="258"/>
      <c r="F343" s="259"/>
      <c r="G343" s="256"/>
    </row>
    <row r="344" ht="15.75" customHeight="1">
      <c r="A344" s="256"/>
      <c r="B344" s="256"/>
      <c r="C344" s="256"/>
      <c r="D344" s="257"/>
      <c r="E344" s="258"/>
      <c r="F344" s="259"/>
      <c r="G344" s="256"/>
    </row>
    <row r="345" ht="15.75" customHeight="1">
      <c r="A345" s="256"/>
      <c r="B345" s="256"/>
      <c r="C345" s="256"/>
      <c r="D345" s="257"/>
      <c r="E345" s="258"/>
      <c r="F345" s="259"/>
      <c r="G345" s="256"/>
    </row>
    <row r="346" ht="15.75" customHeight="1">
      <c r="A346" s="256"/>
      <c r="B346" s="256"/>
      <c r="C346" s="256"/>
      <c r="D346" s="257"/>
      <c r="E346" s="258"/>
      <c r="F346" s="259"/>
      <c r="G346" s="256"/>
    </row>
    <row r="347" ht="15.75" customHeight="1">
      <c r="A347" s="256"/>
      <c r="B347" s="256"/>
      <c r="C347" s="256"/>
      <c r="D347" s="257"/>
      <c r="E347" s="258"/>
      <c r="F347" s="259"/>
      <c r="G347" s="256"/>
    </row>
    <row r="348" ht="15.75" customHeight="1">
      <c r="A348" s="256"/>
      <c r="B348" s="256"/>
      <c r="C348" s="256"/>
      <c r="D348" s="257"/>
      <c r="E348" s="258"/>
      <c r="F348" s="259"/>
      <c r="G348" s="256"/>
    </row>
    <row r="349" ht="15.75" customHeight="1">
      <c r="A349" s="256"/>
      <c r="B349" s="256"/>
      <c r="C349" s="256"/>
      <c r="D349" s="257"/>
      <c r="E349" s="258"/>
      <c r="F349" s="259"/>
      <c r="G349" s="256"/>
    </row>
    <row r="350" ht="15.75" customHeight="1">
      <c r="A350" s="256"/>
      <c r="B350" s="256"/>
      <c r="C350" s="256"/>
      <c r="D350" s="257"/>
      <c r="E350" s="258"/>
      <c r="F350" s="259"/>
      <c r="G350" s="256"/>
    </row>
    <row r="351" ht="15.75" customHeight="1">
      <c r="A351" s="256"/>
      <c r="B351" s="256"/>
      <c r="C351" s="256"/>
      <c r="D351" s="257"/>
      <c r="E351" s="258"/>
      <c r="F351" s="259"/>
      <c r="G351" s="256"/>
    </row>
    <row r="352" ht="15.75" customHeight="1">
      <c r="A352" s="256"/>
      <c r="B352" s="256"/>
      <c r="C352" s="256"/>
      <c r="D352" s="257"/>
      <c r="E352" s="258"/>
      <c r="F352" s="259"/>
      <c r="G352" s="256"/>
    </row>
    <row r="353" ht="15.75" customHeight="1">
      <c r="A353" s="256"/>
      <c r="B353" s="256"/>
      <c r="C353" s="256"/>
      <c r="D353" s="257"/>
      <c r="E353" s="258"/>
      <c r="F353" s="259"/>
      <c r="G353" s="256"/>
    </row>
    <row r="354" ht="15.75" customHeight="1">
      <c r="A354" s="256"/>
      <c r="B354" s="256"/>
      <c r="C354" s="256"/>
      <c r="D354" s="257"/>
      <c r="E354" s="258"/>
      <c r="F354" s="259"/>
      <c r="G354" s="256"/>
    </row>
    <row r="355" ht="15.75" customHeight="1">
      <c r="A355" s="256"/>
      <c r="B355" s="256"/>
      <c r="C355" s="256"/>
      <c r="D355" s="257"/>
      <c r="E355" s="258"/>
      <c r="F355" s="259"/>
      <c r="G355" s="256"/>
    </row>
    <row r="356" ht="15.75" customHeight="1">
      <c r="A356" s="256"/>
      <c r="B356" s="256"/>
      <c r="C356" s="256"/>
      <c r="D356" s="257"/>
      <c r="E356" s="258"/>
      <c r="F356" s="259"/>
      <c r="G356" s="256"/>
    </row>
    <row r="357" ht="15.75" customHeight="1">
      <c r="A357" s="256"/>
      <c r="B357" s="256"/>
      <c r="C357" s="256"/>
      <c r="D357" s="257"/>
      <c r="E357" s="258"/>
      <c r="F357" s="259"/>
      <c r="G357" s="256"/>
    </row>
    <row r="358" ht="15.75" customHeight="1">
      <c r="A358" s="256"/>
      <c r="B358" s="256"/>
      <c r="C358" s="256"/>
      <c r="D358" s="257"/>
      <c r="E358" s="258"/>
      <c r="F358" s="259"/>
      <c r="G358" s="256"/>
    </row>
    <row r="359" ht="15.75" customHeight="1">
      <c r="A359" s="256"/>
      <c r="B359" s="256"/>
      <c r="C359" s="256"/>
      <c r="D359" s="257"/>
      <c r="E359" s="258"/>
      <c r="F359" s="259"/>
      <c r="G359" s="256"/>
    </row>
    <row r="360" ht="15.75" customHeight="1">
      <c r="A360" s="256"/>
      <c r="B360" s="256"/>
      <c r="C360" s="256"/>
      <c r="D360" s="257"/>
      <c r="E360" s="258"/>
      <c r="F360" s="259"/>
      <c r="G360" s="256"/>
    </row>
    <row r="361" ht="15.75" customHeight="1">
      <c r="A361" s="256"/>
      <c r="B361" s="256"/>
      <c r="C361" s="256"/>
      <c r="D361" s="257"/>
      <c r="E361" s="258"/>
      <c r="F361" s="259"/>
      <c r="G361" s="256"/>
    </row>
    <row r="362" ht="15.75" customHeight="1">
      <c r="A362" s="256"/>
      <c r="B362" s="256"/>
      <c r="C362" s="256"/>
      <c r="D362" s="257"/>
      <c r="E362" s="258"/>
      <c r="F362" s="259"/>
      <c r="G362" s="256"/>
    </row>
    <row r="363" ht="15.75" customHeight="1">
      <c r="A363" s="256"/>
      <c r="B363" s="256"/>
      <c r="C363" s="256"/>
      <c r="D363" s="257"/>
      <c r="E363" s="258"/>
      <c r="F363" s="259"/>
      <c r="G363" s="256"/>
    </row>
    <row r="364" ht="15.75" customHeight="1">
      <c r="A364" s="256"/>
      <c r="B364" s="256"/>
      <c r="C364" s="256"/>
      <c r="D364" s="257"/>
      <c r="E364" s="258"/>
      <c r="F364" s="259"/>
      <c r="G364" s="256"/>
    </row>
    <row r="365" ht="15.75" customHeight="1">
      <c r="A365" s="256"/>
      <c r="B365" s="256"/>
      <c r="C365" s="256"/>
      <c r="D365" s="257"/>
      <c r="E365" s="258"/>
      <c r="F365" s="259"/>
      <c r="G365" s="256"/>
    </row>
    <row r="366" ht="15.75" customHeight="1">
      <c r="A366" s="256"/>
      <c r="B366" s="256"/>
      <c r="C366" s="256"/>
      <c r="D366" s="257"/>
      <c r="E366" s="258"/>
      <c r="F366" s="259"/>
      <c r="G366" s="256"/>
    </row>
    <row r="367" ht="15.75" customHeight="1">
      <c r="A367" s="256"/>
      <c r="B367" s="256"/>
      <c r="C367" s="256"/>
      <c r="D367" s="257"/>
      <c r="E367" s="258"/>
      <c r="F367" s="259"/>
      <c r="G367" s="256"/>
    </row>
    <row r="368" ht="15.75" customHeight="1">
      <c r="A368" s="256"/>
      <c r="B368" s="256"/>
      <c r="C368" s="256"/>
      <c r="D368" s="257"/>
      <c r="E368" s="258"/>
      <c r="F368" s="259"/>
      <c r="G368" s="256"/>
    </row>
    <row r="369" ht="15.75" customHeight="1">
      <c r="A369" s="256"/>
      <c r="B369" s="256"/>
      <c r="C369" s="256"/>
      <c r="D369" s="257"/>
      <c r="E369" s="258"/>
      <c r="F369" s="259"/>
      <c r="G369" s="256"/>
    </row>
    <row r="370" ht="15.75" customHeight="1">
      <c r="A370" s="256"/>
      <c r="B370" s="256"/>
      <c r="C370" s="256"/>
      <c r="D370" s="257"/>
      <c r="E370" s="258"/>
      <c r="F370" s="259"/>
      <c r="G370" s="256"/>
    </row>
    <row r="371" ht="15.75" customHeight="1">
      <c r="A371" s="256"/>
      <c r="B371" s="256"/>
      <c r="C371" s="256"/>
      <c r="D371" s="257"/>
      <c r="E371" s="258"/>
      <c r="F371" s="259"/>
      <c r="G371" s="256"/>
    </row>
    <row r="372" ht="15.75" customHeight="1">
      <c r="A372" s="256"/>
      <c r="B372" s="256"/>
      <c r="C372" s="256"/>
      <c r="D372" s="257"/>
      <c r="E372" s="258"/>
      <c r="F372" s="259"/>
      <c r="G372" s="256"/>
    </row>
    <row r="373" ht="15.75" customHeight="1">
      <c r="A373" s="256"/>
      <c r="B373" s="256"/>
      <c r="C373" s="256"/>
      <c r="D373" s="257"/>
      <c r="E373" s="258"/>
      <c r="F373" s="259"/>
      <c r="G373" s="256"/>
    </row>
    <row r="374" ht="15.75" customHeight="1">
      <c r="A374" s="256"/>
      <c r="B374" s="256"/>
      <c r="C374" s="256"/>
      <c r="D374" s="257"/>
      <c r="E374" s="258"/>
      <c r="F374" s="259"/>
      <c r="G374" s="256"/>
    </row>
    <row r="375" ht="15.75" customHeight="1">
      <c r="A375" s="256"/>
      <c r="B375" s="256"/>
      <c r="C375" s="256"/>
      <c r="D375" s="257"/>
      <c r="E375" s="258"/>
      <c r="F375" s="259"/>
      <c r="G375" s="256"/>
    </row>
    <row r="376" ht="15.75" customHeight="1">
      <c r="A376" s="256"/>
      <c r="B376" s="256"/>
      <c r="C376" s="256"/>
      <c r="D376" s="257"/>
      <c r="E376" s="258"/>
      <c r="F376" s="259"/>
      <c r="G376" s="256"/>
    </row>
    <row r="377" ht="15.75" customHeight="1">
      <c r="A377" s="256"/>
      <c r="B377" s="256"/>
      <c r="C377" s="256"/>
      <c r="D377" s="257"/>
      <c r="E377" s="258"/>
      <c r="F377" s="259"/>
      <c r="G377" s="256"/>
    </row>
    <row r="378" ht="15.75" customHeight="1">
      <c r="A378" s="256"/>
      <c r="B378" s="256"/>
      <c r="C378" s="256"/>
      <c r="D378" s="257"/>
      <c r="E378" s="258"/>
      <c r="F378" s="259"/>
      <c r="G378" s="256"/>
    </row>
    <row r="379" ht="15.75" customHeight="1">
      <c r="A379" s="256"/>
      <c r="B379" s="256"/>
      <c r="C379" s="256"/>
      <c r="D379" s="257"/>
      <c r="E379" s="258"/>
      <c r="F379" s="259"/>
      <c r="G379" s="256"/>
    </row>
    <row r="380" ht="15.75" customHeight="1">
      <c r="A380" s="256"/>
      <c r="B380" s="256"/>
      <c r="C380" s="256"/>
      <c r="D380" s="257"/>
      <c r="E380" s="258"/>
      <c r="F380" s="259"/>
      <c r="G380" s="256"/>
    </row>
    <row r="381" ht="15.75" customHeight="1">
      <c r="A381" s="256"/>
      <c r="B381" s="256"/>
      <c r="C381" s="256"/>
      <c r="D381" s="257"/>
      <c r="E381" s="258"/>
      <c r="F381" s="259"/>
      <c r="G381" s="256"/>
    </row>
    <row r="382" ht="15.75" customHeight="1">
      <c r="A382" s="256"/>
      <c r="B382" s="256"/>
      <c r="C382" s="256"/>
      <c r="D382" s="257"/>
      <c r="E382" s="258"/>
      <c r="F382" s="259"/>
      <c r="G382" s="256"/>
    </row>
    <row r="383" ht="15.75" customHeight="1">
      <c r="A383" s="256"/>
      <c r="B383" s="256"/>
      <c r="C383" s="256"/>
      <c r="D383" s="257"/>
      <c r="E383" s="258"/>
      <c r="F383" s="259"/>
      <c r="G383" s="256"/>
    </row>
    <row r="384" ht="15.75" customHeight="1">
      <c r="A384" s="256"/>
      <c r="B384" s="256"/>
      <c r="C384" s="256"/>
      <c r="D384" s="257"/>
      <c r="E384" s="258"/>
      <c r="F384" s="259"/>
      <c r="G384" s="256"/>
    </row>
    <row r="385" ht="15.75" customHeight="1">
      <c r="A385" s="256"/>
      <c r="B385" s="256"/>
      <c r="C385" s="256"/>
      <c r="D385" s="257"/>
      <c r="E385" s="258"/>
      <c r="F385" s="259"/>
      <c r="G385" s="256"/>
    </row>
    <row r="386" ht="15.75" customHeight="1">
      <c r="A386" s="256"/>
      <c r="B386" s="256"/>
      <c r="C386" s="256"/>
      <c r="D386" s="257"/>
      <c r="E386" s="258"/>
      <c r="F386" s="259"/>
      <c r="G386" s="256"/>
    </row>
    <row r="387" ht="15.75" customHeight="1">
      <c r="A387" s="256"/>
      <c r="B387" s="256"/>
      <c r="C387" s="256"/>
      <c r="D387" s="257"/>
      <c r="E387" s="258"/>
      <c r="F387" s="259"/>
      <c r="G387" s="256"/>
    </row>
    <row r="388" ht="15.75" customHeight="1">
      <c r="A388" s="256"/>
      <c r="B388" s="256"/>
      <c r="C388" s="256"/>
      <c r="D388" s="257"/>
      <c r="E388" s="258"/>
      <c r="F388" s="259"/>
      <c r="G388" s="256"/>
    </row>
    <row r="389" ht="15.75" customHeight="1">
      <c r="A389" s="256"/>
      <c r="B389" s="256"/>
      <c r="C389" s="256"/>
      <c r="D389" s="257"/>
      <c r="E389" s="258"/>
      <c r="F389" s="259"/>
      <c r="G389" s="256"/>
    </row>
    <row r="390" ht="15.75" customHeight="1">
      <c r="A390" s="256"/>
      <c r="B390" s="256"/>
      <c r="C390" s="256"/>
      <c r="D390" s="257"/>
      <c r="E390" s="258"/>
      <c r="F390" s="259"/>
      <c r="G390" s="256"/>
    </row>
    <row r="391" ht="15.75" customHeight="1">
      <c r="A391" s="256"/>
      <c r="B391" s="256"/>
      <c r="C391" s="256"/>
      <c r="D391" s="257"/>
      <c r="E391" s="258"/>
      <c r="F391" s="259"/>
      <c r="G391" s="256"/>
    </row>
    <row r="392" ht="15.75" customHeight="1">
      <c r="A392" s="256"/>
      <c r="B392" s="256"/>
      <c r="C392" s="256"/>
      <c r="D392" s="257"/>
      <c r="E392" s="258"/>
      <c r="F392" s="259"/>
      <c r="G392" s="256"/>
    </row>
    <row r="393" ht="15.75" customHeight="1">
      <c r="A393" s="256"/>
      <c r="B393" s="256"/>
      <c r="C393" s="256"/>
      <c r="D393" s="257"/>
      <c r="E393" s="258"/>
      <c r="F393" s="259"/>
      <c r="G393" s="256"/>
    </row>
    <row r="394" ht="15.75" customHeight="1">
      <c r="A394" s="256"/>
      <c r="B394" s="256"/>
      <c r="C394" s="256"/>
      <c r="D394" s="257"/>
      <c r="E394" s="258"/>
      <c r="F394" s="259"/>
      <c r="G394" s="256"/>
    </row>
    <row r="395" ht="15.75" customHeight="1">
      <c r="A395" s="256"/>
      <c r="B395" s="256"/>
      <c r="C395" s="256"/>
      <c r="D395" s="257"/>
      <c r="E395" s="258"/>
      <c r="F395" s="259"/>
      <c r="G395" s="256"/>
    </row>
    <row r="396" ht="15.75" customHeight="1">
      <c r="A396" s="256"/>
      <c r="B396" s="256"/>
      <c r="C396" s="256"/>
      <c r="D396" s="257"/>
      <c r="E396" s="258"/>
      <c r="F396" s="259"/>
      <c r="G396" s="256"/>
    </row>
    <row r="397" ht="15.75" customHeight="1">
      <c r="A397" s="256"/>
      <c r="B397" s="256"/>
      <c r="C397" s="256"/>
      <c r="D397" s="257"/>
      <c r="E397" s="258"/>
      <c r="F397" s="259"/>
      <c r="G397" s="256"/>
    </row>
    <row r="398" ht="15.75" customHeight="1">
      <c r="A398" s="256"/>
      <c r="B398" s="256"/>
      <c r="C398" s="256"/>
      <c r="D398" s="257"/>
      <c r="E398" s="258"/>
      <c r="F398" s="259"/>
      <c r="G398" s="256"/>
    </row>
    <row r="399" ht="15.75" customHeight="1">
      <c r="A399" s="256"/>
      <c r="B399" s="256"/>
      <c r="C399" s="256"/>
      <c r="D399" s="257"/>
      <c r="E399" s="258"/>
      <c r="F399" s="259"/>
      <c r="G399" s="256"/>
    </row>
    <row r="400" ht="15.75" customHeight="1">
      <c r="A400" s="256"/>
      <c r="B400" s="256"/>
      <c r="C400" s="256"/>
      <c r="D400" s="257"/>
      <c r="E400" s="258"/>
      <c r="F400" s="259"/>
      <c r="G400" s="256"/>
    </row>
    <row r="401" ht="15.75" customHeight="1">
      <c r="A401" s="256"/>
      <c r="B401" s="256"/>
      <c r="C401" s="256"/>
      <c r="D401" s="257"/>
      <c r="E401" s="258"/>
      <c r="F401" s="259"/>
      <c r="G401" s="256"/>
    </row>
    <row r="402" ht="15.75" customHeight="1">
      <c r="A402" s="256"/>
      <c r="B402" s="256"/>
      <c r="C402" s="256"/>
      <c r="D402" s="257"/>
      <c r="E402" s="258"/>
      <c r="F402" s="259"/>
      <c r="G402" s="256"/>
    </row>
    <row r="403" ht="15.75" customHeight="1">
      <c r="A403" s="256"/>
      <c r="B403" s="256"/>
      <c r="C403" s="256"/>
      <c r="D403" s="257"/>
      <c r="E403" s="258"/>
      <c r="F403" s="259"/>
      <c r="G403" s="256"/>
    </row>
    <row r="404" ht="15.75" customHeight="1">
      <c r="A404" s="256"/>
      <c r="B404" s="256"/>
      <c r="C404" s="256"/>
      <c r="D404" s="257"/>
      <c r="E404" s="258"/>
      <c r="F404" s="259"/>
      <c r="G404" s="256"/>
    </row>
    <row r="405" ht="15.75" customHeight="1">
      <c r="A405" s="256"/>
      <c r="B405" s="256"/>
      <c r="C405" s="256"/>
      <c r="D405" s="257"/>
      <c r="E405" s="258"/>
      <c r="F405" s="259"/>
      <c r="G405" s="256"/>
    </row>
    <row r="406" ht="15.75" customHeight="1">
      <c r="A406" s="256"/>
      <c r="B406" s="256"/>
      <c r="C406" s="256"/>
      <c r="D406" s="257"/>
      <c r="E406" s="258"/>
      <c r="F406" s="259"/>
      <c r="G406" s="256"/>
    </row>
    <row r="407" ht="15.75" customHeight="1">
      <c r="A407" s="256"/>
      <c r="B407" s="256"/>
      <c r="C407" s="256"/>
      <c r="D407" s="257"/>
      <c r="E407" s="258"/>
      <c r="F407" s="259"/>
      <c r="G407" s="256"/>
    </row>
    <row r="408" ht="15.75" customHeight="1">
      <c r="A408" s="256"/>
      <c r="B408" s="256"/>
      <c r="C408" s="256"/>
      <c r="D408" s="257"/>
      <c r="E408" s="258"/>
      <c r="F408" s="259"/>
      <c r="G408" s="256"/>
    </row>
    <row r="409" ht="15.75" customHeight="1">
      <c r="A409" s="256"/>
      <c r="B409" s="256"/>
      <c r="C409" s="256"/>
      <c r="D409" s="257"/>
      <c r="E409" s="258"/>
      <c r="F409" s="259"/>
      <c r="G409" s="256"/>
    </row>
    <row r="410" ht="15.75" customHeight="1">
      <c r="A410" s="256"/>
      <c r="B410" s="256"/>
      <c r="C410" s="256"/>
      <c r="D410" s="257"/>
      <c r="E410" s="258"/>
      <c r="F410" s="259"/>
      <c r="G410" s="256"/>
    </row>
    <row r="411" ht="15.75" customHeight="1">
      <c r="A411" s="256"/>
      <c r="B411" s="256"/>
      <c r="C411" s="256"/>
      <c r="D411" s="257"/>
      <c r="E411" s="258"/>
      <c r="F411" s="259"/>
      <c r="G411" s="256"/>
    </row>
    <row r="412" ht="15.75" customHeight="1">
      <c r="A412" s="256"/>
      <c r="B412" s="256"/>
      <c r="C412" s="256"/>
      <c r="D412" s="257"/>
      <c r="E412" s="258"/>
      <c r="F412" s="259"/>
      <c r="G412" s="256"/>
    </row>
    <row r="413" ht="15.75" customHeight="1">
      <c r="A413" s="256"/>
      <c r="B413" s="256"/>
      <c r="C413" s="256"/>
      <c r="D413" s="257"/>
      <c r="E413" s="258"/>
      <c r="F413" s="259"/>
      <c r="G413" s="256"/>
    </row>
    <row r="414" ht="15.75" customHeight="1">
      <c r="A414" s="256"/>
      <c r="B414" s="256"/>
      <c r="C414" s="256"/>
      <c r="D414" s="257"/>
      <c r="E414" s="258"/>
      <c r="F414" s="259"/>
      <c r="G414" s="256"/>
    </row>
    <row r="415" ht="15.75" customHeight="1">
      <c r="A415" s="256"/>
      <c r="B415" s="256"/>
      <c r="C415" s="256"/>
      <c r="D415" s="257"/>
      <c r="E415" s="258"/>
      <c r="F415" s="259"/>
      <c r="G415" s="256"/>
    </row>
    <row r="416" ht="15.75" customHeight="1">
      <c r="A416" s="256"/>
      <c r="B416" s="256"/>
      <c r="C416" s="256"/>
      <c r="D416" s="257"/>
      <c r="E416" s="258"/>
      <c r="F416" s="259"/>
      <c r="G416" s="256"/>
    </row>
    <row r="417" ht="15.75" customHeight="1">
      <c r="A417" s="256"/>
      <c r="B417" s="256"/>
      <c r="C417" s="256"/>
      <c r="D417" s="257"/>
      <c r="E417" s="258"/>
      <c r="F417" s="259"/>
      <c r="G417" s="256"/>
    </row>
    <row r="418" ht="15.75" customHeight="1">
      <c r="A418" s="256"/>
      <c r="B418" s="256"/>
      <c r="C418" s="256"/>
      <c r="D418" s="257"/>
      <c r="E418" s="258"/>
      <c r="F418" s="259"/>
      <c r="G418" s="256"/>
    </row>
    <row r="419" ht="15.75" customHeight="1">
      <c r="A419" s="256"/>
      <c r="B419" s="256"/>
      <c r="C419" s="256"/>
      <c r="D419" s="257"/>
      <c r="E419" s="258"/>
      <c r="F419" s="259"/>
      <c r="G419" s="256"/>
    </row>
    <row r="420" ht="15.75" customHeight="1">
      <c r="A420" s="256"/>
      <c r="B420" s="256"/>
      <c r="C420" s="256"/>
      <c r="D420" s="257"/>
      <c r="E420" s="258"/>
      <c r="F420" s="259"/>
      <c r="G420" s="256"/>
    </row>
    <row r="421" ht="15.75" customHeight="1">
      <c r="A421" s="256"/>
      <c r="B421" s="256"/>
      <c r="C421" s="256"/>
      <c r="D421" s="257"/>
      <c r="E421" s="258"/>
      <c r="F421" s="259"/>
      <c r="G421" s="256"/>
    </row>
    <row r="422" ht="15.75" customHeight="1">
      <c r="A422" s="256"/>
      <c r="B422" s="256"/>
      <c r="C422" s="256"/>
      <c r="D422" s="257"/>
      <c r="E422" s="258"/>
      <c r="F422" s="259"/>
      <c r="G422" s="256"/>
    </row>
    <row r="423" ht="15.75" customHeight="1">
      <c r="A423" s="256"/>
      <c r="B423" s="256"/>
      <c r="C423" s="256"/>
      <c r="D423" s="257"/>
      <c r="E423" s="258"/>
      <c r="F423" s="259"/>
      <c r="G423" s="256"/>
    </row>
    <row r="424" ht="15.75" customHeight="1">
      <c r="A424" s="256"/>
      <c r="B424" s="256"/>
      <c r="C424" s="256"/>
      <c r="D424" s="257"/>
      <c r="E424" s="258"/>
      <c r="F424" s="259"/>
      <c r="G424" s="256"/>
    </row>
    <row r="425" ht="15.75" customHeight="1">
      <c r="A425" s="256"/>
      <c r="B425" s="256"/>
      <c r="C425" s="256"/>
      <c r="D425" s="257"/>
      <c r="E425" s="258"/>
      <c r="F425" s="259"/>
      <c r="G425" s="256"/>
    </row>
    <row r="426" ht="15.75" customHeight="1">
      <c r="A426" s="256"/>
      <c r="B426" s="256"/>
      <c r="C426" s="256"/>
      <c r="D426" s="257"/>
      <c r="E426" s="258"/>
      <c r="F426" s="259"/>
      <c r="G426" s="256"/>
    </row>
    <row r="427" ht="15.75" customHeight="1">
      <c r="A427" s="256"/>
      <c r="B427" s="256"/>
      <c r="C427" s="256"/>
      <c r="D427" s="257"/>
      <c r="E427" s="258"/>
      <c r="F427" s="259"/>
      <c r="G427" s="256"/>
    </row>
    <row r="428" ht="15.75" customHeight="1">
      <c r="A428" s="256"/>
      <c r="B428" s="256"/>
      <c r="C428" s="256"/>
      <c r="D428" s="257"/>
      <c r="E428" s="258"/>
      <c r="F428" s="259"/>
      <c r="G428" s="256"/>
    </row>
    <row r="429" ht="15.75" customHeight="1">
      <c r="A429" s="256"/>
      <c r="B429" s="256"/>
      <c r="C429" s="256"/>
      <c r="D429" s="257"/>
      <c r="E429" s="258"/>
      <c r="F429" s="259"/>
      <c r="G429" s="256"/>
    </row>
    <row r="430" ht="15.75" customHeight="1">
      <c r="A430" s="256"/>
      <c r="B430" s="256"/>
      <c r="C430" s="256"/>
      <c r="D430" s="257"/>
      <c r="E430" s="258"/>
      <c r="F430" s="259"/>
      <c r="G430" s="256"/>
    </row>
    <row r="431" ht="15.75" customHeight="1">
      <c r="A431" s="256"/>
      <c r="B431" s="256"/>
      <c r="C431" s="256"/>
      <c r="D431" s="257"/>
      <c r="E431" s="258"/>
      <c r="F431" s="259"/>
      <c r="G431" s="256"/>
    </row>
    <row r="432" ht="15.75" customHeight="1">
      <c r="A432" s="256"/>
      <c r="B432" s="256"/>
      <c r="C432" s="256"/>
      <c r="D432" s="257"/>
      <c r="E432" s="258"/>
      <c r="F432" s="259"/>
      <c r="G432" s="256"/>
    </row>
    <row r="433" ht="15.75" customHeight="1">
      <c r="A433" s="256"/>
      <c r="B433" s="256"/>
      <c r="C433" s="256"/>
      <c r="D433" s="257"/>
      <c r="E433" s="258"/>
      <c r="F433" s="259"/>
      <c r="G433" s="256"/>
    </row>
    <row r="434" ht="15.75" customHeight="1">
      <c r="A434" s="256"/>
      <c r="B434" s="256"/>
      <c r="C434" s="256"/>
      <c r="D434" s="257"/>
      <c r="E434" s="258"/>
      <c r="F434" s="259"/>
      <c r="G434" s="256"/>
    </row>
    <row r="435" ht="15.75" customHeight="1">
      <c r="A435" s="256"/>
      <c r="B435" s="256"/>
      <c r="C435" s="256"/>
      <c r="D435" s="257"/>
      <c r="E435" s="258"/>
      <c r="F435" s="259"/>
      <c r="G435" s="256"/>
    </row>
    <row r="436" ht="15.75" customHeight="1">
      <c r="A436" s="256"/>
      <c r="B436" s="256"/>
      <c r="C436" s="256"/>
      <c r="D436" s="257"/>
      <c r="E436" s="258"/>
      <c r="F436" s="259"/>
      <c r="G436" s="256"/>
    </row>
    <row r="437" ht="15.75" customHeight="1">
      <c r="A437" s="256"/>
      <c r="B437" s="256"/>
      <c r="C437" s="256"/>
      <c r="D437" s="257"/>
      <c r="E437" s="258"/>
      <c r="F437" s="259"/>
      <c r="G437" s="256"/>
    </row>
    <row r="438" ht="15.75" customHeight="1">
      <c r="A438" s="256"/>
      <c r="B438" s="256"/>
      <c r="C438" s="256"/>
      <c r="D438" s="257"/>
      <c r="E438" s="258"/>
      <c r="F438" s="259"/>
      <c r="G438" s="256"/>
    </row>
    <row r="439" ht="15.75" customHeight="1">
      <c r="A439" s="256"/>
      <c r="B439" s="256"/>
      <c r="C439" s="256"/>
      <c r="D439" s="257"/>
      <c r="E439" s="258"/>
      <c r="F439" s="259"/>
      <c r="G439" s="256"/>
    </row>
    <row r="440" ht="15.75" customHeight="1">
      <c r="A440" s="256"/>
      <c r="B440" s="256"/>
      <c r="C440" s="256"/>
      <c r="D440" s="257"/>
      <c r="E440" s="258"/>
      <c r="F440" s="259"/>
      <c r="G440" s="256"/>
    </row>
    <row r="441" ht="15.75" customHeight="1">
      <c r="A441" s="256"/>
      <c r="B441" s="256"/>
      <c r="C441" s="256"/>
      <c r="D441" s="257"/>
      <c r="E441" s="258"/>
      <c r="F441" s="259"/>
      <c r="G441" s="256"/>
    </row>
    <row r="442" ht="15.75" customHeight="1">
      <c r="A442" s="256"/>
      <c r="B442" s="256"/>
      <c r="C442" s="256"/>
      <c r="D442" s="257"/>
      <c r="E442" s="258"/>
      <c r="F442" s="259"/>
      <c r="G442" s="256"/>
    </row>
    <row r="443" ht="15.75" customHeight="1">
      <c r="A443" s="256"/>
      <c r="B443" s="256"/>
      <c r="C443" s="256"/>
      <c r="D443" s="257"/>
      <c r="E443" s="258"/>
      <c r="F443" s="259"/>
      <c r="G443" s="256"/>
    </row>
    <row r="444" ht="15.75" customHeight="1">
      <c r="A444" s="256"/>
      <c r="B444" s="256"/>
      <c r="C444" s="256"/>
      <c r="D444" s="257"/>
      <c r="E444" s="258"/>
      <c r="F444" s="259"/>
      <c r="G444" s="256"/>
    </row>
    <row r="445" ht="15.75" customHeight="1">
      <c r="A445" s="256"/>
      <c r="B445" s="256"/>
      <c r="C445" s="256"/>
      <c r="D445" s="257"/>
      <c r="E445" s="258"/>
      <c r="F445" s="259"/>
      <c r="G445" s="256"/>
    </row>
    <row r="446" ht="15.75" customHeight="1">
      <c r="A446" s="256"/>
      <c r="B446" s="256"/>
      <c r="C446" s="256"/>
      <c r="D446" s="257"/>
      <c r="E446" s="258"/>
      <c r="F446" s="259"/>
      <c r="G446" s="256"/>
    </row>
    <row r="447" ht="15.75" customHeight="1">
      <c r="A447" s="256"/>
      <c r="B447" s="256"/>
      <c r="C447" s="256"/>
      <c r="D447" s="257"/>
      <c r="E447" s="258"/>
      <c r="F447" s="259"/>
      <c r="G447" s="256"/>
    </row>
    <row r="448" ht="15.75" customHeight="1">
      <c r="A448" s="256"/>
      <c r="B448" s="256"/>
      <c r="C448" s="256"/>
      <c r="D448" s="257"/>
      <c r="E448" s="258"/>
      <c r="F448" s="259"/>
      <c r="G448" s="256"/>
    </row>
    <row r="449" ht="15.75" customHeight="1">
      <c r="A449" s="256"/>
      <c r="B449" s="256"/>
      <c r="C449" s="256"/>
      <c r="D449" s="257"/>
      <c r="E449" s="258"/>
      <c r="F449" s="259"/>
      <c r="G449" s="256"/>
    </row>
    <row r="450" ht="15.75" customHeight="1">
      <c r="A450" s="256"/>
      <c r="B450" s="256"/>
      <c r="C450" s="256"/>
      <c r="D450" s="257"/>
      <c r="E450" s="258"/>
      <c r="F450" s="259"/>
      <c r="G450" s="256"/>
    </row>
    <row r="451" ht="15.75" customHeight="1">
      <c r="A451" s="256"/>
      <c r="B451" s="256"/>
      <c r="C451" s="256"/>
      <c r="D451" s="257"/>
      <c r="E451" s="258"/>
      <c r="F451" s="259"/>
      <c r="G451" s="256"/>
    </row>
    <row r="452" ht="15.75" customHeight="1">
      <c r="A452" s="256"/>
      <c r="B452" s="256"/>
      <c r="C452" s="256"/>
      <c r="D452" s="257"/>
      <c r="E452" s="258"/>
      <c r="F452" s="259"/>
      <c r="G452" s="256"/>
    </row>
    <row r="453" ht="15.75" customHeight="1">
      <c r="A453" s="256"/>
      <c r="B453" s="256"/>
      <c r="C453" s="256"/>
      <c r="D453" s="257"/>
      <c r="E453" s="258"/>
      <c r="F453" s="259"/>
      <c r="G453" s="256"/>
    </row>
    <row r="454" ht="15.75" customHeight="1">
      <c r="A454" s="256"/>
      <c r="B454" s="256"/>
      <c r="C454" s="256"/>
      <c r="D454" s="257"/>
      <c r="E454" s="258"/>
      <c r="F454" s="259"/>
      <c r="G454" s="256"/>
    </row>
    <row r="455" ht="15.75" customHeight="1">
      <c r="A455" s="256"/>
      <c r="B455" s="256"/>
      <c r="C455" s="256"/>
      <c r="D455" s="257"/>
      <c r="E455" s="258"/>
      <c r="F455" s="259"/>
      <c r="G455" s="256"/>
    </row>
    <row r="456" ht="15.75" customHeight="1">
      <c r="A456" s="256"/>
      <c r="B456" s="256"/>
      <c r="C456" s="256"/>
      <c r="D456" s="257"/>
      <c r="E456" s="258"/>
      <c r="F456" s="259"/>
      <c r="G456" s="256"/>
    </row>
    <row r="457" ht="15.75" customHeight="1">
      <c r="A457" s="256"/>
      <c r="B457" s="256"/>
      <c r="C457" s="256"/>
      <c r="D457" s="257"/>
      <c r="E457" s="258"/>
      <c r="F457" s="259"/>
      <c r="G457" s="256"/>
    </row>
    <row r="458" ht="15.75" customHeight="1">
      <c r="A458" s="256"/>
      <c r="B458" s="256"/>
      <c r="C458" s="256"/>
      <c r="D458" s="257"/>
      <c r="E458" s="258"/>
      <c r="F458" s="259"/>
      <c r="G458" s="256"/>
    </row>
    <row r="459" ht="15.75" customHeight="1">
      <c r="A459" s="256"/>
      <c r="B459" s="256"/>
      <c r="C459" s="256"/>
      <c r="D459" s="257"/>
      <c r="E459" s="258"/>
      <c r="F459" s="259"/>
      <c r="G459" s="256"/>
    </row>
    <row r="460" ht="15.75" customHeight="1">
      <c r="A460" s="256"/>
      <c r="B460" s="256"/>
      <c r="C460" s="256"/>
      <c r="D460" s="257"/>
      <c r="E460" s="258"/>
      <c r="F460" s="259"/>
      <c r="G460" s="256"/>
    </row>
    <row r="461" ht="15.75" customHeight="1">
      <c r="A461" s="256"/>
      <c r="B461" s="256"/>
      <c r="C461" s="256"/>
      <c r="D461" s="257"/>
      <c r="E461" s="258"/>
      <c r="F461" s="259"/>
      <c r="G461" s="256"/>
    </row>
    <row r="462" ht="15.75" customHeight="1">
      <c r="A462" s="256"/>
      <c r="B462" s="256"/>
      <c r="C462" s="256"/>
      <c r="D462" s="257"/>
      <c r="E462" s="258"/>
      <c r="F462" s="259"/>
      <c r="G462" s="256"/>
    </row>
    <row r="463" ht="15.75" customHeight="1">
      <c r="A463" s="256"/>
      <c r="B463" s="256"/>
      <c r="C463" s="256"/>
      <c r="D463" s="257"/>
      <c r="E463" s="258"/>
      <c r="F463" s="259"/>
      <c r="G463" s="256"/>
    </row>
    <row r="464" ht="15.75" customHeight="1">
      <c r="A464" s="256"/>
      <c r="B464" s="256"/>
      <c r="C464" s="256"/>
      <c r="D464" s="257"/>
      <c r="E464" s="258"/>
      <c r="F464" s="259"/>
      <c r="G464" s="256"/>
    </row>
    <row r="465" ht="15.75" customHeight="1">
      <c r="A465" s="256"/>
      <c r="B465" s="256"/>
      <c r="C465" s="256"/>
      <c r="D465" s="257"/>
      <c r="E465" s="258"/>
      <c r="F465" s="259"/>
      <c r="G465" s="256"/>
    </row>
    <row r="466" ht="15.75" customHeight="1">
      <c r="A466" s="256"/>
      <c r="B466" s="256"/>
      <c r="C466" s="256"/>
      <c r="D466" s="257"/>
      <c r="E466" s="258"/>
      <c r="F466" s="259"/>
      <c r="G466" s="256"/>
    </row>
    <row r="467" ht="15.75" customHeight="1">
      <c r="A467" s="256"/>
      <c r="B467" s="256"/>
      <c r="C467" s="256"/>
      <c r="D467" s="257"/>
      <c r="E467" s="258"/>
      <c r="F467" s="259"/>
      <c r="G467" s="256"/>
    </row>
    <row r="468" ht="15.75" customHeight="1">
      <c r="A468" s="256"/>
      <c r="B468" s="256"/>
      <c r="C468" s="256"/>
      <c r="D468" s="257"/>
      <c r="E468" s="258"/>
      <c r="F468" s="259"/>
      <c r="G468" s="256"/>
    </row>
    <row r="469" ht="15.75" customHeight="1">
      <c r="A469" s="256"/>
      <c r="B469" s="256"/>
      <c r="C469" s="256"/>
      <c r="D469" s="257"/>
      <c r="E469" s="258"/>
      <c r="F469" s="259"/>
      <c r="G469" s="256"/>
    </row>
    <row r="470" ht="15.75" customHeight="1">
      <c r="A470" s="256"/>
      <c r="B470" s="256"/>
      <c r="C470" s="256"/>
      <c r="D470" s="257"/>
      <c r="E470" s="258"/>
      <c r="F470" s="259"/>
      <c r="G470" s="256"/>
    </row>
    <row r="471" ht="15.75" customHeight="1">
      <c r="A471" s="256"/>
      <c r="B471" s="256"/>
      <c r="C471" s="256"/>
      <c r="D471" s="257"/>
      <c r="E471" s="258"/>
      <c r="F471" s="259"/>
      <c r="G471" s="256"/>
    </row>
    <row r="472" ht="15.75" customHeight="1">
      <c r="A472" s="256"/>
      <c r="B472" s="256"/>
      <c r="C472" s="256"/>
      <c r="D472" s="257"/>
      <c r="E472" s="258"/>
      <c r="F472" s="259"/>
      <c r="G472" s="256"/>
    </row>
    <row r="473" ht="15.75" customHeight="1">
      <c r="A473" s="256"/>
      <c r="B473" s="256"/>
      <c r="C473" s="256"/>
      <c r="D473" s="257"/>
      <c r="E473" s="258"/>
      <c r="F473" s="259"/>
      <c r="G473" s="256"/>
    </row>
    <row r="474" ht="15.75" customHeight="1">
      <c r="A474" s="256"/>
      <c r="B474" s="256"/>
      <c r="C474" s="256"/>
      <c r="D474" s="257"/>
      <c r="E474" s="258"/>
      <c r="F474" s="259"/>
      <c r="G474" s="256"/>
    </row>
    <row r="475" ht="15.75" customHeight="1">
      <c r="A475" s="256"/>
      <c r="B475" s="256"/>
      <c r="C475" s="256"/>
      <c r="D475" s="257"/>
      <c r="E475" s="258"/>
      <c r="F475" s="259"/>
      <c r="G475" s="256"/>
    </row>
    <row r="476" ht="15.75" customHeight="1">
      <c r="A476" s="256"/>
      <c r="B476" s="256"/>
      <c r="C476" s="256"/>
      <c r="D476" s="257"/>
      <c r="E476" s="258"/>
      <c r="F476" s="259"/>
      <c r="G476" s="256"/>
    </row>
    <row r="477" ht="15.75" customHeight="1">
      <c r="A477" s="256"/>
      <c r="B477" s="256"/>
      <c r="C477" s="256"/>
      <c r="D477" s="257"/>
      <c r="E477" s="258"/>
      <c r="F477" s="259"/>
      <c r="G477" s="256"/>
    </row>
    <row r="478" ht="15.75" customHeight="1">
      <c r="A478" s="256"/>
      <c r="B478" s="256"/>
      <c r="C478" s="256"/>
      <c r="D478" s="257"/>
      <c r="E478" s="258"/>
      <c r="F478" s="259"/>
      <c r="G478" s="256"/>
    </row>
    <row r="479" ht="15.75" customHeight="1">
      <c r="A479" s="256"/>
      <c r="B479" s="256"/>
      <c r="C479" s="256"/>
      <c r="D479" s="257"/>
      <c r="E479" s="258"/>
      <c r="F479" s="259"/>
      <c r="G479" s="256"/>
    </row>
    <row r="480" ht="15.75" customHeight="1">
      <c r="A480" s="256"/>
      <c r="B480" s="256"/>
      <c r="C480" s="256"/>
      <c r="D480" s="257"/>
      <c r="E480" s="258"/>
      <c r="F480" s="259"/>
      <c r="G480" s="256"/>
    </row>
    <row r="481" ht="15.75" customHeight="1">
      <c r="A481" s="256"/>
      <c r="B481" s="256"/>
      <c r="C481" s="256"/>
      <c r="D481" s="257"/>
      <c r="E481" s="258"/>
      <c r="F481" s="259"/>
      <c r="G481" s="256"/>
    </row>
    <row r="482" ht="15.75" customHeight="1">
      <c r="A482" s="256"/>
      <c r="B482" s="256"/>
      <c r="C482" s="256"/>
      <c r="D482" s="257"/>
      <c r="E482" s="258"/>
      <c r="F482" s="259"/>
      <c r="G482" s="256"/>
    </row>
    <row r="483" ht="15.75" customHeight="1">
      <c r="A483" s="256"/>
      <c r="B483" s="256"/>
      <c r="C483" s="256"/>
      <c r="D483" s="257"/>
      <c r="E483" s="258"/>
      <c r="F483" s="259"/>
      <c r="G483" s="256"/>
    </row>
    <row r="484" ht="15.75" customHeight="1">
      <c r="A484" s="256"/>
      <c r="B484" s="256"/>
      <c r="C484" s="256"/>
      <c r="D484" s="257"/>
      <c r="E484" s="258"/>
      <c r="F484" s="259"/>
      <c r="G484" s="256"/>
    </row>
    <row r="485" ht="15.75" customHeight="1">
      <c r="A485" s="256"/>
      <c r="B485" s="256"/>
      <c r="C485" s="256"/>
      <c r="D485" s="257"/>
      <c r="E485" s="258"/>
      <c r="F485" s="259"/>
      <c r="G485" s="256"/>
    </row>
    <row r="486" ht="15.75" customHeight="1">
      <c r="A486" s="256"/>
      <c r="B486" s="256"/>
      <c r="C486" s="256"/>
      <c r="D486" s="257"/>
      <c r="E486" s="258"/>
      <c r="F486" s="259"/>
      <c r="G486" s="256"/>
    </row>
    <row r="487" ht="15.75" customHeight="1">
      <c r="A487" s="256"/>
      <c r="B487" s="256"/>
      <c r="C487" s="256"/>
      <c r="D487" s="257"/>
      <c r="E487" s="258"/>
      <c r="F487" s="259"/>
      <c r="G487" s="256"/>
    </row>
    <row r="488" ht="15.75" customHeight="1">
      <c r="A488" s="256"/>
      <c r="B488" s="256"/>
      <c r="C488" s="256"/>
      <c r="D488" s="257"/>
      <c r="E488" s="258"/>
      <c r="F488" s="259"/>
      <c r="G488" s="256"/>
    </row>
    <row r="489" ht="15.75" customHeight="1">
      <c r="A489" s="256"/>
      <c r="B489" s="256"/>
      <c r="C489" s="256"/>
      <c r="D489" s="257"/>
      <c r="E489" s="258"/>
      <c r="F489" s="259"/>
      <c r="G489" s="256"/>
    </row>
    <row r="490" ht="15.75" customHeight="1">
      <c r="A490" s="256"/>
      <c r="B490" s="256"/>
      <c r="C490" s="256"/>
      <c r="D490" s="257"/>
      <c r="E490" s="258"/>
      <c r="F490" s="259"/>
      <c r="G490" s="256"/>
    </row>
    <row r="491" ht="15.75" customHeight="1">
      <c r="A491" s="256"/>
      <c r="B491" s="256"/>
      <c r="C491" s="256"/>
      <c r="D491" s="257"/>
      <c r="E491" s="258"/>
      <c r="F491" s="259"/>
      <c r="G491" s="256"/>
    </row>
    <row r="492" ht="15.75" customHeight="1">
      <c r="A492" s="256"/>
      <c r="B492" s="256"/>
      <c r="C492" s="256"/>
      <c r="D492" s="257"/>
      <c r="E492" s="258"/>
      <c r="F492" s="259"/>
      <c r="G492" s="256"/>
    </row>
    <row r="493" ht="15.75" customHeight="1">
      <c r="A493" s="256"/>
      <c r="B493" s="256"/>
      <c r="C493" s="256"/>
      <c r="D493" s="257"/>
      <c r="E493" s="258"/>
      <c r="F493" s="259"/>
      <c r="G493" s="256"/>
    </row>
    <row r="494" ht="15.75" customHeight="1">
      <c r="A494" s="256"/>
      <c r="B494" s="256"/>
      <c r="C494" s="256"/>
      <c r="D494" s="257"/>
      <c r="E494" s="258"/>
      <c r="F494" s="259"/>
      <c r="G494" s="256"/>
    </row>
    <row r="495" ht="15.75" customHeight="1">
      <c r="A495" s="256"/>
      <c r="B495" s="256"/>
      <c r="C495" s="256"/>
      <c r="D495" s="257"/>
      <c r="E495" s="258"/>
      <c r="F495" s="259"/>
      <c r="G495" s="256"/>
    </row>
    <row r="496" ht="15.75" customHeight="1">
      <c r="A496" s="256"/>
      <c r="B496" s="256"/>
      <c r="C496" s="256"/>
      <c r="D496" s="257"/>
      <c r="E496" s="258"/>
      <c r="F496" s="259"/>
      <c r="G496" s="256"/>
    </row>
    <row r="497" ht="15.75" customHeight="1">
      <c r="A497" s="256"/>
      <c r="B497" s="256"/>
      <c r="C497" s="256"/>
      <c r="D497" s="257"/>
      <c r="E497" s="258"/>
      <c r="F497" s="259"/>
      <c r="G497" s="256"/>
    </row>
    <row r="498" ht="15.75" customHeight="1">
      <c r="A498" s="256"/>
      <c r="B498" s="256"/>
      <c r="C498" s="256"/>
      <c r="D498" s="257"/>
      <c r="E498" s="258"/>
      <c r="F498" s="259"/>
      <c r="G498" s="256"/>
    </row>
    <row r="499" ht="15.75" customHeight="1">
      <c r="A499" s="256"/>
      <c r="B499" s="256"/>
      <c r="C499" s="256"/>
      <c r="D499" s="257"/>
      <c r="E499" s="258"/>
      <c r="F499" s="259"/>
      <c r="G499" s="256"/>
    </row>
    <row r="500" ht="15.75" customHeight="1">
      <c r="A500" s="256"/>
      <c r="B500" s="256"/>
      <c r="C500" s="256"/>
      <c r="D500" s="257"/>
      <c r="E500" s="258"/>
      <c r="F500" s="259"/>
      <c r="G500" s="256"/>
    </row>
    <row r="501" ht="15.75" customHeight="1">
      <c r="A501" s="256"/>
      <c r="B501" s="256"/>
      <c r="C501" s="256"/>
      <c r="D501" s="257"/>
      <c r="E501" s="258"/>
      <c r="F501" s="259"/>
      <c r="G501" s="256"/>
    </row>
    <row r="502" ht="15.75" customHeight="1">
      <c r="A502" s="256"/>
      <c r="B502" s="256"/>
      <c r="C502" s="256"/>
      <c r="D502" s="257"/>
      <c r="E502" s="258"/>
      <c r="F502" s="259"/>
      <c r="G502" s="256"/>
    </row>
    <row r="503" ht="15.75" customHeight="1">
      <c r="A503" s="256"/>
      <c r="B503" s="256"/>
      <c r="C503" s="256"/>
      <c r="D503" s="257"/>
      <c r="E503" s="258"/>
      <c r="F503" s="259"/>
      <c r="G503" s="256"/>
    </row>
    <row r="504" ht="15.75" customHeight="1">
      <c r="A504" s="256"/>
      <c r="B504" s="256"/>
      <c r="C504" s="256"/>
      <c r="D504" s="257"/>
      <c r="E504" s="258"/>
      <c r="F504" s="259"/>
      <c r="G504" s="256"/>
    </row>
    <row r="505" ht="15.75" customHeight="1">
      <c r="A505" s="256"/>
      <c r="B505" s="256"/>
      <c r="C505" s="256"/>
      <c r="D505" s="257"/>
      <c r="E505" s="258"/>
      <c r="F505" s="259"/>
      <c r="G505" s="256"/>
    </row>
    <row r="506" ht="15.75" customHeight="1">
      <c r="A506" s="256"/>
      <c r="B506" s="256"/>
      <c r="C506" s="256"/>
      <c r="D506" s="257"/>
      <c r="E506" s="258"/>
      <c r="F506" s="259"/>
      <c r="G506" s="256"/>
    </row>
    <row r="507" ht="15.75" customHeight="1">
      <c r="A507" s="256"/>
      <c r="B507" s="256"/>
      <c r="C507" s="256"/>
      <c r="D507" s="257"/>
      <c r="E507" s="258"/>
      <c r="F507" s="259"/>
      <c r="G507" s="256"/>
    </row>
    <row r="508" ht="15.75" customHeight="1">
      <c r="A508" s="256"/>
      <c r="B508" s="256"/>
      <c r="C508" s="256"/>
      <c r="D508" s="257"/>
      <c r="E508" s="258"/>
      <c r="F508" s="259"/>
      <c r="G508" s="256"/>
    </row>
    <row r="509" ht="15.75" customHeight="1">
      <c r="A509" s="256"/>
      <c r="B509" s="256"/>
      <c r="C509" s="256"/>
      <c r="D509" s="257"/>
      <c r="E509" s="258"/>
      <c r="F509" s="259"/>
      <c r="G509" s="256"/>
    </row>
    <row r="510" ht="15.75" customHeight="1">
      <c r="A510" s="256"/>
      <c r="B510" s="256"/>
      <c r="C510" s="256"/>
      <c r="D510" s="257"/>
      <c r="E510" s="258"/>
      <c r="F510" s="259"/>
      <c r="G510" s="256"/>
    </row>
    <row r="511" ht="15.75" customHeight="1">
      <c r="A511" s="256"/>
      <c r="B511" s="256"/>
      <c r="C511" s="256"/>
      <c r="D511" s="257"/>
      <c r="E511" s="258"/>
      <c r="F511" s="259"/>
      <c r="G511" s="256"/>
    </row>
    <row r="512" ht="15.75" customHeight="1">
      <c r="A512" s="256"/>
      <c r="B512" s="256"/>
      <c r="C512" s="256"/>
      <c r="D512" s="257"/>
      <c r="E512" s="258"/>
      <c r="F512" s="259"/>
      <c r="G512" s="256"/>
    </row>
    <row r="513" ht="15.75" customHeight="1">
      <c r="A513" s="256"/>
      <c r="B513" s="256"/>
      <c r="C513" s="256"/>
      <c r="D513" s="257"/>
      <c r="E513" s="258"/>
      <c r="F513" s="259"/>
      <c r="G513" s="256"/>
    </row>
    <row r="514" ht="15.75" customHeight="1">
      <c r="A514" s="256"/>
      <c r="B514" s="256"/>
      <c r="C514" s="256"/>
      <c r="D514" s="257"/>
      <c r="E514" s="258"/>
      <c r="F514" s="259"/>
      <c r="G514" s="256"/>
    </row>
    <row r="515" ht="15.75" customHeight="1">
      <c r="A515" s="256"/>
      <c r="B515" s="256"/>
      <c r="C515" s="256"/>
      <c r="D515" s="257"/>
      <c r="E515" s="258"/>
      <c r="F515" s="259"/>
      <c r="G515" s="256"/>
    </row>
    <row r="516" ht="15.75" customHeight="1">
      <c r="A516" s="256"/>
      <c r="B516" s="256"/>
      <c r="C516" s="256"/>
      <c r="D516" s="257"/>
      <c r="E516" s="258"/>
      <c r="F516" s="259"/>
      <c r="G516" s="256"/>
    </row>
    <row r="517" ht="15.75" customHeight="1">
      <c r="A517" s="256"/>
      <c r="B517" s="256"/>
      <c r="C517" s="256"/>
      <c r="D517" s="257"/>
      <c r="E517" s="258"/>
      <c r="F517" s="259"/>
      <c r="G517" s="256"/>
    </row>
    <row r="518" ht="15.75" customHeight="1">
      <c r="A518" s="256"/>
      <c r="B518" s="256"/>
      <c r="C518" s="256"/>
      <c r="D518" s="257"/>
      <c r="E518" s="258"/>
      <c r="F518" s="259"/>
      <c r="G518" s="256"/>
    </row>
    <row r="519" ht="15.75" customHeight="1">
      <c r="A519" s="256"/>
      <c r="B519" s="256"/>
      <c r="C519" s="256"/>
      <c r="D519" s="257"/>
      <c r="E519" s="258"/>
      <c r="F519" s="259"/>
      <c r="G519" s="256"/>
    </row>
    <row r="520" ht="15.75" customHeight="1">
      <c r="A520" s="256"/>
      <c r="B520" s="256"/>
      <c r="C520" s="256"/>
      <c r="D520" s="257"/>
      <c r="E520" s="258"/>
      <c r="F520" s="259"/>
      <c r="G520" s="256"/>
    </row>
    <row r="521" ht="15.75" customHeight="1">
      <c r="A521" s="256"/>
      <c r="B521" s="256"/>
      <c r="C521" s="256"/>
      <c r="D521" s="257"/>
      <c r="E521" s="258"/>
      <c r="F521" s="259"/>
      <c r="G521" s="256"/>
    </row>
    <row r="522" ht="15.75" customHeight="1">
      <c r="A522" s="256"/>
      <c r="B522" s="256"/>
      <c r="C522" s="256"/>
      <c r="D522" s="257"/>
      <c r="E522" s="258"/>
      <c r="F522" s="259"/>
      <c r="G522" s="256"/>
    </row>
    <row r="523" ht="15.75" customHeight="1">
      <c r="A523" s="256"/>
      <c r="B523" s="256"/>
      <c r="C523" s="256"/>
      <c r="D523" s="257"/>
      <c r="E523" s="258"/>
      <c r="F523" s="259"/>
      <c r="G523" s="256"/>
    </row>
    <row r="524" ht="15.75" customHeight="1">
      <c r="A524" s="256"/>
      <c r="B524" s="256"/>
      <c r="C524" s="256"/>
      <c r="D524" s="257"/>
      <c r="E524" s="258"/>
      <c r="F524" s="259"/>
      <c r="G524" s="256"/>
    </row>
    <row r="525" ht="15.75" customHeight="1">
      <c r="A525" s="256"/>
      <c r="B525" s="256"/>
      <c r="C525" s="256"/>
      <c r="D525" s="257"/>
      <c r="E525" s="258"/>
      <c r="F525" s="259"/>
      <c r="G525" s="256"/>
    </row>
    <row r="526" ht="15.75" customHeight="1">
      <c r="A526" s="256"/>
      <c r="B526" s="256"/>
      <c r="C526" s="256"/>
      <c r="D526" s="257"/>
      <c r="E526" s="258"/>
      <c r="F526" s="259"/>
      <c r="G526" s="256"/>
    </row>
    <row r="527" ht="15.75" customHeight="1">
      <c r="A527" s="256"/>
      <c r="B527" s="256"/>
      <c r="C527" s="256"/>
      <c r="D527" s="257"/>
      <c r="E527" s="258"/>
      <c r="F527" s="259"/>
      <c r="G527" s="256"/>
    </row>
    <row r="528" ht="15.75" customHeight="1">
      <c r="A528" s="256"/>
      <c r="B528" s="256"/>
      <c r="C528" s="256"/>
      <c r="D528" s="257"/>
      <c r="E528" s="258"/>
      <c r="F528" s="259"/>
      <c r="G528" s="256"/>
    </row>
    <row r="529" ht="15.75" customHeight="1">
      <c r="A529" s="256"/>
      <c r="B529" s="256"/>
      <c r="C529" s="256"/>
      <c r="D529" s="257"/>
      <c r="E529" s="258"/>
      <c r="F529" s="259"/>
      <c r="G529" s="256"/>
    </row>
    <row r="530" ht="15.75" customHeight="1">
      <c r="A530" s="256"/>
      <c r="B530" s="256"/>
      <c r="C530" s="256"/>
      <c r="D530" s="257"/>
      <c r="E530" s="258"/>
      <c r="F530" s="259"/>
      <c r="G530" s="256"/>
    </row>
    <row r="531" ht="15.75" customHeight="1">
      <c r="A531" s="256"/>
      <c r="B531" s="256"/>
      <c r="C531" s="256"/>
      <c r="D531" s="257"/>
      <c r="E531" s="258"/>
      <c r="F531" s="259"/>
      <c r="G531" s="256"/>
    </row>
    <row r="532" ht="15.75" customHeight="1">
      <c r="A532" s="256"/>
      <c r="B532" s="256"/>
      <c r="C532" s="256"/>
      <c r="D532" s="257"/>
      <c r="E532" s="258"/>
      <c r="F532" s="259"/>
      <c r="G532" s="256"/>
    </row>
    <row r="533" ht="15.75" customHeight="1">
      <c r="A533" s="256"/>
      <c r="B533" s="256"/>
      <c r="C533" s="256"/>
      <c r="D533" s="257"/>
      <c r="E533" s="258"/>
      <c r="F533" s="259"/>
      <c r="G533" s="256"/>
    </row>
    <row r="534" ht="15.75" customHeight="1">
      <c r="A534" s="256"/>
      <c r="B534" s="256"/>
      <c r="C534" s="256"/>
      <c r="D534" s="257"/>
      <c r="E534" s="258"/>
      <c r="F534" s="259"/>
      <c r="G534" s="256"/>
    </row>
    <row r="535" ht="15.75" customHeight="1">
      <c r="A535" s="256"/>
      <c r="B535" s="256"/>
      <c r="C535" s="256"/>
      <c r="D535" s="257"/>
      <c r="E535" s="258"/>
      <c r="F535" s="259"/>
      <c r="G535" s="256"/>
    </row>
    <row r="536" ht="15.75" customHeight="1">
      <c r="A536" s="256"/>
      <c r="B536" s="256"/>
      <c r="C536" s="256"/>
      <c r="D536" s="257"/>
      <c r="E536" s="258"/>
      <c r="F536" s="259"/>
      <c r="G536" s="256"/>
    </row>
    <row r="537" ht="15.75" customHeight="1">
      <c r="A537" s="256"/>
      <c r="B537" s="256"/>
      <c r="C537" s="256"/>
      <c r="D537" s="257"/>
      <c r="E537" s="258"/>
      <c r="F537" s="259"/>
      <c r="G537" s="256"/>
    </row>
    <row r="538" ht="15.75" customHeight="1">
      <c r="A538" s="256"/>
      <c r="B538" s="256"/>
      <c r="C538" s="256"/>
      <c r="D538" s="257"/>
      <c r="E538" s="258"/>
      <c r="F538" s="259"/>
      <c r="G538" s="256"/>
    </row>
    <row r="539" ht="15.75" customHeight="1">
      <c r="A539" s="256"/>
      <c r="B539" s="256"/>
      <c r="C539" s="256"/>
      <c r="D539" s="257"/>
      <c r="E539" s="258"/>
      <c r="F539" s="259"/>
      <c r="G539" s="256"/>
    </row>
    <row r="540" ht="15.75" customHeight="1">
      <c r="A540" s="256"/>
      <c r="B540" s="256"/>
      <c r="C540" s="256"/>
      <c r="D540" s="257"/>
      <c r="E540" s="258"/>
      <c r="F540" s="259"/>
      <c r="G540" s="256"/>
    </row>
    <row r="541" ht="15.75" customHeight="1">
      <c r="A541" s="256"/>
      <c r="B541" s="256"/>
      <c r="C541" s="256"/>
      <c r="D541" s="257"/>
      <c r="E541" s="258"/>
      <c r="F541" s="259"/>
      <c r="G541" s="256"/>
    </row>
    <row r="542" ht="15.75" customHeight="1">
      <c r="A542" s="256"/>
      <c r="B542" s="256"/>
      <c r="C542" s="256"/>
      <c r="D542" s="257"/>
      <c r="E542" s="258"/>
      <c r="F542" s="259"/>
      <c r="G542" s="256"/>
    </row>
    <row r="543" ht="15.75" customHeight="1">
      <c r="A543" s="256"/>
      <c r="B543" s="256"/>
      <c r="C543" s="256"/>
      <c r="D543" s="257"/>
      <c r="E543" s="258"/>
      <c r="F543" s="259"/>
      <c r="G543" s="256"/>
    </row>
    <row r="544" ht="15.75" customHeight="1">
      <c r="A544" s="256"/>
      <c r="B544" s="256"/>
      <c r="C544" s="256"/>
      <c r="D544" s="257"/>
      <c r="E544" s="258"/>
      <c r="F544" s="259"/>
      <c r="G544" s="256"/>
    </row>
    <row r="545" ht="15.75" customHeight="1">
      <c r="A545" s="256"/>
      <c r="B545" s="256"/>
      <c r="C545" s="256"/>
      <c r="D545" s="257"/>
      <c r="E545" s="258"/>
      <c r="F545" s="259"/>
      <c r="G545" s="256"/>
    </row>
    <row r="546" ht="15.75" customHeight="1">
      <c r="A546" s="256"/>
      <c r="B546" s="256"/>
      <c r="C546" s="256"/>
      <c r="D546" s="257"/>
      <c r="E546" s="258"/>
      <c r="F546" s="259"/>
      <c r="G546" s="256"/>
    </row>
    <row r="547" ht="15.75" customHeight="1">
      <c r="A547" s="256"/>
      <c r="B547" s="256"/>
      <c r="C547" s="256"/>
      <c r="D547" s="257"/>
      <c r="E547" s="258"/>
      <c r="F547" s="259"/>
      <c r="G547" s="256"/>
    </row>
    <row r="548" ht="15.75" customHeight="1">
      <c r="A548" s="256"/>
      <c r="B548" s="256"/>
      <c r="C548" s="256"/>
      <c r="D548" s="257"/>
      <c r="E548" s="258"/>
      <c r="F548" s="259"/>
      <c r="G548" s="256"/>
    </row>
    <row r="549" ht="15.75" customHeight="1">
      <c r="A549" s="256"/>
      <c r="B549" s="256"/>
      <c r="C549" s="256"/>
      <c r="D549" s="257"/>
      <c r="E549" s="258"/>
      <c r="F549" s="259"/>
      <c r="G549" s="256"/>
    </row>
    <row r="550" ht="15.75" customHeight="1">
      <c r="A550" s="256"/>
      <c r="B550" s="256"/>
      <c r="C550" s="256"/>
      <c r="D550" s="257"/>
      <c r="E550" s="258"/>
      <c r="F550" s="259"/>
      <c r="G550" s="256"/>
    </row>
    <row r="551" ht="15.75" customHeight="1">
      <c r="A551" s="256"/>
      <c r="B551" s="256"/>
      <c r="C551" s="256"/>
      <c r="D551" s="257"/>
      <c r="E551" s="258"/>
      <c r="F551" s="259"/>
      <c r="G551" s="256"/>
    </row>
    <row r="552" ht="15.75" customHeight="1">
      <c r="A552" s="256"/>
      <c r="B552" s="256"/>
      <c r="C552" s="256"/>
      <c r="D552" s="257"/>
      <c r="E552" s="258"/>
      <c r="F552" s="259"/>
      <c r="G552" s="256"/>
    </row>
    <row r="553" ht="15.75" customHeight="1">
      <c r="A553" s="256"/>
      <c r="B553" s="256"/>
      <c r="C553" s="256"/>
      <c r="D553" s="257"/>
      <c r="E553" s="258"/>
      <c r="F553" s="259"/>
      <c r="G553" s="256"/>
    </row>
    <row r="554" ht="15.75" customHeight="1">
      <c r="A554" s="256"/>
      <c r="B554" s="256"/>
      <c r="C554" s="256"/>
      <c r="D554" s="257"/>
      <c r="E554" s="258"/>
      <c r="F554" s="259"/>
      <c r="G554" s="256"/>
    </row>
    <row r="555" ht="15.75" customHeight="1">
      <c r="A555" s="256"/>
      <c r="B555" s="256"/>
      <c r="C555" s="256"/>
      <c r="D555" s="257"/>
      <c r="E555" s="258"/>
      <c r="F555" s="259"/>
      <c r="G555" s="256"/>
    </row>
    <row r="556" ht="15.75" customHeight="1">
      <c r="A556" s="256"/>
      <c r="B556" s="256"/>
      <c r="C556" s="256"/>
      <c r="D556" s="257"/>
      <c r="E556" s="258"/>
      <c r="F556" s="259"/>
      <c r="G556" s="256"/>
    </row>
    <row r="557" ht="15.75" customHeight="1">
      <c r="A557" s="256"/>
      <c r="B557" s="256"/>
      <c r="C557" s="256"/>
      <c r="D557" s="257"/>
      <c r="E557" s="258"/>
      <c r="F557" s="259"/>
      <c r="G557" s="256"/>
    </row>
    <row r="558" ht="15.75" customHeight="1">
      <c r="A558" s="256"/>
      <c r="B558" s="256"/>
      <c r="C558" s="256"/>
      <c r="D558" s="257"/>
      <c r="E558" s="258"/>
      <c r="F558" s="259"/>
      <c r="G558" s="256"/>
    </row>
    <row r="559" ht="15.75" customHeight="1">
      <c r="A559" s="256"/>
      <c r="B559" s="256"/>
      <c r="C559" s="256"/>
      <c r="D559" s="257"/>
      <c r="E559" s="258"/>
      <c r="F559" s="259"/>
      <c r="G559" s="256"/>
    </row>
    <row r="560" ht="15.75" customHeight="1">
      <c r="A560" s="256"/>
      <c r="B560" s="256"/>
      <c r="C560" s="256"/>
      <c r="D560" s="257"/>
      <c r="E560" s="258"/>
      <c r="F560" s="259"/>
      <c r="G560" s="256"/>
    </row>
    <row r="561" ht="15.75" customHeight="1">
      <c r="A561" s="256"/>
      <c r="B561" s="256"/>
      <c r="C561" s="256"/>
      <c r="D561" s="257"/>
      <c r="E561" s="258"/>
      <c r="F561" s="259"/>
      <c r="G561" s="256"/>
    </row>
    <row r="562" ht="15.75" customHeight="1">
      <c r="A562" s="256"/>
      <c r="B562" s="256"/>
      <c r="C562" s="256"/>
      <c r="D562" s="257"/>
      <c r="E562" s="258"/>
      <c r="F562" s="259"/>
      <c r="G562" s="256"/>
    </row>
    <row r="563" ht="15.75" customHeight="1">
      <c r="A563" s="256"/>
      <c r="B563" s="256"/>
      <c r="C563" s="256"/>
      <c r="D563" s="257"/>
      <c r="E563" s="258"/>
      <c r="F563" s="259"/>
      <c r="G563" s="256"/>
    </row>
    <row r="564" ht="15.75" customHeight="1">
      <c r="A564" s="256"/>
      <c r="B564" s="256"/>
      <c r="C564" s="256"/>
      <c r="D564" s="257"/>
      <c r="E564" s="258"/>
      <c r="F564" s="259"/>
      <c r="G564" s="256"/>
    </row>
    <row r="565" ht="15.75" customHeight="1">
      <c r="A565" s="256"/>
      <c r="B565" s="256"/>
      <c r="C565" s="256"/>
      <c r="D565" s="257"/>
      <c r="E565" s="258"/>
      <c r="F565" s="259"/>
      <c r="G565" s="256"/>
    </row>
    <row r="566" ht="15.75" customHeight="1">
      <c r="A566" s="256"/>
      <c r="B566" s="256"/>
      <c r="C566" s="256"/>
      <c r="D566" s="257"/>
      <c r="E566" s="258"/>
      <c r="F566" s="259"/>
      <c r="G566" s="256"/>
    </row>
    <row r="567" ht="15.75" customHeight="1">
      <c r="A567" s="256"/>
      <c r="B567" s="256"/>
      <c r="C567" s="256"/>
      <c r="D567" s="257"/>
      <c r="E567" s="258"/>
      <c r="F567" s="259"/>
      <c r="G567" s="256"/>
    </row>
    <row r="568" ht="15.75" customHeight="1">
      <c r="A568" s="256"/>
      <c r="B568" s="256"/>
      <c r="C568" s="256"/>
      <c r="D568" s="257"/>
      <c r="E568" s="258"/>
      <c r="F568" s="259"/>
      <c r="G568" s="256"/>
    </row>
    <row r="569" ht="15.75" customHeight="1">
      <c r="A569" s="256"/>
      <c r="B569" s="256"/>
      <c r="C569" s="256"/>
      <c r="D569" s="257"/>
      <c r="E569" s="258"/>
      <c r="F569" s="259"/>
      <c r="G569" s="256"/>
    </row>
    <row r="570" ht="15.75" customHeight="1">
      <c r="A570" s="256"/>
      <c r="B570" s="256"/>
      <c r="C570" s="256"/>
      <c r="D570" s="257"/>
      <c r="E570" s="258"/>
      <c r="F570" s="259"/>
      <c r="G570" s="256"/>
    </row>
    <row r="571" ht="15.75" customHeight="1">
      <c r="A571" s="256"/>
      <c r="B571" s="256"/>
      <c r="C571" s="256"/>
      <c r="D571" s="257"/>
      <c r="E571" s="258"/>
      <c r="F571" s="259"/>
      <c r="G571" s="256"/>
    </row>
    <row r="572" ht="15.75" customHeight="1">
      <c r="A572" s="256"/>
      <c r="B572" s="256"/>
      <c r="C572" s="256"/>
      <c r="D572" s="257"/>
      <c r="E572" s="258"/>
      <c r="F572" s="259"/>
      <c r="G572" s="256"/>
    </row>
    <row r="573" ht="15.75" customHeight="1">
      <c r="A573" s="256"/>
      <c r="B573" s="256"/>
      <c r="C573" s="256"/>
      <c r="D573" s="257"/>
      <c r="E573" s="258"/>
      <c r="F573" s="259"/>
      <c r="G573" s="256"/>
    </row>
    <row r="574" ht="15.75" customHeight="1">
      <c r="A574" s="256"/>
      <c r="B574" s="256"/>
      <c r="C574" s="256"/>
      <c r="D574" s="257"/>
      <c r="E574" s="258"/>
      <c r="F574" s="259"/>
      <c r="G574" s="256"/>
    </row>
    <row r="575" ht="15.75" customHeight="1">
      <c r="A575" s="256"/>
      <c r="B575" s="256"/>
      <c r="C575" s="256"/>
      <c r="D575" s="257"/>
      <c r="E575" s="258"/>
      <c r="F575" s="259"/>
      <c r="G575" s="256"/>
    </row>
    <row r="576" ht="15.75" customHeight="1">
      <c r="A576" s="256"/>
      <c r="B576" s="256"/>
      <c r="C576" s="256"/>
      <c r="D576" s="257"/>
      <c r="E576" s="258"/>
      <c r="F576" s="259"/>
      <c r="G576" s="256"/>
    </row>
    <row r="577" ht="15.75" customHeight="1">
      <c r="A577" s="256"/>
      <c r="B577" s="256"/>
      <c r="C577" s="256"/>
      <c r="D577" s="257"/>
      <c r="E577" s="258"/>
      <c r="F577" s="259"/>
      <c r="G577" s="256"/>
    </row>
    <row r="578" ht="15.75" customHeight="1">
      <c r="A578" s="256"/>
      <c r="B578" s="256"/>
      <c r="C578" s="256"/>
      <c r="D578" s="257"/>
      <c r="E578" s="258"/>
      <c r="F578" s="259"/>
      <c r="G578" s="256"/>
    </row>
    <row r="579" ht="15.75" customHeight="1">
      <c r="A579" s="256"/>
      <c r="B579" s="256"/>
      <c r="C579" s="256"/>
      <c r="D579" s="257"/>
      <c r="E579" s="258"/>
      <c r="F579" s="259"/>
      <c r="G579" s="256"/>
    </row>
    <row r="580" ht="15.75" customHeight="1">
      <c r="A580" s="256"/>
      <c r="B580" s="256"/>
      <c r="C580" s="256"/>
      <c r="D580" s="257"/>
      <c r="E580" s="258"/>
      <c r="F580" s="259"/>
      <c r="G580" s="256"/>
    </row>
    <row r="581" ht="15.75" customHeight="1">
      <c r="A581" s="256"/>
      <c r="B581" s="256"/>
      <c r="C581" s="256"/>
      <c r="D581" s="257"/>
      <c r="E581" s="258"/>
      <c r="F581" s="259"/>
      <c r="G581" s="256"/>
    </row>
    <row r="582" ht="15.75" customHeight="1">
      <c r="A582" s="256"/>
      <c r="B582" s="256"/>
      <c r="C582" s="256"/>
      <c r="D582" s="257"/>
      <c r="E582" s="258"/>
      <c r="F582" s="259"/>
      <c r="G582" s="256"/>
    </row>
    <row r="583" ht="15.75" customHeight="1">
      <c r="A583" s="256"/>
      <c r="B583" s="256"/>
      <c r="C583" s="256"/>
      <c r="D583" s="257"/>
      <c r="E583" s="258"/>
      <c r="F583" s="259"/>
      <c r="G583" s="256"/>
    </row>
    <row r="584" ht="15.75" customHeight="1">
      <c r="A584" s="256"/>
      <c r="B584" s="256"/>
      <c r="C584" s="256"/>
      <c r="D584" s="257"/>
      <c r="E584" s="258"/>
      <c r="F584" s="259"/>
      <c r="G584" s="256"/>
    </row>
    <row r="585" ht="15.75" customHeight="1">
      <c r="A585" s="256"/>
      <c r="B585" s="256"/>
      <c r="C585" s="256"/>
      <c r="D585" s="257"/>
      <c r="E585" s="258"/>
      <c r="F585" s="259"/>
      <c r="G585" s="256"/>
    </row>
    <row r="586" ht="15.75" customHeight="1">
      <c r="A586" s="256"/>
      <c r="B586" s="256"/>
      <c r="C586" s="256"/>
      <c r="D586" s="257"/>
      <c r="E586" s="258"/>
      <c r="F586" s="259"/>
      <c r="G586" s="256"/>
    </row>
    <row r="587" ht="15.75" customHeight="1">
      <c r="A587" s="256"/>
      <c r="B587" s="256"/>
      <c r="C587" s="256"/>
      <c r="D587" s="257"/>
      <c r="E587" s="258"/>
      <c r="F587" s="259"/>
      <c r="G587" s="256"/>
    </row>
    <row r="588" ht="15.75" customHeight="1">
      <c r="A588" s="256"/>
      <c r="B588" s="256"/>
      <c r="C588" s="256"/>
      <c r="D588" s="257"/>
      <c r="E588" s="258"/>
      <c r="F588" s="259"/>
      <c r="G588" s="256"/>
    </row>
    <row r="589" ht="15.75" customHeight="1">
      <c r="A589" s="256"/>
      <c r="B589" s="256"/>
      <c r="C589" s="256"/>
      <c r="D589" s="257"/>
      <c r="E589" s="258"/>
      <c r="F589" s="259"/>
      <c r="G589" s="256"/>
    </row>
    <row r="590" ht="15.75" customHeight="1">
      <c r="A590" s="256"/>
      <c r="B590" s="256"/>
      <c r="C590" s="256"/>
      <c r="D590" s="257"/>
      <c r="E590" s="258"/>
      <c r="F590" s="259"/>
      <c r="G590" s="256"/>
    </row>
    <row r="591" ht="15.75" customHeight="1">
      <c r="A591" s="256"/>
      <c r="B591" s="256"/>
      <c r="C591" s="256"/>
      <c r="D591" s="257"/>
      <c r="E591" s="258"/>
      <c r="F591" s="259"/>
      <c r="G591" s="256"/>
    </row>
    <row r="592" ht="15.75" customHeight="1">
      <c r="A592" s="256"/>
      <c r="B592" s="256"/>
      <c r="C592" s="256"/>
      <c r="D592" s="257"/>
      <c r="E592" s="258"/>
      <c r="F592" s="259"/>
      <c r="G592" s="256"/>
    </row>
    <row r="593" ht="15.75" customHeight="1">
      <c r="A593" s="256"/>
      <c r="B593" s="256"/>
      <c r="C593" s="256"/>
      <c r="D593" s="257"/>
      <c r="E593" s="258"/>
      <c r="F593" s="259"/>
      <c r="G593" s="256"/>
    </row>
    <row r="594" ht="15.75" customHeight="1">
      <c r="A594" s="256"/>
      <c r="B594" s="256"/>
      <c r="C594" s="256"/>
      <c r="D594" s="257"/>
      <c r="E594" s="258"/>
      <c r="F594" s="259"/>
      <c r="G594" s="256"/>
    </row>
    <row r="595" ht="15.75" customHeight="1">
      <c r="A595" s="256"/>
      <c r="B595" s="256"/>
      <c r="C595" s="256"/>
      <c r="D595" s="257"/>
      <c r="E595" s="258"/>
      <c r="F595" s="259"/>
      <c r="G595" s="256"/>
    </row>
    <row r="596" ht="15.75" customHeight="1">
      <c r="A596" s="256"/>
      <c r="B596" s="256"/>
      <c r="C596" s="256"/>
      <c r="D596" s="257"/>
      <c r="E596" s="258"/>
      <c r="F596" s="259"/>
      <c r="G596" s="256"/>
    </row>
    <row r="597" ht="15.75" customHeight="1">
      <c r="A597" s="256"/>
      <c r="B597" s="256"/>
      <c r="C597" s="256"/>
      <c r="D597" s="257"/>
      <c r="E597" s="258"/>
      <c r="F597" s="259"/>
      <c r="G597" s="256"/>
    </row>
    <row r="598" ht="15.75" customHeight="1">
      <c r="A598" s="256"/>
      <c r="B598" s="256"/>
      <c r="C598" s="256"/>
      <c r="D598" s="257"/>
      <c r="E598" s="258"/>
      <c r="F598" s="259"/>
      <c r="G598" s="256"/>
    </row>
    <row r="599" ht="15.75" customHeight="1">
      <c r="A599" s="256"/>
      <c r="B599" s="256"/>
      <c r="C599" s="256"/>
      <c r="D599" s="257"/>
      <c r="E599" s="258"/>
      <c r="F599" s="259"/>
      <c r="G599" s="256"/>
    </row>
    <row r="600" ht="15.75" customHeight="1">
      <c r="A600" s="256"/>
      <c r="B600" s="256"/>
      <c r="C600" s="256"/>
      <c r="D600" s="257"/>
      <c r="E600" s="258"/>
      <c r="F600" s="259"/>
      <c r="G600" s="256"/>
    </row>
    <row r="601" ht="15.75" customHeight="1">
      <c r="A601" s="256"/>
      <c r="B601" s="256"/>
      <c r="C601" s="256"/>
      <c r="D601" s="257"/>
      <c r="E601" s="258"/>
      <c r="F601" s="259"/>
      <c r="G601" s="256"/>
    </row>
    <row r="602" ht="15.75" customHeight="1">
      <c r="A602" s="256"/>
      <c r="B602" s="256"/>
      <c r="C602" s="256"/>
      <c r="D602" s="257"/>
      <c r="E602" s="258"/>
      <c r="F602" s="259"/>
      <c r="G602" s="256"/>
    </row>
    <row r="603" ht="15.75" customHeight="1">
      <c r="A603" s="256"/>
      <c r="B603" s="256"/>
      <c r="C603" s="256"/>
      <c r="D603" s="257"/>
      <c r="E603" s="258"/>
      <c r="F603" s="259"/>
      <c r="G603" s="256"/>
    </row>
    <row r="604" ht="15.75" customHeight="1">
      <c r="A604" s="256"/>
      <c r="B604" s="256"/>
      <c r="C604" s="256"/>
      <c r="D604" s="257"/>
      <c r="E604" s="258"/>
      <c r="F604" s="259"/>
      <c r="G604" s="256"/>
    </row>
    <row r="605" ht="15.75" customHeight="1">
      <c r="A605" s="256"/>
      <c r="B605" s="256"/>
      <c r="C605" s="256"/>
      <c r="D605" s="257"/>
      <c r="E605" s="258"/>
      <c r="F605" s="259"/>
      <c r="G605" s="256"/>
    </row>
    <row r="606" ht="15.75" customHeight="1">
      <c r="A606" s="256"/>
      <c r="B606" s="256"/>
      <c r="C606" s="256"/>
      <c r="D606" s="257"/>
      <c r="E606" s="258"/>
      <c r="F606" s="259"/>
      <c r="G606" s="256"/>
    </row>
    <row r="607" ht="15.75" customHeight="1">
      <c r="A607" s="256"/>
      <c r="B607" s="256"/>
      <c r="C607" s="256"/>
      <c r="D607" s="257"/>
      <c r="E607" s="258"/>
      <c r="F607" s="259"/>
      <c r="G607" s="256"/>
    </row>
    <row r="608" ht="15.75" customHeight="1">
      <c r="A608" s="256"/>
      <c r="B608" s="256"/>
      <c r="C608" s="256"/>
      <c r="D608" s="257"/>
      <c r="E608" s="258"/>
      <c r="F608" s="259"/>
      <c r="G608" s="256"/>
    </row>
    <row r="609" ht="15.75" customHeight="1">
      <c r="A609" s="256"/>
      <c r="B609" s="256"/>
      <c r="C609" s="256"/>
      <c r="D609" s="257"/>
      <c r="E609" s="258"/>
      <c r="F609" s="259"/>
      <c r="G609" s="256"/>
    </row>
    <row r="610" ht="15.75" customHeight="1">
      <c r="A610" s="256"/>
      <c r="B610" s="256"/>
      <c r="C610" s="256"/>
      <c r="D610" s="257"/>
      <c r="E610" s="258"/>
      <c r="F610" s="259"/>
      <c r="G610" s="256"/>
    </row>
    <row r="611" ht="15.75" customHeight="1">
      <c r="A611" s="256"/>
      <c r="B611" s="256"/>
      <c r="C611" s="256"/>
      <c r="D611" s="257"/>
      <c r="E611" s="258"/>
      <c r="F611" s="259"/>
      <c r="G611" s="256"/>
    </row>
    <row r="612" ht="15.75" customHeight="1">
      <c r="A612" s="256"/>
      <c r="B612" s="256"/>
      <c r="C612" s="256"/>
      <c r="D612" s="257"/>
      <c r="E612" s="258"/>
      <c r="F612" s="259"/>
      <c r="G612" s="256"/>
    </row>
    <row r="613" ht="15.75" customHeight="1">
      <c r="A613" s="256"/>
      <c r="B613" s="256"/>
      <c r="C613" s="256"/>
      <c r="D613" s="257"/>
      <c r="E613" s="258"/>
      <c r="F613" s="259"/>
      <c r="G613" s="256"/>
    </row>
    <row r="614" ht="15.75" customHeight="1">
      <c r="A614" s="256"/>
      <c r="B614" s="256"/>
      <c r="C614" s="256"/>
      <c r="D614" s="257"/>
      <c r="E614" s="258"/>
      <c r="F614" s="259"/>
      <c r="G614" s="256"/>
    </row>
    <row r="615" ht="15.75" customHeight="1">
      <c r="A615" s="256"/>
      <c r="B615" s="256"/>
      <c r="C615" s="256"/>
      <c r="D615" s="257"/>
      <c r="E615" s="258"/>
      <c r="F615" s="259"/>
      <c r="G615" s="256"/>
    </row>
    <row r="616" ht="15.75" customHeight="1">
      <c r="A616" s="256"/>
      <c r="B616" s="256"/>
      <c r="C616" s="256"/>
      <c r="D616" s="257"/>
      <c r="E616" s="258"/>
      <c r="F616" s="259"/>
      <c r="G616" s="256"/>
    </row>
    <row r="617" ht="15.75" customHeight="1">
      <c r="A617" s="256"/>
      <c r="B617" s="256"/>
      <c r="C617" s="256"/>
      <c r="D617" s="257"/>
      <c r="E617" s="258"/>
      <c r="F617" s="259"/>
      <c r="G617" s="256"/>
    </row>
    <row r="618" ht="15.75" customHeight="1">
      <c r="A618" s="256"/>
      <c r="B618" s="256"/>
      <c r="C618" s="256"/>
      <c r="D618" s="257"/>
      <c r="E618" s="258"/>
      <c r="F618" s="259"/>
      <c r="G618" s="256"/>
    </row>
    <row r="619" ht="15.75" customHeight="1">
      <c r="A619" s="256"/>
      <c r="B619" s="256"/>
      <c r="C619" s="256"/>
      <c r="D619" s="257"/>
      <c r="E619" s="258"/>
      <c r="F619" s="259"/>
      <c r="G619" s="256"/>
    </row>
    <row r="620" ht="15.75" customHeight="1">
      <c r="A620" s="256"/>
      <c r="B620" s="256"/>
      <c r="C620" s="256"/>
      <c r="D620" s="257"/>
      <c r="E620" s="258"/>
      <c r="F620" s="259"/>
      <c r="G620" s="256"/>
    </row>
    <row r="621" ht="15.75" customHeight="1">
      <c r="A621" s="256"/>
      <c r="B621" s="256"/>
      <c r="C621" s="256"/>
      <c r="D621" s="257"/>
      <c r="E621" s="258"/>
      <c r="F621" s="259"/>
      <c r="G621" s="256"/>
    </row>
    <row r="622" ht="15.75" customHeight="1">
      <c r="A622" s="256"/>
      <c r="B622" s="256"/>
      <c r="C622" s="256"/>
      <c r="D622" s="257"/>
      <c r="E622" s="258"/>
      <c r="F622" s="259"/>
      <c r="G622" s="256"/>
    </row>
    <row r="623" ht="15.75" customHeight="1">
      <c r="A623" s="256"/>
      <c r="B623" s="256"/>
      <c r="C623" s="256"/>
      <c r="D623" s="257"/>
      <c r="E623" s="258"/>
      <c r="F623" s="259"/>
      <c r="G623" s="256"/>
    </row>
    <row r="624" ht="15.75" customHeight="1">
      <c r="A624" s="256"/>
      <c r="B624" s="256"/>
      <c r="C624" s="256"/>
      <c r="D624" s="257"/>
      <c r="E624" s="258"/>
      <c r="F624" s="259"/>
      <c r="G624" s="256"/>
    </row>
    <row r="625" ht="15.75" customHeight="1">
      <c r="A625" s="256"/>
      <c r="B625" s="256"/>
      <c r="C625" s="256"/>
      <c r="D625" s="257"/>
      <c r="E625" s="258"/>
      <c r="F625" s="259"/>
      <c r="G625" s="256"/>
    </row>
    <row r="626" ht="15.75" customHeight="1">
      <c r="A626" s="256"/>
      <c r="B626" s="256"/>
      <c r="C626" s="256"/>
      <c r="D626" s="257"/>
      <c r="E626" s="258"/>
      <c r="F626" s="259"/>
      <c r="G626" s="256"/>
    </row>
    <row r="627" ht="15.75" customHeight="1">
      <c r="A627" s="256"/>
      <c r="B627" s="256"/>
      <c r="C627" s="256"/>
      <c r="D627" s="257"/>
      <c r="E627" s="258"/>
      <c r="F627" s="259"/>
      <c r="G627" s="256"/>
    </row>
    <row r="628" ht="15.75" customHeight="1">
      <c r="A628" s="256"/>
      <c r="B628" s="256"/>
      <c r="C628" s="256"/>
      <c r="D628" s="257"/>
      <c r="E628" s="258"/>
      <c r="F628" s="259"/>
      <c r="G628" s="256"/>
    </row>
    <row r="629" ht="15.75" customHeight="1">
      <c r="A629" s="256"/>
      <c r="B629" s="256"/>
      <c r="C629" s="256"/>
      <c r="D629" s="257"/>
      <c r="E629" s="258"/>
      <c r="F629" s="259"/>
      <c r="G629" s="256"/>
    </row>
    <row r="630" ht="15.75" customHeight="1">
      <c r="A630" s="256"/>
      <c r="B630" s="256"/>
      <c r="C630" s="256"/>
      <c r="D630" s="257"/>
      <c r="E630" s="258"/>
      <c r="F630" s="259"/>
      <c r="G630" s="256"/>
    </row>
    <row r="631" ht="15.75" customHeight="1">
      <c r="A631" s="256"/>
      <c r="B631" s="256"/>
      <c r="C631" s="256"/>
      <c r="D631" s="257"/>
      <c r="E631" s="258"/>
      <c r="F631" s="259"/>
      <c r="G631" s="256"/>
    </row>
    <row r="632" ht="15.75" customHeight="1">
      <c r="A632" s="256"/>
      <c r="B632" s="256"/>
      <c r="C632" s="256"/>
      <c r="D632" s="257"/>
      <c r="E632" s="258"/>
      <c r="F632" s="259"/>
      <c r="G632" s="256"/>
    </row>
    <row r="633" ht="15.75" customHeight="1">
      <c r="A633" s="256"/>
      <c r="B633" s="256"/>
      <c r="C633" s="256"/>
      <c r="D633" s="257"/>
      <c r="E633" s="258"/>
      <c r="F633" s="259"/>
      <c r="G633" s="256"/>
    </row>
    <row r="634" ht="15.75" customHeight="1">
      <c r="A634" s="256"/>
      <c r="B634" s="256"/>
      <c r="C634" s="256"/>
      <c r="D634" s="257"/>
      <c r="E634" s="258"/>
      <c r="F634" s="259"/>
      <c r="G634" s="256"/>
    </row>
    <row r="635" ht="15.75" customHeight="1">
      <c r="A635" s="256"/>
      <c r="B635" s="256"/>
      <c r="C635" s="256"/>
      <c r="D635" s="257"/>
      <c r="E635" s="258"/>
      <c r="F635" s="259"/>
      <c r="G635" s="256"/>
    </row>
    <row r="636" ht="15.75" customHeight="1">
      <c r="A636" s="256"/>
      <c r="B636" s="256"/>
      <c r="C636" s="256"/>
      <c r="D636" s="257"/>
      <c r="E636" s="258"/>
      <c r="F636" s="259"/>
      <c r="G636" s="256"/>
    </row>
    <row r="637" ht="15.75" customHeight="1">
      <c r="A637" s="256"/>
      <c r="B637" s="256"/>
      <c r="C637" s="256"/>
      <c r="D637" s="257"/>
      <c r="E637" s="258"/>
      <c r="F637" s="259"/>
      <c r="G637" s="256"/>
    </row>
    <row r="638" ht="15.75" customHeight="1">
      <c r="A638" s="256"/>
      <c r="B638" s="256"/>
      <c r="C638" s="256"/>
      <c r="D638" s="257"/>
      <c r="E638" s="258"/>
      <c r="F638" s="259"/>
      <c r="G638" s="256"/>
    </row>
    <row r="639" ht="15.75" customHeight="1">
      <c r="A639" s="256"/>
      <c r="B639" s="256"/>
      <c r="C639" s="256"/>
      <c r="D639" s="257"/>
      <c r="E639" s="258"/>
      <c r="F639" s="259"/>
      <c r="G639" s="256"/>
    </row>
    <row r="640" ht="15.75" customHeight="1">
      <c r="A640" s="256"/>
      <c r="B640" s="256"/>
      <c r="C640" s="256"/>
      <c r="D640" s="257"/>
      <c r="E640" s="258"/>
      <c r="F640" s="259"/>
      <c r="G640" s="256"/>
    </row>
    <row r="641" ht="15.75" customHeight="1">
      <c r="A641" s="256"/>
      <c r="B641" s="256"/>
      <c r="C641" s="256"/>
      <c r="D641" s="257"/>
      <c r="E641" s="258"/>
      <c r="F641" s="259"/>
      <c r="G641" s="256"/>
    </row>
    <row r="642" ht="15.75" customHeight="1">
      <c r="A642" s="256"/>
      <c r="B642" s="256"/>
      <c r="C642" s="256"/>
      <c r="D642" s="257"/>
      <c r="E642" s="258"/>
      <c r="F642" s="259"/>
      <c r="G642" s="256"/>
    </row>
    <row r="643" ht="15.75" customHeight="1">
      <c r="A643" s="256"/>
      <c r="B643" s="256"/>
      <c r="C643" s="256"/>
      <c r="D643" s="257"/>
      <c r="E643" s="258"/>
      <c r="F643" s="259"/>
      <c r="G643" s="256"/>
    </row>
    <row r="644" ht="15.75" customHeight="1">
      <c r="A644" s="256"/>
      <c r="B644" s="256"/>
      <c r="C644" s="256"/>
      <c r="D644" s="257"/>
      <c r="E644" s="258"/>
      <c r="F644" s="259"/>
      <c r="G644" s="256"/>
    </row>
    <row r="645" ht="15.75" customHeight="1">
      <c r="A645" s="256"/>
      <c r="B645" s="256"/>
      <c r="C645" s="256"/>
      <c r="D645" s="257"/>
      <c r="E645" s="258"/>
      <c r="F645" s="259"/>
      <c r="G645" s="256"/>
    </row>
    <row r="646" ht="15.75" customHeight="1">
      <c r="A646" s="256"/>
      <c r="B646" s="256"/>
      <c r="C646" s="256"/>
      <c r="D646" s="257"/>
      <c r="E646" s="258"/>
      <c r="F646" s="259"/>
      <c r="G646" s="256"/>
    </row>
    <row r="647" ht="15.75" customHeight="1">
      <c r="A647" s="256"/>
      <c r="B647" s="256"/>
      <c r="C647" s="256"/>
      <c r="D647" s="257"/>
      <c r="E647" s="258"/>
      <c r="F647" s="259"/>
      <c r="G647" s="256"/>
    </row>
    <row r="648" ht="15.75" customHeight="1">
      <c r="A648" s="256"/>
      <c r="B648" s="256"/>
      <c r="C648" s="256"/>
      <c r="D648" s="257"/>
      <c r="E648" s="258"/>
      <c r="F648" s="259"/>
      <c r="G648" s="256"/>
    </row>
    <row r="649" ht="15.75" customHeight="1">
      <c r="A649" s="256"/>
      <c r="B649" s="256"/>
      <c r="C649" s="256"/>
      <c r="D649" s="257"/>
      <c r="E649" s="258"/>
      <c r="F649" s="259"/>
      <c r="G649" s="256"/>
    </row>
    <row r="650" ht="15.75" customHeight="1">
      <c r="A650" s="256"/>
      <c r="B650" s="256"/>
      <c r="C650" s="256"/>
      <c r="D650" s="257"/>
      <c r="E650" s="258"/>
      <c r="F650" s="259"/>
      <c r="G650" s="256"/>
    </row>
    <row r="651" ht="15.75" customHeight="1">
      <c r="A651" s="256"/>
      <c r="B651" s="256"/>
      <c r="C651" s="256"/>
      <c r="D651" s="257"/>
      <c r="E651" s="258"/>
      <c r="F651" s="259"/>
      <c r="G651" s="256"/>
    </row>
    <row r="652" ht="15.75" customHeight="1">
      <c r="A652" s="256"/>
      <c r="B652" s="256"/>
      <c r="C652" s="256"/>
      <c r="D652" s="257"/>
      <c r="E652" s="258"/>
      <c r="F652" s="259"/>
      <c r="G652" s="256"/>
    </row>
    <row r="653" ht="15.75" customHeight="1">
      <c r="A653" s="256"/>
      <c r="B653" s="256"/>
      <c r="C653" s="256"/>
      <c r="D653" s="257"/>
      <c r="E653" s="258"/>
      <c r="F653" s="259"/>
      <c r="G653" s="256"/>
    </row>
    <row r="654" ht="15.75" customHeight="1">
      <c r="A654" s="256"/>
      <c r="B654" s="256"/>
      <c r="C654" s="256"/>
      <c r="D654" s="257"/>
      <c r="E654" s="258"/>
      <c r="F654" s="259"/>
      <c r="G654" s="256"/>
    </row>
    <row r="655" ht="15.75" customHeight="1">
      <c r="A655" s="256"/>
      <c r="B655" s="256"/>
      <c r="C655" s="256"/>
      <c r="D655" s="257"/>
      <c r="E655" s="258"/>
      <c r="F655" s="259"/>
      <c r="G655" s="256"/>
    </row>
    <row r="656" ht="15.75" customHeight="1">
      <c r="A656" s="256"/>
      <c r="B656" s="256"/>
      <c r="C656" s="256"/>
      <c r="D656" s="257"/>
      <c r="E656" s="258"/>
      <c r="F656" s="259"/>
      <c r="G656" s="256"/>
    </row>
    <row r="657" ht="15.75" customHeight="1">
      <c r="A657" s="256"/>
      <c r="B657" s="256"/>
      <c r="C657" s="256"/>
      <c r="D657" s="257"/>
      <c r="E657" s="258"/>
      <c r="F657" s="259"/>
      <c r="G657" s="256"/>
    </row>
    <row r="658" ht="15.75" customHeight="1">
      <c r="A658" s="256"/>
      <c r="B658" s="256"/>
      <c r="C658" s="256"/>
      <c r="D658" s="257"/>
      <c r="E658" s="258"/>
      <c r="F658" s="259"/>
      <c r="G658" s="256"/>
    </row>
    <row r="659" ht="15.75" customHeight="1">
      <c r="A659" s="256"/>
      <c r="B659" s="256"/>
      <c r="C659" s="256"/>
      <c r="D659" s="257"/>
      <c r="E659" s="258"/>
      <c r="F659" s="259"/>
      <c r="G659" s="256"/>
    </row>
    <row r="660" ht="15.75" customHeight="1">
      <c r="A660" s="256"/>
      <c r="B660" s="256"/>
      <c r="C660" s="256"/>
      <c r="D660" s="257"/>
      <c r="E660" s="258"/>
      <c r="F660" s="259"/>
      <c r="G660" s="256"/>
    </row>
    <row r="661" ht="15.75" customHeight="1">
      <c r="A661" s="256"/>
      <c r="B661" s="256"/>
      <c r="C661" s="256"/>
      <c r="D661" s="257"/>
      <c r="E661" s="258"/>
      <c r="F661" s="259"/>
      <c r="G661" s="256"/>
    </row>
    <row r="662" ht="15.75" customHeight="1">
      <c r="A662" s="256"/>
      <c r="B662" s="256"/>
      <c r="C662" s="256"/>
      <c r="D662" s="257"/>
      <c r="E662" s="258"/>
      <c r="F662" s="259"/>
      <c r="G662" s="256"/>
    </row>
    <row r="663" ht="15.75" customHeight="1">
      <c r="A663" s="256"/>
      <c r="B663" s="256"/>
      <c r="C663" s="256"/>
      <c r="D663" s="257"/>
      <c r="E663" s="258"/>
      <c r="F663" s="259"/>
      <c r="G663" s="256"/>
    </row>
    <row r="664" ht="15.75" customHeight="1">
      <c r="A664" s="256"/>
      <c r="B664" s="256"/>
      <c r="C664" s="256"/>
      <c r="D664" s="257"/>
      <c r="E664" s="258"/>
      <c r="F664" s="259"/>
      <c r="G664" s="256"/>
    </row>
    <row r="665" ht="15.75" customHeight="1">
      <c r="A665" s="256"/>
      <c r="B665" s="256"/>
      <c r="C665" s="256"/>
      <c r="D665" s="257"/>
      <c r="E665" s="258"/>
      <c r="F665" s="259"/>
      <c r="G665" s="256"/>
    </row>
    <row r="666" ht="15.75" customHeight="1">
      <c r="A666" s="256"/>
      <c r="B666" s="256"/>
      <c r="C666" s="256"/>
      <c r="D666" s="257"/>
      <c r="E666" s="258"/>
      <c r="F666" s="259"/>
      <c r="G666" s="256"/>
    </row>
    <row r="667" ht="15.75" customHeight="1">
      <c r="A667" s="256"/>
      <c r="B667" s="256"/>
      <c r="C667" s="256"/>
      <c r="D667" s="257"/>
      <c r="E667" s="258"/>
      <c r="F667" s="259"/>
      <c r="G667" s="256"/>
    </row>
    <row r="668" ht="15.75" customHeight="1">
      <c r="A668" s="256"/>
      <c r="B668" s="256"/>
      <c r="C668" s="256"/>
      <c r="D668" s="257"/>
      <c r="E668" s="258"/>
      <c r="F668" s="259"/>
      <c r="G668" s="256"/>
    </row>
    <row r="669" ht="15.75" customHeight="1">
      <c r="A669" s="256"/>
      <c r="B669" s="256"/>
      <c r="C669" s="256"/>
      <c r="D669" s="257"/>
      <c r="E669" s="258"/>
      <c r="F669" s="259"/>
      <c r="G669" s="256"/>
    </row>
    <row r="670" ht="15.75" customHeight="1">
      <c r="A670" s="256"/>
      <c r="B670" s="256"/>
      <c r="C670" s="256"/>
      <c r="D670" s="257"/>
      <c r="E670" s="258"/>
      <c r="F670" s="259"/>
      <c r="G670" s="256"/>
    </row>
    <row r="671" ht="15.75" customHeight="1">
      <c r="A671" s="256"/>
      <c r="B671" s="256"/>
      <c r="C671" s="256"/>
      <c r="D671" s="257"/>
      <c r="E671" s="258"/>
      <c r="F671" s="259"/>
      <c r="G671" s="256"/>
    </row>
    <row r="672" ht="15.75" customHeight="1">
      <c r="A672" s="256"/>
      <c r="B672" s="256"/>
      <c r="C672" s="256"/>
      <c r="D672" s="257"/>
      <c r="E672" s="258"/>
      <c r="F672" s="259"/>
      <c r="G672" s="256"/>
    </row>
    <row r="673" ht="15.75" customHeight="1">
      <c r="A673" s="256"/>
      <c r="B673" s="256"/>
      <c r="C673" s="256"/>
      <c r="D673" s="257"/>
      <c r="E673" s="258"/>
      <c r="F673" s="259"/>
      <c r="G673" s="256"/>
    </row>
    <row r="674" ht="15.75" customHeight="1">
      <c r="A674" s="256"/>
      <c r="B674" s="256"/>
      <c r="C674" s="256"/>
      <c r="D674" s="257"/>
      <c r="E674" s="258"/>
      <c r="F674" s="259"/>
      <c r="G674" s="256"/>
    </row>
    <row r="675" ht="15.75" customHeight="1">
      <c r="A675" s="256"/>
      <c r="B675" s="256"/>
      <c r="C675" s="256"/>
      <c r="D675" s="257"/>
      <c r="E675" s="258"/>
      <c r="F675" s="259"/>
      <c r="G675" s="256"/>
    </row>
    <row r="676" ht="15.75" customHeight="1">
      <c r="A676" s="256"/>
      <c r="B676" s="256"/>
      <c r="C676" s="256"/>
      <c r="D676" s="257"/>
      <c r="E676" s="258"/>
      <c r="F676" s="259"/>
      <c r="G676" s="256"/>
    </row>
    <row r="677" ht="15.75" customHeight="1">
      <c r="A677" s="256"/>
      <c r="B677" s="256"/>
      <c r="C677" s="256"/>
      <c r="D677" s="257"/>
      <c r="E677" s="258"/>
      <c r="F677" s="259"/>
      <c r="G677" s="256"/>
    </row>
    <row r="678" ht="15.75" customHeight="1">
      <c r="A678" s="256"/>
      <c r="B678" s="256"/>
      <c r="C678" s="256"/>
      <c r="D678" s="257"/>
      <c r="E678" s="258"/>
      <c r="F678" s="259"/>
      <c r="G678" s="256"/>
    </row>
    <row r="679" ht="15.75" customHeight="1">
      <c r="A679" s="256"/>
      <c r="B679" s="256"/>
      <c r="C679" s="256"/>
      <c r="D679" s="257"/>
      <c r="E679" s="258"/>
      <c r="F679" s="259"/>
      <c r="G679" s="256"/>
    </row>
    <row r="680" ht="15.75" customHeight="1">
      <c r="A680" s="256"/>
      <c r="B680" s="256"/>
      <c r="C680" s="256"/>
      <c r="D680" s="257"/>
      <c r="E680" s="258"/>
      <c r="F680" s="259"/>
      <c r="G680" s="256"/>
    </row>
    <row r="681" ht="15.75" customHeight="1">
      <c r="A681" s="256"/>
      <c r="B681" s="256"/>
      <c r="C681" s="256"/>
      <c r="D681" s="257"/>
      <c r="E681" s="258"/>
      <c r="F681" s="259"/>
      <c r="G681" s="256"/>
    </row>
    <row r="682" ht="15.75" customHeight="1">
      <c r="A682" s="256"/>
      <c r="B682" s="256"/>
      <c r="C682" s="256"/>
      <c r="D682" s="257"/>
      <c r="E682" s="258"/>
      <c r="F682" s="259"/>
      <c r="G682" s="256"/>
    </row>
    <row r="683" ht="15.75" customHeight="1">
      <c r="A683" s="256"/>
      <c r="B683" s="256"/>
      <c r="C683" s="256"/>
      <c r="D683" s="257"/>
      <c r="E683" s="258"/>
      <c r="F683" s="259"/>
      <c r="G683" s="256"/>
    </row>
    <row r="684" ht="15.75" customHeight="1">
      <c r="A684" s="256"/>
      <c r="B684" s="256"/>
      <c r="C684" s="256"/>
      <c r="D684" s="257"/>
      <c r="E684" s="258"/>
      <c r="F684" s="259"/>
      <c r="G684" s="256"/>
    </row>
    <row r="685" ht="15.75" customHeight="1">
      <c r="A685" s="256"/>
      <c r="B685" s="256"/>
      <c r="C685" s="256"/>
      <c r="D685" s="257"/>
      <c r="E685" s="258"/>
      <c r="F685" s="259"/>
      <c r="G685" s="256"/>
    </row>
    <row r="686" ht="15.75" customHeight="1">
      <c r="A686" s="256"/>
      <c r="B686" s="256"/>
      <c r="C686" s="256"/>
      <c r="D686" s="257"/>
      <c r="E686" s="258"/>
      <c r="F686" s="259"/>
      <c r="G686" s="256"/>
    </row>
    <row r="687" ht="15.75" customHeight="1">
      <c r="A687" s="256"/>
      <c r="B687" s="256"/>
      <c r="C687" s="256"/>
      <c r="D687" s="257"/>
      <c r="E687" s="258"/>
      <c r="F687" s="259"/>
      <c r="G687" s="256"/>
    </row>
    <row r="688" ht="15.75" customHeight="1">
      <c r="A688" s="256"/>
      <c r="B688" s="256"/>
      <c r="C688" s="256"/>
      <c r="D688" s="257"/>
      <c r="E688" s="258"/>
      <c r="F688" s="259"/>
      <c r="G688" s="256"/>
    </row>
    <row r="689" ht="15.75" customHeight="1">
      <c r="A689" s="256"/>
      <c r="B689" s="256"/>
      <c r="C689" s="256"/>
      <c r="D689" s="257"/>
      <c r="E689" s="258"/>
      <c r="F689" s="259"/>
      <c r="G689" s="256"/>
    </row>
    <row r="690" ht="15.75" customHeight="1">
      <c r="A690" s="256"/>
      <c r="B690" s="256"/>
      <c r="C690" s="256"/>
      <c r="D690" s="257"/>
      <c r="E690" s="258"/>
      <c r="F690" s="259"/>
      <c r="G690" s="256"/>
    </row>
    <row r="691" ht="15.75" customHeight="1">
      <c r="A691" s="256"/>
      <c r="B691" s="256"/>
      <c r="C691" s="256"/>
      <c r="D691" s="257"/>
      <c r="E691" s="258"/>
      <c r="F691" s="259"/>
      <c r="G691" s="256"/>
    </row>
    <row r="692" ht="15.75" customHeight="1">
      <c r="A692" s="256"/>
      <c r="B692" s="256"/>
      <c r="C692" s="256"/>
      <c r="D692" s="257"/>
      <c r="E692" s="258"/>
      <c r="F692" s="259"/>
      <c r="G692" s="256"/>
    </row>
    <row r="693" ht="15.75" customHeight="1">
      <c r="A693" s="256"/>
      <c r="B693" s="256"/>
      <c r="C693" s="256"/>
      <c r="D693" s="257"/>
      <c r="E693" s="258"/>
      <c r="F693" s="259"/>
      <c r="G693" s="256"/>
    </row>
    <row r="694" ht="15.75" customHeight="1">
      <c r="A694" s="256"/>
      <c r="B694" s="256"/>
      <c r="C694" s="256"/>
      <c r="D694" s="257"/>
      <c r="E694" s="258"/>
      <c r="F694" s="259"/>
      <c r="G694" s="256"/>
    </row>
    <row r="695" ht="15.75" customHeight="1">
      <c r="A695" s="256"/>
      <c r="B695" s="256"/>
      <c r="C695" s="256"/>
      <c r="D695" s="257"/>
      <c r="E695" s="258"/>
      <c r="F695" s="259"/>
      <c r="G695" s="256"/>
    </row>
    <row r="696" ht="15.75" customHeight="1">
      <c r="A696" s="256"/>
      <c r="B696" s="256"/>
      <c r="C696" s="256"/>
      <c r="D696" s="257"/>
      <c r="E696" s="258"/>
      <c r="F696" s="259"/>
      <c r="G696" s="256"/>
    </row>
    <row r="697" ht="15.75" customHeight="1">
      <c r="A697" s="256"/>
      <c r="B697" s="256"/>
      <c r="C697" s="256"/>
      <c r="D697" s="257"/>
      <c r="E697" s="258"/>
      <c r="F697" s="259"/>
      <c r="G697" s="256"/>
    </row>
    <row r="698" ht="15.75" customHeight="1">
      <c r="A698" s="256"/>
      <c r="B698" s="256"/>
      <c r="C698" s="256"/>
      <c r="D698" s="257"/>
      <c r="E698" s="258"/>
      <c r="F698" s="259"/>
      <c r="G698" s="256"/>
    </row>
    <row r="699" ht="15.75" customHeight="1">
      <c r="A699" s="256"/>
      <c r="B699" s="256"/>
      <c r="C699" s="256"/>
      <c r="D699" s="257"/>
      <c r="E699" s="258"/>
      <c r="F699" s="259"/>
      <c r="G699" s="256"/>
    </row>
    <row r="700" ht="15.75" customHeight="1">
      <c r="A700" s="256"/>
      <c r="B700" s="256"/>
      <c r="C700" s="256"/>
      <c r="D700" s="257"/>
      <c r="E700" s="258"/>
      <c r="F700" s="259"/>
      <c r="G700" s="256"/>
    </row>
    <row r="701" ht="15.75" customHeight="1">
      <c r="A701" s="256"/>
      <c r="B701" s="256"/>
      <c r="C701" s="256"/>
      <c r="D701" s="257"/>
      <c r="E701" s="258"/>
      <c r="F701" s="259"/>
      <c r="G701" s="256"/>
    </row>
    <row r="702" ht="15.75" customHeight="1">
      <c r="A702" s="256"/>
      <c r="B702" s="256"/>
      <c r="C702" s="256"/>
      <c r="D702" s="257"/>
      <c r="E702" s="258"/>
      <c r="F702" s="259"/>
      <c r="G702" s="256"/>
    </row>
    <row r="703" ht="15.75" customHeight="1">
      <c r="A703" s="256"/>
      <c r="B703" s="256"/>
      <c r="C703" s="256"/>
      <c r="D703" s="257"/>
      <c r="E703" s="258"/>
      <c r="F703" s="259"/>
      <c r="G703" s="256"/>
    </row>
    <row r="704" ht="15.75" customHeight="1">
      <c r="A704" s="256"/>
      <c r="B704" s="256"/>
      <c r="C704" s="256"/>
      <c r="D704" s="257"/>
      <c r="E704" s="258"/>
      <c r="F704" s="259"/>
      <c r="G704" s="256"/>
    </row>
    <row r="705" ht="15.75" customHeight="1">
      <c r="A705" s="256"/>
      <c r="B705" s="256"/>
      <c r="C705" s="256"/>
      <c r="D705" s="257"/>
      <c r="E705" s="258"/>
      <c r="F705" s="259"/>
      <c r="G705" s="256"/>
    </row>
    <row r="706" ht="15.75" customHeight="1">
      <c r="A706" s="256"/>
      <c r="B706" s="256"/>
      <c r="C706" s="256"/>
      <c r="D706" s="257"/>
      <c r="E706" s="258"/>
      <c r="F706" s="259"/>
      <c r="G706" s="256"/>
    </row>
    <row r="707" ht="15.75" customHeight="1">
      <c r="A707" s="256"/>
      <c r="B707" s="256"/>
      <c r="C707" s="256"/>
      <c r="D707" s="257"/>
      <c r="E707" s="258"/>
      <c r="F707" s="259"/>
      <c r="G707" s="256"/>
    </row>
    <row r="708" ht="15.75" customHeight="1">
      <c r="A708" s="256"/>
      <c r="B708" s="256"/>
      <c r="C708" s="256"/>
      <c r="D708" s="257"/>
      <c r="E708" s="258"/>
      <c r="F708" s="259"/>
      <c r="G708" s="256"/>
    </row>
    <row r="709" ht="15.75" customHeight="1">
      <c r="A709" s="256"/>
      <c r="B709" s="256"/>
      <c r="C709" s="256"/>
      <c r="D709" s="257"/>
      <c r="E709" s="258"/>
      <c r="F709" s="259"/>
      <c r="G709" s="256"/>
    </row>
    <row r="710" ht="15.75" customHeight="1">
      <c r="A710" s="256"/>
      <c r="B710" s="256"/>
      <c r="C710" s="256"/>
      <c r="D710" s="257"/>
      <c r="E710" s="258"/>
      <c r="F710" s="259"/>
      <c r="G710" s="256"/>
    </row>
    <row r="711" ht="15.75" customHeight="1">
      <c r="A711" s="256"/>
      <c r="B711" s="256"/>
      <c r="C711" s="256"/>
      <c r="D711" s="257"/>
      <c r="E711" s="258"/>
      <c r="F711" s="259"/>
      <c r="G711" s="256"/>
    </row>
    <row r="712" ht="15.75" customHeight="1">
      <c r="A712" s="256"/>
      <c r="B712" s="256"/>
      <c r="C712" s="256"/>
      <c r="D712" s="257"/>
      <c r="E712" s="258"/>
      <c r="F712" s="259"/>
      <c r="G712" s="256"/>
    </row>
    <row r="713" ht="15.75" customHeight="1">
      <c r="A713" s="256"/>
      <c r="B713" s="256"/>
      <c r="C713" s="256"/>
      <c r="D713" s="257"/>
      <c r="E713" s="258"/>
      <c r="F713" s="259"/>
      <c r="G713" s="256"/>
    </row>
    <row r="714" ht="15.75" customHeight="1">
      <c r="A714" s="256"/>
      <c r="B714" s="256"/>
      <c r="C714" s="256"/>
      <c r="D714" s="257"/>
      <c r="E714" s="258"/>
      <c r="F714" s="259"/>
      <c r="G714" s="256"/>
    </row>
    <row r="715" ht="15.75" customHeight="1">
      <c r="A715" s="256"/>
      <c r="B715" s="256"/>
      <c r="C715" s="256"/>
      <c r="D715" s="257"/>
      <c r="E715" s="258"/>
      <c r="F715" s="259"/>
      <c r="G715" s="256"/>
    </row>
    <row r="716" ht="15.75" customHeight="1">
      <c r="A716" s="256"/>
      <c r="B716" s="256"/>
      <c r="C716" s="256"/>
      <c r="D716" s="257"/>
      <c r="E716" s="258"/>
      <c r="F716" s="259"/>
      <c r="G716" s="256"/>
    </row>
    <row r="717" ht="15.75" customHeight="1">
      <c r="A717" s="256"/>
      <c r="B717" s="256"/>
      <c r="C717" s="256"/>
      <c r="D717" s="257"/>
      <c r="E717" s="258"/>
      <c r="F717" s="259"/>
      <c r="G717" s="256"/>
    </row>
    <row r="718" ht="15.75" customHeight="1">
      <c r="A718" s="256"/>
      <c r="B718" s="256"/>
      <c r="C718" s="256"/>
      <c r="D718" s="257"/>
      <c r="E718" s="258"/>
      <c r="F718" s="259"/>
      <c r="G718" s="256"/>
    </row>
    <row r="719" ht="15.75" customHeight="1">
      <c r="A719" s="256"/>
      <c r="B719" s="256"/>
      <c r="C719" s="256"/>
      <c r="D719" s="257"/>
      <c r="E719" s="258"/>
      <c r="F719" s="259"/>
      <c r="G719" s="256"/>
    </row>
    <row r="720" ht="15.75" customHeight="1">
      <c r="A720" s="256"/>
      <c r="B720" s="256"/>
      <c r="C720" s="256"/>
      <c r="D720" s="257"/>
      <c r="E720" s="258"/>
      <c r="F720" s="259"/>
      <c r="G720" s="256"/>
    </row>
    <row r="721" ht="15.75" customHeight="1">
      <c r="A721" s="256"/>
      <c r="B721" s="256"/>
      <c r="C721" s="256"/>
      <c r="D721" s="257"/>
      <c r="E721" s="258"/>
      <c r="F721" s="259"/>
      <c r="G721" s="256"/>
    </row>
    <row r="722" ht="15.75" customHeight="1">
      <c r="A722" s="256"/>
      <c r="B722" s="256"/>
      <c r="C722" s="256"/>
      <c r="D722" s="257"/>
      <c r="E722" s="258"/>
      <c r="F722" s="259"/>
      <c r="G722" s="256"/>
    </row>
    <row r="723" ht="15.75" customHeight="1">
      <c r="A723" s="256"/>
      <c r="B723" s="256"/>
      <c r="C723" s="256"/>
      <c r="D723" s="257"/>
      <c r="E723" s="258"/>
      <c r="F723" s="259"/>
      <c r="G723" s="256"/>
    </row>
    <row r="724" ht="15.75" customHeight="1">
      <c r="A724" s="256"/>
      <c r="B724" s="256"/>
      <c r="C724" s="256"/>
      <c r="D724" s="257"/>
      <c r="E724" s="258"/>
      <c r="F724" s="259"/>
      <c r="G724" s="256"/>
    </row>
    <row r="725" ht="15.75" customHeight="1">
      <c r="A725" s="256"/>
      <c r="B725" s="256"/>
      <c r="C725" s="256"/>
      <c r="D725" s="257"/>
      <c r="E725" s="258"/>
      <c r="F725" s="259"/>
      <c r="G725" s="256"/>
    </row>
    <row r="726" ht="15.75" customHeight="1">
      <c r="A726" s="256"/>
      <c r="B726" s="256"/>
      <c r="C726" s="256"/>
      <c r="D726" s="257"/>
      <c r="E726" s="258"/>
      <c r="F726" s="259"/>
      <c r="G726" s="256"/>
    </row>
    <row r="727" ht="15.75" customHeight="1">
      <c r="A727" s="256"/>
      <c r="B727" s="256"/>
      <c r="C727" s="256"/>
      <c r="D727" s="257"/>
      <c r="E727" s="258"/>
      <c r="F727" s="259"/>
      <c r="G727" s="256"/>
    </row>
    <row r="728" ht="15.75" customHeight="1">
      <c r="A728" s="256"/>
      <c r="B728" s="256"/>
      <c r="C728" s="256"/>
      <c r="D728" s="257"/>
      <c r="E728" s="258"/>
      <c r="F728" s="259"/>
      <c r="G728" s="256"/>
    </row>
    <row r="729" ht="15.75" customHeight="1">
      <c r="A729" s="256"/>
      <c r="B729" s="256"/>
      <c r="C729" s="256"/>
      <c r="D729" s="257"/>
      <c r="E729" s="258"/>
      <c r="F729" s="259"/>
      <c r="G729" s="256"/>
    </row>
    <row r="730" ht="15.75" customHeight="1">
      <c r="A730" s="256"/>
      <c r="B730" s="256"/>
      <c r="C730" s="256"/>
      <c r="D730" s="257"/>
      <c r="E730" s="258"/>
      <c r="F730" s="259"/>
      <c r="G730" s="256"/>
    </row>
    <row r="731" ht="15.75" customHeight="1">
      <c r="A731" s="256"/>
      <c r="B731" s="256"/>
      <c r="C731" s="256"/>
      <c r="D731" s="257"/>
      <c r="E731" s="258"/>
      <c r="F731" s="259"/>
      <c r="G731" s="256"/>
    </row>
    <row r="732" ht="15.75" customHeight="1">
      <c r="A732" s="256"/>
      <c r="B732" s="256"/>
      <c r="C732" s="256"/>
      <c r="D732" s="257"/>
      <c r="E732" s="258"/>
      <c r="F732" s="259"/>
      <c r="G732" s="256"/>
    </row>
    <row r="733" ht="15.75" customHeight="1">
      <c r="A733" s="256"/>
      <c r="B733" s="256"/>
      <c r="C733" s="256"/>
      <c r="D733" s="257"/>
      <c r="E733" s="258"/>
      <c r="F733" s="259"/>
      <c r="G733" s="256"/>
    </row>
    <row r="734" ht="15.75" customHeight="1">
      <c r="A734" s="256"/>
      <c r="B734" s="256"/>
      <c r="C734" s="256"/>
      <c r="D734" s="257"/>
      <c r="E734" s="258"/>
      <c r="F734" s="259"/>
      <c r="G734" s="256"/>
    </row>
    <row r="735" ht="15.75" customHeight="1">
      <c r="A735" s="256"/>
      <c r="B735" s="256"/>
      <c r="C735" s="256"/>
      <c r="D735" s="257"/>
      <c r="E735" s="258"/>
      <c r="F735" s="259"/>
      <c r="G735" s="256"/>
    </row>
    <row r="736" ht="15.75" customHeight="1">
      <c r="A736" s="256"/>
      <c r="B736" s="256"/>
      <c r="C736" s="256"/>
      <c r="D736" s="257"/>
      <c r="E736" s="258"/>
      <c r="F736" s="259"/>
      <c r="G736" s="256"/>
    </row>
    <row r="737" ht="15.75" customHeight="1">
      <c r="A737" s="256"/>
      <c r="B737" s="256"/>
      <c r="C737" s="256"/>
      <c r="D737" s="257"/>
      <c r="E737" s="258"/>
      <c r="F737" s="259"/>
      <c r="G737" s="256"/>
    </row>
    <row r="738" ht="15.75" customHeight="1">
      <c r="A738" s="256"/>
      <c r="B738" s="256"/>
      <c r="C738" s="256"/>
      <c r="D738" s="257"/>
      <c r="E738" s="258"/>
      <c r="F738" s="259"/>
      <c r="G738" s="256"/>
    </row>
    <row r="739" ht="15.75" customHeight="1">
      <c r="A739" s="256"/>
      <c r="B739" s="256"/>
      <c r="C739" s="256"/>
      <c r="D739" s="257"/>
      <c r="E739" s="258"/>
      <c r="F739" s="259"/>
      <c r="G739" s="256"/>
    </row>
    <row r="740" ht="15.75" customHeight="1">
      <c r="A740" s="256"/>
      <c r="B740" s="256"/>
      <c r="C740" s="256"/>
      <c r="D740" s="257"/>
      <c r="E740" s="258"/>
      <c r="F740" s="259"/>
      <c r="G740" s="256"/>
    </row>
    <row r="741" ht="15.75" customHeight="1">
      <c r="A741" s="256"/>
      <c r="B741" s="256"/>
      <c r="C741" s="256"/>
      <c r="D741" s="257"/>
      <c r="E741" s="258"/>
      <c r="F741" s="259"/>
      <c r="G741" s="256"/>
    </row>
    <row r="742" ht="15.75" customHeight="1">
      <c r="A742" s="256"/>
      <c r="B742" s="256"/>
      <c r="C742" s="256"/>
      <c r="D742" s="257"/>
      <c r="E742" s="258"/>
      <c r="F742" s="259"/>
      <c r="G742" s="256"/>
    </row>
    <row r="743" ht="15.75" customHeight="1">
      <c r="A743" s="256"/>
      <c r="B743" s="256"/>
      <c r="C743" s="256"/>
      <c r="D743" s="257"/>
      <c r="E743" s="258"/>
      <c r="F743" s="259"/>
      <c r="G743" s="256"/>
    </row>
    <row r="744" ht="15.75" customHeight="1">
      <c r="A744" s="256"/>
      <c r="B744" s="256"/>
      <c r="C744" s="256"/>
      <c r="D744" s="257"/>
      <c r="E744" s="258"/>
      <c r="F744" s="259"/>
      <c r="G744" s="256"/>
    </row>
    <row r="745" ht="15.75" customHeight="1">
      <c r="A745" s="256"/>
      <c r="B745" s="256"/>
      <c r="C745" s="256"/>
      <c r="D745" s="257"/>
      <c r="E745" s="258"/>
      <c r="F745" s="259"/>
      <c r="G745" s="256"/>
    </row>
    <row r="746" ht="15.75" customHeight="1">
      <c r="A746" s="256"/>
      <c r="B746" s="256"/>
      <c r="C746" s="256"/>
      <c r="D746" s="257"/>
      <c r="E746" s="258"/>
      <c r="F746" s="259"/>
      <c r="G746" s="256"/>
    </row>
    <row r="747" ht="15.75" customHeight="1">
      <c r="A747" s="256"/>
      <c r="B747" s="256"/>
      <c r="C747" s="256"/>
      <c r="D747" s="257"/>
      <c r="E747" s="258"/>
      <c r="F747" s="259"/>
      <c r="G747" s="256"/>
    </row>
    <row r="748" ht="15.75" customHeight="1">
      <c r="A748" s="256"/>
      <c r="B748" s="256"/>
      <c r="C748" s="256"/>
      <c r="D748" s="257"/>
      <c r="E748" s="258"/>
      <c r="F748" s="259"/>
      <c r="G748" s="256"/>
    </row>
    <row r="749" ht="15.75" customHeight="1">
      <c r="A749" s="256"/>
      <c r="B749" s="256"/>
      <c r="C749" s="256"/>
      <c r="D749" s="257"/>
      <c r="E749" s="258"/>
      <c r="F749" s="259"/>
      <c r="G749" s="256"/>
    </row>
    <row r="750" ht="15.75" customHeight="1">
      <c r="A750" s="256"/>
      <c r="B750" s="256"/>
      <c r="C750" s="256"/>
      <c r="D750" s="257"/>
      <c r="E750" s="258"/>
      <c r="F750" s="259"/>
      <c r="G750" s="256"/>
    </row>
    <row r="751" ht="15.75" customHeight="1">
      <c r="A751" s="256"/>
      <c r="B751" s="256"/>
      <c r="C751" s="256"/>
      <c r="D751" s="257"/>
      <c r="E751" s="258"/>
      <c r="F751" s="259"/>
      <c r="G751" s="256"/>
    </row>
    <row r="752" ht="15.75" customHeight="1">
      <c r="A752" s="256"/>
      <c r="B752" s="256"/>
      <c r="C752" s="256"/>
      <c r="D752" s="257"/>
      <c r="E752" s="258"/>
      <c r="F752" s="259"/>
      <c r="G752" s="256"/>
    </row>
    <row r="753" ht="15.75" customHeight="1">
      <c r="A753" s="256"/>
      <c r="B753" s="256"/>
      <c r="C753" s="256"/>
      <c r="D753" s="257"/>
      <c r="E753" s="258"/>
      <c r="F753" s="259"/>
      <c r="G753" s="256"/>
    </row>
    <row r="754" ht="15.75" customHeight="1">
      <c r="A754" s="256"/>
      <c r="B754" s="256"/>
      <c r="C754" s="256"/>
      <c r="D754" s="257"/>
      <c r="E754" s="258"/>
      <c r="F754" s="259"/>
      <c r="G754" s="256"/>
    </row>
    <row r="755" ht="15.75" customHeight="1">
      <c r="A755" s="256"/>
      <c r="B755" s="256"/>
      <c r="C755" s="256"/>
      <c r="D755" s="257"/>
      <c r="E755" s="258"/>
      <c r="F755" s="259"/>
      <c r="G755" s="256"/>
    </row>
    <row r="756" ht="15.75" customHeight="1">
      <c r="A756" s="256"/>
      <c r="B756" s="256"/>
      <c r="C756" s="256"/>
      <c r="D756" s="257"/>
      <c r="E756" s="258"/>
      <c r="F756" s="259"/>
      <c r="G756" s="256"/>
    </row>
    <row r="757" ht="15.75" customHeight="1">
      <c r="A757" s="256"/>
      <c r="B757" s="256"/>
      <c r="C757" s="256"/>
      <c r="D757" s="257"/>
      <c r="E757" s="258"/>
      <c r="F757" s="259"/>
      <c r="G757" s="256"/>
    </row>
    <row r="758" ht="15.75" customHeight="1">
      <c r="A758" s="256"/>
      <c r="B758" s="256"/>
      <c r="C758" s="256"/>
      <c r="D758" s="257"/>
      <c r="E758" s="258"/>
      <c r="F758" s="259"/>
      <c r="G758" s="256"/>
    </row>
    <row r="759" ht="15.75" customHeight="1">
      <c r="A759" s="256"/>
      <c r="B759" s="256"/>
      <c r="C759" s="256"/>
      <c r="D759" s="257"/>
      <c r="E759" s="258"/>
      <c r="F759" s="259"/>
      <c r="G759" s="256"/>
    </row>
    <row r="760" ht="15.75" customHeight="1">
      <c r="A760" s="256"/>
      <c r="B760" s="256"/>
      <c r="C760" s="256"/>
      <c r="D760" s="257"/>
      <c r="E760" s="258"/>
      <c r="F760" s="259"/>
      <c r="G760" s="256"/>
    </row>
    <row r="761" ht="15.75" customHeight="1">
      <c r="A761" s="256"/>
      <c r="B761" s="256"/>
      <c r="C761" s="256"/>
      <c r="D761" s="257"/>
      <c r="E761" s="258"/>
      <c r="F761" s="259"/>
      <c r="G761" s="256"/>
    </row>
    <row r="762" ht="15.75" customHeight="1">
      <c r="A762" s="256"/>
      <c r="B762" s="256"/>
      <c r="C762" s="256"/>
      <c r="D762" s="257"/>
      <c r="E762" s="258"/>
      <c r="F762" s="259"/>
      <c r="G762" s="256"/>
    </row>
    <row r="763" ht="15.75" customHeight="1">
      <c r="A763" s="256"/>
      <c r="B763" s="256"/>
      <c r="C763" s="256"/>
      <c r="D763" s="257"/>
      <c r="E763" s="258"/>
      <c r="F763" s="259"/>
      <c r="G763" s="256"/>
    </row>
    <row r="764" ht="15.75" customHeight="1">
      <c r="A764" s="256"/>
      <c r="B764" s="256"/>
      <c r="C764" s="256"/>
      <c r="D764" s="257"/>
      <c r="E764" s="258"/>
      <c r="F764" s="259"/>
      <c r="G764" s="256"/>
    </row>
    <row r="765" ht="15.75" customHeight="1">
      <c r="A765" s="256"/>
      <c r="B765" s="256"/>
      <c r="C765" s="256"/>
      <c r="D765" s="257"/>
      <c r="E765" s="258"/>
      <c r="F765" s="259"/>
      <c r="G765" s="256"/>
    </row>
    <row r="766" ht="15.75" customHeight="1">
      <c r="A766" s="256"/>
      <c r="B766" s="256"/>
      <c r="C766" s="256"/>
      <c r="D766" s="257"/>
      <c r="E766" s="258"/>
      <c r="F766" s="259"/>
      <c r="G766" s="256"/>
    </row>
    <row r="767" ht="15.75" customHeight="1">
      <c r="A767" s="256"/>
      <c r="B767" s="256"/>
      <c r="C767" s="256"/>
      <c r="D767" s="257"/>
      <c r="E767" s="258"/>
      <c r="F767" s="259"/>
      <c r="G767" s="256"/>
    </row>
    <row r="768" ht="15.75" customHeight="1">
      <c r="A768" s="256"/>
      <c r="B768" s="256"/>
      <c r="C768" s="256"/>
      <c r="D768" s="257"/>
      <c r="E768" s="258"/>
      <c r="F768" s="259"/>
      <c r="G768" s="256"/>
    </row>
    <row r="769" ht="15.75" customHeight="1">
      <c r="A769" s="256"/>
      <c r="B769" s="256"/>
      <c r="C769" s="256"/>
      <c r="D769" s="257"/>
      <c r="E769" s="258"/>
      <c r="F769" s="259"/>
      <c r="G769" s="256"/>
    </row>
    <row r="770" ht="15.75" customHeight="1">
      <c r="A770" s="256"/>
      <c r="B770" s="256"/>
      <c r="C770" s="256"/>
      <c r="D770" s="257"/>
      <c r="E770" s="258"/>
      <c r="F770" s="259"/>
      <c r="G770" s="256"/>
    </row>
    <row r="771" ht="15.75" customHeight="1">
      <c r="A771" s="256"/>
      <c r="B771" s="256"/>
      <c r="C771" s="256"/>
      <c r="D771" s="257"/>
      <c r="E771" s="258"/>
      <c r="F771" s="259"/>
      <c r="G771" s="256"/>
    </row>
    <row r="772" ht="15.75" customHeight="1">
      <c r="A772" s="256"/>
      <c r="B772" s="256"/>
      <c r="C772" s="256"/>
      <c r="D772" s="257"/>
      <c r="E772" s="258"/>
      <c r="F772" s="259"/>
      <c r="G772" s="256"/>
    </row>
    <row r="773" ht="15.75" customHeight="1">
      <c r="A773" s="256"/>
      <c r="B773" s="256"/>
      <c r="C773" s="256"/>
      <c r="D773" s="257"/>
      <c r="E773" s="258"/>
      <c r="F773" s="259"/>
      <c r="G773" s="256"/>
    </row>
    <row r="774" ht="15.75" customHeight="1">
      <c r="A774" s="256"/>
      <c r="B774" s="256"/>
      <c r="C774" s="256"/>
      <c r="D774" s="257"/>
      <c r="E774" s="258"/>
      <c r="F774" s="259"/>
      <c r="G774" s="256"/>
    </row>
    <row r="775" ht="15.75" customHeight="1">
      <c r="A775" s="256"/>
      <c r="B775" s="256"/>
      <c r="C775" s="256"/>
      <c r="D775" s="257"/>
      <c r="E775" s="258"/>
      <c r="F775" s="259"/>
      <c r="G775" s="256"/>
    </row>
    <row r="776" ht="15.75" customHeight="1">
      <c r="A776" s="256"/>
      <c r="B776" s="256"/>
      <c r="C776" s="256"/>
      <c r="D776" s="257"/>
      <c r="E776" s="258"/>
      <c r="F776" s="259"/>
      <c r="G776" s="256"/>
    </row>
    <row r="777" ht="15.75" customHeight="1">
      <c r="A777" s="256"/>
      <c r="B777" s="256"/>
      <c r="C777" s="256"/>
      <c r="D777" s="257"/>
      <c r="E777" s="258"/>
      <c r="F777" s="259"/>
      <c r="G777" s="256"/>
    </row>
    <row r="778" ht="15.75" customHeight="1">
      <c r="A778" s="256"/>
      <c r="B778" s="256"/>
      <c r="C778" s="256"/>
      <c r="D778" s="257"/>
      <c r="E778" s="258"/>
      <c r="F778" s="259"/>
      <c r="G778" s="256"/>
    </row>
    <row r="779" ht="15.75" customHeight="1">
      <c r="A779" s="256"/>
      <c r="B779" s="256"/>
      <c r="C779" s="256"/>
      <c r="D779" s="257"/>
      <c r="E779" s="258"/>
      <c r="F779" s="259"/>
      <c r="G779" s="256"/>
    </row>
    <row r="780" ht="15.75" customHeight="1">
      <c r="A780" s="256"/>
      <c r="B780" s="256"/>
      <c r="C780" s="256"/>
      <c r="D780" s="257"/>
      <c r="E780" s="258"/>
      <c r="F780" s="259"/>
      <c r="G780" s="256"/>
    </row>
    <row r="781" ht="15.75" customHeight="1">
      <c r="A781" s="256"/>
      <c r="B781" s="256"/>
      <c r="C781" s="256"/>
      <c r="D781" s="257"/>
      <c r="E781" s="258"/>
      <c r="F781" s="259"/>
      <c r="G781" s="256"/>
    </row>
    <row r="782" ht="15.75" customHeight="1">
      <c r="A782" s="256"/>
      <c r="B782" s="256"/>
      <c r="C782" s="256"/>
      <c r="D782" s="257"/>
      <c r="E782" s="258"/>
      <c r="F782" s="259"/>
      <c r="G782" s="256"/>
    </row>
    <row r="783" ht="15.75" customHeight="1">
      <c r="A783" s="256"/>
      <c r="B783" s="256"/>
      <c r="C783" s="256"/>
      <c r="D783" s="257"/>
      <c r="E783" s="258"/>
      <c r="F783" s="259"/>
      <c r="G783" s="256"/>
    </row>
    <row r="784" ht="15.75" customHeight="1">
      <c r="A784" s="256"/>
      <c r="B784" s="256"/>
      <c r="C784" s="256"/>
      <c r="D784" s="257"/>
      <c r="E784" s="258"/>
      <c r="F784" s="259"/>
      <c r="G784" s="256"/>
    </row>
    <row r="785" ht="15.75" customHeight="1">
      <c r="A785" s="256"/>
      <c r="B785" s="256"/>
      <c r="C785" s="256"/>
      <c r="D785" s="257"/>
      <c r="E785" s="258"/>
      <c r="F785" s="259"/>
      <c r="G785" s="256"/>
    </row>
    <row r="786" ht="15.75" customHeight="1">
      <c r="A786" s="256"/>
      <c r="B786" s="256"/>
      <c r="C786" s="256"/>
      <c r="D786" s="257"/>
      <c r="E786" s="258"/>
      <c r="F786" s="259"/>
      <c r="G786" s="256"/>
    </row>
    <row r="787" ht="15.75" customHeight="1">
      <c r="A787" s="256"/>
      <c r="B787" s="256"/>
      <c r="C787" s="256"/>
      <c r="D787" s="257"/>
      <c r="E787" s="258"/>
      <c r="F787" s="259"/>
      <c r="G787" s="256"/>
    </row>
    <row r="788" ht="15.75" customHeight="1">
      <c r="A788" s="256"/>
      <c r="B788" s="256"/>
      <c r="C788" s="256"/>
      <c r="D788" s="257"/>
      <c r="E788" s="258"/>
      <c r="F788" s="259"/>
      <c r="G788" s="256"/>
    </row>
    <row r="789" ht="15.75" customHeight="1">
      <c r="A789" s="256"/>
      <c r="B789" s="256"/>
      <c r="C789" s="256"/>
      <c r="D789" s="257"/>
      <c r="E789" s="258"/>
      <c r="F789" s="259"/>
      <c r="G789" s="256"/>
    </row>
    <row r="790" ht="15.75" customHeight="1">
      <c r="A790" s="256"/>
      <c r="B790" s="256"/>
      <c r="C790" s="256"/>
      <c r="D790" s="257"/>
      <c r="E790" s="258"/>
      <c r="F790" s="259"/>
      <c r="G790" s="256"/>
    </row>
    <row r="791" ht="15.75" customHeight="1">
      <c r="A791" s="256"/>
      <c r="B791" s="256"/>
      <c r="C791" s="256"/>
      <c r="D791" s="257"/>
      <c r="E791" s="258"/>
      <c r="F791" s="259"/>
      <c r="G791" s="256"/>
    </row>
    <row r="792" ht="15.75" customHeight="1">
      <c r="A792" s="256"/>
      <c r="B792" s="256"/>
      <c r="C792" s="256"/>
      <c r="D792" s="257"/>
      <c r="E792" s="258"/>
      <c r="F792" s="259"/>
      <c r="G792" s="256"/>
    </row>
    <row r="793" ht="15.75" customHeight="1">
      <c r="A793" s="256"/>
      <c r="B793" s="256"/>
      <c r="C793" s="256"/>
      <c r="D793" s="257"/>
      <c r="E793" s="258"/>
      <c r="F793" s="259"/>
      <c r="G793" s="256"/>
    </row>
    <row r="794" ht="15.75" customHeight="1">
      <c r="A794" s="256"/>
      <c r="B794" s="256"/>
      <c r="C794" s="256"/>
      <c r="D794" s="257"/>
      <c r="E794" s="258"/>
      <c r="F794" s="259"/>
      <c r="G794" s="256"/>
    </row>
    <row r="795" ht="15.75" customHeight="1">
      <c r="A795" s="256"/>
      <c r="B795" s="256"/>
      <c r="C795" s="256"/>
      <c r="D795" s="257"/>
      <c r="E795" s="258"/>
      <c r="F795" s="259"/>
      <c r="G795" s="256"/>
    </row>
    <row r="796" ht="15.75" customHeight="1">
      <c r="A796" s="256"/>
      <c r="B796" s="256"/>
      <c r="C796" s="256"/>
      <c r="D796" s="257"/>
      <c r="E796" s="258"/>
      <c r="F796" s="259"/>
      <c r="G796" s="256"/>
    </row>
    <row r="797" ht="15.75" customHeight="1">
      <c r="A797" s="256"/>
      <c r="B797" s="256"/>
      <c r="C797" s="256"/>
      <c r="D797" s="257"/>
      <c r="E797" s="258"/>
      <c r="F797" s="259"/>
      <c r="G797" s="256"/>
    </row>
    <row r="798" ht="15.75" customHeight="1">
      <c r="A798" s="256"/>
      <c r="B798" s="256"/>
      <c r="C798" s="256"/>
      <c r="D798" s="257"/>
      <c r="E798" s="258"/>
      <c r="F798" s="259"/>
      <c r="G798" s="256"/>
    </row>
    <row r="799" ht="15.75" customHeight="1">
      <c r="A799" s="256"/>
      <c r="B799" s="256"/>
      <c r="C799" s="256"/>
      <c r="D799" s="257"/>
      <c r="E799" s="258"/>
      <c r="F799" s="259"/>
      <c r="G799" s="256"/>
    </row>
    <row r="800" ht="15.75" customHeight="1">
      <c r="A800" s="256"/>
      <c r="B800" s="256"/>
      <c r="C800" s="256"/>
      <c r="D800" s="257"/>
      <c r="E800" s="258"/>
      <c r="F800" s="259"/>
      <c r="G800" s="256"/>
    </row>
    <row r="801" ht="15.75" customHeight="1">
      <c r="A801" s="256"/>
      <c r="B801" s="256"/>
      <c r="C801" s="256"/>
      <c r="D801" s="257"/>
      <c r="E801" s="258"/>
      <c r="F801" s="259"/>
      <c r="G801" s="256"/>
    </row>
    <row r="802" ht="15.75" customHeight="1">
      <c r="A802" s="256"/>
      <c r="B802" s="256"/>
      <c r="C802" s="256"/>
      <c r="D802" s="257"/>
      <c r="E802" s="258"/>
      <c r="F802" s="259"/>
      <c r="G802" s="256"/>
    </row>
    <row r="803" ht="15.75" customHeight="1">
      <c r="A803" s="256"/>
      <c r="B803" s="256"/>
      <c r="C803" s="256"/>
      <c r="D803" s="257"/>
      <c r="E803" s="258"/>
      <c r="F803" s="259"/>
      <c r="G803" s="256"/>
    </row>
    <row r="804" ht="15.75" customHeight="1">
      <c r="A804" s="256"/>
      <c r="B804" s="256"/>
      <c r="C804" s="256"/>
      <c r="D804" s="257"/>
      <c r="E804" s="258"/>
      <c r="F804" s="259"/>
      <c r="G804" s="256"/>
    </row>
    <row r="805" ht="15.75" customHeight="1">
      <c r="A805" s="256"/>
      <c r="B805" s="256"/>
      <c r="C805" s="256"/>
      <c r="D805" s="257"/>
      <c r="E805" s="258"/>
      <c r="F805" s="259"/>
      <c r="G805" s="256"/>
    </row>
    <row r="806" ht="15.75" customHeight="1">
      <c r="A806" s="256"/>
      <c r="B806" s="256"/>
      <c r="C806" s="256"/>
      <c r="D806" s="257"/>
      <c r="E806" s="258"/>
      <c r="F806" s="259"/>
      <c r="G806" s="256"/>
    </row>
    <row r="807" ht="15.75" customHeight="1">
      <c r="A807" s="256"/>
      <c r="B807" s="256"/>
      <c r="C807" s="256"/>
      <c r="D807" s="257"/>
      <c r="E807" s="258"/>
      <c r="F807" s="259"/>
      <c r="G807" s="256"/>
    </row>
    <row r="808" ht="15.75" customHeight="1">
      <c r="A808" s="256"/>
      <c r="B808" s="256"/>
      <c r="C808" s="256"/>
      <c r="D808" s="257"/>
      <c r="E808" s="258"/>
      <c r="F808" s="259"/>
      <c r="G808" s="256"/>
    </row>
    <row r="809" ht="15.75" customHeight="1">
      <c r="A809" s="256"/>
      <c r="B809" s="256"/>
      <c r="C809" s="256"/>
      <c r="D809" s="257"/>
      <c r="E809" s="258"/>
      <c r="F809" s="259"/>
      <c r="G809" s="256"/>
    </row>
    <row r="810" ht="15.75" customHeight="1">
      <c r="A810" s="256"/>
      <c r="B810" s="256"/>
      <c r="C810" s="256"/>
      <c r="D810" s="257"/>
      <c r="E810" s="258"/>
      <c r="F810" s="259"/>
      <c r="G810" s="256"/>
    </row>
    <row r="811" ht="15.75" customHeight="1">
      <c r="A811" s="256"/>
      <c r="B811" s="256"/>
      <c r="C811" s="256"/>
      <c r="D811" s="257"/>
      <c r="E811" s="258"/>
      <c r="F811" s="259"/>
      <c r="G811" s="256"/>
    </row>
    <row r="812" ht="15.75" customHeight="1">
      <c r="A812" s="256"/>
      <c r="B812" s="256"/>
      <c r="C812" s="256"/>
      <c r="D812" s="257"/>
      <c r="E812" s="258"/>
      <c r="F812" s="259"/>
      <c r="G812" s="256"/>
    </row>
    <row r="813" ht="15.75" customHeight="1">
      <c r="A813" s="256"/>
      <c r="B813" s="256"/>
      <c r="C813" s="256"/>
      <c r="D813" s="257"/>
      <c r="E813" s="258"/>
      <c r="F813" s="259"/>
      <c r="G813" s="256"/>
    </row>
    <row r="814" ht="15.75" customHeight="1">
      <c r="A814" s="256"/>
      <c r="B814" s="256"/>
      <c r="C814" s="256"/>
      <c r="D814" s="257"/>
      <c r="E814" s="258"/>
      <c r="F814" s="259"/>
      <c r="G814" s="256"/>
    </row>
    <row r="815" ht="15.75" customHeight="1">
      <c r="A815" s="256"/>
      <c r="B815" s="256"/>
      <c r="C815" s="256"/>
      <c r="D815" s="257"/>
      <c r="E815" s="258"/>
      <c r="F815" s="259"/>
      <c r="G815" s="256"/>
    </row>
    <row r="816" ht="15.75" customHeight="1">
      <c r="A816" s="256"/>
      <c r="B816" s="256"/>
      <c r="C816" s="256"/>
      <c r="D816" s="257"/>
      <c r="E816" s="258"/>
      <c r="F816" s="259"/>
      <c r="G816" s="256"/>
    </row>
    <row r="817" ht="15.75" customHeight="1">
      <c r="A817" s="256"/>
      <c r="B817" s="256"/>
      <c r="C817" s="256"/>
      <c r="D817" s="257"/>
      <c r="E817" s="258"/>
      <c r="F817" s="259"/>
      <c r="G817" s="256"/>
    </row>
    <row r="818" ht="15.75" customHeight="1">
      <c r="A818" s="256"/>
      <c r="B818" s="256"/>
      <c r="C818" s="256"/>
      <c r="D818" s="257"/>
      <c r="E818" s="258"/>
      <c r="F818" s="259"/>
      <c r="G818" s="256"/>
    </row>
    <row r="819" ht="15.75" customHeight="1">
      <c r="A819" s="256"/>
      <c r="B819" s="256"/>
      <c r="C819" s="256"/>
      <c r="D819" s="257"/>
      <c r="E819" s="258"/>
      <c r="F819" s="259"/>
      <c r="G819" s="256"/>
    </row>
    <row r="820" ht="15.75" customHeight="1">
      <c r="A820" s="256"/>
      <c r="B820" s="256"/>
      <c r="C820" s="256"/>
      <c r="D820" s="257"/>
      <c r="E820" s="258"/>
      <c r="F820" s="259"/>
      <c r="G820" s="256"/>
    </row>
    <row r="821" ht="15.75" customHeight="1">
      <c r="A821" s="256"/>
      <c r="B821" s="256"/>
      <c r="C821" s="256"/>
      <c r="D821" s="257"/>
      <c r="E821" s="258"/>
      <c r="F821" s="259"/>
      <c r="G821" s="256"/>
    </row>
    <row r="822" ht="15.75" customHeight="1">
      <c r="A822" s="256"/>
      <c r="B822" s="256"/>
      <c r="C822" s="256"/>
      <c r="D822" s="257"/>
      <c r="E822" s="258"/>
      <c r="F822" s="259"/>
      <c r="G822" s="256"/>
    </row>
    <row r="823" ht="15.75" customHeight="1">
      <c r="A823" s="256"/>
      <c r="B823" s="256"/>
      <c r="C823" s="256"/>
      <c r="D823" s="257"/>
      <c r="E823" s="258"/>
      <c r="F823" s="259"/>
      <c r="G823" s="256"/>
    </row>
    <row r="824" ht="15.75" customHeight="1">
      <c r="A824" s="256"/>
      <c r="B824" s="256"/>
      <c r="C824" s="256"/>
      <c r="D824" s="257"/>
      <c r="E824" s="258"/>
      <c r="F824" s="259"/>
      <c r="G824" s="256"/>
    </row>
    <row r="825" ht="15.75" customHeight="1">
      <c r="A825" s="256"/>
      <c r="B825" s="256"/>
      <c r="C825" s="256"/>
      <c r="D825" s="257"/>
      <c r="E825" s="258"/>
      <c r="F825" s="259"/>
      <c r="G825" s="256"/>
    </row>
    <row r="826" ht="15.75" customHeight="1">
      <c r="A826" s="256"/>
      <c r="B826" s="256"/>
      <c r="C826" s="256"/>
      <c r="D826" s="257"/>
      <c r="E826" s="258"/>
      <c r="F826" s="259"/>
      <c r="G826" s="256"/>
    </row>
    <row r="827" ht="15.75" customHeight="1">
      <c r="A827" s="256"/>
      <c r="B827" s="256"/>
      <c r="C827" s="256"/>
      <c r="D827" s="257"/>
      <c r="E827" s="258"/>
      <c r="F827" s="259"/>
      <c r="G827" s="256"/>
    </row>
    <row r="828" ht="15.75" customHeight="1">
      <c r="A828" s="256"/>
      <c r="B828" s="256"/>
      <c r="C828" s="256"/>
      <c r="D828" s="257"/>
      <c r="E828" s="258"/>
      <c r="F828" s="259"/>
      <c r="G828" s="256"/>
    </row>
    <row r="829" ht="15.75" customHeight="1">
      <c r="A829" s="256"/>
      <c r="B829" s="256"/>
      <c r="C829" s="256"/>
      <c r="D829" s="257"/>
      <c r="E829" s="258"/>
      <c r="F829" s="259"/>
      <c r="G829" s="256"/>
    </row>
    <row r="830" ht="15.75" customHeight="1">
      <c r="A830" s="256"/>
      <c r="B830" s="256"/>
      <c r="C830" s="256"/>
      <c r="D830" s="257"/>
      <c r="E830" s="258"/>
      <c r="F830" s="259"/>
      <c r="G830" s="256"/>
    </row>
    <row r="831" ht="15.75" customHeight="1">
      <c r="A831" s="256"/>
      <c r="B831" s="256"/>
      <c r="C831" s="256"/>
      <c r="D831" s="257"/>
      <c r="E831" s="258"/>
      <c r="F831" s="259"/>
      <c r="G831" s="256"/>
    </row>
    <row r="832" ht="15.75" customHeight="1">
      <c r="A832" s="256"/>
      <c r="B832" s="256"/>
      <c r="C832" s="256"/>
      <c r="D832" s="257"/>
      <c r="E832" s="258"/>
      <c r="F832" s="259"/>
      <c r="G832" s="256"/>
    </row>
    <row r="833" ht="15.75" customHeight="1">
      <c r="A833" s="256"/>
      <c r="B833" s="256"/>
      <c r="C833" s="256"/>
      <c r="D833" s="257"/>
      <c r="E833" s="258"/>
      <c r="F833" s="259"/>
      <c r="G833" s="256"/>
    </row>
    <row r="834" ht="15.75" customHeight="1">
      <c r="A834" s="256"/>
      <c r="B834" s="256"/>
      <c r="C834" s="256"/>
      <c r="D834" s="257"/>
      <c r="E834" s="258"/>
      <c r="F834" s="259"/>
      <c r="G834" s="256"/>
    </row>
    <row r="835" ht="15.75" customHeight="1">
      <c r="A835" s="256"/>
      <c r="B835" s="256"/>
      <c r="C835" s="256"/>
      <c r="D835" s="257"/>
      <c r="E835" s="258"/>
      <c r="F835" s="259"/>
      <c r="G835" s="256"/>
    </row>
    <row r="836" ht="15.75" customHeight="1">
      <c r="A836" s="256"/>
      <c r="B836" s="256"/>
      <c r="C836" s="256"/>
      <c r="D836" s="257"/>
      <c r="E836" s="258"/>
      <c r="F836" s="259"/>
      <c r="G836" s="256"/>
    </row>
    <row r="837" ht="15.75" customHeight="1">
      <c r="A837" s="256"/>
      <c r="B837" s="256"/>
      <c r="C837" s="256"/>
      <c r="D837" s="257"/>
      <c r="E837" s="258"/>
      <c r="F837" s="259"/>
      <c r="G837" s="256"/>
    </row>
    <row r="838" ht="15.75" customHeight="1">
      <c r="A838" s="256"/>
      <c r="B838" s="256"/>
      <c r="C838" s="256"/>
      <c r="D838" s="257"/>
      <c r="E838" s="258"/>
      <c r="F838" s="259"/>
      <c r="G838" s="256"/>
    </row>
    <row r="839" ht="15.75" customHeight="1">
      <c r="A839" s="256"/>
      <c r="B839" s="256"/>
      <c r="C839" s="256"/>
      <c r="D839" s="257"/>
      <c r="E839" s="258"/>
      <c r="F839" s="259"/>
      <c r="G839" s="256"/>
    </row>
    <row r="840" ht="15.75" customHeight="1">
      <c r="A840" s="256"/>
      <c r="B840" s="256"/>
      <c r="C840" s="256"/>
      <c r="D840" s="257"/>
      <c r="E840" s="258"/>
      <c r="F840" s="259"/>
      <c r="G840" s="256"/>
    </row>
    <row r="841" ht="15.75" customHeight="1">
      <c r="A841" s="256"/>
      <c r="B841" s="256"/>
      <c r="C841" s="256"/>
      <c r="D841" s="257"/>
      <c r="E841" s="258"/>
      <c r="F841" s="259"/>
      <c r="G841" s="256"/>
    </row>
    <row r="842" ht="15.75" customHeight="1">
      <c r="A842" s="256"/>
      <c r="B842" s="256"/>
      <c r="C842" s="256"/>
      <c r="D842" s="257"/>
      <c r="E842" s="258"/>
      <c r="F842" s="259"/>
      <c r="G842" s="256"/>
    </row>
    <row r="843" ht="15.75" customHeight="1">
      <c r="A843" s="256"/>
      <c r="B843" s="256"/>
      <c r="C843" s="256"/>
      <c r="D843" s="257"/>
      <c r="E843" s="258"/>
      <c r="F843" s="259"/>
      <c r="G843" s="256"/>
    </row>
    <row r="844" ht="15.75" customHeight="1">
      <c r="A844" s="256"/>
      <c r="B844" s="256"/>
      <c r="C844" s="256"/>
      <c r="D844" s="257"/>
      <c r="E844" s="258"/>
      <c r="F844" s="259"/>
      <c r="G844" s="256"/>
    </row>
    <row r="845" ht="15.75" customHeight="1">
      <c r="A845" s="256"/>
      <c r="B845" s="256"/>
      <c r="C845" s="256"/>
      <c r="D845" s="257"/>
      <c r="E845" s="258"/>
      <c r="F845" s="259"/>
      <c r="G845" s="256"/>
    </row>
    <row r="846" ht="15.75" customHeight="1">
      <c r="A846" s="256"/>
      <c r="B846" s="256"/>
      <c r="C846" s="256"/>
      <c r="D846" s="257"/>
      <c r="E846" s="258"/>
      <c r="F846" s="259"/>
      <c r="G846" s="256"/>
    </row>
    <row r="847" ht="15.75" customHeight="1">
      <c r="A847" s="256"/>
      <c r="B847" s="256"/>
      <c r="C847" s="256"/>
      <c r="D847" s="257"/>
      <c r="E847" s="258"/>
      <c r="F847" s="259"/>
      <c r="G847" s="256"/>
    </row>
    <row r="848" ht="15.75" customHeight="1">
      <c r="A848" s="256"/>
      <c r="B848" s="256"/>
      <c r="C848" s="256"/>
      <c r="D848" s="257"/>
      <c r="E848" s="258"/>
      <c r="F848" s="259"/>
      <c r="G848" s="256"/>
    </row>
    <row r="849" ht="15.75" customHeight="1">
      <c r="A849" s="256"/>
      <c r="B849" s="256"/>
      <c r="C849" s="256"/>
      <c r="D849" s="257"/>
      <c r="E849" s="258"/>
      <c r="F849" s="259"/>
      <c r="G849" s="256"/>
    </row>
    <row r="850" ht="15.75" customHeight="1">
      <c r="A850" s="256"/>
      <c r="B850" s="256"/>
      <c r="C850" s="256"/>
      <c r="D850" s="257"/>
      <c r="E850" s="258"/>
      <c r="F850" s="259"/>
      <c r="G850" s="256"/>
    </row>
    <row r="851" ht="15.75" customHeight="1">
      <c r="A851" s="256"/>
      <c r="B851" s="256"/>
      <c r="C851" s="256"/>
      <c r="D851" s="257"/>
      <c r="E851" s="258"/>
      <c r="F851" s="259"/>
      <c r="G851" s="256"/>
    </row>
    <row r="852" ht="15.75" customHeight="1">
      <c r="A852" s="256"/>
      <c r="B852" s="256"/>
      <c r="C852" s="256"/>
      <c r="D852" s="257"/>
      <c r="E852" s="258"/>
      <c r="F852" s="259"/>
      <c r="G852" s="256"/>
    </row>
    <row r="853" ht="15.75" customHeight="1">
      <c r="A853" s="256"/>
      <c r="B853" s="256"/>
      <c r="C853" s="256"/>
      <c r="D853" s="257"/>
      <c r="E853" s="258"/>
      <c r="F853" s="259"/>
      <c r="G853" s="256"/>
    </row>
    <row r="854" ht="15.75" customHeight="1">
      <c r="A854" s="256"/>
      <c r="B854" s="256"/>
      <c r="C854" s="256"/>
      <c r="D854" s="257"/>
      <c r="E854" s="258"/>
      <c r="F854" s="259"/>
      <c r="G854" s="256"/>
    </row>
    <row r="855" ht="15.75" customHeight="1">
      <c r="A855" s="256"/>
      <c r="B855" s="256"/>
      <c r="C855" s="256"/>
      <c r="D855" s="257"/>
      <c r="E855" s="258"/>
      <c r="F855" s="259"/>
      <c r="G855" s="256"/>
    </row>
    <row r="856" ht="15.75" customHeight="1">
      <c r="A856" s="256"/>
      <c r="B856" s="256"/>
      <c r="C856" s="256"/>
      <c r="D856" s="257"/>
      <c r="E856" s="258"/>
      <c r="F856" s="259"/>
      <c r="G856" s="256"/>
    </row>
    <row r="857" ht="15.75" customHeight="1">
      <c r="A857" s="256"/>
      <c r="B857" s="256"/>
      <c r="C857" s="256"/>
      <c r="D857" s="257"/>
      <c r="E857" s="258"/>
      <c r="F857" s="259"/>
      <c r="G857" s="256"/>
    </row>
    <row r="858" ht="15.75" customHeight="1">
      <c r="A858" s="256"/>
      <c r="B858" s="256"/>
      <c r="C858" s="256"/>
      <c r="D858" s="257"/>
      <c r="E858" s="258"/>
      <c r="F858" s="259"/>
      <c r="G858" s="256"/>
    </row>
    <row r="859" ht="15.75" customHeight="1">
      <c r="A859" s="256"/>
      <c r="B859" s="256"/>
      <c r="C859" s="256"/>
      <c r="D859" s="257"/>
      <c r="E859" s="258"/>
      <c r="F859" s="259"/>
      <c r="G859" s="256"/>
    </row>
    <row r="860" ht="15.75" customHeight="1">
      <c r="A860" s="256"/>
      <c r="B860" s="256"/>
      <c r="C860" s="256"/>
      <c r="D860" s="257"/>
      <c r="E860" s="258"/>
      <c r="F860" s="259"/>
      <c r="G860" s="256"/>
    </row>
    <row r="861" ht="15.75" customHeight="1">
      <c r="A861" s="256"/>
      <c r="B861" s="256"/>
      <c r="C861" s="256"/>
      <c r="D861" s="257"/>
      <c r="E861" s="258"/>
      <c r="F861" s="259"/>
      <c r="G861" s="256"/>
    </row>
    <row r="862" ht="15.75" customHeight="1">
      <c r="A862" s="256"/>
      <c r="B862" s="256"/>
      <c r="C862" s="256"/>
      <c r="D862" s="257"/>
      <c r="E862" s="258"/>
      <c r="F862" s="259"/>
      <c r="G862" s="256"/>
    </row>
    <row r="863" ht="15.75" customHeight="1">
      <c r="A863" s="256"/>
      <c r="B863" s="256"/>
      <c r="C863" s="256"/>
      <c r="D863" s="257"/>
      <c r="E863" s="258"/>
      <c r="F863" s="259"/>
      <c r="G863" s="256"/>
    </row>
    <row r="864" ht="15.75" customHeight="1">
      <c r="A864" s="256"/>
      <c r="B864" s="256"/>
      <c r="C864" s="256"/>
      <c r="D864" s="257"/>
      <c r="E864" s="258"/>
      <c r="F864" s="259"/>
      <c r="G864" s="256"/>
    </row>
    <row r="865" ht="15.75" customHeight="1">
      <c r="A865" s="256"/>
      <c r="B865" s="256"/>
      <c r="C865" s="256"/>
      <c r="D865" s="257"/>
      <c r="E865" s="258"/>
      <c r="F865" s="259"/>
      <c r="G865" s="256"/>
    </row>
    <row r="866" ht="15.75" customHeight="1">
      <c r="A866" s="256"/>
      <c r="B866" s="256"/>
      <c r="C866" s="256"/>
      <c r="D866" s="257"/>
      <c r="E866" s="258"/>
      <c r="F866" s="259"/>
      <c r="G866" s="256"/>
    </row>
    <row r="867" ht="15.75" customHeight="1">
      <c r="A867" s="256"/>
      <c r="B867" s="256"/>
      <c r="C867" s="256"/>
      <c r="D867" s="257"/>
      <c r="E867" s="258"/>
      <c r="F867" s="259"/>
      <c r="G867" s="256"/>
    </row>
    <row r="868" ht="15.75" customHeight="1">
      <c r="A868" s="256"/>
      <c r="B868" s="256"/>
      <c r="C868" s="256"/>
      <c r="D868" s="257"/>
      <c r="E868" s="258"/>
      <c r="F868" s="259"/>
      <c r="G868" s="256"/>
    </row>
    <row r="869" ht="15.75" customHeight="1">
      <c r="A869" s="256"/>
      <c r="B869" s="256"/>
      <c r="C869" s="256"/>
      <c r="D869" s="257"/>
      <c r="E869" s="258"/>
      <c r="F869" s="259"/>
      <c r="G869" s="256"/>
    </row>
    <row r="870" ht="15.75" customHeight="1">
      <c r="A870" s="256"/>
      <c r="B870" s="256"/>
      <c r="C870" s="256"/>
      <c r="D870" s="257"/>
      <c r="E870" s="258"/>
      <c r="F870" s="259"/>
      <c r="G870" s="256"/>
    </row>
    <row r="871" ht="15.75" customHeight="1">
      <c r="A871" s="256"/>
      <c r="B871" s="256"/>
      <c r="C871" s="256"/>
      <c r="D871" s="257"/>
      <c r="E871" s="258"/>
      <c r="F871" s="259"/>
      <c r="G871" s="256"/>
    </row>
    <row r="872" ht="15.75" customHeight="1">
      <c r="A872" s="256"/>
      <c r="B872" s="256"/>
      <c r="C872" s="256"/>
      <c r="D872" s="257"/>
      <c r="E872" s="258"/>
      <c r="F872" s="259"/>
      <c r="G872" s="256"/>
    </row>
    <row r="873" ht="15.75" customHeight="1">
      <c r="A873" s="256"/>
      <c r="B873" s="256"/>
      <c r="C873" s="256"/>
      <c r="D873" s="257"/>
      <c r="E873" s="258"/>
      <c r="F873" s="259"/>
      <c r="G873" s="256"/>
    </row>
    <row r="874" ht="15.75" customHeight="1">
      <c r="A874" s="256"/>
      <c r="B874" s="256"/>
      <c r="C874" s="256"/>
      <c r="D874" s="257"/>
      <c r="E874" s="258"/>
      <c r="F874" s="259"/>
      <c r="G874" s="256"/>
    </row>
    <row r="875" ht="15.75" customHeight="1">
      <c r="A875" s="256"/>
      <c r="B875" s="256"/>
      <c r="C875" s="256"/>
      <c r="D875" s="257"/>
      <c r="E875" s="258"/>
      <c r="F875" s="259"/>
      <c r="G875" s="256"/>
    </row>
    <row r="876" ht="15.75" customHeight="1">
      <c r="A876" s="256"/>
      <c r="B876" s="256"/>
      <c r="C876" s="256"/>
      <c r="D876" s="257"/>
      <c r="E876" s="258"/>
      <c r="F876" s="259"/>
      <c r="G876" s="256"/>
    </row>
    <row r="877" ht="15.75" customHeight="1">
      <c r="A877" s="256"/>
      <c r="B877" s="256"/>
      <c r="C877" s="256"/>
      <c r="D877" s="257"/>
      <c r="E877" s="258"/>
      <c r="F877" s="259"/>
      <c r="G877" s="256"/>
    </row>
    <row r="878" ht="15.75" customHeight="1">
      <c r="A878" s="256"/>
      <c r="B878" s="256"/>
      <c r="C878" s="256"/>
      <c r="D878" s="257"/>
      <c r="E878" s="258"/>
      <c r="F878" s="259"/>
      <c r="G878" s="256"/>
    </row>
    <row r="879" ht="15.75" customHeight="1">
      <c r="A879" s="256"/>
      <c r="B879" s="256"/>
      <c r="C879" s="256"/>
      <c r="D879" s="257"/>
      <c r="E879" s="258"/>
      <c r="F879" s="259"/>
      <c r="G879" s="256"/>
    </row>
    <row r="880" ht="15.75" customHeight="1">
      <c r="A880" s="256"/>
      <c r="B880" s="256"/>
      <c r="C880" s="256"/>
      <c r="D880" s="257"/>
      <c r="E880" s="258"/>
      <c r="F880" s="259"/>
      <c r="G880" s="256"/>
    </row>
    <row r="881" ht="15.75" customHeight="1">
      <c r="A881" s="256"/>
      <c r="B881" s="256"/>
      <c r="C881" s="256"/>
      <c r="D881" s="257"/>
      <c r="E881" s="258"/>
      <c r="F881" s="259"/>
      <c r="G881" s="256"/>
    </row>
    <row r="882" ht="15.75" customHeight="1">
      <c r="A882" s="256"/>
      <c r="B882" s="256"/>
      <c r="C882" s="256"/>
      <c r="D882" s="257"/>
      <c r="E882" s="258"/>
      <c r="F882" s="259"/>
      <c r="G882" s="256"/>
    </row>
    <row r="883" ht="15.75" customHeight="1">
      <c r="A883" s="256"/>
      <c r="B883" s="256"/>
      <c r="C883" s="256"/>
      <c r="D883" s="257"/>
      <c r="E883" s="258"/>
      <c r="F883" s="259"/>
      <c r="G883" s="256"/>
    </row>
    <row r="884" ht="15.75" customHeight="1">
      <c r="A884" s="256"/>
      <c r="B884" s="256"/>
      <c r="C884" s="256"/>
      <c r="D884" s="257"/>
      <c r="E884" s="258"/>
      <c r="F884" s="259"/>
      <c r="G884" s="256"/>
    </row>
    <row r="885" ht="15.75" customHeight="1">
      <c r="A885" s="256"/>
      <c r="B885" s="256"/>
      <c r="C885" s="256"/>
      <c r="D885" s="257"/>
      <c r="E885" s="258"/>
      <c r="F885" s="259"/>
      <c r="G885" s="256"/>
    </row>
    <row r="886" ht="15.75" customHeight="1">
      <c r="A886" s="256"/>
      <c r="B886" s="256"/>
      <c r="C886" s="256"/>
      <c r="D886" s="257"/>
      <c r="E886" s="258"/>
      <c r="F886" s="259"/>
      <c r="G886" s="256"/>
    </row>
    <row r="887" ht="15.75" customHeight="1">
      <c r="A887" s="256"/>
      <c r="B887" s="256"/>
      <c r="C887" s="256"/>
      <c r="D887" s="257"/>
      <c r="E887" s="258"/>
      <c r="F887" s="259"/>
      <c r="G887" s="256"/>
    </row>
    <row r="888" ht="15.75" customHeight="1">
      <c r="A888" s="256"/>
      <c r="B888" s="256"/>
      <c r="C888" s="256"/>
      <c r="D888" s="257"/>
      <c r="E888" s="258"/>
      <c r="F888" s="259"/>
      <c r="G888" s="256"/>
    </row>
    <row r="889" ht="15.75" customHeight="1">
      <c r="A889" s="256"/>
      <c r="B889" s="256"/>
      <c r="C889" s="256"/>
      <c r="D889" s="257"/>
      <c r="E889" s="258"/>
      <c r="F889" s="259"/>
      <c r="G889" s="256"/>
    </row>
    <row r="890" ht="15.75" customHeight="1">
      <c r="A890" s="256"/>
      <c r="B890" s="256"/>
      <c r="C890" s="256"/>
      <c r="D890" s="257"/>
      <c r="E890" s="258"/>
      <c r="F890" s="259"/>
      <c r="G890" s="256"/>
    </row>
    <row r="891" ht="15.75" customHeight="1">
      <c r="A891" s="256"/>
      <c r="B891" s="256"/>
      <c r="C891" s="256"/>
      <c r="D891" s="257"/>
      <c r="E891" s="258"/>
      <c r="F891" s="259"/>
      <c r="G891" s="256"/>
    </row>
    <row r="892" ht="15.75" customHeight="1">
      <c r="A892" s="256"/>
      <c r="B892" s="256"/>
      <c r="C892" s="256"/>
      <c r="D892" s="257"/>
      <c r="E892" s="258"/>
      <c r="F892" s="259"/>
      <c r="G892" s="256"/>
    </row>
    <row r="893" ht="15.75" customHeight="1">
      <c r="A893" s="256"/>
      <c r="B893" s="256"/>
      <c r="C893" s="256"/>
      <c r="D893" s="257"/>
      <c r="E893" s="258"/>
      <c r="F893" s="259"/>
      <c r="G893" s="256"/>
    </row>
    <row r="894" ht="15.75" customHeight="1">
      <c r="A894" s="256"/>
      <c r="B894" s="256"/>
      <c r="C894" s="256"/>
      <c r="D894" s="257"/>
      <c r="E894" s="258"/>
      <c r="F894" s="259"/>
      <c r="G894" s="256"/>
    </row>
    <row r="895" ht="15.75" customHeight="1">
      <c r="A895" s="256"/>
      <c r="B895" s="256"/>
      <c r="C895" s="256"/>
      <c r="D895" s="257"/>
      <c r="E895" s="258"/>
      <c r="F895" s="259"/>
      <c r="G895" s="256"/>
    </row>
    <row r="896" ht="15.75" customHeight="1">
      <c r="A896" s="256"/>
      <c r="B896" s="256"/>
      <c r="C896" s="256"/>
      <c r="D896" s="257"/>
      <c r="E896" s="258"/>
      <c r="F896" s="259"/>
      <c r="G896" s="256"/>
    </row>
    <row r="897" ht="15.75" customHeight="1">
      <c r="A897" s="256"/>
      <c r="B897" s="256"/>
      <c r="C897" s="256"/>
      <c r="D897" s="257"/>
      <c r="E897" s="258"/>
      <c r="F897" s="259"/>
      <c r="G897" s="256"/>
    </row>
    <row r="898" ht="15.75" customHeight="1">
      <c r="A898" s="256"/>
      <c r="B898" s="256"/>
      <c r="C898" s="256"/>
      <c r="D898" s="257"/>
      <c r="E898" s="258"/>
      <c r="F898" s="259"/>
      <c r="G898" s="256"/>
    </row>
    <row r="899" ht="15.75" customHeight="1">
      <c r="A899" s="256"/>
      <c r="B899" s="256"/>
      <c r="C899" s="256"/>
      <c r="D899" s="257"/>
      <c r="E899" s="258"/>
      <c r="F899" s="259"/>
      <c r="G899" s="256"/>
    </row>
    <row r="900" ht="15.75" customHeight="1">
      <c r="A900" s="256"/>
      <c r="B900" s="256"/>
      <c r="C900" s="256"/>
      <c r="D900" s="257"/>
      <c r="E900" s="258"/>
      <c r="F900" s="259"/>
      <c r="G900" s="256"/>
    </row>
    <row r="901" ht="15.75" customHeight="1">
      <c r="A901" s="256"/>
      <c r="B901" s="256"/>
      <c r="C901" s="256"/>
      <c r="D901" s="257"/>
      <c r="E901" s="258"/>
      <c r="F901" s="259"/>
      <c r="G901" s="256"/>
    </row>
    <row r="902" ht="15.75" customHeight="1">
      <c r="A902" s="256"/>
      <c r="B902" s="256"/>
      <c r="C902" s="256"/>
      <c r="D902" s="257"/>
      <c r="E902" s="258"/>
      <c r="F902" s="259"/>
      <c r="G902" s="256"/>
    </row>
    <row r="903" ht="15.75" customHeight="1">
      <c r="A903" s="256"/>
      <c r="B903" s="256"/>
      <c r="C903" s="256"/>
      <c r="D903" s="257"/>
      <c r="E903" s="258"/>
      <c r="F903" s="259"/>
      <c r="G903" s="256"/>
    </row>
    <row r="904" ht="15.75" customHeight="1">
      <c r="A904" s="256"/>
      <c r="B904" s="256"/>
      <c r="C904" s="256"/>
      <c r="D904" s="257"/>
      <c r="E904" s="258"/>
      <c r="F904" s="259"/>
      <c r="G904" s="256"/>
    </row>
    <row r="905" ht="15.75" customHeight="1">
      <c r="A905" s="256"/>
      <c r="B905" s="256"/>
      <c r="C905" s="256"/>
      <c r="D905" s="257"/>
      <c r="E905" s="258"/>
      <c r="F905" s="259"/>
      <c r="G905" s="256"/>
    </row>
    <row r="906" ht="15.75" customHeight="1">
      <c r="A906" s="256"/>
      <c r="B906" s="256"/>
      <c r="C906" s="256"/>
      <c r="D906" s="257"/>
      <c r="E906" s="258"/>
      <c r="F906" s="259"/>
      <c r="G906" s="256"/>
    </row>
    <row r="907" ht="15.75" customHeight="1">
      <c r="A907" s="256"/>
      <c r="B907" s="256"/>
      <c r="C907" s="256"/>
      <c r="D907" s="257"/>
      <c r="E907" s="258"/>
      <c r="F907" s="259"/>
      <c r="G907" s="256"/>
    </row>
    <row r="908" ht="15.75" customHeight="1">
      <c r="A908" s="256"/>
      <c r="B908" s="256"/>
      <c r="C908" s="256"/>
      <c r="D908" s="257"/>
      <c r="E908" s="258"/>
      <c r="F908" s="259"/>
      <c r="G908" s="256"/>
    </row>
    <row r="909" ht="15.75" customHeight="1">
      <c r="A909" s="256"/>
      <c r="B909" s="256"/>
      <c r="C909" s="256"/>
      <c r="D909" s="257"/>
      <c r="E909" s="258"/>
      <c r="F909" s="259"/>
      <c r="G909" s="256"/>
    </row>
    <row r="910" ht="15.75" customHeight="1">
      <c r="A910" s="256"/>
      <c r="B910" s="256"/>
      <c r="C910" s="256"/>
      <c r="D910" s="257"/>
      <c r="E910" s="258"/>
      <c r="F910" s="259"/>
      <c r="G910" s="256"/>
    </row>
    <row r="911" ht="15.75" customHeight="1">
      <c r="A911" s="256"/>
      <c r="B911" s="256"/>
      <c r="C911" s="256"/>
      <c r="D911" s="257"/>
      <c r="E911" s="258"/>
      <c r="F911" s="259"/>
      <c r="G911" s="256"/>
    </row>
    <row r="912" ht="15.75" customHeight="1">
      <c r="A912" s="256"/>
      <c r="B912" s="256"/>
      <c r="C912" s="256"/>
      <c r="D912" s="257"/>
      <c r="E912" s="258"/>
      <c r="F912" s="259"/>
      <c r="G912" s="256"/>
    </row>
    <row r="913" ht="15.75" customHeight="1">
      <c r="A913" s="256"/>
      <c r="B913" s="256"/>
      <c r="C913" s="256"/>
      <c r="D913" s="257"/>
      <c r="E913" s="258"/>
      <c r="F913" s="259"/>
      <c r="G913" s="256"/>
    </row>
    <row r="914" ht="15.75" customHeight="1">
      <c r="A914" s="256"/>
      <c r="B914" s="256"/>
      <c r="C914" s="256"/>
      <c r="D914" s="257"/>
      <c r="E914" s="258"/>
      <c r="F914" s="259"/>
      <c r="G914" s="256"/>
    </row>
    <row r="915" ht="15.75" customHeight="1">
      <c r="A915" s="256"/>
      <c r="B915" s="256"/>
      <c r="C915" s="256"/>
      <c r="D915" s="257"/>
      <c r="E915" s="258"/>
      <c r="F915" s="259"/>
      <c r="G915" s="256"/>
    </row>
    <row r="916" ht="15.75" customHeight="1">
      <c r="A916" s="256"/>
      <c r="B916" s="256"/>
      <c r="C916" s="256"/>
      <c r="D916" s="257"/>
      <c r="E916" s="258"/>
      <c r="F916" s="259"/>
      <c r="G916" s="256"/>
    </row>
    <row r="917" ht="15.75" customHeight="1">
      <c r="A917" s="256"/>
      <c r="B917" s="256"/>
      <c r="C917" s="256"/>
      <c r="D917" s="257"/>
      <c r="E917" s="258"/>
      <c r="F917" s="259"/>
      <c r="G917" s="256"/>
    </row>
    <row r="918" ht="15.75" customHeight="1">
      <c r="A918" s="256"/>
      <c r="B918" s="256"/>
      <c r="C918" s="256"/>
      <c r="D918" s="257"/>
      <c r="E918" s="258"/>
      <c r="F918" s="259"/>
      <c r="G918" s="256"/>
    </row>
    <row r="919" ht="15.75" customHeight="1">
      <c r="A919" s="256"/>
      <c r="B919" s="256"/>
      <c r="C919" s="256"/>
      <c r="D919" s="257"/>
      <c r="E919" s="258"/>
      <c r="F919" s="259"/>
      <c r="G919" s="256"/>
    </row>
    <row r="920" ht="15.75" customHeight="1">
      <c r="A920" s="256"/>
      <c r="B920" s="256"/>
      <c r="C920" s="256"/>
      <c r="D920" s="257"/>
      <c r="E920" s="258"/>
      <c r="F920" s="259"/>
      <c r="G920" s="256"/>
    </row>
    <row r="921" ht="15.75" customHeight="1">
      <c r="A921" s="256"/>
      <c r="B921" s="256"/>
      <c r="C921" s="256"/>
      <c r="D921" s="257"/>
      <c r="E921" s="258"/>
      <c r="F921" s="259"/>
      <c r="G921" s="256"/>
    </row>
    <row r="922" ht="15.75" customHeight="1">
      <c r="A922" s="256"/>
      <c r="B922" s="256"/>
      <c r="C922" s="256"/>
      <c r="D922" s="257"/>
      <c r="E922" s="258"/>
      <c r="F922" s="259"/>
      <c r="G922" s="256"/>
    </row>
    <row r="923" ht="15.75" customHeight="1">
      <c r="A923" s="256"/>
      <c r="B923" s="256"/>
      <c r="C923" s="256"/>
      <c r="D923" s="257"/>
      <c r="E923" s="258"/>
      <c r="F923" s="259"/>
      <c r="G923" s="256"/>
    </row>
    <row r="924" ht="15.75" customHeight="1">
      <c r="A924" s="256"/>
      <c r="B924" s="256"/>
      <c r="C924" s="256"/>
      <c r="D924" s="257"/>
      <c r="E924" s="258"/>
      <c r="F924" s="259"/>
      <c r="G924" s="256"/>
    </row>
    <row r="925" ht="15.75" customHeight="1">
      <c r="A925" s="256"/>
      <c r="B925" s="256"/>
      <c r="C925" s="256"/>
      <c r="D925" s="257"/>
      <c r="E925" s="258"/>
      <c r="F925" s="259"/>
      <c r="G925" s="256"/>
    </row>
    <row r="926" ht="15.75" customHeight="1">
      <c r="A926" s="256"/>
      <c r="B926" s="256"/>
      <c r="C926" s="256"/>
      <c r="D926" s="257"/>
      <c r="E926" s="258"/>
      <c r="F926" s="259"/>
      <c r="G926" s="256"/>
    </row>
    <row r="927" ht="15.75" customHeight="1">
      <c r="A927" s="256"/>
      <c r="B927" s="256"/>
      <c r="C927" s="256"/>
      <c r="D927" s="257"/>
      <c r="E927" s="258"/>
      <c r="F927" s="259"/>
      <c r="G927" s="256"/>
    </row>
    <row r="928" ht="15.75" customHeight="1">
      <c r="A928" s="256"/>
      <c r="B928" s="256"/>
      <c r="C928" s="256"/>
      <c r="D928" s="257"/>
      <c r="E928" s="258"/>
      <c r="F928" s="259"/>
      <c r="G928" s="256"/>
    </row>
    <row r="929" ht="15.75" customHeight="1">
      <c r="A929" s="256"/>
      <c r="B929" s="256"/>
      <c r="C929" s="256"/>
      <c r="D929" s="257"/>
      <c r="E929" s="258"/>
      <c r="F929" s="259"/>
      <c r="G929" s="256"/>
    </row>
    <row r="930" ht="15.75" customHeight="1">
      <c r="A930" s="256"/>
      <c r="B930" s="256"/>
      <c r="C930" s="256"/>
      <c r="D930" s="257"/>
      <c r="E930" s="258"/>
      <c r="F930" s="259"/>
      <c r="G930" s="256"/>
    </row>
    <row r="931" ht="15.75" customHeight="1">
      <c r="A931" s="256"/>
      <c r="B931" s="256"/>
      <c r="C931" s="256"/>
      <c r="D931" s="257"/>
      <c r="E931" s="258"/>
      <c r="F931" s="259"/>
      <c r="G931" s="256"/>
    </row>
    <row r="932" ht="15.75" customHeight="1">
      <c r="A932" s="256"/>
      <c r="B932" s="256"/>
      <c r="C932" s="256"/>
      <c r="D932" s="257"/>
      <c r="E932" s="258"/>
      <c r="F932" s="259"/>
      <c r="G932" s="256"/>
    </row>
    <row r="933" ht="15.75" customHeight="1">
      <c r="A933" s="256"/>
      <c r="B933" s="256"/>
      <c r="C933" s="256"/>
      <c r="D933" s="257"/>
      <c r="E933" s="258"/>
      <c r="F933" s="259"/>
      <c r="G933" s="256"/>
    </row>
    <row r="934" ht="15.75" customHeight="1">
      <c r="A934" s="256"/>
      <c r="B934" s="256"/>
      <c r="C934" s="256"/>
      <c r="D934" s="257"/>
      <c r="E934" s="258"/>
      <c r="F934" s="259"/>
      <c r="G934" s="256"/>
    </row>
    <row r="935" ht="15.75" customHeight="1">
      <c r="A935" s="256"/>
      <c r="B935" s="256"/>
      <c r="C935" s="256"/>
      <c r="D935" s="257"/>
      <c r="E935" s="258"/>
      <c r="F935" s="259"/>
      <c r="G935" s="256"/>
    </row>
    <row r="936" ht="15.75" customHeight="1">
      <c r="A936" s="256"/>
      <c r="B936" s="256"/>
      <c r="C936" s="256"/>
      <c r="D936" s="257"/>
      <c r="E936" s="258"/>
      <c r="F936" s="259"/>
      <c r="G936" s="256"/>
    </row>
    <row r="937" ht="15.75" customHeight="1">
      <c r="A937" s="256"/>
      <c r="B937" s="256"/>
      <c r="C937" s="256"/>
      <c r="D937" s="257"/>
      <c r="E937" s="258"/>
      <c r="F937" s="259"/>
      <c r="G937" s="256"/>
    </row>
    <row r="938" ht="15.75" customHeight="1">
      <c r="A938" s="256"/>
      <c r="B938" s="256"/>
      <c r="C938" s="256"/>
      <c r="D938" s="257"/>
      <c r="E938" s="258"/>
      <c r="F938" s="259"/>
      <c r="G938" s="256"/>
    </row>
    <row r="939" ht="15.75" customHeight="1">
      <c r="A939" s="256"/>
      <c r="B939" s="256"/>
      <c r="C939" s="256"/>
      <c r="D939" s="257"/>
      <c r="E939" s="258"/>
      <c r="F939" s="259"/>
      <c r="G939" s="256"/>
    </row>
    <row r="940" ht="15.75" customHeight="1">
      <c r="A940" s="256"/>
      <c r="B940" s="256"/>
      <c r="C940" s="256"/>
      <c r="D940" s="257"/>
      <c r="E940" s="258"/>
      <c r="F940" s="259"/>
      <c r="G940" s="256"/>
    </row>
    <row r="941" ht="15.75" customHeight="1">
      <c r="A941" s="256"/>
      <c r="B941" s="256"/>
      <c r="C941" s="256"/>
      <c r="D941" s="257"/>
      <c r="E941" s="258"/>
      <c r="F941" s="259"/>
      <c r="G941" s="256"/>
    </row>
    <row r="942" ht="15.75" customHeight="1">
      <c r="A942" s="256"/>
      <c r="B942" s="256"/>
      <c r="C942" s="256"/>
      <c r="D942" s="257"/>
      <c r="E942" s="258"/>
      <c r="F942" s="259"/>
      <c r="G942" s="256"/>
    </row>
    <row r="943" ht="15.75" customHeight="1">
      <c r="A943" s="256"/>
      <c r="B943" s="256"/>
      <c r="C943" s="256"/>
      <c r="D943" s="257"/>
      <c r="E943" s="258"/>
      <c r="F943" s="259"/>
      <c r="G943" s="256"/>
    </row>
    <row r="944" ht="15.75" customHeight="1">
      <c r="A944" s="256"/>
      <c r="B944" s="256"/>
      <c r="C944" s="256"/>
      <c r="D944" s="257"/>
      <c r="E944" s="258"/>
      <c r="F944" s="259"/>
      <c r="G944" s="256"/>
    </row>
    <row r="945" ht="15.75" customHeight="1">
      <c r="A945" s="256"/>
      <c r="B945" s="256"/>
      <c r="C945" s="256"/>
      <c r="D945" s="257"/>
      <c r="E945" s="258"/>
      <c r="F945" s="259"/>
      <c r="G945" s="256"/>
    </row>
    <row r="946" ht="15.75" customHeight="1">
      <c r="A946" s="256"/>
      <c r="B946" s="256"/>
      <c r="C946" s="256"/>
      <c r="D946" s="257"/>
      <c r="E946" s="258"/>
      <c r="F946" s="259"/>
      <c r="G946" s="256"/>
    </row>
    <row r="947" ht="15.75" customHeight="1">
      <c r="A947" s="256"/>
      <c r="B947" s="256"/>
      <c r="C947" s="256"/>
      <c r="D947" s="257"/>
      <c r="E947" s="258"/>
      <c r="F947" s="259"/>
      <c r="G947" s="256"/>
    </row>
    <row r="948" ht="15.75" customHeight="1">
      <c r="A948" s="256"/>
      <c r="B948" s="256"/>
      <c r="C948" s="256"/>
      <c r="D948" s="257"/>
      <c r="E948" s="258"/>
      <c r="F948" s="259"/>
      <c r="G948" s="256"/>
    </row>
    <row r="949" ht="15.75" customHeight="1">
      <c r="A949" s="256"/>
      <c r="B949" s="256"/>
      <c r="C949" s="256"/>
      <c r="D949" s="257"/>
      <c r="E949" s="258"/>
      <c r="F949" s="259"/>
      <c r="G949" s="256"/>
    </row>
    <row r="950" ht="15.75" customHeight="1">
      <c r="A950" s="256"/>
      <c r="B950" s="256"/>
      <c r="C950" s="256"/>
      <c r="D950" s="257"/>
      <c r="E950" s="258"/>
      <c r="F950" s="259"/>
      <c r="G950" s="256"/>
    </row>
    <row r="951" ht="15.75" customHeight="1">
      <c r="A951" s="256"/>
      <c r="B951" s="256"/>
      <c r="C951" s="256"/>
      <c r="D951" s="257"/>
      <c r="E951" s="258"/>
      <c r="F951" s="259"/>
      <c r="G951" s="256"/>
    </row>
    <row r="952" ht="15.75" customHeight="1">
      <c r="A952" s="256"/>
      <c r="B952" s="256"/>
      <c r="C952" s="256"/>
      <c r="D952" s="257"/>
      <c r="E952" s="258"/>
      <c r="F952" s="259"/>
      <c r="G952" s="256"/>
    </row>
    <row r="953" ht="15.75" customHeight="1">
      <c r="A953" s="256"/>
      <c r="B953" s="256"/>
      <c r="C953" s="256"/>
      <c r="D953" s="257"/>
      <c r="E953" s="258"/>
      <c r="F953" s="259"/>
      <c r="G953" s="256"/>
    </row>
    <row r="954" ht="15.75" customHeight="1">
      <c r="A954" s="256"/>
      <c r="B954" s="256"/>
      <c r="C954" s="256"/>
      <c r="D954" s="257"/>
      <c r="E954" s="258"/>
      <c r="F954" s="259"/>
      <c r="G954" s="256"/>
    </row>
    <row r="955" ht="15.75" customHeight="1">
      <c r="A955" s="256"/>
      <c r="B955" s="256"/>
      <c r="C955" s="256"/>
      <c r="D955" s="257"/>
      <c r="E955" s="258"/>
      <c r="F955" s="259"/>
      <c r="G955" s="256"/>
    </row>
    <row r="956" ht="15.75" customHeight="1">
      <c r="A956" s="256"/>
      <c r="B956" s="256"/>
      <c r="C956" s="256"/>
      <c r="D956" s="257"/>
      <c r="E956" s="258"/>
      <c r="F956" s="259"/>
      <c r="G956" s="256"/>
    </row>
    <row r="957" ht="15.75" customHeight="1">
      <c r="A957" s="256"/>
      <c r="B957" s="256"/>
      <c r="C957" s="256"/>
      <c r="D957" s="257"/>
      <c r="E957" s="258"/>
      <c r="F957" s="259"/>
      <c r="G957" s="256"/>
    </row>
    <row r="958" ht="15.75" customHeight="1">
      <c r="A958" s="256"/>
      <c r="B958" s="256"/>
      <c r="C958" s="256"/>
      <c r="D958" s="257"/>
      <c r="E958" s="258"/>
      <c r="F958" s="259"/>
      <c r="G958" s="256"/>
    </row>
    <row r="959" ht="15.75" customHeight="1">
      <c r="A959" s="256"/>
      <c r="B959" s="256"/>
      <c r="C959" s="256"/>
      <c r="D959" s="257"/>
      <c r="E959" s="258"/>
      <c r="F959" s="259"/>
      <c r="G959" s="256"/>
    </row>
    <row r="960" ht="15.75" customHeight="1">
      <c r="A960" s="256"/>
      <c r="B960" s="256"/>
      <c r="C960" s="256"/>
      <c r="D960" s="257"/>
      <c r="E960" s="258"/>
      <c r="F960" s="259"/>
      <c r="G960" s="256"/>
    </row>
    <row r="961" ht="15.75" customHeight="1">
      <c r="A961" s="256"/>
      <c r="B961" s="256"/>
      <c r="C961" s="256"/>
      <c r="D961" s="257"/>
      <c r="E961" s="258"/>
      <c r="F961" s="259"/>
      <c r="G961" s="256"/>
    </row>
    <row r="962" ht="15.75" customHeight="1">
      <c r="A962" s="256"/>
      <c r="B962" s="256"/>
      <c r="C962" s="256"/>
      <c r="D962" s="257"/>
      <c r="E962" s="258"/>
      <c r="F962" s="259"/>
      <c r="G962" s="256"/>
    </row>
    <row r="963" ht="15.75" customHeight="1">
      <c r="A963" s="256"/>
      <c r="B963" s="256"/>
      <c r="C963" s="256"/>
      <c r="D963" s="257"/>
      <c r="E963" s="258"/>
      <c r="F963" s="259"/>
      <c r="G963" s="256"/>
    </row>
    <row r="964" ht="15.75" customHeight="1">
      <c r="A964" s="256"/>
      <c r="B964" s="256"/>
      <c r="C964" s="256"/>
      <c r="D964" s="257"/>
      <c r="E964" s="258"/>
      <c r="F964" s="259"/>
      <c r="G964" s="256"/>
    </row>
    <row r="965" ht="15.75" customHeight="1">
      <c r="A965" s="256"/>
      <c r="B965" s="256"/>
      <c r="C965" s="256"/>
      <c r="D965" s="257"/>
      <c r="E965" s="258"/>
      <c r="F965" s="259"/>
      <c r="G965" s="256"/>
    </row>
    <row r="966" ht="15.75" customHeight="1">
      <c r="A966" s="256"/>
      <c r="B966" s="256"/>
      <c r="C966" s="256"/>
      <c r="D966" s="257"/>
      <c r="E966" s="258"/>
      <c r="F966" s="259"/>
      <c r="G966" s="256"/>
    </row>
    <row r="967" ht="15.75" customHeight="1">
      <c r="A967" s="256"/>
      <c r="B967" s="256"/>
      <c r="C967" s="256"/>
      <c r="D967" s="257"/>
      <c r="E967" s="258"/>
      <c r="F967" s="259"/>
      <c r="G967" s="256"/>
    </row>
    <row r="968" ht="15.75" customHeight="1">
      <c r="A968" s="256"/>
      <c r="B968" s="256"/>
      <c r="C968" s="256"/>
      <c r="D968" s="257"/>
      <c r="E968" s="258"/>
      <c r="F968" s="259"/>
      <c r="G968" s="256"/>
    </row>
    <row r="969" ht="15.75" customHeight="1">
      <c r="A969" s="256"/>
      <c r="B969" s="256"/>
      <c r="C969" s="256"/>
      <c r="D969" s="257"/>
      <c r="E969" s="258"/>
      <c r="F969" s="259"/>
      <c r="G969" s="256"/>
    </row>
    <row r="970" ht="15.75" customHeight="1">
      <c r="A970" s="256"/>
      <c r="B970" s="256"/>
      <c r="C970" s="256"/>
      <c r="D970" s="257"/>
      <c r="E970" s="258"/>
      <c r="F970" s="259"/>
      <c r="G970" s="256"/>
    </row>
    <row r="971" ht="15.75" customHeight="1">
      <c r="A971" s="256"/>
      <c r="B971" s="256"/>
      <c r="C971" s="256"/>
      <c r="D971" s="257"/>
      <c r="E971" s="258"/>
      <c r="F971" s="259"/>
      <c r="G971" s="256"/>
    </row>
    <row r="972" ht="15.75" customHeight="1">
      <c r="A972" s="256"/>
      <c r="B972" s="256"/>
      <c r="C972" s="256"/>
      <c r="D972" s="257"/>
      <c r="E972" s="258"/>
      <c r="F972" s="259"/>
      <c r="G972" s="256"/>
    </row>
    <row r="973" ht="15.75" customHeight="1">
      <c r="A973" s="256"/>
      <c r="B973" s="256"/>
      <c r="C973" s="256"/>
      <c r="D973" s="257"/>
      <c r="E973" s="258"/>
      <c r="F973" s="259"/>
      <c r="G973" s="256"/>
    </row>
    <row r="974" ht="15.75" customHeight="1">
      <c r="A974" s="256"/>
      <c r="B974" s="256"/>
      <c r="C974" s="256"/>
      <c r="D974" s="257"/>
      <c r="E974" s="258"/>
      <c r="F974" s="259"/>
      <c r="G974" s="256"/>
    </row>
    <row r="975" ht="15.75" customHeight="1">
      <c r="A975" s="256"/>
      <c r="B975" s="256"/>
      <c r="C975" s="256"/>
      <c r="D975" s="257"/>
      <c r="E975" s="258"/>
      <c r="F975" s="259"/>
      <c r="G975" s="256"/>
    </row>
    <row r="976" ht="15.75" customHeight="1">
      <c r="A976" s="256"/>
      <c r="B976" s="256"/>
      <c r="C976" s="256"/>
      <c r="D976" s="257"/>
      <c r="E976" s="258"/>
      <c r="F976" s="259"/>
      <c r="G976" s="256"/>
    </row>
    <row r="977" ht="15.75" customHeight="1">
      <c r="A977" s="256"/>
      <c r="B977" s="256"/>
      <c r="C977" s="256"/>
      <c r="D977" s="257"/>
      <c r="E977" s="258"/>
      <c r="F977" s="259"/>
      <c r="G977" s="256"/>
    </row>
    <row r="978" ht="15.75" customHeight="1">
      <c r="A978" s="256"/>
      <c r="B978" s="256"/>
      <c r="C978" s="256"/>
      <c r="D978" s="257"/>
      <c r="E978" s="258"/>
      <c r="F978" s="259"/>
      <c r="G978" s="256"/>
    </row>
    <row r="979" ht="15.75" customHeight="1">
      <c r="A979" s="256"/>
      <c r="B979" s="256"/>
      <c r="C979" s="256"/>
      <c r="D979" s="257"/>
      <c r="E979" s="258"/>
      <c r="F979" s="259"/>
      <c r="G979" s="256"/>
    </row>
    <row r="980" ht="15.75" customHeight="1">
      <c r="A980" s="256"/>
      <c r="B980" s="256"/>
      <c r="C980" s="256"/>
      <c r="D980" s="257"/>
      <c r="E980" s="258"/>
      <c r="F980" s="259"/>
      <c r="G980" s="256"/>
    </row>
    <row r="981" ht="15.75" customHeight="1">
      <c r="A981" s="256"/>
      <c r="B981" s="256"/>
      <c r="C981" s="256"/>
      <c r="D981" s="257"/>
      <c r="E981" s="258"/>
      <c r="F981" s="259"/>
      <c r="G981" s="256"/>
    </row>
    <row r="982" ht="15.75" customHeight="1">
      <c r="A982" s="256"/>
      <c r="B982" s="256"/>
      <c r="C982" s="256"/>
      <c r="D982" s="257"/>
      <c r="E982" s="258"/>
      <c r="F982" s="259"/>
      <c r="G982" s="256"/>
    </row>
    <row r="983" ht="15.75" customHeight="1">
      <c r="A983" s="256"/>
      <c r="B983" s="256"/>
      <c r="C983" s="256"/>
      <c r="D983" s="257"/>
      <c r="E983" s="258"/>
      <c r="F983" s="259"/>
      <c r="G983" s="256"/>
    </row>
    <row r="984" ht="15.75" customHeight="1">
      <c r="A984" s="256"/>
      <c r="B984" s="256"/>
      <c r="C984" s="256"/>
      <c r="D984" s="257"/>
      <c r="E984" s="258"/>
      <c r="F984" s="259"/>
      <c r="G984" s="256"/>
    </row>
    <row r="985" ht="15.75" customHeight="1">
      <c r="A985" s="256"/>
      <c r="B985" s="256"/>
      <c r="C985" s="256"/>
      <c r="D985" s="257"/>
      <c r="E985" s="258"/>
      <c r="F985" s="259"/>
      <c r="G985" s="256"/>
    </row>
    <row r="986" ht="15.75" customHeight="1">
      <c r="A986" s="256"/>
      <c r="B986" s="256"/>
      <c r="C986" s="256"/>
      <c r="D986" s="257"/>
      <c r="E986" s="258"/>
      <c r="F986" s="259"/>
      <c r="G986" s="256"/>
    </row>
    <row r="987" ht="15.75" customHeight="1">
      <c r="A987" s="256"/>
      <c r="B987" s="256"/>
      <c r="C987" s="256"/>
      <c r="D987" s="257"/>
      <c r="E987" s="258"/>
      <c r="F987" s="259"/>
      <c r="G987" s="256"/>
    </row>
    <row r="988" ht="15.75" customHeight="1">
      <c r="A988" s="256"/>
      <c r="B988" s="256"/>
      <c r="C988" s="256"/>
      <c r="D988" s="257"/>
      <c r="E988" s="258"/>
      <c r="F988" s="259"/>
      <c r="G988" s="256"/>
    </row>
    <row r="989" ht="15.75" customHeight="1">
      <c r="A989" s="256"/>
      <c r="B989" s="256"/>
      <c r="C989" s="256"/>
      <c r="D989" s="257"/>
      <c r="E989" s="258"/>
      <c r="F989" s="259"/>
      <c r="G989" s="256"/>
    </row>
    <row r="990" ht="15.75" customHeight="1">
      <c r="A990" s="256"/>
      <c r="B990" s="256"/>
      <c r="C990" s="256"/>
      <c r="D990" s="257"/>
      <c r="E990" s="258"/>
      <c r="F990" s="259"/>
      <c r="G990" s="256"/>
    </row>
    <row r="991" ht="15.75" customHeight="1">
      <c r="A991" s="256"/>
      <c r="B991" s="256"/>
      <c r="C991" s="256"/>
      <c r="D991" s="257"/>
      <c r="E991" s="258"/>
      <c r="F991" s="259"/>
      <c r="G991" s="256"/>
    </row>
    <row r="992" ht="15.75" customHeight="1">
      <c r="A992" s="256"/>
      <c r="B992" s="256"/>
      <c r="C992" s="256"/>
      <c r="D992" s="257"/>
      <c r="E992" s="258"/>
      <c r="F992" s="259"/>
      <c r="G992" s="256"/>
    </row>
    <row r="993" ht="15.75" customHeight="1">
      <c r="A993" s="256"/>
      <c r="B993" s="256"/>
      <c r="C993" s="256"/>
      <c r="D993" s="257"/>
      <c r="E993" s="258"/>
      <c r="F993" s="259"/>
      <c r="G993" s="256"/>
    </row>
    <row r="994" ht="15.75" customHeight="1">
      <c r="A994" s="256"/>
      <c r="B994" s="256"/>
      <c r="C994" s="256"/>
      <c r="D994" s="257"/>
      <c r="E994" s="258"/>
      <c r="F994" s="259"/>
      <c r="G994" s="256"/>
    </row>
    <row r="995" ht="15.75" customHeight="1">
      <c r="A995" s="256"/>
      <c r="B995" s="256"/>
      <c r="C995" s="256"/>
      <c r="D995" s="257"/>
      <c r="E995" s="258"/>
      <c r="F995" s="259"/>
      <c r="G995" s="256"/>
    </row>
    <row r="996" ht="15.75" customHeight="1">
      <c r="A996" s="256"/>
      <c r="B996" s="256"/>
      <c r="C996" s="256"/>
      <c r="D996" s="257"/>
      <c r="E996" s="258"/>
      <c r="F996" s="259"/>
      <c r="G996" s="256"/>
    </row>
    <row r="997" ht="15.75" customHeight="1">
      <c r="A997" s="256"/>
      <c r="B997" s="256"/>
      <c r="C997" s="256"/>
      <c r="D997" s="257"/>
      <c r="E997" s="258"/>
      <c r="F997" s="259"/>
      <c r="G997" s="256"/>
    </row>
    <row r="998" ht="15.75" customHeight="1">
      <c r="A998" s="256"/>
      <c r="B998" s="256"/>
      <c r="C998" s="256"/>
      <c r="D998" s="257"/>
      <c r="E998" s="258"/>
      <c r="F998" s="259"/>
      <c r="G998" s="256"/>
    </row>
    <row r="999" ht="15.75" customHeight="1">
      <c r="A999" s="256"/>
      <c r="B999" s="256"/>
      <c r="C999" s="256"/>
      <c r="D999" s="257"/>
      <c r="E999" s="258"/>
      <c r="F999" s="259"/>
      <c r="G999" s="256"/>
    </row>
    <row r="1000" ht="15.75" customHeight="1">
      <c r="A1000" s="256"/>
      <c r="B1000" s="256"/>
      <c r="C1000" s="256"/>
      <c r="D1000" s="257"/>
      <c r="E1000" s="258"/>
      <c r="F1000" s="259"/>
      <c r="G1000" s="256"/>
    </row>
    <row r="1001" ht="15.75" customHeight="1">
      <c r="A1001" s="256"/>
      <c r="B1001" s="256"/>
      <c r="C1001" s="256"/>
      <c r="D1001" s="257"/>
      <c r="E1001" s="258"/>
      <c r="F1001" s="259"/>
      <c r="G1001" s="256"/>
    </row>
    <row r="1002" ht="15.75" customHeight="1">
      <c r="A1002" s="256"/>
      <c r="B1002" s="256"/>
      <c r="C1002" s="256"/>
      <c r="D1002" s="257"/>
      <c r="E1002" s="258"/>
      <c r="F1002" s="259"/>
      <c r="G1002" s="256"/>
    </row>
    <row r="1003" ht="15.75" customHeight="1">
      <c r="A1003" s="256"/>
      <c r="B1003" s="256"/>
      <c r="C1003" s="256"/>
      <c r="D1003" s="257"/>
      <c r="E1003" s="258"/>
      <c r="F1003" s="259"/>
      <c r="G1003" s="256"/>
    </row>
    <row r="1004" ht="15.75" customHeight="1">
      <c r="A1004" s="256"/>
      <c r="B1004" s="256"/>
      <c r="C1004" s="256"/>
      <c r="D1004" s="257"/>
      <c r="E1004" s="258"/>
      <c r="F1004" s="259"/>
      <c r="G1004" s="256"/>
    </row>
    <row r="1005" ht="15.75" customHeight="1">
      <c r="A1005" s="256"/>
      <c r="B1005" s="256"/>
      <c r="C1005" s="256"/>
      <c r="D1005" s="257"/>
      <c r="E1005" s="258"/>
      <c r="F1005" s="259"/>
      <c r="G1005" s="256"/>
    </row>
    <row r="1006" ht="15.75" customHeight="1">
      <c r="A1006" s="256"/>
      <c r="B1006" s="256"/>
      <c r="C1006" s="256"/>
      <c r="D1006" s="257"/>
      <c r="E1006" s="258"/>
      <c r="F1006" s="259"/>
      <c r="G1006" s="256"/>
    </row>
    <row r="1007" ht="15.75" customHeight="1">
      <c r="A1007" s="256"/>
      <c r="B1007" s="256"/>
      <c r="C1007" s="256"/>
      <c r="D1007" s="257"/>
      <c r="E1007" s="258"/>
      <c r="F1007" s="259"/>
      <c r="G1007" s="256"/>
    </row>
    <row r="1008" ht="15.75" customHeight="1">
      <c r="A1008" s="256"/>
      <c r="B1008" s="256"/>
      <c r="C1008" s="256"/>
      <c r="D1008" s="257"/>
      <c r="E1008" s="258"/>
      <c r="F1008" s="259"/>
      <c r="G1008" s="256"/>
    </row>
    <row r="1009" ht="15.75" customHeight="1">
      <c r="A1009" s="256"/>
      <c r="B1009" s="256"/>
      <c r="C1009" s="256"/>
      <c r="D1009" s="257"/>
      <c r="E1009" s="258"/>
      <c r="F1009" s="259"/>
      <c r="G1009" s="256"/>
    </row>
    <row r="1010" ht="15.75" customHeight="1">
      <c r="A1010" s="256"/>
      <c r="B1010" s="256"/>
      <c r="C1010" s="256"/>
      <c r="D1010" s="257"/>
      <c r="E1010" s="258"/>
      <c r="F1010" s="259"/>
      <c r="G1010" s="256"/>
    </row>
    <row r="1011" ht="15.75" customHeight="1">
      <c r="A1011" s="256"/>
      <c r="B1011" s="256"/>
      <c r="C1011" s="256"/>
      <c r="D1011" s="257"/>
      <c r="E1011" s="258"/>
      <c r="F1011" s="259"/>
      <c r="G1011" s="256"/>
    </row>
    <row r="1012" ht="15.75" customHeight="1">
      <c r="A1012" s="256"/>
      <c r="B1012" s="256"/>
      <c r="C1012" s="256"/>
      <c r="D1012" s="257"/>
      <c r="E1012" s="258"/>
      <c r="F1012" s="259"/>
      <c r="G1012" s="256"/>
    </row>
    <row r="1013" ht="15.75" customHeight="1">
      <c r="A1013" s="256"/>
      <c r="B1013" s="256"/>
      <c r="C1013" s="256"/>
      <c r="D1013" s="257"/>
      <c r="E1013" s="258"/>
      <c r="F1013" s="259"/>
      <c r="G1013" s="256"/>
    </row>
    <row r="1014" ht="15.75" customHeight="1">
      <c r="A1014" s="256"/>
      <c r="B1014" s="256"/>
      <c r="C1014" s="256"/>
      <c r="D1014" s="257"/>
      <c r="E1014" s="258"/>
      <c r="F1014" s="259"/>
      <c r="G1014" s="256"/>
    </row>
    <row r="1015" ht="15.75" customHeight="1">
      <c r="A1015" s="256"/>
      <c r="B1015" s="256"/>
      <c r="C1015" s="256"/>
      <c r="D1015" s="257"/>
      <c r="E1015" s="258"/>
      <c r="F1015" s="259"/>
      <c r="G1015" s="256"/>
    </row>
    <row r="1016" ht="15.75" customHeight="1">
      <c r="A1016" s="256"/>
      <c r="B1016" s="256"/>
      <c r="C1016" s="256"/>
      <c r="D1016" s="257"/>
      <c r="E1016" s="258"/>
      <c r="F1016" s="259"/>
      <c r="G1016" s="256"/>
    </row>
    <row r="1017" ht="15.75" customHeight="1">
      <c r="A1017" s="256"/>
      <c r="B1017" s="256"/>
      <c r="C1017" s="256"/>
      <c r="D1017" s="257"/>
      <c r="E1017" s="258"/>
      <c r="F1017" s="259"/>
      <c r="G1017" s="256"/>
    </row>
    <row r="1018" ht="15.75" customHeight="1">
      <c r="A1018" s="256"/>
      <c r="B1018" s="256"/>
      <c r="C1018" s="256"/>
      <c r="D1018" s="257"/>
      <c r="E1018" s="258"/>
      <c r="F1018" s="259"/>
      <c r="G1018" s="256"/>
    </row>
    <row r="1019" ht="15.75" customHeight="1">
      <c r="A1019" s="256"/>
      <c r="B1019" s="256"/>
      <c r="C1019" s="256"/>
      <c r="D1019" s="257"/>
      <c r="E1019" s="258"/>
      <c r="F1019" s="259"/>
      <c r="G1019" s="256"/>
    </row>
    <row r="1020" ht="15.75" customHeight="1">
      <c r="A1020" s="256"/>
      <c r="B1020" s="256"/>
      <c r="C1020" s="256"/>
      <c r="D1020" s="257"/>
      <c r="E1020" s="258"/>
      <c r="F1020" s="259"/>
      <c r="G1020" s="256"/>
    </row>
    <row r="1021" ht="15.75" customHeight="1">
      <c r="A1021" s="256"/>
      <c r="B1021" s="256"/>
      <c r="C1021" s="256"/>
      <c r="D1021" s="257"/>
      <c r="E1021" s="258"/>
      <c r="F1021" s="259"/>
      <c r="G1021" s="256"/>
    </row>
    <row r="1022" ht="15.75" customHeight="1">
      <c r="A1022" s="256"/>
      <c r="B1022" s="256"/>
      <c r="C1022" s="256"/>
      <c r="D1022" s="257"/>
      <c r="E1022" s="258"/>
      <c r="F1022" s="259"/>
      <c r="G1022" s="256"/>
    </row>
    <row r="1023" ht="15.75" customHeight="1">
      <c r="A1023" s="256"/>
      <c r="B1023" s="256"/>
      <c r="C1023" s="256"/>
      <c r="D1023" s="257"/>
      <c r="E1023" s="258"/>
      <c r="F1023" s="259"/>
      <c r="G1023" s="256"/>
    </row>
    <row r="1024" ht="15.75" customHeight="1">
      <c r="A1024" s="256"/>
      <c r="B1024" s="256"/>
      <c r="C1024" s="256"/>
      <c r="D1024" s="257"/>
      <c r="E1024" s="258"/>
      <c r="F1024" s="259"/>
      <c r="G1024" s="256"/>
    </row>
    <row r="1025" ht="15.75" customHeight="1">
      <c r="A1025" s="256"/>
      <c r="B1025" s="256"/>
      <c r="C1025" s="256"/>
      <c r="D1025" s="257"/>
      <c r="E1025" s="258"/>
      <c r="F1025" s="259"/>
      <c r="G1025" s="256"/>
    </row>
    <row r="1026" ht="15.75" customHeight="1">
      <c r="A1026" s="256"/>
      <c r="B1026" s="256"/>
      <c r="C1026" s="256"/>
      <c r="D1026" s="257"/>
      <c r="E1026" s="258"/>
      <c r="F1026" s="259"/>
      <c r="G1026" s="256"/>
    </row>
    <row r="1027" ht="15.75" customHeight="1">
      <c r="A1027" s="27"/>
      <c r="B1027" s="27"/>
      <c r="C1027" s="27"/>
      <c r="D1027" s="260"/>
      <c r="E1027" s="260"/>
      <c r="F1027" s="260"/>
      <c r="G1027" s="260"/>
    </row>
  </sheetData>
  <mergeCells count="13">
    <mergeCell ref="A34:B34"/>
    <mergeCell ref="A49:B49"/>
    <mergeCell ref="A62:B62"/>
    <mergeCell ref="A67:B67"/>
    <mergeCell ref="A71:B71"/>
    <mergeCell ref="A77:B77"/>
    <mergeCell ref="A5:B5"/>
    <mergeCell ref="A10:B10"/>
    <mergeCell ref="A15:B15"/>
    <mergeCell ref="A17:B17"/>
    <mergeCell ref="A21:B21"/>
    <mergeCell ref="A25:B25"/>
    <mergeCell ref="A28:B28"/>
  </mergeCells>
  <conditionalFormatting sqref="D6:G9 D11:G13 D15:G15 D17:G19 D21:G27 D29:G31 D33:G33 D35:G40 D42:G50 D53:G53 D58:G58 D61:G62 D64:G71 D73:G75 D77:G77 D79:G82 D85:G1027">
    <cfRule type="containsText" dxfId="1" priority="1" operator="containsText" text="Mayor a 5">
      <formula>NOT(ISERROR(SEARCH(("Mayor a 5"),(D6))))</formula>
    </cfRule>
  </conditionalFormatting>
  <conditionalFormatting sqref="D6:G9 D11:G13 D15:G15 D17:G19 D21:G27 D29:G31 D33:G33 D35:G40 D42:G50 D53:G53 D58:G58 D61:G62 D64:G71 D73:G75 D77:G77 D79:G82 D85:G1027">
    <cfRule type="containsText" dxfId="2" priority="2" operator="containsText" text="Menor a 5">
      <formula>NOT(ISERROR(SEARCH(("Menor a 5"),(D6))))</formula>
    </cfRule>
  </conditionalFormatting>
  <conditionalFormatting sqref="D6:G9 D11:G13 D15:G15 D17:G19 D21:G27 D29:G31 D33:G33 D35:G40 D42:G50 D53:G53 D58:G58 D61:G62 D64:G71 D73:G75 D77:G77 D79:G82 D85:G1027">
    <cfRule type="containsText" dxfId="3" priority="3" operator="containsText" text="Sin stock">
      <formula>NOT(ISERROR(SEARCH(("Sin stock"),(D6))))</formula>
    </cfRule>
  </conditionalFormatting>
  <hyperlinks>
    <hyperlink r:id="rId1" ref="B4"/>
    <hyperlink r:id="rId2" ref="B6"/>
    <hyperlink r:id="rId3" ref="B7"/>
    <hyperlink r:id="rId4" ref="B8"/>
    <hyperlink r:id="rId5" ref="B9"/>
    <hyperlink r:id="rId6" ref="B11"/>
    <hyperlink r:id="rId7" ref="B12"/>
    <hyperlink r:id="rId8" ref="B13"/>
    <hyperlink r:id="rId9" ref="B16"/>
    <hyperlink r:id="rId10" ref="B18"/>
    <hyperlink r:id="rId11" ref="B19"/>
    <hyperlink r:id="rId12" ref="B20"/>
    <hyperlink r:id="rId13" ref="B22"/>
    <hyperlink r:id="rId14" ref="B23"/>
    <hyperlink r:id="rId15" ref="B26"/>
    <hyperlink r:id="rId16" ref="B29"/>
    <hyperlink r:id="rId17" ref="B30"/>
    <hyperlink r:id="rId18" ref="B31"/>
    <hyperlink r:id="rId19" ref="B32"/>
    <hyperlink r:id="rId20" ref="B33"/>
    <hyperlink r:id="rId21" ref="B35"/>
    <hyperlink r:id="rId22" ref="B36"/>
    <hyperlink r:id="rId23" ref="B37"/>
    <hyperlink r:id="rId24" ref="B39"/>
    <hyperlink r:id="rId25" ref="B40"/>
    <hyperlink r:id="rId26" ref="B42"/>
    <hyperlink r:id="rId27" ref="B43"/>
    <hyperlink r:id="rId28" ref="B44"/>
    <hyperlink r:id="rId29" ref="B45"/>
    <hyperlink r:id="rId30" ref="B46"/>
    <hyperlink r:id="rId31" ref="B47"/>
    <hyperlink r:id="rId32" ref="B50"/>
    <hyperlink r:id="rId33" ref="B51"/>
    <hyperlink r:id="rId34" ref="B52"/>
    <hyperlink r:id="rId35" ref="B53"/>
    <hyperlink r:id="rId36" ref="B54"/>
    <hyperlink r:id="rId37" ref="B57"/>
    <hyperlink r:id="rId38" ref="B63"/>
    <hyperlink r:id="rId39" ref="B64"/>
    <hyperlink r:id="rId40" ref="B65"/>
    <hyperlink r:id="rId41" ref="B68"/>
    <hyperlink r:id="rId42" ref="B69"/>
    <hyperlink r:id="rId43" ref="B70"/>
    <hyperlink r:id="rId44" ref="B72"/>
    <hyperlink r:id="rId45" ref="B73"/>
    <hyperlink r:id="rId46" ref="B75"/>
    <hyperlink r:id="rId47" ref="B76"/>
    <hyperlink r:id="rId48" ref="B78"/>
    <hyperlink r:id="rId49" ref="B79"/>
    <hyperlink r:id="rId50" ref="B80"/>
    <hyperlink r:id="rId51" ref="B81"/>
    <hyperlink r:id="rId52" ref="B82"/>
    <hyperlink r:id="rId53" ref="B83"/>
    <hyperlink r:id="rId54" ref="B85"/>
    <hyperlink r:id="rId55" ref="B86"/>
    <hyperlink r:id="rId56" ref="B87"/>
    <hyperlink r:id="rId57" ref="B93"/>
    <hyperlink r:id="rId58" ref="B103"/>
  </hyperlinks>
  <printOptions/>
  <pageMargins bottom="0.75" footer="0.0" header="0.0" left="0.7" right="0.7" top="0.75"/>
  <pageSetup orientation="landscape"/>
  <drawing r:id="rId59"/>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pageSetUpPr/>
  </sheetPr>
  <sheetViews>
    <sheetView workbookViewId="0"/>
  </sheetViews>
  <sheetFormatPr customHeight="1" defaultColWidth="12.63" defaultRowHeight="15.0"/>
  <cols>
    <col customWidth="1" min="1" max="1" width="13.25"/>
    <col customWidth="1" min="2" max="2" width="21.5"/>
    <col customWidth="1" min="3" max="3" width="74.0"/>
    <col customWidth="1" min="4" max="4" width="15.0"/>
    <col customWidth="1" min="5" max="5" width="14.25"/>
    <col customWidth="1" min="6" max="7" width="9.25"/>
  </cols>
  <sheetData>
    <row r="1" ht="15.75" customHeight="1">
      <c r="A1" s="8" t="s">
        <v>23</v>
      </c>
      <c r="B1" s="8" t="s">
        <v>24</v>
      </c>
      <c r="C1" s="8" t="s">
        <v>25</v>
      </c>
      <c r="D1" s="26" t="s">
        <v>26</v>
      </c>
      <c r="E1" s="26" t="s">
        <v>27</v>
      </c>
      <c r="F1" s="8" t="s">
        <v>28</v>
      </c>
      <c r="G1" s="217" t="s">
        <v>29</v>
      </c>
    </row>
    <row r="2" ht="15.75" customHeight="1">
      <c r="A2" s="261" t="s">
        <v>4525</v>
      </c>
      <c r="B2" s="262"/>
      <c r="C2" s="262"/>
      <c r="D2" s="31"/>
      <c r="E2" s="31"/>
      <c r="F2" s="262"/>
      <c r="G2" s="92"/>
    </row>
    <row r="3" ht="15.75" customHeight="1">
      <c r="A3" s="263" t="s">
        <v>4526</v>
      </c>
      <c r="B3" s="264" t="s">
        <v>4527</v>
      </c>
      <c r="C3" s="263" t="s">
        <v>4528</v>
      </c>
      <c r="D3" s="96" t="s">
        <v>4529</v>
      </c>
      <c r="E3" s="96" t="s">
        <v>4530</v>
      </c>
      <c r="F3" s="265">
        <v>0.105</v>
      </c>
      <c r="G3" s="170" t="str">
        <f>IFERROR(VLOOKUP("SP-20ML",#REF!,3,FALSE),"SIN STOCK")</f>
        <v>SIN STOCK</v>
      </c>
    </row>
    <row r="4" ht="15.75" customHeight="1">
      <c r="A4" s="266" t="s">
        <v>4526</v>
      </c>
      <c r="B4" s="267" t="s">
        <v>4531</v>
      </c>
      <c r="C4" s="266" t="s">
        <v>4532</v>
      </c>
      <c r="D4" s="101" t="s">
        <v>4533</v>
      </c>
      <c r="E4" s="101" t="s">
        <v>4534</v>
      </c>
      <c r="F4" s="268">
        <v>0.21</v>
      </c>
      <c r="G4" s="46" t="str">
        <f>IFERROR(VLOOKUP("sp-30",#REF!,3,FALSE),"SIN STOCK")</f>
        <v>SIN STOCK</v>
      </c>
    </row>
    <row r="5" ht="15.75" customHeight="1">
      <c r="A5" s="263" t="s">
        <v>4526</v>
      </c>
      <c r="B5" s="264" t="s">
        <v>4535</v>
      </c>
      <c r="C5" s="269"/>
      <c r="D5" s="96" t="s">
        <v>4536</v>
      </c>
      <c r="E5" s="96" t="s">
        <v>4537</v>
      </c>
      <c r="F5" s="265">
        <v>0.21</v>
      </c>
      <c r="G5" s="46" t="str">
        <f>IFERROR(VLOOKUP("SP-30+",#REF!,3,FALSE),"SIN STOCK")</f>
        <v>SIN STOCK</v>
      </c>
    </row>
    <row r="6" ht="15.75" customHeight="1">
      <c r="A6" s="266" t="s">
        <v>4526</v>
      </c>
      <c r="B6" s="267" t="s">
        <v>4538</v>
      </c>
      <c r="C6" s="266" t="s">
        <v>4539</v>
      </c>
      <c r="D6" s="101" t="s">
        <v>4536</v>
      </c>
      <c r="E6" s="101" t="s">
        <v>4537</v>
      </c>
      <c r="F6" s="268">
        <v>0.21</v>
      </c>
      <c r="G6" s="46" t="str">
        <f>IFERROR(VLOOKUP("SP-30t",#REF!,3,FALSE),"SIN STOCK")</f>
        <v>SIN STOCK</v>
      </c>
    </row>
    <row r="7" ht="15.75" customHeight="1">
      <c r="A7" s="263" t="s">
        <v>4526</v>
      </c>
      <c r="B7" s="264" t="s">
        <v>4540</v>
      </c>
      <c r="C7" s="263" t="s">
        <v>4541</v>
      </c>
      <c r="D7" s="96" t="s">
        <v>4542</v>
      </c>
      <c r="E7" s="96" t="s">
        <v>4543</v>
      </c>
      <c r="F7" s="265">
        <v>0.21</v>
      </c>
      <c r="G7" s="46" t="str">
        <f>IFERROR(VLOOKUP("EXPAND-80T",#REF!,3,FALSE),"SIN STOCK")</f>
        <v>SIN STOCK</v>
      </c>
    </row>
    <row r="8" ht="15.75" customHeight="1">
      <c r="A8" s="266" t="s">
        <v>4526</v>
      </c>
      <c r="B8" s="267" t="s">
        <v>4544</v>
      </c>
      <c r="C8" s="266" t="s">
        <v>4545</v>
      </c>
      <c r="D8" s="101" t="s">
        <v>4546</v>
      </c>
      <c r="E8" s="101" t="s">
        <v>4547</v>
      </c>
      <c r="F8" s="268">
        <v>0.21</v>
      </c>
      <c r="G8" s="46" t="str">
        <f>IFERROR(VLOOKUP("EXPAND-80Mic",#REF!,3,FALSE),"SIN STOCK")</f>
        <v>SIN STOCK</v>
      </c>
    </row>
    <row r="9" ht="15.75" customHeight="1">
      <c r="A9" s="263" t="s">
        <v>4526</v>
      </c>
      <c r="B9" s="264" t="s">
        <v>4548</v>
      </c>
      <c r="C9" s="263" t="s">
        <v>4549</v>
      </c>
      <c r="D9" s="96" t="s">
        <v>4550</v>
      </c>
      <c r="E9" s="96" t="s">
        <v>4551</v>
      </c>
      <c r="F9" s="265">
        <v>0.21</v>
      </c>
      <c r="G9" s="46" t="str">
        <f>IFERROR(VLOOKUP("EXPAND VISION 3T",#REF!,3,FALSE),"SIN STOCK")</f>
        <v>SIN STOCK</v>
      </c>
    </row>
    <row r="10" ht="15.75" customHeight="1">
      <c r="A10" s="261" t="s">
        <v>4552</v>
      </c>
      <c r="B10" s="262"/>
      <c r="C10" s="262"/>
      <c r="D10" s="31"/>
      <c r="E10" s="31"/>
      <c r="F10" s="262"/>
      <c r="G10" s="92"/>
    </row>
    <row r="11" ht="15.75" customHeight="1">
      <c r="A11" s="263" t="s">
        <v>4526</v>
      </c>
      <c r="B11" s="263" t="s">
        <v>4553</v>
      </c>
      <c r="C11" s="263" t="s">
        <v>4554</v>
      </c>
      <c r="D11" s="96" t="s">
        <v>4555</v>
      </c>
      <c r="E11" s="96" t="s">
        <v>4556</v>
      </c>
      <c r="F11" s="265">
        <v>0.21</v>
      </c>
      <c r="G11" s="46" t="str">
        <f>IFERROR(VLOOKUP("PC-2-CHAT",#REF!,3,FALSE),"SIN STOCK")</f>
        <v>SIN STOCK</v>
      </c>
    </row>
    <row r="12" ht="15.75" customHeight="1">
      <c r="A12" s="266" t="s">
        <v>4526</v>
      </c>
      <c r="B12" s="267" t="s">
        <v>4557</v>
      </c>
      <c r="C12" s="266" t="s">
        <v>4558</v>
      </c>
      <c r="D12" s="101" t="s">
        <v>4559</v>
      </c>
      <c r="E12" s="101" t="s">
        <v>4560</v>
      </c>
      <c r="F12" s="268">
        <v>0.21</v>
      </c>
      <c r="G12" s="46" t="str">
        <f>IFERROR(VLOOKUP("PC-3-CHAT",#REF!,3,FALSE),"SIN STOCK")</f>
        <v>SIN STOCK</v>
      </c>
    </row>
    <row r="13" ht="15.75" customHeight="1">
      <c r="A13" s="263" t="s">
        <v>4526</v>
      </c>
      <c r="B13" s="264" t="s">
        <v>4561</v>
      </c>
      <c r="C13" s="263" t="s">
        <v>4562</v>
      </c>
      <c r="D13" s="96" t="s">
        <v>4563</v>
      </c>
      <c r="E13" s="96" t="s">
        <v>4564</v>
      </c>
      <c r="F13" s="265">
        <v>0.21</v>
      </c>
      <c r="G13" s="46" t="str">
        <f>IFERROR(VLOOKUP("PC-5-CHAT",#REF!,3,FALSE),"SIN STOCK")</f>
        <v>SIN STOCK</v>
      </c>
    </row>
    <row r="14" ht="15.75" customHeight="1">
      <c r="A14" s="266" t="s">
        <v>4526</v>
      </c>
      <c r="B14" s="267" t="s">
        <v>4565</v>
      </c>
      <c r="C14" s="266" t="s">
        <v>4566</v>
      </c>
      <c r="D14" s="101" t="s">
        <v>4567</v>
      </c>
      <c r="E14" s="101" t="s">
        <v>4568</v>
      </c>
      <c r="F14" s="268">
        <v>0.21</v>
      </c>
      <c r="G14" s="46" t="str">
        <f>IFERROR(VLOOKUP("PC-8-CHAT",#REF!,3,FALSE),"SIN STOCK")</f>
        <v>SIN STOCK</v>
      </c>
    </row>
    <row r="15" ht="15.75" customHeight="1">
      <c r="A15" s="263" t="s">
        <v>4526</v>
      </c>
      <c r="B15" s="264" t="s">
        <v>4569</v>
      </c>
      <c r="C15" s="263" t="s">
        <v>4570</v>
      </c>
      <c r="D15" s="96" t="s">
        <v>4571</v>
      </c>
      <c r="E15" s="96" t="s">
        <v>4572</v>
      </c>
      <c r="F15" s="265">
        <v>0.21</v>
      </c>
      <c r="G15" s="46" t="str">
        <f>IFERROR(VLOOKUP("ADAPT-160 USB",#REF!,3,FALSE),"SIN STOCK")</f>
        <v>SIN STOCK</v>
      </c>
    </row>
    <row r="16" ht="15.75" customHeight="1">
      <c r="A16" s="266" t="s">
        <v>4526</v>
      </c>
      <c r="B16" s="267" t="s">
        <v>4573</v>
      </c>
      <c r="C16" s="266" t="s">
        <v>4574</v>
      </c>
      <c r="D16" s="101" t="s">
        <v>4571</v>
      </c>
      <c r="E16" s="101" t="s">
        <v>4572</v>
      </c>
      <c r="F16" s="268">
        <v>0.21</v>
      </c>
      <c r="G16" s="46" t="str">
        <f>IFERROR(VLOOKUP("ADAPT-160 USB-C",#REF!,3,FALSE),"SIN STOCK")</f>
        <v>SIN STOCK</v>
      </c>
    </row>
    <row r="17" ht="15.75" customHeight="1">
      <c r="A17" s="263" t="s">
        <v>4526</v>
      </c>
      <c r="B17" s="264" t="s">
        <v>4575</v>
      </c>
      <c r="C17" s="263" t="s">
        <v>4576</v>
      </c>
      <c r="D17" s="96" t="s">
        <v>4577</v>
      </c>
      <c r="E17" s="96" t="s">
        <v>4578</v>
      </c>
      <c r="F17" s="265">
        <v>0.21</v>
      </c>
      <c r="G17" s="168" t="str">
        <f>IFERROR(VLOOKUP("ADAPT-165 USB",#REF!,3,FALSE),"SIN STOCK")</f>
        <v>SIN STOCK</v>
      </c>
    </row>
    <row r="18" ht="15.75" customHeight="1">
      <c r="A18" s="266" t="s">
        <v>4526</v>
      </c>
      <c r="B18" s="267" t="s">
        <v>4579</v>
      </c>
      <c r="C18" s="266" t="s">
        <v>4580</v>
      </c>
      <c r="D18" s="101" t="s">
        <v>4577</v>
      </c>
      <c r="E18" s="101" t="s">
        <v>4578</v>
      </c>
      <c r="F18" s="268">
        <v>0.21</v>
      </c>
      <c r="G18" s="46" t="str">
        <f>IFERROR(VLOOKUP("ADAPT-165 USB-C",#REF!,3,FALSE),"SIN STOCK")</f>
        <v>SIN STOCK</v>
      </c>
    </row>
    <row r="19" ht="15.75" customHeight="1">
      <c r="A19" s="263" t="s">
        <v>4526</v>
      </c>
      <c r="B19" s="264" t="s">
        <v>4581</v>
      </c>
      <c r="C19" s="263" t="s">
        <v>4582</v>
      </c>
      <c r="D19" s="96" t="s">
        <v>4583</v>
      </c>
      <c r="E19" s="96" t="s">
        <v>4584</v>
      </c>
      <c r="F19" s="265">
        <v>0.21</v>
      </c>
      <c r="G19" s="46" t="str">
        <f>IFERROR(VLOOKUP("ADAPT 260",#REF!,3,FALSE),"SIN STOCK")</f>
        <v>SIN STOCK</v>
      </c>
    </row>
    <row r="20" ht="15.75" customHeight="1">
      <c r="A20" s="266" t="s">
        <v>4526</v>
      </c>
      <c r="B20" s="267" t="s">
        <v>4585</v>
      </c>
      <c r="C20" s="266" t="s">
        <v>4586</v>
      </c>
      <c r="D20" s="115"/>
      <c r="E20" s="101" t="s">
        <v>2068</v>
      </c>
      <c r="F20" s="270"/>
      <c r="G20" s="169"/>
    </row>
    <row r="21" ht="15.75" customHeight="1">
      <c r="A21" s="266" t="s">
        <v>4526</v>
      </c>
      <c r="B21" s="267" t="s">
        <v>4587</v>
      </c>
      <c r="C21" s="266" t="s">
        <v>4586</v>
      </c>
      <c r="D21" s="101" t="s">
        <v>4588</v>
      </c>
      <c r="E21" s="101" t="s">
        <v>4589</v>
      </c>
      <c r="F21" s="268">
        <v>0.21</v>
      </c>
      <c r="G21" s="168" t="str">
        <f>IFERROR(VLOOKUP("SC60-USB",#REF!,3,FALSE),"SIN STOCK")</f>
        <v>SIN STOCK</v>
      </c>
    </row>
    <row r="22" ht="15.75" customHeight="1">
      <c r="A22" s="263" t="s">
        <v>4526</v>
      </c>
      <c r="B22" s="263" t="s">
        <v>4590</v>
      </c>
      <c r="C22" s="263" t="s">
        <v>4591</v>
      </c>
      <c r="D22" s="96" t="s">
        <v>4592</v>
      </c>
      <c r="E22" s="96" t="s">
        <v>4593</v>
      </c>
      <c r="F22" s="265">
        <v>0.21</v>
      </c>
      <c r="G22" s="46" t="str">
        <f>IFERROR(VLOOKUP("SC-75-USB",#REF!,3,FALSE),"SIN STOCK")</f>
        <v>SIN STOCK</v>
      </c>
    </row>
    <row r="23" ht="15.75" customHeight="1">
      <c r="A23" s="266" t="s">
        <v>4526</v>
      </c>
      <c r="B23" s="266" t="s">
        <v>4594</v>
      </c>
      <c r="C23" s="266" t="s">
        <v>4582</v>
      </c>
      <c r="D23" s="101" t="s">
        <v>4595</v>
      </c>
      <c r="E23" s="101" t="s">
        <v>4596</v>
      </c>
      <c r="F23" s="268">
        <v>0.21</v>
      </c>
      <c r="G23" s="49" t="str">
        <f>IFERROR(VLOOKUP("SC260-ED",#REF!,3,FALSE),"SIN STOCK")</f>
        <v>SIN STOCK</v>
      </c>
    </row>
    <row r="24" ht="18.0" customHeight="1">
      <c r="A24" s="263" t="s">
        <v>4526</v>
      </c>
      <c r="B24" s="263" t="s">
        <v>4597</v>
      </c>
      <c r="C24" s="263" t="s">
        <v>4598</v>
      </c>
      <c r="D24" s="96" t="s">
        <v>4599</v>
      </c>
      <c r="E24" s="96" t="s">
        <v>4600</v>
      </c>
      <c r="F24" s="265">
        <v>0.21</v>
      </c>
      <c r="G24" s="46" t="str">
        <f>IFERROR(VLOOKUP("SC-660-USB",#REF!,3,FALSE),"SIN STOCK")</f>
        <v>SIN STOCK</v>
      </c>
    </row>
    <row r="25" ht="15.75" customHeight="1">
      <c r="A25" s="266" t="s">
        <v>4526</v>
      </c>
      <c r="B25" s="267" t="s">
        <v>4601</v>
      </c>
      <c r="C25" s="266" t="s">
        <v>4602</v>
      </c>
      <c r="D25" s="101" t="s">
        <v>4603</v>
      </c>
      <c r="E25" s="101" t="s">
        <v>4604</v>
      </c>
      <c r="F25" s="268">
        <v>0.21</v>
      </c>
      <c r="G25" s="49" t="str">
        <f>IFERROR(VLOOKUP("MB Pro 1 UC ML",#REF!,3,FALSE),"SIN STOCK")</f>
        <v>SIN STOCK</v>
      </c>
    </row>
    <row r="26" ht="15.75" customHeight="1">
      <c r="A26" s="263" t="s">
        <v>4526</v>
      </c>
      <c r="B26" s="264" t="s">
        <v>4605</v>
      </c>
      <c r="C26" s="263" t="s">
        <v>4606</v>
      </c>
      <c r="D26" s="96" t="s">
        <v>4607</v>
      </c>
      <c r="E26" s="96" t="s">
        <v>4608</v>
      </c>
      <c r="F26" s="265">
        <v>0.21</v>
      </c>
      <c r="G26" s="46" t="str">
        <f>IFERROR(VLOOKUP("MB Pro 2 UC ML",#REF!,3,FALSE),"SIN STOCK")</f>
        <v>SIN STOCK</v>
      </c>
    </row>
    <row r="27" ht="15.75" customHeight="1">
      <c r="A27" s="261" t="s">
        <v>4609</v>
      </c>
      <c r="B27" s="262"/>
      <c r="C27" s="262"/>
      <c r="D27" s="31"/>
      <c r="E27" s="31"/>
      <c r="F27" s="262"/>
      <c r="G27" s="92"/>
    </row>
    <row r="28" ht="15.75" customHeight="1">
      <c r="A28" s="263" t="s">
        <v>4526</v>
      </c>
      <c r="B28" s="264" t="s">
        <v>4610</v>
      </c>
      <c r="C28" s="263" t="s">
        <v>4611</v>
      </c>
      <c r="D28" s="96" t="s">
        <v>4612</v>
      </c>
      <c r="E28" s="96" t="s">
        <v>4613</v>
      </c>
      <c r="F28" s="265">
        <v>0.21</v>
      </c>
      <c r="G28" s="46" t="str">
        <f>IFERROR(VLOOKUP("edu-10",#REF!,3,FALSE),"SIN STOCK")</f>
        <v>SIN STOCK</v>
      </c>
    </row>
    <row r="29" ht="15.75" customHeight="1">
      <c r="A29" s="266" t="s">
        <v>4526</v>
      </c>
      <c r="B29" s="267" t="s">
        <v>4614</v>
      </c>
      <c r="C29" s="266" t="s">
        <v>4615</v>
      </c>
      <c r="D29" s="101" t="s">
        <v>4616</v>
      </c>
      <c r="E29" s="101" t="s">
        <v>4617</v>
      </c>
      <c r="F29" s="268">
        <v>0.21</v>
      </c>
      <c r="G29" s="46" t="str">
        <f t="shared" ref="G29:G30" si="1">IFERROR(VLOOKUP("edu-11 USB",#REF!,3,FALSE),"SIN STOCK")</f>
        <v>SIN STOCK</v>
      </c>
    </row>
    <row r="30" ht="15.75" customHeight="1">
      <c r="A30" s="263" t="s">
        <v>4526</v>
      </c>
      <c r="B30" s="271" t="s">
        <v>4618</v>
      </c>
      <c r="C30" s="263" t="s">
        <v>4619</v>
      </c>
      <c r="D30" s="96" t="s">
        <v>4620</v>
      </c>
      <c r="E30" s="96" t="s">
        <v>4621</v>
      </c>
      <c r="F30" s="265">
        <v>0.21</v>
      </c>
      <c r="G30" s="46" t="str">
        <f t="shared" si="1"/>
        <v>SIN STOCK</v>
      </c>
    </row>
    <row r="31" ht="15.75" customHeight="1">
      <c r="A31" s="261" t="s">
        <v>4622</v>
      </c>
      <c r="B31" s="262"/>
      <c r="C31" s="262"/>
      <c r="D31" s="31"/>
      <c r="E31" s="31"/>
      <c r="F31" s="262"/>
      <c r="G31" s="92"/>
    </row>
    <row r="32" ht="15.75" customHeight="1">
      <c r="A32" s="263" t="s">
        <v>4526</v>
      </c>
      <c r="B32" s="264" t="s">
        <v>4623</v>
      </c>
      <c r="C32" s="263" t="s">
        <v>4624</v>
      </c>
      <c r="D32" s="96" t="s">
        <v>4625</v>
      </c>
      <c r="E32" s="96" t="s">
        <v>4626</v>
      </c>
      <c r="F32" s="265">
        <v>0.21</v>
      </c>
      <c r="G32" s="46" t="str">
        <f>IFERROR(VLOOKUP("HD25",#REF!,3,FALSE),"SIN STOCK")</f>
        <v>SIN STOCK</v>
      </c>
    </row>
    <row r="33" ht="15.75" customHeight="1">
      <c r="A33" s="261" t="s">
        <v>4627</v>
      </c>
      <c r="B33" s="262"/>
      <c r="C33" s="262"/>
      <c r="D33" s="51"/>
      <c r="E33" s="51"/>
      <c r="F33" s="272"/>
      <c r="G33" s="93"/>
    </row>
    <row r="34" ht="20.25" customHeight="1">
      <c r="A34" s="263" t="s">
        <v>4526</v>
      </c>
      <c r="B34" s="264" t="s">
        <v>4628</v>
      </c>
      <c r="C34" s="263" t="s">
        <v>4629</v>
      </c>
      <c r="D34" s="96" t="s">
        <v>4630</v>
      </c>
      <c r="E34" s="96" t="s">
        <v>4631</v>
      </c>
      <c r="F34" s="265">
        <v>0.21</v>
      </c>
      <c r="G34" s="168" t="str">
        <f t="shared" ref="G34:G35" si="2">IFERROR(VLOOKUP("HD25",#REF!,3,FALSE),"SIN STOCK")</f>
        <v>SIN STOCK</v>
      </c>
    </row>
    <row r="35" ht="19.5" customHeight="1">
      <c r="A35" s="266" t="s">
        <v>4526</v>
      </c>
      <c r="B35" s="267" t="s">
        <v>4632</v>
      </c>
      <c r="C35" s="266" t="s">
        <v>4633</v>
      </c>
      <c r="D35" s="101" t="s">
        <v>4634</v>
      </c>
      <c r="E35" s="101" t="s">
        <v>4635</v>
      </c>
      <c r="F35" s="268">
        <v>0.21</v>
      </c>
      <c r="G35" s="46" t="str">
        <f t="shared" si="2"/>
        <v>SIN STOCK</v>
      </c>
    </row>
    <row r="36" ht="15.75" customHeight="1">
      <c r="A36" s="263" t="s">
        <v>4526</v>
      </c>
      <c r="B36" s="264" t="s">
        <v>4636</v>
      </c>
      <c r="C36" s="263" t="s">
        <v>4637</v>
      </c>
      <c r="D36" s="96" t="s">
        <v>4638</v>
      </c>
      <c r="E36" s="96" t="s">
        <v>4639</v>
      </c>
      <c r="F36" s="265">
        <v>0.21</v>
      </c>
      <c r="G36" s="49" t="str">
        <f>IFERROR(VLOOKUP("GSP300",#REF!,3,FALSE),"SIN STOCK")</f>
        <v>SIN STOCK</v>
      </c>
    </row>
    <row r="37" ht="15.75" customHeight="1">
      <c r="A37" s="266" t="s">
        <v>4526</v>
      </c>
      <c r="B37" s="267" t="s">
        <v>4640</v>
      </c>
      <c r="C37" s="266" t="s">
        <v>4637</v>
      </c>
      <c r="D37" s="101" t="s">
        <v>4638</v>
      </c>
      <c r="E37" s="101" t="s">
        <v>4639</v>
      </c>
      <c r="F37" s="268">
        <v>0.21</v>
      </c>
      <c r="G37" s="46" t="str">
        <f>IFERROR(VLOOKUP("GSP301",#REF!,3,FALSE),"SIN STOCK")</f>
        <v>SIN STOCK</v>
      </c>
    </row>
    <row r="38" ht="15.75" customHeight="1">
      <c r="A38" s="263" t="s">
        <v>4526</v>
      </c>
      <c r="B38" s="264" t="s">
        <v>4641</v>
      </c>
      <c r="C38" s="263" t="s">
        <v>4637</v>
      </c>
      <c r="D38" s="96" t="s">
        <v>4638</v>
      </c>
      <c r="E38" s="96" t="s">
        <v>4639</v>
      </c>
      <c r="F38" s="265">
        <v>0.21</v>
      </c>
      <c r="G38" s="170" t="str">
        <f>IFERROR(VLOOKUP("GSP302",#REF!,3,FALSE),"SIN STOCK")</f>
        <v>SIN STOCK</v>
      </c>
    </row>
    <row r="39" ht="15.75" customHeight="1">
      <c r="A39" s="266" t="s">
        <v>4526</v>
      </c>
      <c r="B39" s="267" t="s">
        <v>4642</v>
      </c>
      <c r="C39" s="266" t="s">
        <v>4643</v>
      </c>
      <c r="D39" s="101" t="s">
        <v>4644</v>
      </c>
      <c r="E39" s="101" t="s">
        <v>4645</v>
      </c>
      <c r="F39" s="268">
        <v>0.21</v>
      </c>
      <c r="G39" s="46" t="str">
        <f>IFERROR(VLOOKUP("GSP350",#REF!,3,FALSE),"SIN STOCK")</f>
        <v>SIN STOCK</v>
      </c>
    </row>
    <row r="40" ht="15.75" customHeight="1">
      <c r="A40" s="263" t="s">
        <v>4526</v>
      </c>
      <c r="B40" s="264" t="s">
        <v>4646</v>
      </c>
      <c r="C40" s="263" t="s">
        <v>4643</v>
      </c>
      <c r="D40" s="96" t="s">
        <v>4647</v>
      </c>
      <c r="E40" s="96" t="s">
        <v>4648</v>
      </c>
      <c r="F40" s="265">
        <v>0.21</v>
      </c>
      <c r="G40" s="46" t="str">
        <f>IFERROR(VLOOKUP("GSP500",#REF!,3,FALSE),"SIN STOCK")</f>
        <v>SIN STOCK</v>
      </c>
    </row>
    <row r="41" ht="15.75" customHeight="1">
      <c r="A41" s="266" t="s">
        <v>4526</v>
      </c>
      <c r="B41" s="267" t="s">
        <v>4649</v>
      </c>
      <c r="C41" s="266" t="s">
        <v>4643</v>
      </c>
      <c r="D41" s="101" t="s">
        <v>4650</v>
      </c>
      <c r="E41" s="101" t="s">
        <v>4651</v>
      </c>
      <c r="F41" s="268">
        <v>0.21</v>
      </c>
      <c r="G41" s="46" t="str">
        <f>IFERROR(VLOOKUP("GSP550",#REF!,3,FALSE),"SIN STOCK")</f>
        <v>SIN STOCK</v>
      </c>
    </row>
    <row r="42" ht="15.75" customHeight="1">
      <c r="A42" s="263" t="s">
        <v>4526</v>
      </c>
      <c r="B42" s="264" t="s">
        <v>4652</v>
      </c>
      <c r="C42" s="263" t="s">
        <v>4643</v>
      </c>
      <c r="D42" s="96" t="s">
        <v>4653</v>
      </c>
      <c r="E42" s="96" t="s">
        <v>4654</v>
      </c>
      <c r="F42" s="265">
        <v>0.21</v>
      </c>
      <c r="G42" s="46" t="str">
        <f>IFERROR(VLOOKUP("GSP600",#REF!,3,FALSE),"SIN STOCK")</f>
        <v>SIN STOCK</v>
      </c>
    </row>
    <row r="43" ht="15.75" customHeight="1">
      <c r="A43" s="266" t="s">
        <v>4526</v>
      </c>
      <c r="B43" s="267" t="s">
        <v>4655</v>
      </c>
      <c r="C43" s="266" t="s">
        <v>4643</v>
      </c>
      <c r="D43" s="101" t="s">
        <v>4656</v>
      </c>
      <c r="E43" s="101" t="s">
        <v>4657</v>
      </c>
      <c r="F43" s="268">
        <v>0.21</v>
      </c>
      <c r="G43" s="46" t="str">
        <f>IFERROR(VLOOKUP("GSP670",#REF!,3,FALSE),"SIN STOCK")</f>
        <v>SIN STOCK</v>
      </c>
    </row>
    <row r="44" ht="15.75" customHeight="1">
      <c r="A44" s="273"/>
      <c r="B44" s="273"/>
      <c r="C44" s="273"/>
      <c r="D44" s="274"/>
      <c r="E44" s="274"/>
      <c r="F44" s="275"/>
      <c r="G44" s="183"/>
    </row>
    <row r="45" ht="15.75" customHeight="1">
      <c r="A45" s="273"/>
      <c r="B45" s="273"/>
      <c r="C45" s="273"/>
      <c r="D45" s="274"/>
      <c r="E45" s="274"/>
      <c r="F45" s="275"/>
      <c r="G45" s="183"/>
    </row>
    <row r="46" ht="15.75" customHeight="1">
      <c r="A46" s="273"/>
      <c r="B46" s="273"/>
      <c r="C46" s="273"/>
      <c r="D46" s="274"/>
      <c r="E46" s="274"/>
      <c r="F46" s="275"/>
      <c r="G46" s="183"/>
    </row>
    <row r="47" ht="15.75" customHeight="1">
      <c r="A47" s="273"/>
      <c r="B47" s="273"/>
      <c r="C47" s="276"/>
      <c r="D47" s="114"/>
      <c r="E47" s="114"/>
      <c r="F47" s="273"/>
      <c r="G47" s="118"/>
    </row>
    <row r="48" ht="15.75" customHeight="1">
      <c r="A48" s="273"/>
      <c r="B48" s="273"/>
      <c r="C48" s="273"/>
      <c r="D48" s="114"/>
      <c r="E48" s="114"/>
      <c r="F48" s="273"/>
      <c r="G48" s="118"/>
    </row>
    <row r="49" ht="15.75" customHeight="1">
      <c r="A49" s="273"/>
      <c r="B49" s="273"/>
      <c r="C49" s="273"/>
      <c r="D49" s="114"/>
      <c r="E49" s="114"/>
      <c r="F49" s="273"/>
      <c r="G49" s="118"/>
    </row>
    <row r="50" ht="15.75" customHeight="1">
      <c r="A50" s="273"/>
      <c r="B50" s="273"/>
      <c r="C50" s="273"/>
      <c r="D50" s="114"/>
      <c r="E50" s="114"/>
      <c r="F50" s="273"/>
      <c r="G50" s="118"/>
    </row>
    <row r="51" ht="15.75" customHeight="1">
      <c r="A51" s="273"/>
      <c r="B51" s="273"/>
      <c r="C51" s="273"/>
      <c r="D51" s="274"/>
      <c r="E51" s="274"/>
      <c r="F51" s="275"/>
      <c r="G51" s="183"/>
    </row>
    <row r="52" ht="15.75" customHeight="1">
      <c r="A52" s="273"/>
      <c r="B52" s="273"/>
      <c r="C52" s="273"/>
      <c r="D52" s="114"/>
      <c r="E52" s="114"/>
      <c r="F52" s="273"/>
      <c r="G52" s="118"/>
    </row>
    <row r="53" ht="15.75" customHeight="1">
      <c r="A53" s="273"/>
      <c r="B53" s="273"/>
      <c r="C53" s="273"/>
      <c r="D53" s="114"/>
      <c r="E53" s="114"/>
      <c r="F53" s="273"/>
      <c r="G53" s="118"/>
    </row>
    <row r="54" ht="15.75" customHeight="1">
      <c r="A54" s="273"/>
      <c r="B54" s="273"/>
      <c r="C54" s="273"/>
      <c r="D54" s="114"/>
      <c r="E54" s="114"/>
      <c r="F54" s="273"/>
      <c r="G54" s="118"/>
    </row>
    <row r="55" ht="15.75" customHeight="1">
      <c r="A55" s="273"/>
      <c r="B55" s="273"/>
      <c r="C55" s="273"/>
      <c r="D55" s="274"/>
      <c r="E55" s="274"/>
      <c r="F55" s="275"/>
      <c r="G55" s="183"/>
    </row>
    <row r="56" ht="15.75" customHeight="1">
      <c r="A56" s="273"/>
      <c r="B56" s="273"/>
      <c r="C56" s="273"/>
      <c r="D56" s="114"/>
      <c r="E56" s="114"/>
      <c r="F56" s="273"/>
      <c r="G56" s="118"/>
    </row>
    <row r="57" ht="15.75" customHeight="1">
      <c r="A57" s="273"/>
      <c r="B57" s="273"/>
      <c r="C57" s="273"/>
      <c r="D57" s="114"/>
      <c r="E57" s="114"/>
      <c r="F57" s="273"/>
      <c r="G57" s="118"/>
    </row>
    <row r="58" ht="15.75" customHeight="1">
      <c r="A58" s="273"/>
      <c r="B58" s="273"/>
      <c r="C58" s="273"/>
      <c r="D58" s="114"/>
      <c r="E58" s="114"/>
      <c r="F58" s="273"/>
      <c r="G58" s="118"/>
    </row>
    <row r="59" ht="15.75" customHeight="1">
      <c r="A59" s="273"/>
      <c r="B59" s="273"/>
      <c r="C59" s="273"/>
      <c r="D59" s="114"/>
      <c r="E59" s="114"/>
      <c r="F59" s="273"/>
      <c r="G59" s="118"/>
    </row>
    <row r="60" ht="15.75" customHeight="1">
      <c r="A60" s="273"/>
      <c r="B60" s="273"/>
      <c r="C60" s="273"/>
      <c r="D60" s="114"/>
      <c r="E60" s="114"/>
      <c r="F60" s="273"/>
      <c r="G60" s="118"/>
    </row>
    <row r="61" ht="15.75" customHeight="1">
      <c r="A61" s="273"/>
      <c r="B61" s="273"/>
      <c r="C61" s="273"/>
      <c r="D61" s="274"/>
      <c r="E61" s="274"/>
      <c r="F61" s="275"/>
      <c r="G61" s="183"/>
    </row>
    <row r="62" ht="15.75" customHeight="1">
      <c r="A62" s="273"/>
      <c r="B62" s="273"/>
      <c r="C62" s="273"/>
      <c r="D62" s="114"/>
      <c r="E62" s="114"/>
      <c r="F62" s="273"/>
      <c r="G62" s="118"/>
    </row>
    <row r="63" ht="15.75" customHeight="1">
      <c r="A63" s="273"/>
      <c r="B63" s="273"/>
      <c r="C63" s="273"/>
      <c r="D63" s="114"/>
      <c r="E63" s="114"/>
      <c r="F63" s="273"/>
      <c r="G63" s="118"/>
    </row>
    <row r="64" ht="15.75" customHeight="1">
      <c r="A64" s="273"/>
      <c r="B64" s="273"/>
      <c r="C64" s="273"/>
      <c r="D64" s="274"/>
      <c r="E64" s="274"/>
      <c r="F64" s="275"/>
      <c r="G64" s="183"/>
    </row>
    <row r="65" ht="15.75" customHeight="1">
      <c r="A65" s="273"/>
      <c r="B65" s="273"/>
      <c r="C65" s="273"/>
      <c r="D65" s="274"/>
      <c r="E65" s="274"/>
      <c r="F65" s="275"/>
      <c r="G65" s="183"/>
    </row>
    <row r="66" ht="15.75" customHeight="1">
      <c r="A66" s="273"/>
      <c r="B66" s="273"/>
      <c r="C66" s="273"/>
      <c r="D66" s="114"/>
      <c r="E66" s="114"/>
      <c r="F66" s="273"/>
      <c r="G66" s="118"/>
    </row>
    <row r="67" ht="15.75" customHeight="1">
      <c r="A67" s="273"/>
      <c r="B67" s="273"/>
      <c r="C67" s="273"/>
      <c r="D67" s="114"/>
      <c r="E67" s="114"/>
      <c r="F67" s="273"/>
      <c r="G67" s="118"/>
    </row>
    <row r="68" ht="15.75" customHeight="1">
      <c r="A68" s="273"/>
      <c r="B68" s="273"/>
      <c r="C68" s="273"/>
      <c r="D68" s="274"/>
      <c r="E68" s="274"/>
      <c r="F68" s="275"/>
      <c r="G68" s="183"/>
    </row>
    <row r="69" ht="15.75" customHeight="1">
      <c r="A69" s="273"/>
      <c r="B69" s="273"/>
      <c r="C69" s="273"/>
      <c r="D69" s="274"/>
      <c r="E69" s="274"/>
      <c r="F69" s="275"/>
      <c r="G69" s="183"/>
    </row>
    <row r="70" ht="15.75" customHeight="1">
      <c r="A70" s="273"/>
      <c r="B70" s="273"/>
      <c r="C70" s="273"/>
      <c r="D70" s="114"/>
      <c r="E70" s="114"/>
      <c r="F70" s="273"/>
      <c r="G70" s="118"/>
    </row>
    <row r="71" ht="15.75" customHeight="1">
      <c r="A71" s="273"/>
      <c r="B71" s="273"/>
      <c r="C71" s="273"/>
      <c r="D71" s="114"/>
      <c r="E71" s="114"/>
      <c r="F71" s="273"/>
      <c r="G71" s="118"/>
    </row>
    <row r="72" ht="15.75" customHeight="1">
      <c r="A72" s="273"/>
      <c r="B72" s="273"/>
      <c r="C72" s="273"/>
      <c r="D72" s="274"/>
      <c r="E72" s="274"/>
      <c r="F72" s="275"/>
      <c r="G72" s="183"/>
    </row>
    <row r="73" ht="15.75" customHeight="1">
      <c r="A73" s="273"/>
      <c r="B73" s="273"/>
      <c r="C73" s="273"/>
      <c r="D73" s="114"/>
      <c r="E73" s="114"/>
      <c r="F73" s="273"/>
      <c r="G73" s="118"/>
    </row>
    <row r="74" ht="15.75" customHeight="1">
      <c r="A74" s="273"/>
      <c r="B74" s="273"/>
      <c r="C74" s="273"/>
      <c r="D74" s="114"/>
      <c r="E74" s="114"/>
      <c r="F74" s="273"/>
      <c r="G74" s="118"/>
    </row>
    <row r="75" ht="15.75" customHeight="1">
      <c r="A75" s="273"/>
      <c r="B75" s="273"/>
      <c r="C75" s="273"/>
      <c r="D75" s="114"/>
      <c r="E75" s="114"/>
      <c r="F75" s="273"/>
      <c r="G75" s="118"/>
    </row>
    <row r="76" ht="15.75" customHeight="1">
      <c r="A76" s="273"/>
      <c r="B76" s="273"/>
      <c r="C76" s="273"/>
      <c r="D76" s="274"/>
      <c r="E76" s="274"/>
      <c r="F76" s="275"/>
      <c r="G76" s="183"/>
    </row>
    <row r="77" ht="15.75" customHeight="1">
      <c r="A77" s="273"/>
      <c r="B77" s="273"/>
      <c r="C77" s="273"/>
      <c r="D77" s="114"/>
      <c r="E77" s="114"/>
      <c r="F77" s="273"/>
      <c r="G77" s="118"/>
    </row>
    <row r="78" ht="15.75" customHeight="1">
      <c r="A78" s="273"/>
      <c r="B78" s="273"/>
      <c r="C78" s="273"/>
      <c r="D78" s="274"/>
      <c r="E78" s="274"/>
      <c r="F78" s="275"/>
      <c r="G78" s="183"/>
    </row>
    <row r="79" ht="15.75" customHeight="1">
      <c r="A79" s="273"/>
      <c r="B79" s="273"/>
      <c r="C79" s="273"/>
      <c r="D79" s="114"/>
      <c r="E79" s="114"/>
      <c r="F79" s="273"/>
      <c r="G79" s="118"/>
    </row>
    <row r="80" ht="15.75" customHeight="1">
      <c r="A80" s="273"/>
      <c r="B80" s="273"/>
      <c r="C80" s="273"/>
      <c r="D80" s="274"/>
      <c r="E80" s="274"/>
      <c r="F80" s="275"/>
      <c r="G80" s="183"/>
    </row>
    <row r="81" ht="15.75" customHeight="1">
      <c r="A81" s="273"/>
      <c r="B81" s="273"/>
      <c r="C81" s="273"/>
      <c r="D81" s="114"/>
      <c r="E81" s="114"/>
      <c r="F81" s="273"/>
      <c r="G81" s="118"/>
    </row>
    <row r="82" ht="15.75" customHeight="1">
      <c r="A82" s="273"/>
      <c r="B82" s="273"/>
      <c r="C82" s="273"/>
      <c r="D82" s="114"/>
      <c r="E82" s="114"/>
      <c r="F82" s="273"/>
      <c r="G82" s="118"/>
    </row>
    <row r="83" ht="15.75" customHeight="1">
      <c r="A83" s="273"/>
      <c r="B83" s="273"/>
      <c r="C83" s="273"/>
      <c r="D83" s="114"/>
      <c r="E83" s="114"/>
      <c r="F83" s="273"/>
      <c r="G83" s="118"/>
    </row>
    <row r="84" ht="15.75" customHeight="1">
      <c r="A84" s="273"/>
      <c r="B84" s="273"/>
      <c r="C84" s="273"/>
      <c r="D84" s="114"/>
      <c r="E84" s="114"/>
      <c r="F84" s="273"/>
      <c r="G84" s="118"/>
    </row>
    <row r="85" ht="15.75" customHeight="1">
      <c r="A85" s="273"/>
      <c r="B85" s="273"/>
      <c r="C85" s="273"/>
      <c r="D85" s="274"/>
      <c r="E85" s="274"/>
      <c r="F85" s="275"/>
      <c r="G85" s="183"/>
    </row>
    <row r="86" ht="15.75" customHeight="1">
      <c r="A86" s="273"/>
      <c r="B86" s="273"/>
      <c r="C86" s="273"/>
      <c r="D86" s="114"/>
      <c r="E86" s="114"/>
      <c r="F86" s="273"/>
      <c r="G86" s="118"/>
    </row>
    <row r="87" ht="15.75" customHeight="1">
      <c r="A87" s="273"/>
      <c r="B87" s="273"/>
      <c r="C87" s="273"/>
      <c r="D87" s="114"/>
      <c r="E87" s="114"/>
      <c r="F87" s="273"/>
      <c r="G87" s="118"/>
    </row>
    <row r="88" ht="15.75" customHeight="1">
      <c r="A88" s="273"/>
      <c r="B88" s="273"/>
      <c r="C88" s="273"/>
      <c r="D88" s="114"/>
      <c r="E88" s="114"/>
      <c r="F88" s="273"/>
      <c r="G88" s="118"/>
    </row>
    <row r="89" ht="15.75" customHeight="1">
      <c r="A89" s="273"/>
      <c r="B89" s="273"/>
      <c r="C89" s="273"/>
      <c r="D89" s="114"/>
      <c r="E89" s="114"/>
      <c r="F89" s="273"/>
      <c r="G89" s="118"/>
    </row>
    <row r="90" ht="15.75" customHeight="1">
      <c r="A90" s="273"/>
      <c r="B90" s="273"/>
      <c r="C90" s="273"/>
      <c r="D90" s="114"/>
      <c r="E90" s="114"/>
      <c r="F90" s="273"/>
      <c r="G90" s="118"/>
    </row>
    <row r="91" ht="15.75" customHeight="1">
      <c r="A91" s="273"/>
      <c r="B91" s="273"/>
      <c r="C91" s="273"/>
      <c r="D91" s="114"/>
      <c r="E91" s="114"/>
      <c r="F91" s="273"/>
      <c r="G91" s="118"/>
    </row>
    <row r="92" ht="15.75" customHeight="1">
      <c r="A92" s="273"/>
      <c r="B92" s="273"/>
      <c r="C92" s="273"/>
      <c r="D92" s="114"/>
      <c r="E92" s="114"/>
      <c r="F92" s="273"/>
      <c r="G92" s="118"/>
    </row>
    <row r="93" ht="15.75" customHeight="1">
      <c r="A93" s="273"/>
      <c r="B93" s="273"/>
      <c r="C93" s="273"/>
      <c r="D93" s="114"/>
      <c r="E93" s="114"/>
      <c r="F93" s="273"/>
      <c r="G93" s="118"/>
    </row>
    <row r="94" ht="15.75" customHeight="1">
      <c r="A94" s="273"/>
      <c r="B94" s="273"/>
      <c r="C94" s="273"/>
      <c r="D94" s="114"/>
      <c r="E94" s="114"/>
      <c r="F94" s="273"/>
      <c r="G94" s="118"/>
    </row>
    <row r="95" ht="15.75" customHeight="1">
      <c r="A95" s="273"/>
      <c r="B95" s="273"/>
      <c r="C95" s="273"/>
      <c r="D95" s="114"/>
      <c r="E95" s="114"/>
      <c r="F95" s="273"/>
      <c r="G95" s="118"/>
    </row>
    <row r="96" ht="15.75" customHeight="1">
      <c r="A96" s="273"/>
      <c r="B96" s="273"/>
      <c r="C96" s="273"/>
      <c r="D96" s="114"/>
      <c r="E96" s="114"/>
      <c r="F96" s="273"/>
      <c r="G96" s="118"/>
    </row>
    <row r="97" ht="15.75" customHeight="1">
      <c r="A97" s="273"/>
      <c r="B97" s="273"/>
      <c r="C97" s="273"/>
      <c r="D97" s="114"/>
      <c r="E97" s="114"/>
      <c r="F97" s="273"/>
      <c r="G97" s="118"/>
    </row>
    <row r="98" ht="15.75" customHeight="1">
      <c r="A98" s="273"/>
      <c r="B98" s="273"/>
      <c r="C98" s="273"/>
      <c r="D98" s="114"/>
      <c r="E98" s="114"/>
      <c r="F98" s="273"/>
      <c r="G98" s="118"/>
    </row>
    <row r="99" ht="15.75" customHeight="1">
      <c r="A99" s="273"/>
      <c r="B99" s="273"/>
      <c r="C99" s="273"/>
      <c r="D99" s="114"/>
      <c r="E99" s="114"/>
      <c r="F99" s="273"/>
      <c r="G99" s="118"/>
    </row>
    <row r="100" ht="15.75" customHeight="1">
      <c r="A100" s="273"/>
      <c r="B100" s="273"/>
      <c r="C100" s="273"/>
      <c r="D100" s="114"/>
      <c r="E100" s="114"/>
      <c r="F100" s="273"/>
      <c r="G100" s="118"/>
    </row>
    <row r="101" ht="15.75" customHeight="1">
      <c r="A101" s="273"/>
      <c r="B101" s="273"/>
      <c r="C101" s="273"/>
      <c r="D101" s="114"/>
      <c r="E101" s="114"/>
      <c r="F101" s="273"/>
      <c r="G101" s="118"/>
    </row>
    <row r="102" ht="15.75" customHeight="1">
      <c r="A102" s="273"/>
      <c r="B102" s="273"/>
      <c r="C102" s="273"/>
      <c r="D102" s="114"/>
      <c r="E102" s="114"/>
      <c r="F102" s="273"/>
      <c r="G102" s="118"/>
    </row>
    <row r="103" ht="15.75" customHeight="1">
      <c r="A103" s="273"/>
      <c r="B103" s="273"/>
      <c r="C103" s="273"/>
      <c r="D103" s="114"/>
      <c r="E103" s="114"/>
      <c r="F103" s="273"/>
      <c r="G103" s="118"/>
    </row>
    <row r="104" ht="15.75" customHeight="1">
      <c r="A104" s="273"/>
      <c r="B104" s="273"/>
      <c r="C104" s="273"/>
      <c r="D104" s="114"/>
      <c r="E104" s="114"/>
      <c r="F104" s="273"/>
      <c r="G104" s="118"/>
    </row>
    <row r="105" ht="15.75" customHeight="1">
      <c r="A105" s="273"/>
      <c r="B105" s="273"/>
      <c r="C105" s="273"/>
      <c r="D105" s="114"/>
      <c r="E105" s="114"/>
      <c r="F105" s="273"/>
      <c r="G105" s="118"/>
    </row>
    <row r="106" ht="15.75" customHeight="1">
      <c r="A106" s="273"/>
      <c r="B106" s="273"/>
      <c r="C106" s="273"/>
      <c r="D106" s="114"/>
      <c r="E106" s="114"/>
      <c r="F106" s="273"/>
      <c r="G106" s="118"/>
    </row>
    <row r="107" ht="15.75" customHeight="1">
      <c r="A107" s="273"/>
      <c r="B107" s="273"/>
      <c r="C107" s="273"/>
      <c r="D107" s="114"/>
      <c r="E107" s="114"/>
      <c r="F107" s="273"/>
      <c r="G107" s="118"/>
    </row>
    <row r="108" ht="15.75" customHeight="1">
      <c r="A108" s="273"/>
      <c r="B108" s="273"/>
      <c r="C108" s="273"/>
      <c r="D108" s="114"/>
      <c r="E108" s="114"/>
      <c r="F108" s="273"/>
      <c r="G108" s="118"/>
    </row>
    <row r="109" ht="15.75" customHeight="1">
      <c r="A109" s="273"/>
      <c r="B109" s="273"/>
      <c r="C109" s="273"/>
      <c r="D109" s="114"/>
      <c r="E109" s="114"/>
      <c r="F109" s="273"/>
      <c r="G109" s="118"/>
    </row>
    <row r="110" ht="15.75" customHeight="1">
      <c r="A110" s="273"/>
      <c r="B110" s="273"/>
      <c r="C110" s="273"/>
      <c r="D110" s="114"/>
      <c r="E110" s="114"/>
      <c r="F110" s="273"/>
      <c r="G110" s="118"/>
    </row>
    <row r="111" ht="15.75" customHeight="1">
      <c r="A111" s="273"/>
      <c r="B111" s="273"/>
      <c r="C111" s="273"/>
      <c r="D111" s="114"/>
      <c r="E111" s="114"/>
      <c r="F111" s="273"/>
      <c r="G111" s="118"/>
    </row>
    <row r="112" ht="15.75" customHeight="1">
      <c r="A112" s="273"/>
      <c r="B112" s="273"/>
      <c r="C112" s="273"/>
      <c r="D112" s="114"/>
      <c r="E112" s="114"/>
      <c r="F112" s="273"/>
      <c r="G112" s="118"/>
    </row>
    <row r="113" ht="15.75" customHeight="1">
      <c r="A113" s="273"/>
      <c r="B113" s="273"/>
      <c r="C113" s="273"/>
      <c r="D113" s="114"/>
      <c r="E113" s="114"/>
      <c r="F113" s="273"/>
      <c r="G113" s="118"/>
    </row>
    <row r="114" ht="15.75" customHeight="1">
      <c r="A114" s="273"/>
      <c r="B114" s="273"/>
      <c r="C114" s="273"/>
      <c r="D114" s="114"/>
      <c r="E114" s="114"/>
      <c r="F114" s="273"/>
      <c r="G114" s="118"/>
    </row>
    <row r="115" ht="15.75" customHeight="1">
      <c r="A115" s="273"/>
      <c r="B115" s="273"/>
      <c r="C115" s="273"/>
      <c r="D115" s="114"/>
      <c r="E115" s="114"/>
      <c r="F115" s="273"/>
      <c r="G115" s="118"/>
    </row>
    <row r="116" ht="15.75" customHeight="1">
      <c r="A116" s="273"/>
      <c r="B116" s="273"/>
      <c r="C116" s="273"/>
      <c r="D116" s="114"/>
      <c r="E116" s="114"/>
      <c r="F116" s="273"/>
      <c r="G116" s="118"/>
    </row>
    <row r="117" ht="15.75" customHeight="1">
      <c r="A117" s="273"/>
      <c r="B117" s="273"/>
      <c r="C117" s="273"/>
      <c r="D117" s="114"/>
      <c r="E117" s="114"/>
      <c r="F117" s="273"/>
      <c r="G117" s="118"/>
    </row>
    <row r="118" ht="15.75" customHeight="1">
      <c r="A118" s="273"/>
      <c r="B118" s="273"/>
      <c r="C118" s="273"/>
      <c r="D118" s="114"/>
      <c r="E118" s="114"/>
      <c r="F118" s="273"/>
      <c r="G118" s="118"/>
    </row>
    <row r="119" ht="15.75" customHeight="1">
      <c r="A119" s="273"/>
      <c r="B119" s="273"/>
      <c r="C119" s="273"/>
      <c r="D119" s="114"/>
      <c r="E119" s="114"/>
      <c r="F119" s="273"/>
      <c r="G119" s="118"/>
    </row>
    <row r="120" ht="15.75" customHeight="1">
      <c r="A120" s="273"/>
      <c r="B120" s="273"/>
      <c r="C120" s="273"/>
      <c r="D120" s="114"/>
      <c r="E120" s="114"/>
      <c r="F120" s="273"/>
      <c r="G120" s="118"/>
    </row>
    <row r="121" ht="15.75" customHeight="1">
      <c r="A121" s="273"/>
      <c r="B121" s="273"/>
      <c r="C121" s="273"/>
      <c r="D121" s="114"/>
      <c r="E121" s="114"/>
      <c r="F121" s="273"/>
      <c r="G121" s="118"/>
    </row>
    <row r="122" ht="15.75" customHeight="1">
      <c r="A122" s="273"/>
      <c r="B122" s="273"/>
      <c r="C122" s="273"/>
      <c r="D122" s="114"/>
      <c r="E122" s="114"/>
      <c r="F122" s="273"/>
      <c r="G122" s="118"/>
    </row>
    <row r="123" ht="15.75" customHeight="1">
      <c r="A123" s="273"/>
      <c r="B123" s="273"/>
      <c r="C123" s="273"/>
      <c r="D123" s="114"/>
      <c r="E123" s="114"/>
      <c r="F123" s="273"/>
      <c r="G123" s="118"/>
    </row>
    <row r="124" ht="15.75" customHeight="1">
      <c r="A124" s="273"/>
      <c r="B124" s="273"/>
      <c r="C124" s="273"/>
      <c r="D124" s="114"/>
      <c r="E124" s="114"/>
      <c r="F124" s="273"/>
      <c r="G124" s="118"/>
    </row>
    <row r="125" ht="15.75" customHeight="1">
      <c r="A125" s="273"/>
      <c r="B125" s="273"/>
      <c r="C125" s="273"/>
      <c r="D125" s="114"/>
      <c r="E125" s="114"/>
      <c r="F125" s="273"/>
      <c r="G125" s="118"/>
    </row>
    <row r="126" ht="15.75" customHeight="1">
      <c r="A126" s="273"/>
      <c r="B126" s="273"/>
      <c r="C126" s="273"/>
      <c r="D126" s="114"/>
      <c r="E126" s="114"/>
      <c r="F126" s="273"/>
      <c r="G126" s="118"/>
    </row>
    <row r="127" ht="15.75" customHeight="1">
      <c r="A127" s="273"/>
      <c r="B127" s="273"/>
      <c r="C127" s="273"/>
      <c r="D127" s="114"/>
      <c r="E127" s="114"/>
      <c r="F127" s="273"/>
      <c r="G127" s="118"/>
    </row>
    <row r="128" ht="15.75" customHeight="1">
      <c r="A128" s="273"/>
      <c r="B128" s="273"/>
      <c r="C128" s="273"/>
      <c r="D128" s="114"/>
      <c r="E128" s="114"/>
      <c r="F128" s="273"/>
      <c r="G128" s="118"/>
    </row>
    <row r="129" ht="15.75" customHeight="1">
      <c r="A129" s="273"/>
      <c r="B129" s="273"/>
      <c r="C129" s="273"/>
      <c r="D129" s="114"/>
      <c r="E129" s="114"/>
      <c r="F129" s="273"/>
      <c r="G129" s="118"/>
    </row>
    <row r="130" ht="15.75" customHeight="1">
      <c r="A130" s="273"/>
      <c r="B130" s="273"/>
      <c r="C130" s="273"/>
      <c r="D130" s="114"/>
      <c r="E130" s="114"/>
      <c r="F130" s="273"/>
      <c r="G130" s="118"/>
    </row>
    <row r="131" ht="15.75" customHeight="1">
      <c r="A131" s="273"/>
      <c r="B131" s="273"/>
      <c r="C131" s="273"/>
      <c r="D131" s="114"/>
      <c r="E131" s="114"/>
      <c r="F131" s="273"/>
      <c r="G131" s="118"/>
    </row>
    <row r="132" ht="15.75" customHeight="1">
      <c r="A132" s="273"/>
      <c r="B132" s="273"/>
      <c r="C132" s="273"/>
      <c r="D132" s="114"/>
      <c r="E132" s="114"/>
      <c r="F132" s="273"/>
      <c r="G132" s="118"/>
    </row>
    <row r="133" ht="15.75" customHeight="1">
      <c r="A133" s="273"/>
      <c r="B133" s="273"/>
      <c r="C133" s="273"/>
      <c r="D133" s="114"/>
      <c r="E133" s="114"/>
      <c r="F133" s="273"/>
      <c r="G133" s="118"/>
    </row>
    <row r="134" ht="15.75" customHeight="1">
      <c r="A134" s="273"/>
      <c r="B134" s="273"/>
      <c r="C134" s="273"/>
      <c r="D134" s="114"/>
      <c r="E134" s="114"/>
      <c r="F134" s="273"/>
      <c r="G134" s="118"/>
    </row>
    <row r="135" ht="15.75" customHeight="1">
      <c r="A135" s="273"/>
      <c r="B135" s="273"/>
      <c r="C135" s="273"/>
      <c r="D135" s="114"/>
      <c r="E135" s="114"/>
      <c r="F135" s="273"/>
      <c r="G135" s="118"/>
    </row>
    <row r="136" ht="15.75" customHeight="1">
      <c r="A136" s="273"/>
      <c r="B136" s="273"/>
      <c r="C136" s="273"/>
      <c r="D136" s="114"/>
      <c r="E136" s="114"/>
      <c r="F136" s="273"/>
      <c r="G136" s="118"/>
    </row>
    <row r="137" ht="15.75" customHeight="1">
      <c r="A137" s="273"/>
      <c r="B137" s="273"/>
      <c r="C137" s="273"/>
      <c r="D137" s="114"/>
      <c r="E137" s="114"/>
      <c r="F137" s="273"/>
      <c r="G137" s="118"/>
    </row>
    <row r="138" ht="15.75" customHeight="1">
      <c r="A138" s="273"/>
      <c r="B138" s="273"/>
      <c r="C138" s="273"/>
      <c r="D138" s="114"/>
      <c r="E138" s="114"/>
      <c r="F138" s="273"/>
      <c r="G138" s="118"/>
    </row>
    <row r="139" ht="15.75" customHeight="1">
      <c r="A139" s="273"/>
      <c r="B139" s="273"/>
      <c r="C139" s="273"/>
      <c r="D139" s="114"/>
      <c r="E139" s="114"/>
      <c r="F139" s="273"/>
      <c r="G139" s="118"/>
    </row>
    <row r="140" ht="15.75" customHeight="1">
      <c r="A140" s="273"/>
      <c r="B140" s="273"/>
      <c r="C140" s="273"/>
      <c r="D140" s="114"/>
      <c r="E140" s="114"/>
      <c r="F140" s="273"/>
      <c r="G140" s="118"/>
    </row>
    <row r="141" ht="15.75" customHeight="1">
      <c r="A141" s="273"/>
      <c r="B141" s="273"/>
      <c r="C141" s="273"/>
      <c r="D141" s="114"/>
      <c r="E141" s="114"/>
      <c r="F141" s="273"/>
      <c r="G141" s="118"/>
    </row>
    <row r="142" ht="15.75" customHeight="1">
      <c r="A142" s="273"/>
      <c r="B142" s="273"/>
      <c r="C142" s="273"/>
      <c r="D142" s="114"/>
      <c r="E142" s="114"/>
      <c r="F142" s="273"/>
      <c r="G142" s="118"/>
    </row>
    <row r="143" ht="15.75" customHeight="1">
      <c r="A143" s="273"/>
      <c r="B143" s="273"/>
      <c r="C143" s="273"/>
      <c r="D143" s="114"/>
      <c r="E143" s="114"/>
      <c r="F143" s="273"/>
      <c r="G143" s="118"/>
    </row>
    <row r="144" ht="15.75" customHeight="1">
      <c r="A144" s="273"/>
      <c r="B144" s="273"/>
      <c r="C144" s="273"/>
      <c r="D144" s="114"/>
      <c r="E144" s="114"/>
      <c r="F144" s="273"/>
      <c r="G144" s="118"/>
    </row>
    <row r="145" ht="15.75" customHeight="1">
      <c r="A145" s="273"/>
      <c r="B145" s="273"/>
      <c r="C145" s="273"/>
      <c r="D145" s="114"/>
      <c r="E145" s="114"/>
      <c r="F145" s="273"/>
      <c r="G145" s="118"/>
    </row>
    <row r="146" ht="15.75" customHeight="1">
      <c r="A146" s="273"/>
      <c r="B146" s="273"/>
      <c r="C146" s="273"/>
      <c r="D146" s="114"/>
      <c r="E146" s="114"/>
      <c r="F146" s="273"/>
      <c r="G146" s="118"/>
    </row>
    <row r="147" ht="15.75" customHeight="1">
      <c r="A147" s="273"/>
      <c r="B147" s="273"/>
      <c r="C147" s="273"/>
      <c r="D147" s="114"/>
      <c r="E147" s="114"/>
      <c r="F147" s="273"/>
      <c r="G147" s="118"/>
    </row>
    <row r="148" ht="15.75" customHeight="1">
      <c r="A148" s="273"/>
      <c r="B148" s="273"/>
      <c r="C148" s="273"/>
      <c r="D148" s="114"/>
      <c r="E148" s="114"/>
      <c r="F148" s="273"/>
      <c r="G148" s="118"/>
    </row>
    <row r="149" ht="15.75" customHeight="1">
      <c r="A149" s="273"/>
      <c r="B149" s="273"/>
      <c r="C149" s="273"/>
      <c r="D149" s="114"/>
      <c r="E149" s="114"/>
      <c r="F149" s="273"/>
      <c r="G149" s="118"/>
    </row>
    <row r="150" ht="15.75" customHeight="1">
      <c r="A150" s="273"/>
      <c r="B150" s="273"/>
      <c r="C150" s="273"/>
      <c r="D150" s="114"/>
      <c r="E150" s="114"/>
      <c r="F150" s="273"/>
      <c r="G150" s="118"/>
    </row>
    <row r="151" ht="15.75" customHeight="1">
      <c r="A151" s="273"/>
      <c r="B151" s="273"/>
      <c r="C151" s="273"/>
      <c r="D151" s="114"/>
      <c r="E151" s="114"/>
      <c r="F151" s="273"/>
      <c r="G151" s="118"/>
    </row>
    <row r="152" ht="15.75" customHeight="1">
      <c r="A152" s="273"/>
      <c r="B152" s="273"/>
      <c r="C152" s="273"/>
      <c r="D152" s="114"/>
      <c r="E152" s="114"/>
      <c r="F152" s="273"/>
      <c r="G152" s="118"/>
    </row>
    <row r="153" ht="15.75" customHeight="1">
      <c r="A153" s="273"/>
      <c r="B153" s="273"/>
      <c r="C153" s="273"/>
      <c r="D153" s="114"/>
      <c r="E153" s="114"/>
      <c r="F153" s="273"/>
      <c r="G153" s="118"/>
    </row>
    <row r="154" ht="15.75" customHeight="1">
      <c r="A154" s="273"/>
      <c r="B154" s="273"/>
      <c r="C154" s="273"/>
      <c r="D154" s="114"/>
      <c r="E154" s="114"/>
      <c r="F154" s="273"/>
      <c r="G154" s="118"/>
    </row>
    <row r="155" ht="15.75" customHeight="1">
      <c r="A155" s="273"/>
      <c r="B155" s="273"/>
      <c r="C155" s="273"/>
      <c r="D155" s="114"/>
      <c r="E155" s="114"/>
      <c r="F155" s="273"/>
      <c r="G155" s="118"/>
    </row>
    <row r="156" ht="15.75" customHeight="1">
      <c r="A156" s="273"/>
      <c r="B156" s="273"/>
      <c r="C156" s="273"/>
      <c r="D156" s="114"/>
      <c r="E156" s="114"/>
      <c r="F156" s="273"/>
      <c r="G156" s="118"/>
    </row>
    <row r="157" ht="15.75" customHeight="1">
      <c r="A157" s="273"/>
      <c r="B157" s="273"/>
      <c r="C157" s="273"/>
      <c r="D157" s="114"/>
      <c r="E157" s="114"/>
      <c r="F157" s="273"/>
      <c r="G157" s="118"/>
    </row>
    <row r="158" ht="15.75" customHeight="1">
      <c r="A158" s="273"/>
      <c r="B158" s="273"/>
      <c r="C158" s="273"/>
      <c r="D158" s="114"/>
      <c r="E158" s="114"/>
      <c r="F158" s="273"/>
      <c r="G158" s="118"/>
    </row>
    <row r="159" ht="15.75" customHeight="1">
      <c r="A159" s="273"/>
      <c r="B159" s="273"/>
      <c r="C159" s="273"/>
      <c r="D159" s="114"/>
      <c r="E159" s="114"/>
      <c r="F159" s="273"/>
      <c r="G159" s="118"/>
    </row>
    <row r="160" ht="15.75" customHeight="1">
      <c r="A160" s="273"/>
      <c r="B160" s="273"/>
      <c r="C160" s="273"/>
      <c r="D160" s="114"/>
      <c r="E160" s="114"/>
      <c r="F160" s="273"/>
      <c r="G160" s="118"/>
    </row>
    <row r="161" ht="15.75" customHeight="1">
      <c r="A161" s="273"/>
      <c r="B161" s="273"/>
      <c r="C161" s="273"/>
      <c r="D161" s="114"/>
      <c r="E161" s="114"/>
      <c r="F161" s="273"/>
      <c r="G161" s="118"/>
    </row>
    <row r="162" ht="15.75" customHeight="1">
      <c r="A162" s="273"/>
      <c r="B162" s="273"/>
      <c r="C162" s="273"/>
      <c r="D162" s="114"/>
      <c r="E162" s="114"/>
      <c r="F162" s="273"/>
      <c r="G162" s="118"/>
    </row>
    <row r="163" ht="15.75" customHeight="1">
      <c r="A163" s="273"/>
      <c r="B163" s="273"/>
      <c r="C163" s="273"/>
      <c r="D163" s="114"/>
      <c r="E163" s="114"/>
      <c r="F163" s="273"/>
      <c r="G163" s="118"/>
    </row>
    <row r="164" ht="15.75" customHeight="1">
      <c r="A164" s="273"/>
      <c r="B164" s="273"/>
      <c r="C164" s="273"/>
      <c r="D164" s="114"/>
      <c r="E164" s="114"/>
      <c r="F164" s="273"/>
      <c r="G164" s="118"/>
    </row>
    <row r="165" ht="15.75" customHeight="1">
      <c r="A165" s="273"/>
      <c r="B165" s="273"/>
      <c r="C165" s="273"/>
      <c r="D165" s="114"/>
      <c r="E165" s="114"/>
      <c r="F165" s="273"/>
      <c r="G165" s="118"/>
    </row>
    <row r="166" ht="15.75" customHeight="1">
      <c r="A166" s="273"/>
      <c r="B166" s="273"/>
      <c r="C166" s="273"/>
      <c r="D166" s="114"/>
      <c r="E166" s="114"/>
      <c r="F166" s="273"/>
      <c r="G166" s="118"/>
    </row>
    <row r="167" ht="15.75" customHeight="1">
      <c r="A167" s="273"/>
      <c r="B167" s="273"/>
      <c r="C167" s="273"/>
      <c r="D167" s="114"/>
      <c r="E167" s="114"/>
      <c r="F167" s="273"/>
      <c r="G167" s="118"/>
    </row>
    <row r="168" ht="15.75" customHeight="1">
      <c r="A168" s="273"/>
      <c r="B168" s="273"/>
      <c r="C168" s="273"/>
      <c r="D168" s="114"/>
      <c r="E168" s="114"/>
      <c r="F168" s="273"/>
      <c r="G168" s="118"/>
    </row>
    <row r="169" ht="15.75" customHeight="1">
      <c r="A169" s="273"/>
      <c r="B169" s="273"/>
      <c r="C169" s="273"/>
      <c r="D169" s="114"/>
      <c r="E169" s="114"/>
      <c r="F169" s="273"/>
      <c r="G169" s="118"/>
    </row>
    <row r="170" ht="15.75" customHeight="1">
      <c r="A170" s="273"/>
      <c r="B170" s="273"/>
      <c r="C170" s="273"/>
      <c r="D170" s="114"/>
      <c r="E170" s="114"/>
      <c r="F170" s="273"/>
      <c r="G170" s="118"/>
    </row>
    <row r="171" ht="15.75" customHeight="1">
      <c r="A171" s="273"/>
      <c r="B171" s="273"/>
      <c r="C171" s="273"/>
      <c r="D171" s="114"/>
      <c r="E171" s="114"/>
      <c r="F171" s="273"/>
      <c r="G171" s="118"/>
    </row>
    <row r="172" ht="15.75" customHeight="1">
      <c r="A172" s="273"/>
      <c r="B172" s="273"/>
      <c r="C172" s="273"/>
      <c r="D172" s="114"/>
      <c r="E172" s="114"/>
      <c r="F172" s="273"/>
      <c r="G172" s="118"/>
    </row>
    <row r="173" ht="15.75" customHeight="1">
      <c r="A173" s="273"/>
      <c r="B173" s="273"/>
      <c r="C173" s="273"/>
      <c r="D173" s="114"/>
      <c r="E173" s="114"/>
      <c r="F173" s="273"/>
      <c r="G173" s="118"/>
    </row>
    <row r="174" ht="15.75" customHeight="1">
      <c r="A174" s="273"/>
      <c r="B174" s="273"/>
      <c r="C174" s="273"/>
      <c r="D174" s="114"/>
      <c r="E174" s="114"/>
      <c r="F174" s="273"/>
      <c r="G174" s="118"/>
    </row>
    <row r="175" ht="15.75" customHeight="1">
      <c r="A175" s="273"/>
      <c r="B175" s="273"/>
      <c r="C175" s="273"/>
      <c r="D175" s="114"/>
      <c r="E175" s="114"/>
      <c r="F175" s="273"/>
      <c r="G175" s="118"/>
    </row>
    <row r="176" ht="15.75" customHeight="1">
      <c r="A176" s="273"/>
      <c r="B176" s="273"/>
      <c r="C176" s="273"/>
      <c r="D176" s="114"/>
      <c r="E176" s="114"/>
      <c r="F176" s="273"/>
      <c r="G176" s="118"/>
    </row>
    <row r="177" ht="15.75" customHeight="1">
      <c r="A177" s="273"/>
      <c r="B177" s="273"/>
      <c r="C177" s="273"/>
      <c r="D177" s="114"/>
      <c r="E177" s="114"/>
      <c r="F177" s="273"/>
      <c r="G177" s="118"/>
    </row>
    <row r="178" ht="15.75" customHeight="1">
      <c r="A178" s="273"/>
      <c r="B178" s="273"/>
      <c r="C178" s="273"/>
      <c r="D178" s="114"/>
      <c r="E178" s="114"/>
      <c r="F178" s="273"/>
      <c r="G178" s="118"/>
    </row>
    <row r="179" ht="15.75" customHeight="1">
      <c r="A179" s="273"/>
      <c r="B179" s="273"/>
      <c r="C179" s="273"/>
      <c r="D179" s="114"/>
      <c r="E179" s="114"/>
      <c r="F179" s="273"/>
      <c r="G179" s="118"/>
    </row>
    <row r="180" ht="15.75" customHeight="1">
      <c r="A180" s="273"/>
      <c r="B180" s="273"/>
      <c r="C180" s="273"/>
      <c r="D180" s="114"/>
      <c r="E180" s="114"/>
      <c r="F180" s="273"/>
      <c r="G180" s="118"/>
    </row>
    <row r="181" ht="15.75" customHeight="1">
      <c r="A181" s="273"/>
      <c r="B181" s="273"/>
      <c r="C181" s="273"/>
      <c r="D181" s="114"/>
      <c r="E181" s="114"/>
      <c r="F181" s="273"/>
      <c r="G181" s="118"/>
    </row>
    <row r="182" ht="15.75" customHeight="1">
      <c r="A182" s="273"/>
      <c r="B182" s="273"/>
      <c r="C182" s="273"/>
      <c r="D182" s="114"/>
      <c r="E182" s="114"/>
      <c r="F182" s="273"/>
      <c r="G182" s="118"/>
    </row>
    <row r="183" ht="15.75" customHeight="1">
      <c r="A183" s="273"/>
      <c r="B183" s="273"/>
      <c r="C183" s="273"/>
      <c r="D183" s="114"/>
      <c r="E183" s="114"/>
      <c r="F183" s="273"/>
      <c r="G183" s="118"/>
    </row>
    <row r="184" ht="15.75" customHeight="1">
      <c r="A184" s="273"/>
      <c r="B184" s="273"/>
      <c r="C184" s="273"/>
      <c r="D184" s="114"/>
      <c r="E184" s="114"/>
      <c r="F184" s="273"/>
      <c r="G184" s="118"/>
    </row>
    <row r="185" ht="15.75" customHeight="1">
      <c r="A185" s="273"/>
      <c r="B185" s="273"/>
      <c r="C185" s="273"/>
      <c r="D185" s="114"/>
      <c r="E185" s="114"/>
      <c r="F185" s="273"/>
      <c r="G185" s="118"/>
    </row>
    <row r="186" ht="15.75" customHeight="1">
      <c r="A186" s="273"/>
      <c r="B186" s="273"/>
      <c r="C186" s="273"/>
      <c r="D186" s="114"/>
      <c r="E186" s="114"/>
      <c r="F186" s="273"/>
      <c r="G186" s="118"/>
    </row>
    <row r="187" ht="15.75" customHeight="1">
      <c r="A187" s="273"/>
      <c r="B187" s="273"/>
      <c r="C187" s="273"/>
      <c r="D187" s="114"/>
      <c r="E187" s="114"/>
      <c r="F187" s="273"/>
      <c r="G187" s="118"/>
    </row>
    <row r="188" ht="15.75" customHeight="1">
      <c r="A188" s="273"/>
      <c r="B188" s="273"/>
      <c r="C188" s="273"/>
      <c r="D188" s="114"/>
      <c r="E188" s="114"/>
      <c r="F188" s="273"/>
      <c r="G188" s="118"/>
    </row>
    <row r="189" ht="15.75" customHeight="1">
      <c r="A189" s="273"/>
      <c r="B189" s="273"/>
      <c r="C189" s="273"/>
      <c r="D189" s="114"/>
      <c r="E189" s="114"/>
      <c r="F189" s="273"/>
      <c r="G189" s="118"/>
    </row>
    <row r="190" ht="15.75" customHeight="1">
      <c r="A190" s="273"/>
      <c r="B190" s="273"/>
      <c r="C190" s="273"/>
      <c r="D190" s="114"/>
      <c r="E190" s="114"/>
      <c r="F190" s="273"/>
      <c r="G190" s="118"/>
    </row>
    <row r="191" ht="15.75" customHeight="1">
      <c r="A191" s="273"/>
      <c r="B191" s="273"/>
      <c r="C191" s="273"/>
      <c r="D191" s="114"/>
      <c r="E191" s="114"/>
      <c r="F191" s="273"/>
      <c r="G191" s="118"/>
    </row>
    <row r="192" ht="15.75" customHeight="1">
      <c r="A192" s="273"/>
      <c r="B192" s="273"/>
      <c r="C192" s="273"/>
      <c r="D192" s="114"/>
      <c r="E192" s="114"/>
      <c r="F192" s="273"/>
      <c r="G192" s="118"/>
    </row>
    <row r="193" ht="15.75" customHeight="1">
      <c r="A193" s="273"/>
      <c r="B193" s="273"/>
      <c r="C193" s="273"/>
      <c r="D193" s="114"/>
      <c r="E193" s="114"/>
      <c r="F193" s="273"/>
      <c r="G193" s="118"/>
    </row>
    <row r="194" ht="15.75" customHeight="1">
      <c r="A194" s="273"/>
      <c r="B194" s="273"/>
      <c r="C194" s="273"/>
      <c r="D194" s="114"/>
      <c r="E194" s="114"/>
      <c r="F194" s="273"/>
      <c r="G194" s="118"/>
    </row>
    <row r="195" ht="15.75" customHeight="1">
      <c r="A195" s="273"/>
      <c r="B195" s="273"/>
      <c r="C195" s="273"/>
      <c r="D195" s="114"/>
      <c r="E195" s="114"/>
      <c r="F195" s="273"/>
      <c r="G195" s="118"/>
    </row>
    <row r="196" ht="15.75" customHeight="1">
      <c r="A196" s="273"/>
      <c r="B196" s="273"/>
      <c r="C196" s="273"/>
      <c r="D196" s="114"/>
      <c r="E196" s="114"/>
      <c r="F196" s="273"/>
      <c r="G196" s="118"/>
    </row>
    <row r="197" ht="15.75" customHeight="1">
      <c r="A197" s="273"/>
      <c r="B197" s="273"/>
      <c r="C197" s="273"/>
      <c r="D197" s="114"/>
      <c r="E197" s="114"/>
      <c r="F197" s="273"/>
      <c r="G197" s="118"/>
    </row>
    <row r="198" ht="15.75" customHeight="1">
      <c r="A198" s="273"/>
      <c r="B198" s="273"/>
      <c r="C198" s="273"/>
      <c r="D198" s="114"/>
      <c r="E198" s="114"/>
      <c r="F198" s="273"/>
      <c r="G198" s="118"/>
    </row>
    <row r="199" ht="15.75" customHeight="1">
      <c r="A199" s="273"/>
      <c r="B199" s="273"/>
      <c r="C199" s="273"/>
      <c r="D199" s="114"/>
      <c r="E199" s="114"/>
      <c r="F199" s="273"/>
      <c r="G199" s="118"/>
    </row>
    <row r="200" ht="15.75" customHeight="1">
      <c r="A200" s="273"/>
      <c r="B200" s="273"/>
      <c r="C200" s="273"/>
      <c r="D200" s="114"/>
      <c r="E200" s="114"/>
      <c r="F200" s="273"/>
      <c r="G200" s="118"/>
    </row>
    <row r="201" ht="15.75" customHeight="1">
      <c r="A201" s="273"/>
      <c r="B201" s="273"/>
      <c r="C201" s="273"/>
      <c r="D201" s="114"/>
      <c r="E201" s="114"/>
      <c r="F201" s="273"/>
      <c r="G201" s="118"/>
    </row>
    <row r="202" ht="15.75" customHeight="1">
      <c r="A202" s="273"/>
      <c r="B202" s="273"/>
      <c r="C202" s="273"/>
      <c r="D202" s="114"/>
      <c r="E202" s="114"/>
      <c r="F202" s="273"/>
      <c r="G202" s="118"/>
    </row>
    <row r="203" ht="15.75" customHeight="1">
      <c r="A203" s="273"/>
      <c r="B203" s="273"/>
      <c r="C203" s="273"/>
      <c r="D203" s="114"/>
      <c r="E203" s="114"/>
      <c r="F203" s="273"/>
      <c r="G203" s="118"/>
    </row>
    <row r="204" ht="15.75" customHeight="1">
      <c r="A204" s="273"/>
      <c r="B204" s="273"/>
      <c r="C204" s="273"/>
      <c r="D204" s="114"/>
      <c r="E204" s="114"/>
      <c r="F204" s="273"/>
      <c r="G204" s="118"/>
    </row>
    <row r="205" ht="15.75" customHeight="1">
      <c r="A205" s="273"/>
      <c r="B205" s="273"/>
      <c r="C205" s="273"/>
      <c r="D205" s="114"/>
      <c r="E205" s="114"/>
      <c r="F205" s="273"/>
      <c r="G205" s="118"/>
    </row>
    <row r="206" ht="15.75" customHeight="1">
      <c r="A206" s="273"/>
      <c r="B206" s="273"/>
      <c r="C206" s="273"/>
      <c r="D206" s="114"/>
      <c r="E206" s="114"/>
      <c r="F206" s="273"/>
      <c r="G206" s="118"/>
    </row>
    <row r="207" ht="15.75" customHeight="1">
      <c r="A207" s="273"/>
      <c r="B207" s="273"/>
      <c r="C207" s="273"/>
      <c r="D207" s="114"/>
      <c r="E207" s="114"/>
      <c r="F207" s="273"/>
      <c r="G207" s="118"/>
    </row>
    <row r="208" ht="15.75" customHeight="1">
      <c r="A208" s="273"/>
      <c r="B208" s="273"/>
      <c r="C208" s="273"/>
      <c r="D208" s="114"/>
      <c r="E208" s="114"/>
      <c r="F208" s="273"/>
      <c r="G208" s="118"/>
    </row>
    <row r="209" ht="15.75" customHeight="1">
      <c r="A209" s="273"/>
      <c r="B209" s="273"/>
      <c r="C209" s="273"/>
      <c r="D209" s="114"/>
      <c r="E209" s="114"/>
      <c r="F209" s="273"/>
      <c r="G209" s="118"/>
    </row>
    <row r="210" ht="15.75" customHeight="1">
      <c r="A210" s="273"/>
      <c r="B210" s="273"/>
      <c r="C210" s="273"/>
      <c r="D210" s="114"/>
      <c r="E210" s="114"/>
      <c r="F210" s="273"/>
      <c r="G210" s="118"/>
    </row>
    <row r="211" ht="15.75" customHeight="1">
      <c r="A211" s="273"/>
      <c r="B211" s="273"/>
      <c r="C211" s="273"/>
      <c r="D211" s="114"/>
      <c r="E211" s="114"/>
      <c r="F211" s="273"/>
      <c r="G211" s="118"/>
    </row>
    <row r="212" ht="15.75" customHeight="1">
      <c r="A212" s="273"/>
      <c r="B212" s="273"/>
      <c r="C212" s="273"/>
      <c r="D212" s="114"/>
      <c r="E212" s="114"/>
      <c r="F212" s="273"/>
      <c r="G212" s="118"/>
    </row>
    <row r="213" ht="15.75" customHeight="1">
      <c r="A213" s="273"/>
      <c r="B213" s="273"/>
      <c r="C213" s="273"/>
      <c r="D213" s="114"/>
      <c r="E213" s="114"/>
      <c r="F213" s="273"/>
      <c r="G213" s="118"/>
    </row>
    <row r="214" ht="15.75" customHeight="1">
      <c r="A214" s="273"/>
      <c r="B214" s="273"/>
      <c r="C214" s="273"/>
      <c r="D214" s="114"/>
      <c r="E214" s="114"/>
      <c r="F214" s="273"/>
      <c r="G214" s="118"/>
    </row>
    <row r="215" ht="15.75" customHeight="1">
      <c r="A215" s="273"/>
      <c r="B215" s="273"/>
      <c r="C215" s="273"/>
      <c r="D215" s="114"/>
      <c r="E215" s="114"/>
      <c r="F215" s="273"/>
      <c r="G215" s="118"/>
    </row>
    <row r="216" ht="15.75" customHeight="1">
      <c r="A216" s="273"/>
      <c r="B216" s="273"/>
      <c r="C216" s="273"/>
      <c r="D216" s="114"/>
      <c r="E216" s="114"/>
      <c r="F216" s="273"/>
      <c r="G216" s="118"/>
    </row>
    <row r="217" ht="15.75" customHeight="1">
      <c r="A217" s="273"/>
      <c r="B217" s="273"/>
      <c r="C217" s="273"/>
      <c r="D217" s="114"/>
      <c r="E217" s="114"/>
      <c r="F217" s="273"/>
      <c r="G217" s="118"/>
    </row>
    <row r="218" ht="15.75" customHeight="1">
      <c r="A218" s="273"/>
      <c r="B218" s="273"/>
      <c r="C218" s="273"/>
      <c r="D218" s="114"/>
      <c r="E218" s="114"/>
      <c r="F218" s="273"/>
      <c r="G218" s="118"/>
    </row>
    <row r="219" ht="15.75" customHeight="1">
      <c r="A219" s="273"/>
      <c r="B219" s="273"/>
      <c r="C219" s="273"/>
      <c r="D219" s="114"/>
      <c r="E219" s="114"/>
      <c r="F219" s="273"/>
      <c r="G219" s="118"/>
    </row>
    <row r="220" ht="15.75" customHeight="1">
      <c r="A220" s="273"/>
      <c r="B220" s="273"/>
      <c r="C220" s="273"/>
      <c r="D220" s="114"/>
      <c r="E220" s="114"/>
      <c r="F220" s="273"/>
      <c r="G220" s="118"/>
    </row>
    <row r="221" ht="15.75" customHeight="1">
      <c r="A221" s="273"/>
      <c r="B221" s="273"/>
      <c r="C221" s="273"/>
      <c r="D221" s="114"/>
      <c r="E221" s="114"/>
      <c r="F221" s="273"/>
      <c r="G221" s="118"/>
    </row>
    <row r="222" ht="15.75" customHeight="1">
      <c r="A222" s="273"/>
      <c r="B222" s="273"/>
      <c r="C222" s="273"/>
      <c r="D222" s="114"/>
      <c r="E222" s="114"/>
      <c r="F222" s="273"/>
      <c r="G222" s="118"/>
    </row>
    <row r="223" ht="15.75" customHeight="1">
      <c r="A223" s="273"/>
      <c r="B223" s="273"/>
      <c r="C223" s="273"/>
      <c r="D223" s="114"/>
      <c r="E223" s="114"/>
      <c r="F223" s="273"/>
      <c r="G223" s="118"/>
    </row>
    <row r="224" ht="15.75" customHeight="1">
      <c r="A224" s="273"/>
      <c r="B224" s="273"/>
      <c r="C224" s="273"/>
      <c r="D224" s="114"/>
      <c r="E224" s="114"/>
      <c r="F224" s="273"/>
      <c r="G224" s="118"/>
    </row>
    <row r="225" ht="15.75" customHeight="1">
      <c r="A225" s="273"/>
      <c r="B225" s="273"/>
      <c r="C225" s="273"/>
      <c r="D225" s="114"/>
      <c r="E225" s="114"/>
      <c r="F225" s="273"/>
      <c r="G225" s="118"/>
    </row>
    <row r="226" ht="15.75" customHeight="1">
      <c r="A226" s="273"/>
      <c r="B226" s="273"/>
      <c r="C226" s="273"/>
      <c r="D226" s="114"/>
      <c r="E226" s="114"/>
      <c r="F226" s="273"/>
      <c r="G226" s="118"/>
    </row>
    <row r="227" ht="15.75" customHeight="1">
      <c r="A227" s="273"/>
      <c r="B227" s="273"/>
      <c r="C227" s="273"/>
      <c r="D227" s="114"/>
      <c r="E227" s="114"/>
      <c r="F227" s="273"/>
      <c r="G227" s="118"/>
    </row>
    <row r="228" ht="15.75" customHeight="1">
      <c r="A228" s="273"/>
      <c r="B228" s="273"/>
      <c r="C228" s="273"/>
      <c r="D228" s="114"/>
      <c r="E228" s="114"/>
      <c r="F228" s="273"/>
      <c r="G228" s="118"/>
    </row>
    <row r="229" ht="15.75" customHeight="1">
      <c r="A229" s="273"/>
      <c r="B229" s="273"/>
      <c r="C229" s="273"/>
      <c r="D229" s="114"/>
      <c r="E229" s="114"/>
      <c r="F229" s="273"/>
      <c r="G229" s="118"/>
    </row>
    <row r="230" ht="15.75" customHeight="1">
      <c r="A230" s="273"/>
      <c r="B230" s="273"/>
      <c r="C230" s="273"/>
      <c r="D230" s="114"/>
      <c r="E230" s="114"/>
      <c r="F230" s="273"/>
      <c r="G230" s="118"/>
    </row>
    <row r="231" ht="15.75" customHeight="1">
      <c r="A231" s="273"/>
      <c r="B231" s="273"/>
      <c r="C231" s="273"/>
      <c r="D231" s="114"/>
      <c r="E231" s="114"/>
      <c r="F231" s="273"/>
      <c r="G231" s="118"/>
    </row>
    <row r="232" ht="15.75" customHeight="1">
      <c r="A232" s="273"/>
      <c r="B232" s="273"/>
      <c r="C232" s="273"/>
      <c r="D232" s="114"/>
      <c r="E232" s="114"/>
      <c r="F232" s="273"/>
      <c r="G232" s="118"/>
    </row>
    <row r="233" ht="15.75" customHeight="1">
      <c r="A233" s="273"/>
      <c r="B233" s="273"/>
      <c r="C233" s="273"/>
      <c r="D233" s="114"/>
      <c r="E233" s="114"/>
      <c r="F233" s="273"/>
      <c r="G233" s="118"/>
    </row>
    <row r="234" ht="15.75" customHeight="1">
      <c r="A234" s="273"/>
      <c r="B234" s="273"/>
      <c r="C234" s="273"/>
      <c r="D234" s="114"/>
      <c r="E234" s="114"/>
      <c r="F234" s="273"/>
      <c r="G234" s="118"/>
    </row>
    <row r="235" ht="15.75" customHeight="1">
      <c r="A235" s="273"/>
      <c r="B235" s="273"/>
      <c r="C235" s="273"/>
      <c r="D235" s="114"/>
      <c r="E235" s="114"/>
      <c r="F235" s="273"/>
      <c r="G235" s="118"/>
    </row>
    <row r="236" ht="15.75" customHeight="1">
      <c r="A236" s="273"/>
      <c r="B236" s="273"/>
      <c r="C236" s="273"/>
      <c r="D236" s="114"/>
      <c r="E236" s="114"/>
      <c r="F236" s="273"/>
      <c r="G236" s="118"/>
    </row>
    <row r="237" ht="15.75" customHeight="1">
      <c r="A237" s="273"/>
      <c r="B237" s="273"/>
      <c r="C237" s="273"/>
      <c r="D237" s="114"/>
      <c r="E237" s="114"/>
      <c r="F237" s="273"/>
      <c r="G237" s="118"/>
    </row>
    <row r="238" ht="15.75" customHeight="1">
      <c r="A238" s="273"/>
      <c r="B238" s="273"/>
      <c r="C238" s="273"/>
      <c r="D238" s="114"/>
      <c r="E238" s="114"/>
      <c r="F238" s="273"/>
      <c r="G238" s="118"/>
    </row>
    <row r="239" ht="15.75" customHeight="1">
      <c r="A239" s="273"/>
      <c r="B239" s="273"/>
      <c r="C239" s="273"/>
      <c r="D239" s="114"/>
      <c r="E239" s="114"/>
      <c r="F239" s="273"/>
      <c r="G239" s="118"/>
    </row>
    <row r="240" ht="15.75" customHeight="1">
      <c r="A240" s="273"/>
      <c r="B240" s="273"/>
      <c r="C240" s="273"/>
      <c r="D240" s="114"/>
      <c r="E240" s="114"/>
      <c r="F240" s="273"/>
      <c r="G240" s="118"/>
    </row>
    <row r="241" ht="15.75" customHeight="1">
      <c r="A241" s="273"/>
      <c r="B241" s="273"/>
      <c r="C241" s="273"/>
      <c r="D241" s="114"/>
      <c r="E241" s="114"/>
      <c r="F241" s="273"/>
      <c r="G241" s="118"/>
    </row>
    <row r="242" ht="15.75" customHeight="1">
      <c r="A242" s="273"/>
      <c r="B242" s="273"/>
      <c r="C242" s="273"/>
      <c r="D242" s="114"/>
      <c r="E242" s="114"/>
      <c r="F242" s="273"/>
      <c r="G242" s="118"/>
    </row>
    <row r="243" ht="15.75" customHeight="1">
      <c r="A243" s="273"/>
      <c r="B243" s="273"/>
      <c r="C243" s="273"/>
      <c r="D243" s="114"/>
      <c r="E243" s="114"/>
      <c r="F243" s="273"/>
      <c r="G243" s="118"/>
    </row>
    <row r="244" ht="15.75" customHeight="1">
      <c r="A244" s="273"/>
      <c r="B244" s="273"/>
      <c r="C244" s="273"/>
      <c r="D244" s="114"/>
      <c r="E244" s="114"/>
      <c r="F244" s="273"/>
      <c r="G244" s="118"/>
    </row>
    <row r="245" ht="15.75" customHeight="1">
      <c r="A245" s="273"/>
      <c r="B245" s="273"/>
      <c r="C245" s="273"/>
      <c r="D245" s="114"/>
      <c r="E245" s="114"/>
      <c r="F245" s="273"/>
      <c r="G245" s="118"/>
    </row>
    <row r="246" ht="15.75" customHeight="1">
      <c r="A246" s="273"/>
      <c r="B246" s="273"/>
      <c r="C246" s="273"/>
      <c r="D246" s="114"/>
      <c r="E246" s="114"/>
      <c r="F246" s="273"/>
      <c r="G246" s="118"/>
    </row>
    <row r="247" ht="15.75" customHeight="1">
      <c r="A247" s="273"/>
      <c r="B247" s="273"/>
      <c r="C247" s="273"/>
      <c r="D247" s="114"/>
      <c r="E247" s="114"/>
      <c r="F247" s="273"/>
      <c r="G247" s="118"/>
    </row>
    <row r="248" ht="15.75" customHeight="1">
      <c r="A248" s="273"/>
      <c r="B248" s="273"/>
      <c r="C248" s="273"/>
      <c r="D248" s="114"/>
      <c r="E248" s="114"/>
      <c r="F248" s="273"/>
      <c r="G248" s="118"/>
    </row>
    <row r="249" ht="15.75" customHeight="1">
      <c r="A249" s="273"/>
      <c r="B249" s="273"/>
      <c r="C249" s="273"/>
      <c r="D249" s="114"/>
      <c r="E249" s="114"/>
      <c r="F249" s="273"/>
      <c r="G249" s="118"/>
    </row>
    <row r="250" ht="15.75" customHeight="1">
      <c r="A250" s="273"/>
      <c r="B250" s="273"/>
      <c r="C250" s="273"/>
      <c r="D250" s="114"/>
      <c r="E250" s="114"/>
      <c r="F250" s="273"/>
      <c r="G250" s="118"/>
    </row>
    <row r="251" ht="15.75" customHeight="1">
      <c r="A251" s="273"/>
      <c r="B251" s="273"/>
      <c r="C251" s="273"/>
      <c r="D251" s="114"/>
      <c r="E251" s="114"/>
      <c r="F251" s="273"/>
      <c r="G251" s="118"/>
    </row>
    <row r="252" ht="15.75" customHeight="1">
      <c r="A252" s="273"/>
      <c r="B252" s="273"/>
      <c r="C252" s="273"/>
      <c r="D252" s="114"/>
      <c r="E252" s="114"/>
      <c r="F252" s="273"/>
      <c r="G252" s="118"/>
    </row>
    <row r="253" ht="15.75" customHeight="1">
      <c r="A253" s="273"/>
      <c r="B253" s="273"/>
      <c r="C253" s="273"/>
      <c r="D253" s="114"/>
      <c r="E253" s="114"/>
      <c r="F253" s="273"/>
      <c r="G253" s="118"/>
    </row>
    <row r="254" ht="15.75" customHeight="1">
      <c r="A254" s="273"/>
      <c r="B254" s="273"/>
      <c r="C254" s="273"/>
      <c r="D254" s="114"/>
      <c r="E254" s="114"/>
      <c r="F254" s="273"/>
      <c r="G254" s="118"/>
    </row>
    <row r="255" ht="15.75" customHeight="1">
      <c r="A255" s="273"/>
      <c r="B255" s="273"/>
      <c r="C255" s="273"/>
      <c r="D255" s="114"/>
      <c r="E255" s="114"/>
      <c r="F255" s="273"/>
      <c r="G255" s="118"/>
    </row>
    <row r="256" ht="15.75" customHeight="1">
      <c r="A256" s="273"/>
      <c r="B256" s="273"/>
      <c r="C256" s="273"/>
      <c r="D256" s="114"/>
      <c r="E256" s="114"/>
      <c r="F256" s="273"/>
      <c r="G256" s="118"/>
    </row>
    <row r="257" ht="15.75" customHeight="1">
      <c r="A257" s="273"/>
      <c r="B257" s="273"/>
      <c r="C257" s="273"/>
      <c r="D257" s="114"/>
      <c r="E257" s="114"/>
      <c r="F257" s="273"/>
      <c r="G257" s="118"/>
    </row>
    <row r="258" ht="15.75" customHeight="1">
      <c r="A258" s="273"/>
      <c r="B258" s="273"/>
      <c r="C258" s="273"/>
      <c r="D258" s="114"/>
      <c r="E258" s="114"/>
      <c r="F258" s="273"/>
      <c r="G258" s="118"/>
    </row>
    <row r="259" ht="15.75" customHeight="1">
      <c r="A259" s="273"/>
      <c r="B259" s="273"/>
      <c r="C259" s="273"/>
      <c r="D259" s="114"/>
      <c r="E259" s="114"/>
      <c r="F259" s="273"/>
      <c r="G259" s="118"/>
    </row>
    <row r="260" ht="15.75" customHeight="1">
      <c r="A260" s="273"/>
      <c r="B260" s="273"/>
      <c r="C260" s="273"/>
      <c r="D260" s="114"/>
      <c r="E260" s="114"/>
      <c r="F260" s="273"/>
      <c r="G260" s="118"/>
    </row>
    <row r="261" ht="15.75" customHeight="1">
      <c r="A261" s="273"/>
      <c r="B261" s="273"/>
      <c r="C261" s="273"/>
      <c r="D261" s="114"/>
      <c r="E261" s="114"/>
      <c r="F261" s="273"/>
      <c r="G261" s="118"/>
    </row>
    <row r="262" ht="15.75" customHeight="1">
      <c r="A262" s="273"/>
      <c r="B262" s="273"/>
      <c r="C262" s="273"/>
      <c r="D262" s="114"/>
      <c r="E262" s="114"/>
      <c r="F262" s="273"/>
      <c r="G262" s="118"/>
    </row>
    <row r="263" ht="15.75" customHeight="1">
      <c r="A263" s="273"/>
      <c r="B263" s="273"/>
      <c r="C263" s="273"/>
      <c r="D263" s="114"/>
      <c r="E263" s="114"/>
      <c r="F263" s="273"/>
      <c r="G263" s="118"/>
    </row>
    <row r="264" ht="15.75" customHeight="1">
      <c r="A264" s="273"/>
      <c r="B264" s="273"/>
      <c r="C264" s="273"/>
      <c r="D264" s="114"/>
      <c r="E264" s="114"/>
      <c r="F264" s="273"/>
      <c r="G264" s="118"/>
    </row>
    <row r="265" ht="15.75" customHeight="1">
      <c r="A265" s="273"/>
      <c r="B265" s="273"/>
      <c r="C265" s="273"/>
      <c r="D265" s="114"/>
      <c r="E265" s="114"/>
      <c r="F265" s="273"/>
      <c r="G265" s="118"/>
    </row>
    <row r="266" ht="15.75" customHeight="1">
      <c r="A266" s="273"/>
      <c r="B266" s="273"/>
      <c r="C266" s="273"/>
      <c r="D266" s="114"/>
      <c r="E266" s="114"/>
      <c r="F266" s="273"/>
      <c r="G266" s="118"/>
    </row>
    <row r="267" ht="15.75" customHeight="1">
      <c r="A267" s="273"/>
      <c r="B267" s="273"/>
      <c r="C267" s="273"/>
      <c r="D267" s="114"/>
      <c r="E267" s="114"/>
      <c r="F267" s="273"/>
      <c r="G267" s="118"/>
    </row>
    <row r="268" ht="15.75" customHeight="1">
      <c r="A268" s="273"/>
      <c r="B268" s="273"/>
      <c r="C268" s="273"/>
      <c r="D268" s="114"/>
      <c r="E268" s="114"/>
      <c r="F268" s="273"/>
      <c r="G268" s="118"/>
    </row>
    <row r="269" ht="15.75" customHeight="1">
      <c r="A269" s="273"/>
      <c r="B269" s="273"/>
      <c r="C269" s="273"/>
      <c r="D269" s="114"/>
      <c r="E269" s="114"/>
      <c r="F269" s="273"/>
      <c r="G269" s="118"/>
    </row>
    <row r="270" ht="15.75" customHeight="1">
      <c r="A270" s="273"/>
      <c r="B270" s="273"/>
      <c r="C270" s="273"/>
      <c r="D270" s="114"/>
      <c r="E270" s="114"/>
      <c r="F270" s="273"/>
      <c r="G270" s="118"/>
    </row>
    <row r="271" ht="15.75" customHeight="1">
      <c r="A271" s="273"/>
      <c r="B271" s="273"/>
      <c r="C271" s="273"/>
      <c r="D271" s="114"/>
      <c r="E271" s="114"/>
      <c r="F271" s="273"/>
      <c r="G271" s="118"/>
    </row>
    <row r="272" ht="15.75" customHeight="1">
      <c r="A272" s="273"/>
      <c r="B272" s="273"/>
      <c r="C272" s="273"/>
      <c r="D272" s="114"/>
      <c r="E272" s="114"/>
      <c r="F272" s="273"/>
      <c r="G272" s="118"/>
    </row>
    <row r="273" ht="15.75" customHeight="1">
      <c r="A273" s="273"/>
      <c r="B273" s="273"/>
      <c r="C273" s="273"/>
      <c r="D273" s="114"/>
      <c r="E273" s="114"/>
      <c r="F273" s="273"/>
      <c r="G273" s="118"/>
    </row>
    <row r="274" ht="15.75" customHeight="1">
      <c r="A274" s="273"/>
      <c r="B274" s="273"/>
      <c r="C274" s="273"/>
      <c r="D274" s="114"/>
      <c r="E274" s="114"/>
      <c r="F274" s="273"/>
      <c r="G274" s="118"/>
    </row>
    <row r="275" ht="15.75" customHeight="1">
      <c r="A275" s="273"/>
      <c r="B275" s="273"/>
      <c r="C275" s="273"/>
      <c r="D275" s="114"/>
      <c r="E275" s="114"/>
      <c r="F275" s="273"/>
      <c r="G275" s="118"/>
    </row>
    <row r="276" ht="15.75" customHeight="1">
      <c r="A276" s="273"/>
      <c r="B276" s="273"/>
      <c r="C276" s="273"/>
      <c r="D276" s="114"/>
      <c r="E276" s="114"/>
      <c r="F276" s="273"/>
      <c r="G276" s="118"/>
    </row>
    <row r="277" ht="15.75" customHeight="1">
      <c r="A277" s="273"/>
      <c r="B277" s="273"/>
      <c r="C277" s="273"/>
      <c r="D277" s="114"/>
      <c r="E277" s="114"/>
      <c r="F277" s="273"/>
      <c r="G277" s="118"/>
    </row>
    <row r="278" ht="15.75" customHeight="1">
      <c r="A278" s="273"/>
      <c r="B278" s="273"/>
      <c r="C278" s="273"/>
      <c r="D278" s="114"/>
      <c r="E278" s="114"/>
      <c r="F278" s="273"/>
      <c r="G278" s="118"/>
    </row>
    <row r="279" ht="15.75" customHeight="1">
      <c r="A279" s="273"/>
      <c r="B279" s="273"/>
      <c r="C279" s="273"/>
      <c r="D279" s="114"/>
      <c r="E279" s="114"/>
      <c r="F279" s="273"/>
      <c r="G279" s="118"/>
    </row>
    <row r="280" ht="15.75" customHeight="1">
      <c r="A280" s="273"/>
      <c r="B280" s="273"/>
      <c r="C280" s="273"/>
      <c r="D280" s="114"/>
      <c r="E280" s="114"/>
      <c r="F280" s="273"/>
      <c r="G280" s="118"/>
    </row>
    <row r="281" ht="15.75" customHeight="1">
      <c r="A281" s="273"/>
      <c r="B281" s="273"/>
      <c r="C281" s="273"/>
      <c r="D281" s="114"/>
      <c r="E281" s="114"/>
      <c r="F281" s="273"/>
      <c r="G281" s="118"/>
    </row>
    <row r="282" ht="15.75" customHeight="1">
      <c r="A282" s="273"/>
      <c r="B282" s="273"/>
      <c r="C282" s="273"/>
      <c r="D282" s="114"/>
      <c r="E282" s="114"/>
      <c r="F282" s="273"/>
      <c r="G282" s="118"/>
    </row>
    <row r="283" ht="15.75" customHeight="1">
      <c r="A283" s="273"/>
      <c r="B283" s="273"/>
      <c r="C283" s="273"/>
      <c r="D283" s="114"/>
      <c r="E283" s="114"/>
      <c r="F283" s="273"/>
      <c r="G283" s="118"/>
    </row>
    <row r="284" ht="15.75" customHeight="1">
      <c r="A284" s="273"/>
      <c r="B284" s="273"/>
      <c r="C284" s="273"/>
      <c r="D284" s="114"/>
      <c r="E284" s="114"/>
      <c r="F284" s="273"/>
      <c r="G284" s="118"/>
    </row>
    <row r="285" ht="15.75" customHeight="1">
      <c r="A285" s="273"/>
      <c r="B285" s="273"/>
      <c r="C285" s="273"/>
      <c r="D285" s="114"/>
      <c r="E285" s="114"/>
      <c r="F285" s="273"/>
      <c r="G285" s="118"/>
    </row>
    <row r="286" ht="15.75" customHeight="1">
      <c r="A286" s="273"/>
      <c r="B286" s="273"/>
      <c r="C286" s="273"/>
      <c r="D286" s="114"/>
      <c r="E286" s="114"/>
      <c r="F286" s="273"/>
      <c r="G286" s="118"/>
    </row>
    <row r="287" ht="15.75" customHeight="1">
      <c r="A287" s="273"/>
      <c r="B287" s="273"/>
      <c r="C287" s="273"/>
      <c r="D287" s="114"/>
      <c r="E287" s="114"/>
      <c r="F287" s="273"/>
      <c r="G287" s="118"/>
    </row>
    <row r="288" ht="15.75" customHeight="1">
      <c r="A288" s="273"/>
      <c r="B288" s="273"/>
      <c r="C288" s="273"/>
      <c r="D288" s="114"/>
      <c r="E288" s="114"/>
      <c r="F288" s="273"/>
      <c r="G288" s="118"/>
    </row>
    <row r="289" ht="15.75" customHeight="1">
      <c r="A289" s="273"/>
      <c r="B289" s="273"/>
      <c r="C289" s="273"/>
      <c r="D289" s="114"/>
      <c r="E289" s="114"/>
      <c r="F289" s="273"/>
      <c r="G289" s="118"/>
    </row>
    <row r="290" ht="15.75" customHeight="1">
      <c r="A290" s="273"/>
      <c r="B290" s="273"/>
      <c r="C290" s="273"/>
      <c r="D290" s="114"/>
      <c r="E290" s="114"/>
      <c r="F290" s="273"/>
      <c r="G290" s="118"/>
    </row>
    <row r="291" ht="15.75" customHeight="1">
      <c r="A291" s="273"/>
      <c r="B291" s="273"/>
      <c r="C291" s="273"/>
      <c r="D291" s="114"/>
      <c r="E291" s="114"/>
      <c r="F291" s="273"/>
      <c r="G291" s="118"/>
    </row>
    <row r="292" ht="15.75" customHeight="1">
      <c r="A292" s="273"/>
      <c r="B292" s="273"/>
      <c r="C292" s="273"/>
      <c r="D292" s="114"/>
      <c r="E292" s="114"/>
      <c r="F292" s="273"/>
      <c r="G292" s="118"/>
    </row>
    <row r="293" ht="15.75" customHeight="1">
      <c r="A293" s="273"/>
      <c r="B293" s="273"/>
      <c r="C293" s="273"/>
      <c r="D293" s="114"/>
      <c r="E293" s="114"/>
      <c r="F293" s="273"/>
      <c r="G293" s="118"/>
    </row>
    <row r="294" ht="15.75" customHeight="1">
      <c r="A294" s="273"/>
      <c r="B294" s="273"/>
      <c r="C294" s="273"/>
      <c r="D294" s="114"/>
      <c r="E294" s="114"/>
      <c r="F294" s="273"/>
      <c r="G294" s="118"/>
    </row>
    <row r="295" ht="15.75" customHeight="1">
      <c r="A295" s="273"/>
      <c r="B295" s="273"/>
      <c r="C295" s="273"/>
      <c r="D295" s="114"/>
      <c r="E295" s="114"/>
      <c r="F295" s="273"/>
      <c r="G295" s="118"/>
    </row>
    <row r="296" ht="15.75" customHeight="1">
      <c r="A296" s="273"/>
      <c r="B296" s="273"/>
      <c r="C296" s="273"/>
      <c r="D296" s="114"/>
      <c r="E296" s="114"/>
      <c r="F296" s="273"/>
      <c r="G296" s="118"/>
    </row>
    <row r="297" ht="15.75" customHeight="1">
      <c r="A297" s="273"/>
      <c r="B297" s="273"/>
      <c r="C297" s="273"/>
      <c r="D297" s="114"/>
      <c r="E297" s="114"/>
      <c r="F297" s="273"/>
      <c r="G297" s="118"/>
    </row>
    <row r="298" ht="15.75" customHeight="1">
      <c r="A298" s="273"/>
      <c r="B298" s="273"/>
      <c r="C298" s="273"/>
      <c r="D298" s="114"/>
      <c r="E298" s="114"/>
      <c r="F298" s="273"/>
      <c r="G298" s="118"/>
    </row>
    <row r="299" ht="15.75" customHeight="1">
      <c r="A299" s="273"/>
      <c r="B299" s="273"/>
      <c r="C299" s="273"/>
      <c r="D299" s="114"/>
      <c r="E299" s="114"/>
      <c r="F299" s="273"/>
      <c r="G299" s="118"/>
    </row>
    <row r="300" ht="15.75" customHeight="1">
      <c r="A300" s="273"/>
      <c r="B300" s="273"/>
      <c r="C300" s="273"/>
      <c r="D300" s="114"/>
      <c r="E300" s="114"/>
      <c r="F300" s="273"/>
      <c r="G300" s="118"/>
    </row>
    <row r="301" ht="15.75" customHeight="1">
      <c r="A301" s="273"/>
      <c r="B301" s="273"/>
      <c r="C301" s="273"/>
      <c r="D301" s="114"/>
      <c r="E301" s="114"/>
      <c r="F301" s="273"/>
      <c r="G301" s="118"/>
    </row>
    <row r="302" ht="15.75" customHeight="1">
      <c r="A302" s="273"/>
      <c r="B302" s="273"/>
      <c r="C302" s="273"/>
      <c r="D302" s="114"/>
      <c r="E302" s="114"/>
      <c r="F302" s="273"/>
      <c r="G302" s="118"/>
    </row>
    <row r="303" ht="15.75" customHeight="1">
      <c r="A303" s="273"/>
      <c r="B303" s="273"/>
      <c r="C303" s="273"/>
      <c r="D303" s="114"/>
      <c r="E303" s="114"/>
      <c r="F303" s="273"/>
      <c r="G303" s="118"/>
    </row>
    <row r="304" ht="15.75" customHeight="1">
      <c r="A304" s="273"/>
      <c r="B304" s="273"/>
      <c r="C304" s="273"/>
      <c r="D304" s="114"/>
      <c r="E304" s="114"/>
      <c r="F304" s="273"/>
      <c r="G304" s="118"/>
    </row>
    <row r="305" ht="15.75" customHeight="1">
      <c r="A305" s="273"/>
      <c r="B305" s="273"/>
      <c r="C305" s="273"/>
      <c r="D305" s="114"/>
      <c r="E305" s="114"/>
      <c r="F305" s="273"/>
      <c r="G305" s="118"/>
    </row>
    <row r="306" ht="15.75" customHeight="1">
      <c r="A306" s="273"/>
      <c r="B306" s="273"/>
      <c r="C306" s="273"/>
      <c r="D306" s="114"/>
      <c r="E306" s="114"/>
      <c r="F306" s="273"/>
      <c r="G306" s="118"/>
    </row>
    <row r="307" ht="15.75" customHeight="1">
      <c r="A307" s="273"/>
      <c r="B307" s="273"/>
      <c r="C307" s="273"/>
      <c r="D307" s="114"/>
      <c r="E307" s="114"/>
      <c r="F307" s="273"/>
      <c r="G307" s="118"/>
    </row>
    <row r="308" ht="15.75" customHeight="1">
      <c r="A308" s="273"/>
      <c r="B308" s="273"/>
      <c r="C308" s="273"/>
      <c r="D308" s="114"/>
      <c r="E308" s="114"/>
      <c r="F308" s="273"/>
      <c r="G308" s="118"/>
    </row>
    <row r="309" ht="15.75" customHeight="1">
      <c r="A309" s="273"/>
      <c r="B309" s="273"/>
      <c r="C309" s="273"/>
      <c r="D309" s="114"/>
      <c r="E309" s="114"/>
      <c r="F309" s="273"/>
      <c r="G309" s="118"/>
    </row>
    <row r="310" ht="15.75" customHeight="1">
      <c r="A310" s="273"/>
      <c r="B310" s="273"/>
      <c r="C310" s="273"/>
      <c r="D310" s="114"/>
      <c r="E310" s="114"/>
      <c r="F310" s="273"/>
      <c r="G310" s="118"/>
    </row>
    <row r="311" ht="15.75" customHeight="1">
      <c r="A311" s="273"/>
      <c r="B311" s="273"/>
      <c r="C311" s="273"/>
      <c r="D311" s="114"/>
      <c r="E311" s="114"/>
      <c r="F311" s="273"/>
      <c r="G311" s="118"/>
    </row>
    <row r="312" ht="15.75" customHeight="1">
      <c r="A312" s="273"/>
      <c r="B312" s="273"/>
      <c r="C312" s="273"/>
      <c r="D312" s="114"/>
      <c r="E312" s="114"/>
      <c r="F312" s="273"/>
      <c r="G312" s="118"/>
    </row>
    <row r="313" ht="15.75" customHeight="1">
      <c r="A313" s="273"/>
      <c r="B313" s="273"/>
      <c r="C313" s="273"/>
      <c r="D313" s="114"/>
      <c r="E313" s="114"/>
      <c r="F313" s="273"/>
      <c r="G313" s="118"/>
    </row>
    <row r="314" ht="15.75" customHeight="1">
      <c r="A314" s="273"/>
      <c r="B314" s="273"/>
      <c r="C314" s="273"/>
      <c r="D314" s="114"/>
      <c r="E314" s="114"/>
      <c r="F314" s="273"/>
      <c r="G314" s="118"/>
    </row>
    <row r="315" ht="15.75" customHeight="1">
      <c r="A315" s="273"/>
      <c r="B315" s="273"/>
      <c r="C315" s="273"/>
      <c r="D315" s="114"/>
      <c r="E315" s="114"/>
      <c r="F315" s="273"/>
      <c r="G315" s="118"/>
    </row>
    <row r="316" ht="15.75" customHeight="1">
      <c r="A316" s="273"/>
      <c r="B316" s="273"/>
      <c r="C316" s="273"/>
      <c r="D316" s="114"/>
      <c r="E316" s="114"/>
      <c r="F316" s="273"/>
      <c r="G316" s="118"/>
    </row>
    <row r="317" ht="15.75" customHeight="1">
      <c r="A317" s="273"/>
      <c r="B317" s="273"/>
      <c r="C317" s="273"/>
      <c r="D317" s="114"/>
      <c r="E317" s="114"/>
      <c r="F317" s="273"/>
      <c r="G317" s="118"/>
    </row>
    <row r="318" ht="15.75" customHeight="1">
      <c r="A318" s="273"/>
      <c r="B318" s="273"/>
      <c r="C318" s="273"/>
      <c r="D318" s="114"/>
      <c r="E318" s="114"/>
      <c r="F318" s="273"/>
      <c r="G318" s="118"/>
    </row>
    <row r="319" ht="15.75" customHeight="1">
      <c r="A319" s="273"/>
      <c r="B319" s="273"/>
      <c r="C319" s="273"/>
      <c r="D319" s="114"/>
      <c r="E319" s="114"/>
      <c r="F319" s="273"/>
      <c r="G319" s="118"/>
    </row>
    <row r="320" ht="15.75" customHeight="1">
      <c r="A320" s="273"/>
      <c r="B320" s="273"/>
      <c r="C320" s="273"/>
      <c r="D320" s="114"/>
      <c r="E320" s="114"/>
      <c r="F320" s="273"/>
      <c r="G320" s="118"/>
    </row>
    <row r="321" ht="15.75" customHeight="1">
      <c r="A321" s="273"/>
      <c r="B321" s="273"/>
      <c r="C321" s="273"/>
      <c r="D321" s="114"/>
      <c r="E321" s="114"/>
      <c r="F321" s="273"/>
      <c r="G321" s="118"/>
    </row>
    <row r="322" ht="15.75" customHeight="1">
      <c r="A322" s="273"/>
      <c r="B322" s="273"/>
      <c r="C322" s="273"/>
      <c r="D322" s="114"/>
      <c r="E322" s="114"/>
      <c r="F322" s="273"/>
      <c r="G322" s="118"/>
    </row>
    <row r="323" ht="15.75" customHeight="1">
      <c r="A323" s="273"/>
      <c r="B323" s="273"/>
      <c r="C323" s="273"/>
      <c r="D323" s="114"/>
      <c r="E323" s="114"/>
      <c r="F323" s="273"/>
      <c r="G323" s="118"/>
    </row>
    <row r="324" ht="15.75" customHeight="1">
      <c r="A324" s="273"/>
      <c r="B324" s="273"/>
      <c r="C324" s="273"/>
      <c r="D324" s="114"/>
      <c r="E324" s="114"/>
      <c r="F324" s="273"/>
      <c r="G324" s="118"/>
    </row>
    <row r="325" ht="15.75" customHeight="1">
      <c r="A325" s="273"/>
      <c r="B325" s="273"/>
      <c r="C325" s="273"/>
      <c r="D325" s="114"/>
      <c r="E325" s="114"/>
      <c r="F325" s="273"/>
      <c r="G325" s="118"/>
    </row>
    <row r="326" ht="15.75" customHeight="1">
      <c r="A326" s="273"/>
      <c r="B326" s="273"/>
      <c r="C326" s="273"/>
      <c r="D326" s="114"/>
      <c r="E326" s="114"/>
      <c r="F326" s="273"/>
      <c r="G326" s="118"/>
    </row>
    <row r="327" ht="15.75" customHeight="1">
      <c r="A327" s="273"/>
      <c r="B327" s="273"/>
      <c r="C327" s="273"/>
      <c r="D327" s="114"/>
      <c r="E327" s="114"/>
      <c r="F327" s="273"/>
      <c r="G327" s="118"/>
    </row>
    <row r="328" ht="15.75" customHeight="1">
      <c r="A328" s="273"/>
      <c r="B328" s="273"/>
      <c r="C328" s="273"/>
      <c r="D328" s="114"/>
      <c r="E328" s="114"/>
      <c r="F328" s="273"/>
      <c r="G328" s="118"/>
    </row>
    <row r="329" ht="15.75" customHeight="1">
      <c r="A329" s="273"/>
      <c r="B329" s="273"/>
      <c r="C329" s="273"/>
      <c r="D329" s="114"/>
      <c r="E329" s="114"/>
      <c r="F329" s="273"/>
      <c r="G329" s="118"/>
    </row>
    <row r="330" ht="15.75" customHeight="1">
      <c r="A330" s="273"/>
      <c r="B330" s="273"/>
      <c r="C330" s="273"/>
      <c r="D330" s="114"/>
      <c r="E330" s="114"/>
      <c r="F330" s="273"/>
      <c r="G330" s="118"/>
    </row>
    <row r="331" ht="15.75" customHeight="1">
      <c r="A331" s="273"/>
      <c r="B331" s="273"/>
      <c r="C331" s="273"/>
      <c r="D331" s="114"/>
      <c r="E331" s="114"/>
      <c r="F331" s="273"/>
      <c r="G331" s="118"/>
    </row>
    <row r="332" ht="15.75" customHeight="1">
      <c r="A332" s="273"/>
      <c r="B332" s="273"/>
      <c r="C332" s="273"/>
      <c r="D332" s="114"/>
      <c r="E332" s="114"/>
      <c r="F332" s="273"/>
      <c r="G332" s="118"/>
    </row>
    <row r="333" ht="15.75" customHeight="1">
      <c r="A333" s="273"/>
      <c r="B333" s="273"/>
      <c r="C333" s="273"/>
      <c r="D333" s="114"/>
      <c r="E333" s="114"/>
      <c r="F333" s="273"/>
      <c r="G333" s="118"/>
    </row>
    <row r="334" ht="15.75" customHeight="1">
      <c r="A334" s="273"/>
      <c r="B334" s="273"/>
      <c r="C334" s="273"/>
      <c r="D334" s="114"/>
      <c r="E334" s="114"/>
      <c r="F334" s="273"/>
      <c r="G334" s="118"/>
    </row>
    <row r="335" ht="15.75" customHeight="1">
      <c r="A335" s="273"/>
      <c r="B335" s="273"/>
      <c r="C335" s="273"/>
      <c r="D335" s="114"/>
      <c r="E335" s="114"/>
      <c r="F335" s="273"/>
      <c r="G335" s="118"/>
    </row>
    <row r="336" ht="15.75" customHeight="1">
      <c r="A336" s="273"/>
      <c r="B336" s="273"/>
      <c r="C336" s="273"/>
      <c r="D336" s="114"/>
      <c r="E336" s="114"/>
      <c r="F336" s="273"/>
      <c r="G336" s="118"/>
    </row>
    <row r="337" ht="15.75" customHeight="1">
      <c r="A337" s="273"/>
      <c r="B337" s="273"/>
      <c r="C337" s="273"/>
      <c r="D337" s="114"/>
      <c r="E337" s="114"/>
      <c r="F337" s="273"/>
      <c r="G337" s="118"/>
    </row>
    <row r="338" ht="15.75" customHeight="1">
      <c r="A338" s="273"/>
      <c r="B338" s="273"/>
      <c r="C338" s="273"/>
      <c r="D338" s="114"/>
      <c r="E338" s="114"/>
      <c r="F338" s="273"/>
      <c r="G338" s="118"/>
    </row>
    <row r="339" ht="15.75" customHeight="1">
      <c r="A339" s="273"/>
      <c r="B339" s="273"/>
      <c r="C339" s="273"/>
      <c r="D339" s="114"/>
      <c r="E339" s="114"/>
      <c r="F339" s="273"/>
      <c r="G339" s="118"/>
    </row>
    <row r="340" ht="15.75" customHeight="1">
      <c r="A340" s="273"/>
      <c r="B340" s="273"/>
      <c r="C340" s="273"/>
      <c r="D340" s="114"/>
      <c r="E340" s="114"/>
      <c r="F340" s="273"/>
      <c r="G340" s="118"/>
    </row>
    <row r="341" ht="15.75" customHeight="1">
      <c r="A341" s="273"/>
      <c r="B341" s="273"/>
      <c r="C341" s="273"/>
      <c r="D341" s="114"/>
      <c r="E341" s="114"/>
      <c r="F341" s="273"/>
      <c r="G341" s="118"/>
    </row>
    <row r="342" ht="15.75" customHeight="1">
      <c r="A342" s="273"/>
      <c r="B342" s="273"/>
      <c r="C342" s="273"/>
      <c r="D342" s="114"/>
      <c r="E342" s="114"/>
      <c r="F342" s="273"/>
      <c r="G342" s="118"/>
    </row>
    <row r="343" ht="15.75" customHeight="1">
      <c r="A343" s="273"/>
      <c r="B343" s="273"/>
      <c r="C343" s="273"/>
      <c r="D343" s="114"/>
      <c r="E343" s="114"/>
      <c r="F343" s="273"/>
      <c r="G343" s="118"/>
    </row>
    <row r="344" ht="15.75" customHeight="1">
      <c r="A344" s="273"/>
      <c r="B344" s="273"/>
      <c r="C344" s="273"/>
      <c r="D344" s="114"/>
      <c r="E344" s="114"/>
      <c r="F344" s="273"/>
      <c r="G344" s="118"/>
    </row>
    <row r="345" ht="15.75" customHeight="1">
      <c r="A345" s="273"/>
      <c r="B345" s="273"/>
      <c r="C345" s="273"/>
      <c r="D345" s="114"/>
      <c r="E345" s="114"/>
      <c r="F345" s="273"/>
      <c r="G345" s="118"/>
    </row>
    <row r="346" ht="15.75" customHeight="1">
      <c r="A346" s="273"/>
      <c r="B346" s="273"/>
      <c r="C346" s="273"/>
      <c r="D346" s="114"/>
      <c r="E346" s="114"/>
      <c r="F346" s="273"/>
      <c r="G346" s="118"/>
    </row>
    <row r="347" ht="15.75" customHeight="1">
      <c r="A347" s="273"/>
      <c r="B347" s="273"/>
      <c r="C347" s="273"/>
      <c r="D347" s="114"/>
      <c r="E347" s="114"/>
      <c r="F347" s="273"/>
      <c r="G347" s="118"/>
    </row>
    <row r="348" ht="15.75" customHeight="1">
      <c r="A348" s="273"/>
      <c r="B348" s="273"/>
      <c r="C348" s="273"/>
      <c r="D348" s="114"/>
      <c r="E348" s="114"/>
      <c r="F348" s="273"/>
      <c r="G348" s="118"/>
    </row>
    <row r="349" ht="15.75" customHeight="1">
      <c r="A349" s="273"/>
      <c r="B349" s="273"/>
      <c r="C349" s="273"/>
      <c r="D349" s="114"/>
      <c r="E349" s="114"/>
      <c r="F349" s="273"/>
      <c r="G349" s="118"/>
    </row>
    <row r="350" ht="15.75" customHeight="1">
      <c r="A350" s="273"/>
      <c r="B350" s="273"/>
      <c r="C350" s="273"/>
      <c r="D350" s="114"/>
      <c r="E350" s="114"/>
      <c r="F350" s="273"/>
      <c r="G350" s="118"/>
    </row>
    <row r="351" ht="15.75" customHeight="1">
      <c r="A351" s="273"/>
      <c r="B351" s="273"/>
      <c r="C351" s="273"/>
      <c r="D351" s="114"/>
      <c r="E351" s="114"/>
      <c r="F351" s="273"/>
      <c r="G351" s="118"/>
    </row>
    <row r="352" ht="15.75" customHeight="1">
      <c r="A352" s="273"/>
      <c r="B352" s="273"/>
      <c r="C352" s="273"/>
      <c r="D352" s="114"/>
      <c r="E352" s="114"/>
      <c r="F352" s="273"/>
      <c r="G352" s="118"/>
    </row>
    <row r="353" ht="15.75" customHeight="1">
      <c r="A353" s="273"/>
      <c r="B353" s="273"/>
      <c r="C353" s="273"/>
      <c r="D353" s="114"/>
      <c r="E353" s="114"/>
      <c r="F353" s="273"/>
      <c r="G353" s="118"/>
    </row>
    <row r="354" ht="15.75" customHeight="1">
      <c r="A354" s="273"/>
      <c r="B354" s="273"/>
      <c r="C354" s="273"/>
      <c r="D354" s="114"/>
      <c r="E354" s="114"/>
      <c r="F354" s="273"/>
      <c r="G354" s="118"/>
    </row>
    <row r="355" ht="15.75" customHeight="1">
      <c r="A355" s="273"/>
      <c r="B355" s="273"/>
      <c r="C355" s="273"/>
      <c r="D355" s="114"/>
      <c r="E355" s="114"/>
      <c r="F355" s="273"/>
      <c r="G355" s="118"/>
    </row>
    <row r="356" ht="15.75" customHeight="1">
      <c r="A356" s="273"/>
      <c r="B356" s="273"/>
      <c r="C356" s="273"/>
      <c r="D356" s="114"/>
      <c r="E356" s="114"/>
      <c r="F356" s="273"/>
      <c r="G356" s="118"/>
    </row>
    <row r="357" ht="15.75" customHeight="1">
      <c r="A357" s="273"/>
      <c r="B357" s="273"/>
      <c r="C357" s="273"/>
      <c r="D357" s="114"/>
      <c r="E357" s="114"/>
      <c r="F357" s="273"/>
      <c r="G357" s="118"/>
    </row>
    <row r="358" ht="15.75" customHeight="1">
      <c r="A358" s="273"/>
      <c r="B358" s="273"/>
      <c r="C358" s="273"/>
      <c r="D358" s="114"/>
      <c r="E358" s="114"/>
      <c r="F358" s="273"/>
      <c r="G358" s="118"/>
    </row>
    <row r="359" ht="15.75" customHeight="1">
      <c r="A359" s="273"/>
      <c r="B359" s="273"/>
      <c r="C359" s="273"/>
      <c r="D359" s="114"/>
      <c r="E359" s="114"/>
      <c r="F359" s="273"/>
      <c r="G359" s="118"/>
    </row>
    <row r="360" ht="15.75" customHeight="1">
      <c r="A360" s="273"/>
      <c r="B360" s="273"/>
      <c r="C360" s="273"/>
      <c r="D360" s="114"/>
      <c r="E360" s="114"/>
      <c r="F360" s="273"/>
      <c r="G360" s="118"/>
    </row>
    <row r="361" ht="15.75" customHeight="1">
      <c r="A361" s="273"/>
      <c r="B361" s="273"/>
      <c r="C361" s="273"/>
      <c r="D361" s="114"/>
      <c r="E361" s="114"/>
      <c r="F361" s="273"/>
      <c r="G361" s="118"/>
    </row>
    <row r="362" ht="15.75" customHeight="1">
      <c r="A362" s="273"/>
      <c r="B362" s="273"/>
      <c r="C362" s="273"/>
      <c r="D362" s="114"/>
      <c r="E362" s="114"/>
      <c r="F362" s="273"/>
      <c r="G362" s="118"/>
    </row>
    <row r="363" ht="15.75" customHeight="1">
      <c r="A363" s="273"/>
      <c r="B363" s="273"/>
      <c r="C363" s="273"/>
      <c r="D363" s="114"/>
      <c r="E363" s="114"/>
      <c r="F363" s="273"/>
      <c r="G363" s="118"/>
    </row>
    <row r="364" ht="15.75" customHeight="1">
      <c r="A364" s="273"/>
      <c r="B364" s="273"/>
      <c r="C364" s="273"/>
      <c r="D364" s="114"/>
      <c r="E364" s="114"/>
      <c r="F364" s="273"/>
      <c r="G364" s="118"/>
    </row>
    <row r="365" ht="15.75" customHeight="1">
      <c r="A365" s="273"/>
      <c r="B365" s="273"/>
      <c r="C365" s="273"/>
      <c r="D365" s="114"/>
      <c r="E365" s="114"/>
      <c r="F365" s="273"/>
      <c r="G365" s="118"/>
    </row>
    <row r="366" ht="15.75" customHeight="1">
      <c r="A366" s="273"/>
      <c r="B366" s="273"/>
      <c r="C366" s="273"/>
      <c r="D366" s="114"/>
      <c r="E366" s="114"/>
      <c r="F366" s="273"/>
      <c r="G366" s="118"/>
    </row>
    <row r="367" ht="15.75" customHeight="1">
      <c r="A367" s="273"/>
      <c r="B367" s="273"/>
      <c r="C367" s="273"/>
      <c r="D367" s="114"/>
      <c r="E367" s="114"/>
      <c r="F367" s="273"/>
      <c r="G367" s="118"/>
    </row>
    <row r="368" ht="15.75" customHeight="1">
      <c r="A368" s="273"/>
      <c r="B368" s="273"/>
      <c r="C368" s="273"/>
      <c r="D368" s="114"/>
      <c r="E368" s="114"/>
      <c r="F368" s="273"/>
      <c r="G368" s="118"/>
    </row>
    <row r="369" ht="15.75" customHeight="1">
      <c r="A369" s="273"/>
      <c r="B369" s="273"/>
      <c r="C369" s="273"/>
      <c r="D369" s="114"/>
      <c r="E369" s="114"/>
      <c r="F369" s="273"/>
      <c r="G369" s="118"/>
    </row>
    <row r="370" ht="15.75" customHeight="1">
      <c r="A370" s="273"/>
      <c r="B370" s="273"/>
      <c r="C370" s="273"/>
      <c r="D370" s="114"/>
      <c r="E370" s="114"/>
      <c r="F370" s="273"/>
      <c r="G370" s="118"/>
    </row>
    <row r="371" ht="15.75" customHeight="1">
      <c r="A371" s="273"/>
      <c r="B371" s="273"/>
      <c r="C371" s="273"/>
      <c r="D371" s="114"/>
      <c r="E371" s="114"/>
      <c r="F371" s="273"/>
      <c r="G371" s="118"/>
    </row>
    <row r="372" ht="15.75" customHeight="1">
      <c r="A372" s="273"/>
      <c r="B372" s="273"/>
      <c r="C372" s="273"/>
      <c r="D372" s="114"/>
      <c r="E372" s="114"/>
      <c r="F372" s="273"/>
      <c r="G372" s="118"/>
    </row>
    <row r="373" ht="15.75" customHeight="1">
      <c r="A373" s="273"/>
      <c r="B373" s="273"/>
      <c r="C373" s="273"/>
      <c r="D373" s="114"/>
      <c r="E373" s="114"/>
      <c r="F373" s="273"/>
      <c r="G373" s="118"/>
    </row>
    <row r="374" ht="15.75" customHeight="1">
      <c r="A374" s="273"/>
      <c r="B374" s="273"/>
      <c r="C374" s="273"/>
      <c r="D374" s="114"/>
      <c r="E374" s="114"/>
      <c r="F374" s="273"/>
      <c r="G374" s="118"/>
    </row>
    <row r="375" ht="15.75" customHeight="1">
      <c r="A375" s="273"/>
      <c r="B375" s="273"/>
      <c r="C375" s="273"/>
      <c r="D375" s="114"/>
      <c r="E375" s="114"/>
      <c r="F375" s="273"/>
      <c r="G375" s="118"/>
    </row>
    <row r="376" ht="15.75" customHeight="1">
      <c r="A376" s="273"/>
      <c r="B376" s="273"/>
      <c r="C376" s="273"/>
      <c r="D376" s="114"/>
      <c r="E376" s="114"/>
      <c r="F376" s="273"/>
      <c r="G376" s="118"/>
    </row>
    <row r="377" ht="15.75" customHeight="1">
      <c r="A377" s="273"/>
      <c r="B377" s="273"/>
      <c r="C377" s="273"/>
      <c r="D377" s="114"/>
      <c r="E377" s="114"/>
      <c r="F377" s="273"/>
      <c r="G377" s="118"/>
    </row>
    <row r="378" ht="15.75" customHeight="1">
      <c r="A378" s="273"/>
      <c r="B378" s="273"/>
      <c r="C378" s="273"/>
      <c r="D378" s="114"/>
      <c r="E378" s="114"/>
      <c r="F378" s="273"/>
      <c r="G378" s="118"/>
    </row>
    <row r="379" ht="15.75" customHeight="1">
      <c r="A379" s="273"/>
      <c r="B379" s="273"/>
      <c r="C379" s="273"/>
      <c r="D379" s="114"/>
      <c r="E379" s="114"/>
      <c r="F379" s="273"/>
      <c r="G379" s="118"/>
    </row>
    <row r="380" ht="15.75" customHeight="1">
      <c r="A380" s="273"/>
      <c r="B380" s="273"/>
      <c r="C380" s="273"/>
      <c r="D380" s="114"/>
      <c r="E380" s="114"/>
      <c r="F380" s="273"/>
      <c r="G380" s="118"/>
    </row>
    <row r="381" ht="15.75" customHeight="1">
      <c r="A381" s="273"/>
      <c r="B381" s="273"/>
      <c r="C381" s="273"/>
      <c r="D381" s="114"/>
      <c r="E381" s="114"/>
      <c r="F381" s="273"/>
      <c r="G381" s="118"/>
    </row>
    <row r="382" ht="15.75" customHeight="1">
      <c r="A382" s="273"/>
      <c r="B382" s="273"/>
      <c r="C382" s="273"/>
      <c r="D382" s="114"/>
      <c r="E382" s="114"/>
      <c r="F382" s="273"/>
      <c r="G382" s="118"/>
    </row>
    <row r="383" ht="15.75" customHeight="1">
      <c r="A383" s="273"/>
      <c r="B383" s="273"/>
      <c r="C383" s="273"/>
      <c r="D383" s="114"/>
      <c r="E383" s="114"/>
      <c r="F383" s="273"/>
      <c r="G383" s="118"/>
    </row>
    <row r="384" ht="15.75" customHeight="1">
      <c r="A384" s="273"/>
      <c r="B384" s="273"/>
      <c r="C384" s="273"/>
      <c r="D384" s="114"/>
      <c r="E384" s="114"/>
      <c r="F384" s="273"/>
      <c r="G384" s="118"/>
    </row>
    <row r="385" ht="15.75" customHeight="1">
      <c r="A385" s="273"/>
      <c r="B385" s="273"/>
      <c r="C385" s="273"/>
      <c r="D385" s="114"/>
      <c r="E385" s="114"/>
      <c r="F385" s="273"/>
      <c r="G385" s="118"/>
    </row>
    <row r="386" ht="15.75" customHeight="1">
      <c r="A386" s="273"/>
      <c r="B386" s="273"/>
      <c r="C386" s="273"/>
      <c r="D386" s="114"/>
      <c r="E386" s="114"/>
      <c r="F386" s="273"/>
      <c r="G386" s="118"/>
    </row>
    <row r="387" ht="15.75" customHeight="1">
      <c r="A387" s="273"/>
      <c r="B387" s="273"/>
      <c r="C387" s="273"/>
      <c r="D387" s="114"/>
      <c r="E387" s="114"/>
      <c r="F387" s="273"/>
      <c r="G387" s="118"/>
    </row>
    <row r="388" ht="15.75" customHeight="1">
      <c r="A388" s="273"/>
      <c r="B388" s="273"/>
      <c r="C388" s="273"/>
      <c r="D388" s="114"/>
      <c r="E388" s="114"/>
      <c r="F388" s="273"/>
      <c r="G388" s="118"/>
    </row>
    <row r="389" ht="15.75" customHeight="1">
      <c r="A389" s="273"/>
      <c r="B389" s="273"/>
      <c r="C389" s="273"/>
      <c r="D389" s="114"/>
      <c r="E389" s="114"/>
      <c r="F389" s="273"/>
      <c r="G389" s="118"/>
    </row>
    <row r="390" ht="15.75" customHeight="1">
      <c r="A390" s="273"/>
      <c r="B390" s="273"/>
      <c r="C390" s="273"/>
      <c r="D390" s="114"/>
      <c r="E390" s="114"/>
      <c r="F390" s="273"/>
      <c r="G390" s="118"/>
    </row>
    <row r="391" ht="15.75" customHeight="1">
      <c r="A391" s="273"/>
      <c r="B391" s="273"/>
      <c r="C391" s="273"/>
      <c r="D391" s="114"/>
      <c r="E391" s="114"/>
      <c r="F391" s="273"/>
      <c r="G391" s="118"/>
    </row>
    <row r="392" ht="15.75" customHeight="1">
      <c r="A392" s="273"/>
      <c r="B392" s="273"/>
      <c r="C392" s="273"/>
      <c r="D392" s="114"/>
      <c r="E392" s="114"/>
      <c r="F392" s="273"/>
      <c r="G392" s="118"/>
    </row>
    <row r="393" ht="15.75" customHeight="1">
      <c r="A393" s="273"/>
      <c r="B393" s="273"/>
      <c r="C393" s="273"/>
      <c r="D393" s="114"/>
      <c r="E393" s="114"/>
      <c r="F393" s="273"/>
      <c r="G393" s="118"/>
    </row>
    <row r="394" ht="15.75" customHeight="1">
      <c r="A394" s="273"/>
      <c r="B394" s="273"/>
      <c r="C394" s="273"/>
      <c r="D394" s="114"/>
      <c r="E394" s="114"/>
      <c r="F394" s="273"/>
      <c r="G394" s="118"/>
    </row>
    <row r="395" ht="15.75" customHeight="1">
      <c r="A395" s="273"/>
      <c r="B395" s="273"/>
      <c r="C395" s="273"/>
      <c r="D395" s="114"/>
      <c r="E395" s="114"/>
      <c r="F395" s="273"/>
      <c r="G395" s="118"/>
    </row>
    <row r="396" ht="15.75" customHeight="1">
      <c r="A396" s="273"/>
      <c r="B396" s="273"/>
      <c r="C396" s="273"/>
      <c r="D396" s="114"/>
      <c r="E396" s="114"/>
      <c r="F396" s="273"/>
      <c r="G396" s="118"/>
    </row>
    <row r="397" ht="15.75" customHeight="1">
      <c r="A397" s="273"/>
      <c r="B397" s="273"/>
      <c r="C397" s="273"/>
      <c r="D397" s="114"/>
      <c r="E397" s="114"/>
      <c r="F397" s="273"/>
      <c r="G397" s="118"/>
    </row>
    <row r="398" ht="15.75" customHeight="1">
      <c r="A398" s="273"/>
      <c r="B398" s="273"/>
      <c r="C398" s="273"/>
      <c r="D398" s="114"/>
      <c r="E398" s="114"/>
      <c r="F398" s="273"/>
      <c r="G398" s="118"/>
    </row>
    <row r="399" ht="15.75" customHeight="1">
      <c r="A399" s="273"/>
      <c r="B399" s="273"/>
      <c r="C399" s="273"/>
      <c r="D399" s="114"/>
      <c r="E399" s="114"/>
      <c r="F399" s="273"/>
      <c r="G399" s="118"/>
    </row>
    <row r="400" ht="15.75" customHeight="1">
      <c r="A400" s="273"/>
      <c r="B400" s="273"/>
      <c r="C400" s="273"/>
      <c r="D400" s="114"/>
      <c r="E400" s="114"/>
      <c r="F400" s="273"/>
      <c r="G400" s="118"/>
    </row>
    <row r="401" ht="15.75" customHeight="1">
      <c r="A401" s="273"/>
      <c r="B401" s="273"/>
      <c r="C401" s="273"/>
      <c r="D401" s="114"/>
      <c r="E401" s="114"/>
      <c r="F401" s="273"/>
      <c r="G401" s="118"/>
    </row>
    <row r="402" ht="15.75" customHeight="1">
      <c r="A402" s="273"/>
      <c r="B402" s="273"/>
      <c r="C402" s="273"/>
      <c r="D402" s="114"/>
      <c r="E402" s="114"/>
      <c r="F402" s="273"/>
      <c r="G402" s="118"/>
    </row>
    <row r="403" ht="15.75" customHeight="1">
      <c r="A403" s="273"/>
      <c r="B403" s="273"/>
      <c r="C403" s="273"/>
      <c r="D403" s="114"/>
      <c r="E403" s="114"/>
      <c r="F403" s="273"/>
      <c r="G403" s="118"/>
    </row>
    <row r="404" ht="15.75" customHeight="1">
      <c r="A404" s="273"/>
      <c r="B404" s="273"/>
      <c r="C404" s="273"/>
      <c r="D404" s="114"/>
      <c r="E404" s="114"/>
      <c r="F404" s="273"/>
      <c r="G404" s="118"/>
    </row>
    <row r="405" ht="15.75" customHeight="1">
      <c r="A405" s="273"/>
      <c r="B405" s="273"/>
      <c r="C405" s="273"/>
      <c r="D405" s="114"/>
      <c r="E405" s="114"/>
      <c r="F405" s="273"/>
      <c r="G405" s="118"/>
    </row>
    <row r="406" ht="15.75" customHeight="1">
      <c r="A406" s="273"/>
      <c r="B406" s="273"/>
      <c r="C406" s="273"/>
      <c r="D406" s="114"/>
      <c r="E406" s="114"/>
      <c r="F406" s="273"/>
      <c r="G406" s="118"/>
    </row>
    <row r="407" ht="15.75" customHeight="1">
      <c r="A407" s="273"/>
      <c r="B407" s="273"/>
      <c r="C407" s="273"/>
      <c r="D407" s="114"/>
      <c r="E407" s="114"/>
      <c r="F407" s="273"/>
      <c r="G407" s="118"/>
    </row>
    <row r="408" ht="15.75" customHeight="1">
      <c r="A408" s="273"/>
      <c r="B408" s="273"/>
      <c r="C408" s="273"/>
      <c r="D408" s="114"/>
      <c r="E408" s="114"/>
      <c r="F408" s="273"/>
      <c r="G408" s="118"/>
    </row>
    <row r="409" ht="15.75" customHeight="1">
      <c r="A409" s="273"/>
      <c r="B409" s="273"/>
      <c r="C409" s="273"/>
      <c r="D409" s="114"/>
      <c r="E409" s="114"/>
      <c r="F409" s="273"/>
      <c r="G409" s="118"/>
    </row>
    <row r="410" ht="15.75" customHeight="1">
      <c r="A410" s="273"/>
      <c r="B410" s="273"/>
      <c r="C410" s="273"/>
      <c r="D410" s="114"/>
      <c r="E410" s="114"/>
      <c r="F410" s="273"/>
      <c r="G410" s="118"/>
    </row>
    <row r="411" ht="15.75" customHeight="1">
      <c r="A411" s="273"/>
      <c r="B411" s="273"/>
      <c r="C411" s="273"/>
      <c r="D411" s="114"/>
      <c r="E411" s="114"/>
      <c r="F411" s="273"/>
      <c r="G411" s="118"/>
    </row>
    <row r="412" ht="15.75" customHeight="1">
      <c r="A412" s="273"/>
      <c r="B412" s="273"/>
      <c r="C412" s="273"/>
      <c r="D412" s="114"/>
      <c r="E412" s="114"/>
      <c r="F412" s="273"/>
      <c r="G412" s="118"/>
    </row>
    <row r="413" ht="15.75" customHeight="1">
      <c r="A413" s="273"/>
      <c r="B413" s="273"/>
      <c r="C413" s="273"/>
      <c r="D413" s="114"/>
      <c r="E413" s="114"/>
      <c r="F413" s="273"/>
      <c r="G413" s="118"/>
    </row>
    <row r="414" ht="15.75" customHeight="1">
      <c r="A414" s="273"/>
      <c r="B414" s="273"/>
      <c r="C414" s="273"/>
      <c r="D414" s="114"/>
      <c r="E414" s="114"/>
      <c r="F414" s="273"/>
      <c r="G414" s="118"/>
    </row>
    <row r="415" ht="15.75" customHeight="1">
      <c r="A415" s="273"/>
      <c r="B415" s="273"/>
      <c r="C415" s="273"/>
      <c r="D415" s="114"/>
      <c r="E415" s="114"/>
      <c r="F415" s="273"/>
      <c r="G415" s="118"/>
    </row>
    <row r="416" ht="15.75" customHeight="1">
      <c r="A416" s="273"/>
      <c r="B416" s="273"/>
      <c r="C416" s="273"/>
      <c r="D416" s="114"/>
      <c r="E416" s="114"/>
      <c r="F416" s="273"/>
      <c r="G416" s="118"/>
    </row>
    <row r="417" ht="15.75" customHeight="1">
      <c r="A417" s="273"/>
      <c r="B417" s="273"/>
      <c r="C417" s="273"/>
      <c r="D417" s="114"/>
      <c r="E417" s="114"/>
      <c r="F417" s="273"/>
      <c r="G417" s="118"/>
    </row>
    <row r="418" ht="15.75" customHeight="1">
      <c r="A418" s="273"/>
      <c r="B418" s="273"/>
      <c r="C418" s="273"/>
      <c r="D418" s="114"/>
      <c r="E418" s="114"/>
      <c r="F418" s="273"/>
      <c r="G418" s="118"/>
    </row>
    <row r="419" ht="15.75" customHeight="1">
      <c r="A419" s="273"/>
      <c r="B419" s="273"/>
      <c r="C419" s="273"/>
      <c r="D419" s="114"/>
      <c r="E419" s="114"/>
      <c r="F419" s="273"/>
      <c r="G419" s="118"/>
    </row>
    <row r="420" ht="15.75" customHeight="1">
      <c r="A420" s="273"/>
      <c r="B420" s="273"/>
      <c r="C420" s="273"/>
      <c r="D420" s="114"/>
      <c r="E420" s="114"/>
      <c r="F420" s="273"/>
      <c r="G420" s="118"/>
    </row>
    <row r="421" ht="15.75" customHeight="1">
      <c r="A421" s="273"/>
      <c r="B421" s="273"/>
      <c r="C421" s="273"/>
      <c r="D421" s="114"/>
      <c r="E421" s="114"/>
      <c r="F421" s="273"/>
      <c r="G421" s="118"/>
    </row>
    <row r="422" ht="15.75" customHeight="1">
      <c r="A422" s="273"/>
      <c r="B422" s="273"/>
      <c r="C422" s="273"/>
      <c r="D422" s="114"/>
      <c r="E422" s="114"/>
      <c r="F422" s="273"/>
      <c r="G422" s="118"/>
    </row>
    <row r="423" ht="15.75" customHeight="1">
      <c r="A423" s="273"/>
      <c r="B423" s="273"/>
      <c r="C423" s="273"/>
      <c r="D423" s="114"/>
      <c r="E423" s="114"/>
      <c r="F423" s="273"/>
      <c r="G423" s="118"/>
    </row>
    <row r="424" ht="15.75" customHeight="1">
      <c r="A424" s="273"/>
      <c r="B424" s="273"/>
      <c r="C424" s="273"/>
      <c r="D424" s="114"/>
      <c r="E424" s="114"/>
      <c r="F424" s="273"/>
      <c r="G424" s="118"/>
    </row>
    <row r="425" ht="15.75" customHeight="1">
      <c r="A425" s="273"/>
      <c r="B425" s="273"/>
      <c r="C425" s="273"/>
      <c r="D425" s="114"/>
      <c r="E425" s="114"/>
      <c r="F425" s="273"/>
      <c r="G425" s="118"/>
    </row>
    <row r="426" ht="15.75" customHeight="1">
      <c r="A426" s="273"/>
      <c r="B426" s="273"/>
      <c r="C426" s="273"/>
      <c r="D426" s="114"/>
      <c r="E426" s="114"/>
      <c r="F426" s="273"/>
      <c r="G426" s="118"/>
    </row>
    <row r="427" ht="15.75" customHeight="1">
      <c r="A427" s="273"/>
      <c r="B427" s="273"/>
      <c r="C427" s="273"/>
      <c r="D427" s="114"/>
      <c r="E427" s="114"/>
      <c r="F427" s="273"/>
      <c r="G427" s="118"/>
    </row>
    <row r="428" ht="15.75" customHeight="1">
      <c r="A428" s="273"/>
      <c r="B428" s="273"/>
      <c r="C428" s="273"/>
      <c r="D428" s="114"/>
      <c r="E428" s="114"/>
      <c r="F428" s="273"/>
      <c r="G428" s="118"/>
    </row>
    <row r="429" ht="15.75" customHeight="1">
      <c r="A429" s="273"/>
      <c r="B429" s="273"/>
      <c r="C429" s="273"/>
      <c r="D429" s="114"/>
      <c r="E429" s="114"/>
      <c r="F429" s="273"/>
      <c r="G429" s="118"/>
    </row>
    <row r="430" ht="15.75" customHeight="1">
      <c r="A430" s="273"/>
      <c r="B430" s="273"/>
      <c r="C430" s="273"/>
      <c r="D430" s="114"/>
      <c r="E430" s="114"/>
      <c r="F430" s="273"/>
      <c r="G430" s="118"/>
    </row>
    <row r="431" ht="15.75" customHeight="1">
      <c r="A431" s="273"/>
      <c r="B431" s="273"/>
      <c r="C431" s="273"/>
      <c r="D431" s="114"/>
      <c r="E431" s="114"/>
      <c r="F431" s="273"/>
      <c r="G431" s="118"/>
    </row>
    <row r="432" ht="15.75" customHeight="1">
      <c r="A432" s="273"/>
      <c r="B432" s="273"/>
      <c r="C432" s="273"/>
      <c r="D432" s="114"/>
      <c r="E432" s="114"/>
      <c r="F432" s="273"/>
      <c r="G432" s="118"/>
    </row>
    <row r="433" ht="15.75" customHeight="1">
      <c r="A433" s="273"/>
      <c r="B433" s="273"/>
      <c r="C433" s="273"/>
      <c r="D433" s="114"/>
      <c r="E433" s="114"/>
      <c r="F433" s="273"/>
      <c r="G433" s="118"/>
    </row>
    <row r="434" ht="15.75" customHeight="1">
      <c r="A434" s="273"/>
      <c r="B434" s="273"/>
      <c r="C434" s="273"/>
      <c r="D434" s="114"/>
      <c r="E434" s="114"/>
      <c r="F434" s="273"/>
      <c r="G434" s="118"/>
    </row>
    <row r="435" ht="15.75" customHeight="1">
      <c r="A435" s="273"/>
      <c r="B435" s="273"/>
      <c r="C435" s="273"/>
      <c r="D435" s="114"/>
      <c r="E435" s="114"/>
      <c r="F435" s="273"/>
      <c r="G435" s="118"/>
    </row>
    <row r="436" ht="15.75" customHeight="1">
      <c r="A436" s="273"/>
      <c r="B436" s="273"/>
      <c r="C436" s="273"/>
      <c r="D436" s="114"/>
      <c r="E436" s="114"/>
      <c r="F436" s="273"/>
      <c r="G436" s="118"/>
    </row>
    <row r="437" ht="15.75" customHeight="1">
      <c r="A437" s="273"/>
      <c r="B437" s="273"/>
      <c r="C437" s="273"/>
      <c r="D437" s="114"/>
      <c r="E437" s="114"/>
      <c r="F437" s="273"/>
      <c r="G437" s="118"/>
    </row>
    <row r="438" ht="15.75" customHeight="1">
      <c r="A438" s="273"/>
      <c r="B438" s="273"/>
      <c r="C438" s="273"/>
      <c r="D438" s="114"/>
      <c r="E438" s="114"/>
      <c r="F438" s="273"/>
      <c r="G438" s="118"/>
    </row>
    <row r="439" ht="15.75" customHeight="1">
      <c r="A439" s="273"/>
      <c r="B439" s="273"/>
      <c r="C439" s="273"/>
      <c r="D439" s="114"/>
      <c r="E439" s="114"/>
      <c r="F439" s="273"/>
      <c r="G439" s="118"/>
    </row>
    <row r="440" ht="15.75" customHeight="1">
      <c r="A440" s="273"/>
      <c r="B440" s="273"/>
      <c r="C440" s="273"/>
      <c r="D440" s="114"/>
      <c r="E440" s="114"/>
      <c r="F440" s="273"/>
      <c r="G440" s="118"/>
    </row>
    <row r="441" ht="15.75" customHeight="1">
      <c r="A441" s="273"/>
      <c r="B441" s="273"/>
      <c r="C441" s="273"/>
      <c r="D441" s="114"/>
      <c r="E441" s="114"/>
      <c r="F441" s="273"/>
      <c r="G441" s="118"/>
    </row>
    <row r="442" ht="15.75" customHeight="1">
      <c r="A442" s="273"/>
      <c r="B442" s="273"/>
      <c r="C442" s="273"/>
      <c r="D442" s="114"/>
      <c r="E442" s="114"/>
      <c r="F442" s="273"/>
      <c r="G442" s="118"/>
    </row>
    <row r="443" ht="15.75" customHeight="1">
      <c r="A443" s="273"/>
      <c r="B443" s="273"/>
      <c r="C443" s="273"/>
      <c r="D443" s="114"/>
      <c r="E443" s="114"/>
      <c r="F443" s="273"/>
      <c r="G443" s="118"/>
    </row>
    <row r="444" ht="15.75" customHeight="1">
      <c r="A444" s="273"/>
      <c r="B444" s="273"/>
      <c r="C444" s="273"/>
      <c r="D444" s="114"/>
      <c r="E444" s="114"/>
      <c r="F444" s="273"/>
      <c r="G444" s="118"/>
    </row>
    <row r="445" ht="15.75" customHeight="1">
      <c r="A445" s="273"/>
      <c r="B445" s="273"/>
      <c r="C445" s="273"/>
      <c r="D445" s="114"/>
      <c r="E445" s="114"/>
      <c r="F445" s="273"/>
      <c r="G445" s="118"/>
    </row>
    <row r="446" ht="15.75" customHeight="1">
      <c r="A446" s="273"/>
      <c r="B446" s="273"/>
      <c r="C446" s="273"/>
      <c r="D446" s="114"/>
      <c r="E446" s="114"/>
      <c r="F446" s="273"/>
      <c r="G446" s="118"/>
    </row>
    <row r="447" ht="15.75" customHeight="1">
      <c r="A447" s="273"/>
      <c r="B447" s="273"/>
      <c r="C447" s="273"/>
      <c r="D447" s="114"/>
      <c r="E447" s="114"/>
      <c r="F447" s="273"/>
      <c r="G447" s="118"/>
    </row>
    <row r="448" ht="15.75" customHeight="1">
      <c r="A448" s="273"/>
      <c r="B448" s="273"/>
      <c r="C448" s="273"/>
      <c r="D448" s="114"/>
      <c r="E448" s="114"/>
      <c r="F448" s="273"/>
      <c r="G448" s="118"/>
    </row>
    <row r="449" ht="15.75" customHeight="1">
      <c r="A449" s="273"/>
      <c r="B449" s="273"/>
      <c r="C449" s="273"/>
      <c r="D449" s="114"/>
      <c r="E449" s="114"/>
      <c r="F449" s="273"/>
      <c r="G449" s="118"/>
    </row>
    <row r="450" ht="15.75" customHeight="1">
      <c r="A450" s="273"/>
      <c r="B450" s="273"/>
      <c r="C450" s="273"/>
      <c r="D450" s="114"/>
      <c r="E450" s="114"/>
      <c r="F450" s="273"/>
      <c r="G450" s="118"/>
    </row>
    <row r="451" ht="15.75" customHeight="1">
      <c r="A451" s="273"/>
      <c r="B451" s="273"/>
      <c r="C451" s="273"/>
      <c r="D451" s="114"/>
      <c r="E451" s="114"/>
      <c r="F451" s="273"/>
      <c r="G451" s="118"/>
    </row>
    <row r="452" ht="15.75" customHeight="1">
      <c r="A452" s="273"/>
      <c r="B452" s="273"/>
      <c r="C452" s="273"/>
      <c r="D452" s="114"/>
      <c r="E452" s="114"/>
      <c r="F452" s="273"/>
      <c r="G452" s="118"/>
    </row>
    <row r="453" ht="15.75" customHeight="1">
      <c r="A453" s="273"/>
      <c r="B453" s="273"/>
      <c r="C453" s="273"/>
      <c r="D453" s="114"/>
      <c r="E453" s="114"/>
      <c r="F453" s="273"/>
      <c r="G453" s="118"/>
    </row>
    <row r="454" ht="15.75" customHeight="1">
      <c r="A454" s="273"/>
      <c r="B454" s="273"/>
      <c r="C454" s="273"/>
      <c r="D454" s="114"/>
      <c r="E454" s="114"/>
      <c r="F454" s="273"/>
      <c r="G454" s="118"/>
    </row>
    <row r="455" ht="15.75" customHeight="1">
      <c r="A455" s="273"/>
      <c r="B455" s="273"/>
      <c r="C455" s="273"/>
      <c r="D455" s="114"/>
      <c r="E455" s="114"/>
      <c r="F455" s="273"/>
      <c r="G455" s="118"/>
    </row>
    <row r="456" ht="15.75" customHeight="1">
      <c r="A456" s="273"/>
      <c r="B456" s="273"/>
      <c r="C456" s="273"/>
      <c r="D456" s="114"/>
      <c r="E456" s="114"/>
      <c r="F456" s="273"/>
      <c r="G456" s="118"/>
    </row>
    <row r="457" ht="15.75" customHeight="1">
      <c r="A457" s="273"/>
      <c r="B457" s="273"/>
      <c r="C457" s="273"/>
      <c r="D457" s="114"/>
      <c r="E457" s="114"/>
      <c r="F457" s="273"/>
      <c r="G457" s="118"/>
    </row>
    <row r="458" ht="15.75" customHeight="1">
      <c r="A458" s="273"/>
      <c r="B458" s="273"/>
      <c r="C458" s="273"/>
      <c r="D458" s="114"/>
      <c r="E458" s="114"/>
      <c r="F458" s="273"/>
      <c r="G458" s="118"/>
    </row>
    <row r="459" ht="15.75" customHeight="1">
      <c r="A459" s="273"/>
      <c r="B459" s="273"/>
      <c r="C459" s="273"/>
      <c r="D459" s="114"/>
      <c r="E459" s="114"/>
      <c r="F459" s="273"/>
      <c r="G459" s="118"/>
    </row>
    <row r="460" ht="15.75" customHeight="1">
      <c r="A460" s="273"/>
      <c r="B460" s="273"/>
      <c r="C460" s="273"/>
      <c r="D460" s="114"/>
      <c r="E460" s="114"/>
      <c r="F460" s="273"/>
      <c r="G460" s="118"/>
    </row>
    <row r="461" ht="15.75" customHeight="1">
      <c r="A461" s="273"/>
      <c r="B461" s="273"/>
      <c r="C461" s="273"/>
      <c r="D461" s="114"/>
      <c r="E461" s="114"/>
      <c r="F461" s="273"/>
      <c r="G461" s="118"/>
    </row>
    <row r="462" ht="15.75" customHeight="1">
      <c r="A462" s="273"/>
      <c r="B462" s="273"/>
      <c r="C462" s="273"/>
      <c r="D462" s="114"/>
      <c r="E462" s="114"/>
      <c r="F462" s="273"/>
      <c r="G462" s="118"/>
    </row>
    <row r="463" ht="15.75" customHeight="1">
      <c r="A463" s="273"/>
      <c r="B463" s="273"/>
      <c r="C463" s="273"/>
      <c r="D463" s="114"/>
      <c r="E463" s="114"/>
      <c r="F463" s="273"/>
      <c r="G463" s="118"/>
    </row>
    <row r="464" ht="15.75" customHeight="1">
      <c r="A464" s="273"/>
      <c r="B464" s="273"/>
      <c r="C464" s="273"/>
      <c r="D464" s="114"/>
      <c r="E464" s="114"/>
      <c r="F464" s="273"/>
      <c r="G464" s="118"/>
    </row>
    <row r="465" ht="15.75" customHeight="1">
      <c r="A465" s="273"/>
      <c r="B465" s="273"/>
      <c r="C465" s="273"/>
      <c r="D465" s="114"/>
      <c r="E465" s="114"/>
      <c r="F465" s="273"/>
      <c r="G465" s="118"/>
    </row>
    <row r="466" ht="15.75" customHeight="1">
      <c r="A466" s="273"/>
      <c r="B466" s="273"/>
      <c r="C466" s="273"/>
      <c r="D466" s="114"/>
      <c r="E466" s="114"/>
      <c r="F466" s="273"/>
      <c r="G466" s="118"/>
    </row>
    <row r="467" ht="15.75" customHeight="1">
      <c r="A467" s="273"/>
      <c r="B467" s="273"/>
      <c r="C467" s="273"/>
      <c r="D467" s="114"/>
      <c r="E467" s="114"/>
      <c r="F467" s="273"/>
      <c r="G467" s="118"/>
    </row>
    <row r="468" ht="15.75" customHeight="1">
      <c r="A468" s="273"/>
      <c r="B468" s="273"/>
      <c r="C468" s="273"/>
      <c r="D468" s="114"/>
      <c r="E468" s="114"/>
      <c r="F468" s="273"/>
      <c r="G468" s="118"/>
    </row>
    <row r="469" ht="15.75" customHeight="1">
      <c r="A469" s="273"/>
      <c r="B469" s="273"/>
      <c r="C469" s="273"/>
      <c r="D469" s="114"/>
      <c r="E469" s="114"/>
      <c r="F469" s="273"/>
      <c r="G469" s="118"/>
    </row>
    <row r="470" ht="15.75" customHeight="1">
      <c r="A470" s="273"/>
      <c r="B470" s="273"/>
      <c r="C470" s="273"/>
      <c r="D470" s="114"/>
      <c r="E470" s="114"/>
      <c r="F470" s="273"/>
      <c r="G470" s="118"/>
    </row>
    <row r="471" ht="15.75" customHeight="1">
      <c r="A471" s="273"/>
      <c r="B471" s="273"/>
      <c r="C471" s="273"/>
      <c r="D471" s="114"/>
      <c r="E471" s="114"/>
      <c r="F471" s="273"/>
      <c r="G471" s="118"/>
    </row>
    <row r="472" ht="15.75" customHeight="1">
      <c r="A472" s="273"/>
      <c r="B472" s="273"/>
      <c r="C472" s="273"/>
      <c r="D472" s="114"/>
      <c r="E472" s="114"/>
      <c r="F472" s="273"/>
      <c r="G472" s="118"/>
    </row>
    <row r="473" ht="15.75" customHeight="1">
      <c r="A473" s="273"/>
      <c r="B473" s="273"/>
      <c r="C473" s="273"/>
      <c r="D473" s="114"/>
      <c r="E473" s="114"/>
      <c r="F473" s="273"/>
      <c r="G473" s="118"/>
    </row>
    <row r="474" ht="15.75" customHeight="1">
      <c r="A474" s="273"/>
      <c r="B474" s="273"/>
      <c r="C474" s="273"/>
      <c r="D474" s="114"/>
      <c r="E474" s="114"/>
      <c r="F474" s="273"/>
      <c r="G474" s="118"/>
    </row>
    <row r="475" ht="15.75" customHeight="1">
      <c r="A475" s="273"/>
      <c r="B475" s="273"/>
      <c r="C475" s="273"/>
      <c r="D475" s="114"/>
      <c r="E475" s="114"/>
      <c r="F475" s="273"/>
      <c r="G475" s="118"/>
    </row>
    <row r="476" ht="15.75" customHeight="1">
      <c r="A476" s="273"/>
      <c r="B476" s="273"/>
      <c r="C476" s="273"/>
      <c r="D476" s="114"/>
      <c r="E476" s="114"/>
      <c r="F476" s="273"/>
      <c r="G476" s="118"/>
    </row>
    <row r="477" ht="15.75" customHeight="1">
      <c r="A477" s="273"/>
      <c r="B477" s="273"/>
      <c r="C477" s="273"/>
      <c r="D477" s="114"/>
      <c r="E477" s="114"/>
      <c r="F477" s="273"/>
      <c r="G477" s="118"/>
    </row>
    <row r="478" ht="15.75" customHeight="1">
      <c r="A478" s="273"/>
      <c r="B478" s="273"/>
      <c r="C478" s="273"/>
      <c r="D478" s="114"/>
      <c r="E478" s="114"/>
      <c r="F478" s="273"/>
      <c r="G478" s="118"/>
    </row>
    <row r="479" ht="15.75" customHeight="1">
      <c r="A479" s="273"/>
      <c r="B479" s="273"/>
      <c r="C479" s="273"/>
      <c r="D479" s="114"/>
      <c r="E479" s="114"/>
      <c r="F479" s="273"/>
      <c r="G479" s="118"/>
    </row>
    <row r="480" ht="15.75" customHeight="1">
      <c r="A480" s="273"/>
      <c r="B480" s="273"/>
      <c r="C480" s="273"/>
      <c r="D480" s="114"/>
      <c r="E480" s="114"/>
      <c r="F480" s="273"/>
      <c r="G480" s="118"/>
    </row>
    <row r="481" ht="15.75" customHeight="1">
      <c r="A481" s="273"/>
      <c r="B481" s="273"/>
      <c r="C481" s="273"/>
      <c r="D481" s="114"/>
      <c r="E481" s="114"/>
      <c r="F481" s="273"/>
      <c r="G481" s="118"/>
    </row>
    <row r="482" ht="15.75" customHeight="1">
      <c r="A482" s="273"/>
      <c r="B482" s="273"/>
      <c r="C482" s="273"/>
      <c r="D482" s="114"/>
      <c r="E482" s="114"/>
      <c r="F482" s="273"/>
      <c r="G482" s="118"/>
    </row>
    <row r="483" ht="15.75" customHeight="1">
      <c r="A483" s="273"/>
      <c r="B483" s="273"/>
      <c r="C483" s="273"/>
      <c r="D483" s="114"/>
      <c r="E483" s="114"/>
      <c r="F483" s="273"/>
      <c r="G483" s="118"/>
    </row>
    <row r="484" ht="15.75" customHeight="1">
      <c r="A484" s="273"/>
      <c r="B484" s="273"/>
      <c r="C484" s="273"/>
      <c r="D484" s="114"/>
      <c r="E484" s="114"/>
      <c r="F484" s="273"/>
      <c r="G484" s="118"/>
    </row>
    <row r="485" ht="15.75" customHeight="1">
      <c r="A485" s="273"/>
      <c r="B485" s="273"/>
      <c r="C485" s="273"/>
      <c r="D485" s="114"/>
      <c r="E485" s="114"/>
      <c r="F485" s="273"/>
      <c r="G485" s="118"/>
    </row>
    <row r="486" ht="15.75" customHeight="1">
      <c r="A486" s="273"/>
      <c r="B486" s="273"/>
      <c r="C486" s="273"/>
      <c r="D486" s="114"/>
      <c r="E486" s="114"/>
      <c r="F486" s="273"/>
      <c r="G486" s="118"/>
    </row>
    <row r="487" ht="15.75" customHeight="1">
      <c r="A487" s="273"/>
      <c r="B487" s="273"/>
      <c r="C487" s="273"/>
      <c r="D487" s="114"/>
      <c r="E487" s="114"/>
      <c r="F487" s="273"/>
      <c r="G487" s="118"/>
    </row>
    <row r="488" ht="15.75" customHeight="1">
      <c r="A488" s="273"/>
      <c r="B488" s="273"/>
      <c r="C488" s="273"/>
      <c r="D488" s="114"/>
      <c r="E488" s="114"/>
      <c r="F488" s="273"/>
      <c r="G488" s="118"/>
    </row>
    <row r="489" ht="15.75" customHeight="1">
      <c r="A489" s="273"/>
      <c r="B489" s="273"/>
      <c r="C489" s="273"/>
      <c r="D489" s="114"/>
      <c r="E489" s="114"/>
      <c r="F489" s="273"/>
      <c r="G489" s="118"/>
    </row>
    <row r="490" ht="15.75" customHeight="1">
      <c r="A490" s="273"/>
      <c r="B490" s="273"/>
      <c r="C490" s="273"/>
      <c r="D490" s="114"/>
      <c r="E490" s="114"/>
      <c r="F490" s="273"/>
      <c r="G490" s="118"/>
    </row>
    <row r="491" ht="15.75" customHeight="1">
      <c r="A491" s="273"/>
      <c r="B491" s="273"/>
      <c r="C491" s="273"/>
      <c r="D491" s="114"/>
      <c r="E491" s="114"/>
      <c r="F491" s="273"/>
      <c r="G491" s="118"/>
    </row>
    <row r="492" ht="15.75" customHeight="1">
      <c r="A492" s="273"/>
      <c r="B492" s="273"/>
      <c r="C492" s="273"/>
      <c r="D492" s="114"/>
      <c r="E492" s="114"/>
      <c r="F492" s="273"/>
      <c r="G492" s="118"/>
    </row>
    <row r="493" ht="15.75" customHeight="1">
      <c r="A493" s="273"/>
      <c r="B493" s="273"/>
      <c r="C493" s="273"/>
      <c r="D493" s="114"/>
      <c r="E493" s="114"/>
      <c r="F493" s="273"/>
      <c r="G493" s="118"/>
    </row>
    <row r="494" ht="15.75" customHeight="1">
      <c r="A494" s="273"/>
      <c r="B494" s="273"/>
      <c r="C494" s="273"/>
      <c r="D494" s="114"/>
      <c r="E494" s="114"/>
      <c r="F494" s="273"/>
      <c r="G494" s="118"/>
    </row>
    <row r="495" ht="15.75" customHeight="1">
      <c r="A495" s="273"/>
      <c r="B495" s="273"/>
      <c r="C495" s="273"/>
      <c r="D495" s="114"/>
      <c r="E495" s="114"/>
      <c r="F495" s="273"/>
      <c r="G495" s="118"/>
    </row>
    <row r="496" ht="15.75" customHeight="1">
      <c r="A496" s="273"/>
      <c r="B496" s="273"/>
      <c r="C496" s="273"/>
      <c r="D496" s="114"/>
      <c r="E496" s="114"/>
      <c r="F496" s="273"/>
      <c r="G496" s="118"/>
    </row>
    <row r="497" ht="15.75" customHeight="1">
      <c r="A497" s="273"/>
      <c r="B497" s="273"/>
      <c r="C497" s="273"/>
      <c r="D497" s="114"/>
      <c r="E497" s="114"/>
      <c r="F497" s="273"/>
      <c r="G497" s="118"/>
    </row>
    <row r="498" ht="15.75" customHeight="1">
      <c r="A498" s="273"/>
      <c r="B498" s="273"/>
      <c r="C498" s="273"/>
      <c r="D498" s="114"/>
      <c r="E498" s="114"/>
      <c r="F498" s="273"/>
      <c r="G498" s="118"/>
    </row>
    <row r="499" ht="15.75" customHeight="1">
      <c r="A499" s="273"/>
      <c r="B499" s="273"/>
      <c r="C499" s="273"/>
      <c r="D499" s="114"/>
      <c r="E499" s="114"/>
      <c r="F499" s="273"/>
      <c r="G499" s="118"/>
    </row>
    <row r="500" ht="15.75" customHeight="1">
      <c r="A500" s="273"/>
      <c r="B500" s="273"/>
      <c r="C500" s="273"/>
      <c r="D500" s="114"/>
      <c r="E500" s="114"/>
      <c r="F500" s="273"/>
      <c r="G500" s="118"/>
    </row>
    <row r="501" ht="15.75" customHeight="1">
      <c r="A501" s="273"/>
      <c r="B501" s="273"/>
      <c r="C501" s="273"/>
      <c r="D501" s="114"/>
      <c r="E501" s="114"/>
      <c r="F501" s="273"/>
      <c r="G501" s="118"/>
    </row>
    <row r="502" ht="15.75" customHeight="1">
      <c r="A502" s="273"/>
      <c r="B502" s="273"/>
      <c r="C502" s="273"/>
      <c r="D502" s="114"/>
      <c r="E502" s="114"/>
      <c r="F502" s="273"/>
      <c r="G502" s="118"/>
    </row>
    <row r="503" ht="15.75" customHeight="1">
      <c r="A503" s="273"/>
      <c r="B503" s="273"/>
      <c r="C503" s="273"/>
      <c r="D503" s="114"/>
      <c r="E503" s="114"/>
      <c r="F503" s="273"/>
      <c r="G503" s="118"/>
    </row>
    <row r="504" ht="15.75" customHeight="1">
      <c r="A504" s="273"/>
      <c r="B504" s="273"/>
      <c r="C504" s="273"/>
      <c r="D504" s="114"/>
      <c r="E504" s="114"/>
      <c r="F504" s="273"/>
      <c r="G504" s="118"/>
    </row>
    <row r="505" ht="15.75" customHeight="1">
      <c r="A505" s="273"/>
      <c r="B505" s="273"/>
      <c r="C505" s="273"/>
      <c r="D505" s="114"/>
      <c r="E505" s="114"/>
      <c r="F505" s="273"/>
      <c r="G505" s="118"/>
    </row>
    <row r="506" ht="15.75" customHeight="1">
      <c r="A506" s="273"/>
      <c r="B506" s="273"/>
      <c r="C506" s="273"/>
      <c r="D506" s="114"/>
      <c r="E506" s="114"/>
      <c r="F506" s="273"/>
      <c r="G506" s="118"/>
    </row>
    <row r="507" ht="15.75" customHeight="1">
      <c r="A507" s="273"/>
      <c r="B507" s="273"/>
      <c r="C507" s="273"/>
      <c r="D507" s="114"/>
      <c r="E507" s="114"/>
      <c r="F507" s="273"/>
      <c r="G507" s="118"/>
    </row>
    <row r="508" ht="15.75" customHeight="1">
      <c r="A508" s="273"/>
      <c r="B508" s="273"/>
      <c r="C508" s="273"/>
      <c r="D508" s="114"/>
      <c r="E508" s="114"/>
      <c r="F508" s="273"/>
      <c r="G508" s="118"/>
    </row>
    <row r="509" ht="15.75" customHeight="1">
      <c r="A509" s="273"/>
      <c r="B509" s="273"/>
      <c r="C509" s="273"/>
      <c r="D509" s="114"/>
      <c r="E509" s="114"/>
      <c r="F509" s="273"/>
      <c r="G509" s="118"/>
    </row>
    <row r="510" ht="15.75" customHeight="1">
      <c r="A510" s="273"/>
      <c r="B510" s="273"/>
      <c r="C510" s="273"/>
      <c r="D510" s="114"/>
      <c r="E510" s="114"/>
      <c r="F510" s="273"/>
      <c r="G510" s="118"/>
    </row>
    <row r="511" ht="15.75" customHeight="1">
      <c r="A511" s="273"/>
      <c r="B511" s="273"/>
      <c r="C511" s="273"/>
      <c r="D511" s="114"/>
      <c r="E511" s="114"/>
      <c r="F511" s="273"/>
      <c r="G511" s="118"/>
    </row>
    <row r="512" ht="15.75" customHeight="1">
      <c r="A512" s="273"/>
      <c r="B512" s="273"/>
      <c r="C512" s="273"/>
      <c r="D512" s="114"/>
      <c r="E512" s="114"/>
      <c r="F512" s="273"/>
      <c r="G512" s="118"/>
    </row>
    <row r="513" ht="15.75" customHeight="1">
      <c r="A513" s="273"/>
      <c r="B513" s="273"/>
      <c r="C513" s="273"/>
      <c r="D513" s="114"/>
      <c r="E513" s="114"/>
      <c r="F513" s="273"/>
      <c r="G513" s="118"/>
    </row>
    <row r="514" ht="15.75" customHeight="1">
      <c r="A514" s="273"/>
      <c r="B514" s="273"/>
      <c r="C514" s="273"/>
      <c r="D514" s="114"/>
      <c r="E514" s="114"/>
      <c r="F514" s="273"/>
      <c r="G514" s="118"/>
    </row>
    <row r="515" ht="15.75" customHeight="1">
      <c r="A515" s="273"/>
      <c r="B515" s="273"/>
      <c r="C515" s="273"/>
      <c r="D515" s="114"/>
      <c r="E515" s="114"/>
      <c r="F515" s="273"/>
      <c r="G515" s="118"/>
    </row>
    <row r="516" ht="15.75" customHeight="1">
      <c r="A516" s="273"/>
      <c r="B516" s="273"/>
      <c r="C516" s="273"/>
      <c r="D516" s="114"/>
      <c r="E516" s="114"/>
      <c r="F516" s="273"/>
      <c r="G516" s="118"/>
    </row>
    <row r="517" ht="15.75" customHeight="1">
      <c r="A517" s="273"/>
      <c r="B517" s="273"/>
      <c r="C517" s="273"/>
      <c r="D517" s="114"/>
      <c r="E517" s="114"/>
      <c r="F517" s="273"/>
      <c r="G517" s="118"/>
    </row>
    <row r="518" ht="15.75" customHeight="1">
      <c r="A518" s="273"/>
      <c r="B518" s="273"/>
      <c r="C518" s="273"/>
      <c r="D518" s="114"/>
      <c r="E518" s="114"/>
      <c r="F518" s="273"/>
      <c r="G518" s="118"/>
    </row>
    <row r="519" ht="15.75" customHeight="1">
      <c r="A519" s="273"/>
      <c r="B519" s="273"/>
      <c r="C519" s="273"/>
      <c r="D519" s="114"/>
      <c r="E519" s="114"/>
      <c r="F519" s="273"/>
      <c r="G519" s="118"/>
    </row>
    <row r="520" ht="15.75" customHeight="1">
      <c r="A520" s="273"/>
      <c r="B520" s="273"/>
      <c r="C520" s="273"/>
      <c r="D520" s="114"/>
      <c r="E520" s="114"/>
      <c r="F520" s="273"/>
      <c r="G520" s="118"/>
    </row>
    <row r="521" ht="15.75" customHeight="1">
      <c r="A521" s="273"/>
      <c r="B521" s="273"/>
      <c r="C521" s="273"/>
      <c r="D521" s="114"/>
      <c r="E521" s="114"/>
      <c r="F521" s="273"/>
      <c r="G521" s="118"/>
    </row>
    <row r="522" ht="15.75" customHeight="1">
      <c r="A522" s="273"/>
      <c r="B522" s="273"/>
      <c r="C522" s="273"/>
      <c r="D522" s="114"/>
      <c r="E522" s="114"/>
      <c r="F522" s="273"/>
      <c r="G522" s="118"/>
    </row>
    <row r="523" ht="15.75" customHeight="1">
      <c r="A523" s="273"/>
      <c r="B523" s="273"/>
      <c r="C523" s="273"/>
      <c r="D523" s="114"/>
      <c r="E523" s="114"/>
      <c r="F523" s="273"/>
      <c r="G523" s="118"/>
    </row>
    <row r="524" ht="15.75" customHeight="1">
      <c r="A524" s="273"/>
      <c r="B524" s="273"/>
      <c r="C524" s="273"/>
      <c r="D524" s="114"/>
      <c r="E524" s="114"/>
      <c r="F524" s="273"/>
      <c r="G524" s="118"/>
    </row>
    <row r="525" ht="15.75" customHeight="1">
      <c r="A525" s="273"/>
      <c r="B525" s="273"/>
      <c r="C525" s="273"/>
      <c r="D525" s="114"/>
      <c r="E525" s="114"/>
      <c r="F525" s="273"/>
      <c r="G525" s="118"/>
    </row>
    <row r="526" ht="15.75" customHeight="1">
      <c r="A526" s="273"/>
      <c r="B526" s="273"/>
      <c r="C526" s="273"/>
      <c r="D526" s="114"/>
      <c r="E526" s="114"/>
      <c r="F526" s="273"/>
      <c r="G526" s="118"/>
    </row>
    <row r="527" ht="15.75" customHeight="1">
      <c r="A527" s="273"/>
      <c r="B527" s="273"/>
      <c r="C527" s="273"/>
      <c r="D527" s="114"/>
      <c r="E527" s="114"/>
      <c r="F527" s="273"/>
      <c r="G527" s="118"/>
    </row>
    <row r="528" ht="15.75" customHeight="1">
      <c r="A528" s="273"/>
      <c r="B528" s="273"/>
      <c r="C528" s="273"/>
      <c r="D528" s="114"/>
      <c r="E528" s="114"/>
      <c r="F528" s="273"/>
      <c r="G528" s="118"/>
    </row>
    <row r="529" ht="15.75" customHeight="1">
      <c r="A529" s="273"/>
      <c r="B529" s="273"/>
      <c r="C529" s="273"/>
      <c r="D529" s="114"/>
      <c r="E529" s="114"/>
      <c r="F529" s="273"/>
      <c r="G529" s="118"/>
    </row>
    <row r="530" ht="15.75" customHeight="1">
      <c r="A530" s="273"/>
      <c r="B530" s="273"/>
      <c r="C530" s="273"/>
      <c r="D530" s="114"/>
      <c r="E530" s="114"/>
      <c r="F530" s="273"/>
      <c r="G530" s="118"/>
    </row>
    <row r="531" ht="15.75" customHeight="1">
      <c r="A531" s="273"/>
      <c r="B531" s="273"/>
      <c r="C531" s="273"/>
      <c r="D531" s="114"/>
      <c r="E531" s="114"/>
      <c r="F531" s="273"/>
      <c r="G531" s="118"/>
    </row>
    <row r="532" ht="15.75" customHeight="1">
      <c r="A532" s="273"/>
      <c r="B532" s="273"/>
      <c r="C532" s="273"/>
      <c r="D532" s="114"/>
      <c r="E532" s="114"/>
      <c r="F532" s="273"/>
      <c r="G532" s="118"/>
    </row>
    <row r="533" ht="15.75" customHeight="1">
      <c r="A533" s="273"/>
      <c r="B533" s="273"/>
      <c r="C533" s="273"/>
      <c r="D533" s="114"/>
      <c r="E533" s="114"/>
      <c r="F533" s="273"/>
      <c r="G533" s="118"/>
    </row>
    <row r="534" ht="15.75" customHeight="1">
      <c r="A534" s="273"/>
      <c r="B534" s="273"/>
      <c r="C534" s="273"/>
      <c r="D534" s="114"/>
      <c r="E534" s="114"/>
      <c r="F534" s="273"/>
      <c r="G534" s="118"/>
    </row>
    <row r="535" ht="15.75" customHeight="1">
      <c r="A535" s="273"/>
      <c r="B535" s="273"/>
      <c r="C535" s="273"/>
      <c r="D535" s="114"/>
      <c r="E535" s="114"/>
      <c r="F535" s="273"/>
      <c r="G535" s="118"/>
    </row>
    <row r="536" ht="15.75" customHeight="1">
      <c r="A536" s="273"/>
      <c r="B536" s="273"/>
      <c r="C536" s="273"/>
      <c r="D536" s="114"/>
      <c r="E536" s="114"/>
      <c r="F536" s="273"/>
      <c r="G536" s="118"/>
    </row>
    <row r="537" ht="15.75" customHeight="1">
      <c r="A537" s="273"/>
      <c r="B537" s="273"/>
      <c r="C537" s="273"/>
      <c r="D537" s="114"/>
      <c r="E537" s="114"/>
      <c r="F537" s="273"/>
      <c r="G537" s="118"/>
    </row>
    <row r="538" ht="15.75" customHeight="1">
      <c r="A538" s="273"/>
      <c r="B538" s="273"/>
      <c r="C538" s="273"/>
      <c r="D538" s="114"/>
      <c r="E538" s="114"/>
      <c r="F538" s="273"/>
      <c r="G538" s="118"/>
    </row>
    <row r="539" ht="15.75" customHeight="1">
      <c r="A539" s="273"/>
      <c r="B539" s="273"/>
      <c r="C539" s="273"/>
      <c r="D539" s="114"/>
      <c r="E539" s="114"/>
      <c r="F539" s="273"/>
      <c r="G539" s="118"/>
    </row>
    <row r="540" ht="15.75" customHeight="1">
      <c r="A540" s="273"/>
      <c r="B540" s="273"/>
      <c r="C540" s="273"/>
      <c r="D540" s="114"/>
      <c r="E540" s="114"/>
      <c r="F540" s="273"/>
      <c r="G540" s="118"/>
    </row>
    <row r="541" ht="15.75" customHeight="1">
      <c r="A541" s="273"/>
      <c r="B541" s="273"/>
      <c r="C541" s="273"/>
      <c r="D541" s="114"/>
      <c r="E541" s="114"/>
      <c r="F541" s="273"/>
      <c r="G541" s="118"/>
    </row>
    <row r="542" ht="15.75" customHeight="1">
      <c r="A542" s="273"/>
      <c r="B542" s="273"/>
      <c r="C542" s="273"/>
      <c r="D542" s="114"/>
      <c r="E542" s="114"/>
      <c r="F542" s="273"/>
      <c r="G542" s="118"/>
    </row>
    <row r="543" ht="15.75" customHeight="1">
      <c r="A543" s="273"/>
      <c r="B543" s="273"/>
      <c r="C543" s="273"/>
      <c r="D543" s="114"/>
      <c r="E543" s="114"/>
      <c r="F543" s="273"/>
      <c r="G543" s="118"/>
    </row>
    <row r="544" ht="15.75" customHeight="1">
      <c r="A544" s="273"/>
      <c r="B544" s="273"/>
      <c r="C544" s="273"/>
      <c r="D544" s="114"/>
      <c r="E544" s="114"/>
      <c r="F544" s="273"/>
      <c r="G544" s="118"/>
    </row>
    <row r="545" ht="15.75" customHeight="1">
      <c r="A545" s="273"/>
      <c r="B545" s="273"/>
      <c r="C545" s="273"/>
      <c r="D545" s="114"/>
      <c r="E545" s="114"/>
      <c r="F545" s="273"/>
      <c r="G545" s="118"/>
    </row>
    <row r="546" ht="15.75" customHeight="1">
      <c r="A546" s="273"/>
      <c r="B546" s="273"/>
      <c r="C546" s="273"/>
      <c r="D546" s="114"/>
      <c r="E546" s="114"/>
      <c r="F546" s="273"/>
      <c r="G546" s="118"/>
    </row>
    <row r="547" ht="15.75" customHeight="1">
      <c r="A547" s="273"/>
      <c r="B547" s="273"/>
      <c r="C547" s="273"/>
      <c r="D547" s="114"/>
      <c r="E547" s="114"/>
      <c r="F547" s="273"/>
      <c r="G547" s="118"/>
    </row>
    <row r="548" ht="15.75" customHeight="1">
      <c r="A548" s="273"/>
      <c r="B548" s="273"/>
      <c r="C548" s="273"/>
      <c r="D548" s="114"/>
      <c r="E548" s="114"/>
      <c r="F548" s="273"/>
      <c r="G548" s="118"/>
    </row>
    <row r="549" ht="15.75" customHeight="1">
      <c r="A549" s="273"/>
      <c r="B549" s="273"/>
      <c r="C549" s="273"/>
      <c r="D549" s="114"/>
      <c r="E549" s="114"/>
      <c r="F549" s="273"/>
      <c r="G549" s="118"/>
    </row>
    <row r="550" ht="15.75" customHeight="1">
      <c r="A550" s="273"/>
      <c r="B550" s="273"/>
      <c r="C550" s="273"/>
      <c r="D550" s="114"/>
      <c r="E550" s="114"/>
      <c r="F550" s="273"/>
      <c r="G550" s="118"/>
    </row>
    <row r="551" ht="15.75" customHeight="1">
      <c r="A551" s="273"/>
      <c r="B551" s="273"/>
      <c r="C551" s="273"/>
      <c r="D551" s="114"/>
      <c r="E551" s="114"/>
      <c r="F551" s="273"/>
      <c r="G551" s="118"/>
    </row>
    <row r="552" ht="15.75" customHeight="1">
      <c r="A552" s="273"/>
      <c r="B552" s="273"/>
      <c r="C552" s="273"/>
      <c r="D552" s="114"/>
      <c r="E552" s="114"/>
      <c r="F552" s="273"/>
      <c r="G552" s="118"/>
    </row>
    <row r="553" ht="15.75" customHeight="1">
      <c r="A553" s="273"/>
      <c r="B553" s="273"/>
      <c r="C553" s="273"/>
      <c r="D553" s="114"/>
      <c r="E553" s="114"/>
      <c r="F553" s="273"/>
      <c r="G553" s="118"/>
    </row>
    <row r="554" ht="15.75" customHeight="1">
      <c r="A554" s="273"/>
      <c r="B554" s="273"/>
      <c r="C554" s="273"/>
      <c r="D554" s="114"/>
      <c r="E554" s="114"/>
      <c r="F554" s="273"/>
      <c r="G554" s="118"/>
    </row>
    <row r="555" ht="15.75" customHeight="1">
      <c r="A555" s="273"/>
      <c r="B555" s="273"/>
      <c r="C555" s="273"/>
      <c r="D555" s="114"/>
      <c r="E555" s="114"/>
      <c r="F555" s="273"/>
      <c r="G555" s="118"/>
    </row>
    <row r="556" ht="15.75" customHeight="1">
      <c r="A556" s="273"/>
      <c r="B556" s="273"/>
      <c r="C556" s="273"/>
      <c r="D556" s="114"/>
      <c r="E556" s="114"/>
      <c r="F556" s="273"/>
      <c r="G556" s="118"/>
    </row>
    <row r="557" ht="15.75" customHeight="1">
      <c r="A557" s="273"/>
      <c r="B557" s="273"/>
      <c r="C557" s="273"/>
      <c r="D557" s="114"/>
      <c r="E557" s="114"/>
      <c r="F557" s="273"/>
      <c r="G557" s="118"/>
    </row>
    <row r="558" ht="15.75" customHeight="1">
      <c r="A558" s="273"/>
      <c r="B558" s="273"/>
      <c r="C558" s="273"/>
      <c r="D558" s="114"/>
      <c r="E558" s="114"/>
      <c r="F558" s="273"/>
      <c r="G558" s="118"/>
    </row>
    <row r="559" ht="15.75" customHeight="1">
      <c r="A559" s="273"/>
      <c r="B559" s="273"/>
      <c r="C559" s="273"/>
      <c r="D559" s="114"/>
      <c r="E559" s="114"/>
      <c r="F559" s="273"/>
      <c r="G559" s="118"/>
    </row>
    <row r="560" ht="15.75" customHeight="1">
      <c r="A560" s="273"/>
      <c r="B560" s="273"/>
      <c r="C560" s="273"/>
      <c r="D560" s="114"/>
      <c r="E560" s="114"/>
      <c r="F560" s="273"/>
      <c r="G560" s="118"/>
    </row>
    <row r="561" ht="15.75" customHeight="1">
      <c r="A561" s="273"/>
      <c r="B561" s="273"/>
      <c r="C561" s="273"/>
      <c r="D561" s="114"/>
      <c r="E561" s="114"/>
      <c r="F561" s="273"/>
      <c r="G561" s="118"/>
    </row>
    <row r="562" ht="15.75" customHeight="1">
      <c r="A562" s="273"/>
      <c r="B562" s="273"/>
      <c r="C562" s="273"/>
      <c r="D562" s="114"/>
      <c r="E562" s="114"/>
      <c r="F562" s="273"/>
      <c r="G562" s="118"/>
    </row>
    <row r="563" ht="15.75" customHeight="1">
      <c r="A563" s="273"/>
      <c r="B563" s="273"/>
      <c r="C563" s="273"/>
      <c r="D563" s="114"/>
      <c r="E563" s="114"/>
      <c r="F563" s="273"/>
      <c r="G563" s="118"/>
    </row>
    <row r="564" ht="15.75" customHeight="1">
      <c r="A564" s="273"/>
      <c r="B564" s="273"/>
      <c r="C564" s="273"/>
      <c r="D564" s="114"/>
      <c r="E564" s="114"/>
      <c r="F564" s="273"/>
      <c r="G564" s="118"/>
    </row>
    <row r="565" ht="15.75" customHeight="1">
      <c r="A565" s="273"/>
      <c r="B565" s="273"/>
      <c r="C565" s="273"/>
      <c r="D565" s="114"/>
      <c r="E565" s="114"/>
      <c r="F565" s="273"/>
      <c r="G565" s="118"/>
    </row>
    <row r="566" ht="15.75" customHeight="1">
      <c r="A566" s="273"/>
      <c r="B566" s="273"/>
      <c r="C566" s="273"/>
      <c r="D566" s="114"/>
      <c r="E566" s="114"/>
      <c r="F566" s="273"/>
      <c r="G566" s="118"/>
    </row>
    <row r="567" ht="15.75" customHeight="1">
      <c r="A567" s="273"/>
      <c r="B567" s="273"/>
      <c r="C567" s="273"/>
      <c r="D567" s="114"/>
      <c r="E567" s="114"/>
      <c r="F567" s="273"/>
      <c r="G567" s="118"/>
    </row>
    <row r="568" ht="15.75" customHeight="1">
      <c r="A568" s="273"/>
      <c r="B568" s="273"/>
      <c r="C568" s="273"/>
      <c r="D568" s="114"/>
      <c r="E568" s="114"/>
      <c r="F568" s="273"/>
      <c r="G568" s="118"/>
    </row>
    <row r="569" ht="15.75" customHeight="1">
      <c r="A569" s="273"/>
      <c r="B569" s="273"/>
      <c r="C569" s="273"/>
      <c r="D569" s="114"/>
      <c r="E569" s="114"/>
      <c r="F569" s="273"/>
      <c r="G569" s="118"/>
    </row>
    <row r="570" ht="15.75" customHeight="1">
      <c r="A570" s="273"/>
      <c r="B570" s="273"/>
      <c r="C570" s="273"/>
      <c r="D570" s="114"/>
      <c r="E570" s="114"/>
      <c r="F570" s="273"/>
      <c r="G570" s="118"/>
    </row>
    <row r="571" ht="15.75" customHeight="1">
      <c r="A571" s="273"/>
      <c r="B571" s="273"/>
      <c r="C571" s="273"/>
      <c r="D571" s="114"/>
      <c r="E571" s="114"/>
      <c r="F571" s="273"/>
      <c r="G571" s="118"/>
    </row>
    <row r="572" ht="15.75" customHeight="1">
      <c r="A572" s="273"/>
      <c r="B572" s="273"/>
      <c r="C572" s="273"/>
      <c r="D572" s="114"/>
      <c r="E572" s="114"/>
      <c r="F572" s="273"/>
      <c r="G572" s="118"/>
    </row>
    <row r="573" ht="15.75" customHeight="1">
      <c r="A573" s="273"/>
      <c r="B573" s="273"/>
      <c r="C573" s="273"/>
      <c r="D573" s="114"/>
      <c r="E573" s="114"/>
      <c r="F573" s="273"/>
      <c r="G573" s="118"/>
    </row>
    <row r="574" ht="15.75" customHeight="1">
      <c r="A574" s="273"/>
      <c r="B574" s="273"/>
      <c r="C574" s="273"/>
      <c r="D574" s="114"/>
      <c r="E574" s="114"/>
      <c r="F574" s="273"/>
      <c r="G574" s="118"/>
    </row>
    <row r="575" ht="15.75" customHeight="1">
      <c r="A575" s="273"/>
      <c r="B575" s="273"/>
      <c r="C575" s="273"/>
      <c r="D575" s="114"/>
      <c r="E575" s="114"/>
      <c r="F575" s="273"/>
      <c r="G575" s="118"/>
    </row>
    <row r="576" ht="15.75" customHeight="1">
      <c r="A576" s="273"/>
      <c r="B576" s="273"/>
      <c r="C576" s="273"/>
      <c r="D576" s="114"/>
      <c r="E576" s="114"/>
      <c r="F576" s="273"/>
      <c r="G576" s="118"/>
    </row>
    <row r="577" ht="15.75" customHeight="1">
      <c r="A577" s="273"/>
      <c r="B577" s="273"/>
      <c r="C577" s="273"/>
      <c r="D577" s="114"/>
      <c r="E577" s="114"/>
      <c r="F577" s="273"/>
      <c r="G577" s="118"/>
    </row>
    <row r="578" ht="15.75" customHeight="1">
      <c r="A578" s="273"/>
      <c r="B578" s="273"/>
      <c r="C578" s="273"/>
      <c r="D578" s="114"/>
      <c r="E578" s="114"/>
      <c r="F578" s="273"/>
      <c r="G578" s="118"/>
    </row>
    <row r="579" ht="15.75" customHeight="1">
      <c r="A579" s="273"/>
      <c r="B579" s="273"/>
      <c r="C579" s="273"/>
      <c r="D579" s="114"/>
      <c r="E579" s="114"/>
      <c r="F579" s="273"/>
      <c r="G579" s="118"/>
    </row>
    <row r="580" ht="15.75" customHeight="1">
      <c r="A580" s="273"/>
      <c r="B580" s="273"/>
      <c r="C580" s="273"/>
      <c r="D580" s="114"/>
      <c r="E580" s="114"/>
      <c r="F580" s="273"/>
      <c r="G580" s="118"/>
    </row>
    <row r="581" ht="15.75" customHeight="1">
      <c r="A581" s="273"/>
      <c r="B581" s="273"/>
      <c r="C581" s="273"/>
      <c r="D581" s="114"/>
      <c r="E581" s="114"/>
      <c r="F581" s="273"/>
      <c r="G581" s="118"/>
    </row>
    <row r="582" ht="15.75" customHeight="1">
      <c r="A582" s="273"/>
      <c r="B582" s="273"/>
      <c r="C582" s="273"/>
      <c r="D582" s="114"/>
      <c r="E582" s="114"/>
      <c r="F582" s="273"/>
      <c r="G582" s="118"/>
    </row>
    <row r="583" ht="15.75" customHeight="1">
      <c r="A583" s="273"/>
      <c r="B583" s="273"/>
      <c r="C583" s="273"/>
      <c r="D583" s="114"/>
      <c r="E583" s="114"/>
      <c r="F583" s="273"/>
      <c r="G583" s="118"/>
    </row>
    <row r="584" ht="15.75" customHeight="1">
      <c r="A584" s="273"/>
      <c r="B584" s="273"/>
      <c r="C584" s="273"/>
      <c r="D584" s="114"/>
      <c r="E584" s="114"/>
      <c r="F584" s="273"/>
      <c r="G584" s="118"/>
    </row>
    <row r="585" ht="15.75" customHeight="1">
      <c r="A585" s="273"/>
      <c r="B585" s="273"/>
      <c r="C585" s="273"/>
      <c r="D585" s="114"/>
      <c r="E585" s="114"/>
      <c r="F585" s="273"/>
      <c r="G585" s="118"/>
    </row>
    <row r="586" ht="15.75" customHeight="1">
      <c r="A586" s="273"/>
      <c r="B586" s="273"/>
      <c r="C586" s="273"/>
      <c r="D586" s="114"/>
      <c r="E586" s="114"/>
      <c r="F586" s="273"/>
      <c r="G586" s="118"/>
    </row>
    <row r="587" ht="15.75" customHeight="1">
      <c r="A587" s="273"/>
      <c r="B587" s="273"/>
      <c r="C587" s="273"/>
      <c r="D587" s="114"/>
      <c r="E587" s="114"/>
      <c r="F587" s="273"/>
      <c r="G587" s="118"/>
    </row>
    <row r="588" ht="15.75" customHeight="1">
      <c r="A588" s="273"/>
      <c r="B588" s="273"/>
      <c r="C588" s="273"/>
      <c r="D588" s="114"/>
      <c r="E588" s="114"/>
      <c r="F588" s="273"/>
      <c r="G588" s="118"/>
    </row>
    <row r="589" ht="15.75" customHeight="1">
      <c r="A589" s="273"/>
      <c r="B589" s="273"/>
      <c r="C589" s="273"/>
      <c r="D589" s="114"/>
      <c r="E589" s="114"/>
      <c r="F589" s="273"/>
      <c r="G589" s="118"/>
    </row>
    <row r="590" ht="15.75" customHeight="1">
      <c r="A590" s="273"/>
      <c r="B590" s="273"/>
      <c r="C590" s="273"/>
      <c r="D590" s="114"/>
      <c r="E590" s="114"/>
      <c r="F590" s="273"/>
      <c r="G590" s="118"/>
    </row>
    <row r="591" ht="15.75" customHeight="1">
      <c r="A591" s="273"/>
      <c r="B591" s="273"/>
      <c r="C591" s="273"/>
      <c r="D591" s="114"/>
      <c r="E591" s="114"/>
      <c r="F591" s="273"/>
      <c r="G591" s="118"/>
    </row>
    <row r="592" ht="15.75" customHeight="1">
      <c r="A592" s="273"/>
      <c r="B592" s="273"/>
      <c r="C592" s="277"/>
      <c r="D592" s="114"/>
      <c r="E592" s="114"/>
      <c r="F592" s="273"/>
      <c r="G592" s="118"/>
    </row>
    <row r="593" ht="15.75" customHeight="1">
      <c r="A593" s="273"/>
      <c r="B593" s="273"/>
      <c r="C593" s="277"/>
      <c r="D593" s="114"/>
      <c r="E593" s="114"/>
      <c r="F593" s="273"/>
      <c r="G593" s="118"/>
    </row>
    <row r="594" ht="15.75" customHeight="1">
      <c r="A594" s="273"/>
      <c r="B594" s="273"/>
      <c r="C594" s="277"/>
      <c r="D594" s="114"/>
      <c r="E594" s="114"/>
      <c r="F594" s="273"/>
      <c r="G594" s="118"/>
    </row>
    <row r="595" ht="15.75" customHeight="1">
      <c r="A595" s="273"/>
      <c r="B595" s="273"/>
      <c r="C595" s="277"/>
      <c r="D595" s="114"/>
      <c r="E595" s="114"/>
      <c r="F595" s="273"/>
      <c r="G595" s="118"/>
    </row>
    <row r="596" ht="15.75" customHeight="1">
      <c r="A596" s="273"/>
      <c r="B596" s="273"/>
      <c r="C596" s="277"/>
      <c r="D596" s="114"/>
      <c r="E596" s="114"/>
      <c r="F596" s="273"/>
      <c r="G596" s="118"/>
    </row>
    <row r="597" ht="15.75" customHeight="1">
      <c r="A597" s="273"/>
      <c r="B597" s="273"/>
      <c r="C597" s="277"/>
      <c r="D597" s="114"/>
      <c r="E597" s="114"/>
      <c r="F597" s="273"/>
      <c r="G597" s="118"/>
    </row>
    <row r="598" ht="15.75" customHeight="1">
      <c r="A598" s="273"/>
      <c r="B598" s="273"/>
      <c r="C598" s="277"/>
      <c r="D598" s="114"/>
      <c r="E598" s="114"/>
      <c r="F598" s="273"/>
      <c r="G598" s="118"/>
    </row>
    <row r="599" ht="15.75" customHeight="1">
      <c r="A599" s="273"/>
      <c r="B599" s="273"/>
      <c r="C599" s="277"/>
      <c r="D599" s="114"/>
      <c r="E599" s="114"/>
      <c r="F599" s="273"/>
      <c r="G599" s="118"/>
    </row>
    <row r="600" ht="15.75" customHeight="1">
      <c r="A600" s="273"/>
      <c r="B600" s="273"/>
      <c r="C600" s="277"/>
      <c r="D600" s="114"/>
      <c r="E600" s="114"/>
      <c r="F600" s="273"/>
      <c r="G600" s="118"/>
    </row>
    <row r="601" ht="15.75" customHeight="1">
      <c r="A601" s="273"/>
      <c r="B601" s="273"/>
      <c r="C601" s="277"/>
      <c r="D601" s="114"/>
      <c r="E601" s="114"/>
      <c r="F601" s="273"/>
      <c r="G601" s="118"/>
    </row>
    <row r="602" ht="15.75" customHeight="1">
      <c r="A602" s="273"/>
      <c r="B602" s="273"/>
      <c r="C602" s="277"/>
      <c r="D602" s="114"/>
      <c r="E602" s="114"/>
      <c r="F602" s="273"/>
      <c r="G602" s="118"/>
    </row>
    <row r="603" ht="15.75" customHeight="1">
      <c r="A603" s="273"/>
      <c r="B603" s="273"/>
      <c r="C603" s="277"/>
      <c r="D603" s="114"/>
      <c r="E603" s="114"/>
      <c r="F603" s="273"/>
      <c r="G603" s="118"/>
    </row>
    <row r="604" ht="15.75" customHeight="1">
      <c r="A604" s="273"/>
      <c r="B604" s="273"/>
      <c r="C604" s="277"/>
      <c r="D604" s="114"/>
      <c r="E604" s="114"/>
      <c r="F604" s="273"/>
      <c r="G604" s="118"/>
    </row>
    <row r="605" ht="15.75" customHeight="1">
      <c r="A605" s="273"/>
      <c r="B605" s="273"/>
      <c r="C605" s="277"/>
      <c r="D605" s="114"/>
      <c r="E605" s="114"/>
      <c r="F605" s="273"/>
      <c r="G605" s="118"/>
    </row>
    <row r="606" ht="15.75" customHeight="1">
      <c r="A606" s="273"/>
      <c r="B606" s="273"/>
      <c r="C606" s="277"/>
      <c r="D606" s="114"/>
      <c r="E606" s="114"/>
      <c r="F606" s="273"/>
      <c r="G606" s="118"/>
    </row>
    <row r="607" ht="15.75" customHeight="1">
      <c r="A607" s="273"/>
      <c r="B607" s="273"/>
      <c r="C607" s="277"/>
      <c r="D607" s="114"/>
      <c r="E607" s="114"/>
      <c r="F607" s="273"/>
      <c r="G607" s="118"/>
    </row>
    <row r="608" ht="15.75" customHeight="1">
      <c r="A608" s="273"/>
      <c r="B608" s="273"/>
      <c r="C608" s="277"/>
      <c r="D608" s="114"/>
      <c r="E608" s="114"/>
      <c r="F608" s="273"/>
      <c r="G608" s="118"/>
    </row>
    <row r="609" ht="15.75" customHeight="1">
      <c r="A609" s="273"/>
      <c r="B609" s="273"/>
      <c r="C609" s="277"/>
      <c r="D609" s="114"/>
      <c r="E609" s="114"/>
      <c r="F609" s="273"/>
      <c r="G609" s="118"/>
    </row>
    <row r="610" ht="15.75" customHeight="1">
      <c r="A610" s="273"/>
      <c r="B610" s="273"/>
      <c r="C610" s="277"/>
      <c r="D610" s="114"/>
      <c r="E610" s="114"/>
      <c r="F610" s="273"/>
      <c r="G610" s="118"/>
    </row>
    <row r="611" ht="15.75" customHeight="1">
      <c r="A611" s="273"/>
      <c r="B611" s="273"/>
      <c r="C611" s="277"/>
      <c r="D611" s="114"/>
      <c r="E611" s="114"/>
      <c r="F611" s="273"/>
      <c r="G611" s="118"/>
    </row>
    <row r="612" ht="15.75" customHeight="1">
      <c r="A612" s="273"/>
      <c r="B612" s="273"/>
      <c r="C612" s="277"/>
      <c r="D612" s="114"/>
      <c r="E612" s="114"/>
      <c r="F612" s="273"/>
      <c r="G612" s="118"/>
    </row>
    <row r="613" ht="15.75" customHeight="1">
      <c r="A613" s="273"/>
      <c r="B613" s="273"/>
      <c r="C613" s="277"/>
      <c r="D613" s="114"/>
      <c r="E613" s="114"/>
      <c r="F613" s="273"/>
      <c r="G613" s="118"/>
    </row>
    <row r="614" ht="15.75" customHeight="1">
      <c r="A614" s="273"/>
      <c r="B614" s="273"/>
      <c r="C614" s="277"/>
      <c r="D614" s="114"/>
      <c r="E614" s="114"/>
      <c r="F614" s="273"/>
      <c r="G614" s="118"/>
    </row>
    <row r="615" ht="15.75" customHeight="1">
      <c r="A615" s="273"/>
      <c r="B615" s="273"/>
      <c r="C615" s="273"/>
      <c r="D615" s="114"/>
      <c r="E615" s="114"/>
      <c r="F615" s="273"/>
      <c r="G615" s="118"/>
    </row>
    <row r="616" ht="15.75" customHeight="1">
      <c r="A616" s="273"/>
      <c r="B616" s="273"/>
      <c r="C616" s="277"/>
      <c r="D616" s="114"/>
      <c r="E616" s="114"/>
      <c r="F616" s="273"/>
      <c r="G616" s="118"/>
    </row>
    <row r="617" ht="15.75" customHeight="1">
      <c r="A617" s="273"/>
      <c r="B617" s="273"/>
      <c r="C617" s="277"/>
      <c r="D617" s="114"/>
      <c r="E617" s="114"/>
      <c r="F617" s="273"/>
      <c r="G617" s="118"/>
    </row>
    <row r="618" ht="15.75" customHeight="1">
      <c r="A618" s="273"/>
      <c r="B618" s="273"/>
      <c r="C618" s="277"/>
      <c r="D618" s="114"/>
      <c r="E618" s="114"/>
      <c r="F618" s="273"/>
      <c r="G618" s="118"/>
    </row>
    <row r="619" ht="15.75" customHeight="1">
      <c r="A619" s="273"/>
      <c r="B619" s="273"/>
      <c r="C619" s="277"/>
      <c r="D619" s="114"/>
      <c r="E619" s="114"/>
      <c r="F619" s="273"/>
      <c r="G619" s="118"/>
    </row>
    <row r="620" ht="15.75" customHeight="1">
      <c r="A620" s="273"/>
      <c r="B620" s="273"/>
      <c r="C620" s="273"/>
      <c r="D620" s="114"/>
      <c r="E620" s="114"/>
      <c r="F620" s="273"/>
      <c r="G620" s="118"/>
    </row>
    <row r="621" ht="15.75" customHeight="1">
      <c r="A621" s="273"/>
      <c r="B621" s="273"/>
      <c r="C621" s="277"/>
      <c r="D621" s="114"/>
      <c r="E621" s="114"/>
      <c r="F621" s="273"/>
      <c r="G621" s="118"/>
    </row>
    <row r="622" ht="15.75" customHeight="1">
      <c r="A622" s="273"/>
      <c r="B622" s="273"/>
      <c r="C622" s="277"/>
      <c r="D622" s="114"/>
      <c r="E622" s="114"/>
      <c r="F622" s="273"/>
      <c r="G622" s="118"/>
    </row>
    <row r="623" ht="15.75" customHeight="1">
      <c r="A623" s="273"/>
      <c r="B623" s="273"/>
      <c r="C623" s="277"/>
      <c r="D623" s="114"/>
      <c r="E623" s="114"/>
      <c r="F623" s="273"/>
      <c r="G623" s="118"/>
    </row>
    <row r="624" ht="15.75" customHeight="1">
      <c r="A624" s="273"/>
      <c r="B624" s="273"/>
      <c r="C624" s="277"/>
      <c r="D624" s="114"/>
      <c r="E624" s="114"/>
      <c r="F624" s="273"/>
      <c r="G624" s="118"/>
    </row>
    <row r="625" ht="15.75" customHeight="1">
      <c r="A625" s="273"/>
      <c r="B625" s="273"/>
      <c r="C625" s="277"/>
      <c r="D625" s="114"/>
      <c r="E625" s="114"/>
      <c r="F625" s="273"/>
      <c r="G625" s="118"/>
    </row>
    <row r="626" ht="15.75" customHeight="1">
      <c r="A626" s="273"/>
      <c r="B626" s="273"/>
      <c r="C626" s="277"/>
      <c r="D626" s="114"/>
      <c r="E626" s="114"/>
      <c r="F626" s="273"/>
      <c r="G626" s="118"/>
    </row>
    <row r="627" ht="15.75" customHeight="1">
      <c r="A627" s="273"/>
      <c r="B627" s="273"/>
      <c r="C627" s="277"/>
      <c r="D627" s="114"/>
      <c r="E627" s="114"/>
      <c r="F627" s="273"/>
      <c r="G627" s="118"/>
    </row>
    <row r="628" ht="15.75" customHeight="1">
      <c r="A628" s="273"/>
      <c r="B628" s="273"/>
      <c r="C628" s="277"/>
      <c r="D628" s="114"/>
      <c r="E628" s="114"/>
      <c r="F628" s="273"/>
      <c r="G628" s="118"/>
    </row>
    <row r="629" ht="15.75" customHeight="1">
      <c r="A629" s="273"/>
      <c r="B629" s="273"/>
      <c r="C629" s="277"/>
      <c r="D629" s="114"/>
      <c r="E629" s="114"/>
      <c r="F629" s="273"/>
      <c r="G629" s="118"/>
    </row>
    <row r="630" ht="15.75" customHeight="1">
      <c r="A630" s="273"/>
      <c r="B630" s="273"/>
      <c r="C630" s="277"/>
      <c r="D630" s="114"/>
      <c r="E630" s="114"/>
      <c r="F630" s="273"/>
      <c r="G630" s="118"/>
    </row>
    <row r="631" ht="15.75" customHeight="1">
      <c r="A631" s="273"/>
      <c r="B631" s="273"/>
      <c r="C631" s="277"/>
      <c r="D631" s="114"/>
      <c r="E631" s="114"/>
      <c r="F631" s="273"/>
      <c r="G631" s="118"/>
    </row>
    <row r="632" ht="15.75" customHeight="1">
      <c r="A632" s="273"/>
      <c r="B632" s="273"/>
      <c r="C632" s="277"/>
      <c r="D632" s="114"/>
      <c r="E632" s="114"/>
      <c r="F632" s="273"/>
      <c r="G632" s="118"/>
    </row>
    <row r="633" ht="15.75" customHeight="1">
      <c r="A633" s="273"/>
      <c r="B633" s="273"/>
      <c r="C633" s="273"/>
      <c r="D633" s="114"/>
      <c r="E633" s="114"/>
      <c r="F633" s="273"/>
      <c r="G633" s="118"/>
    </row>
    <row r="634" ht="15.75" customHeight="1">
      <c r="A634" s="273"/>
      <c r="B634" s="273"/>
      <c r="C634" s="277"/>
      <c r="D634" s="114"/>
      <c r="E634" s="114"/>
      <c r="F634" s="273"/>
      <c r="G634" s="118"/>
    </row>
    <row r="635" ht="15.75" customHeight="1">
      <c r="A635" s="273"/>
      <c r="B635" s="273"/>
      <c r="C635" s="277"/>
      <c r="D635" s="114"/>
      <c r="E635" s="114"/>
      <c r="F635" s="273"/>
      <c r="G635" s="118"/>
    </row>
    <row r="636" ht="15.75" customHeight="1">
      <c r="A636" s="273"/>
      <c r="B636" s="273"/>
      <c r="C636" s="277"/>
      <c r="D636" s="114"/>
      <c r="E636" s="114"/>
      <c r="F636" s="273"/>
      <c r="G636" s="118"/>
    </row>
    <row r="637" ht="15.75" customHeight="1">
      <c r="A637" s="273"/>
      <c r="B637" s="273"/>
      <c r="C637" s="277"/>
      <c r="D637" s="114"/>
      <c r="E637" s="114"/>
      <c r="F637" s="273"/>
      <c r="G637" s="118"/>
    </row>
    <row r="638" ht="15.75" customHeight="1">
      <c r="A638" s="273"/>
      <c r="B638" s="273"/>
      <c r="C638" s="277"/>
      <c r="D638" s="114"/>
      <c r="E638" s="114"/>
      <c r="F638" s="273"/>
      <c r="G638" s="118"/>
    </row>
    <row r="639" ht="15.75" customHeight="1">
      <c r="A639" s="273"/>
      <c r="B639" s="273"/>
      <c r="C639" s="277"/>
      <c r="D639" s="114"/>
      <c r="E639" s="114"/>
      <c r="F639" s="273"/>
      <c r="G639" s="118"/>
    </row>
    <row r="640" ht="15.75" customHeight="1">
      <c r="A640" s="273"/>
      <c r="B640" s="273"/>
      <c r="C640" s="273"/>
      <c r="D640" s="114"/>
      <c r="E640" s="114"/>
      <c r="F640" s="273"/>
      <c r="G640" s="118"/>
    </row>
    <row r="641" ht="15.75" customHeight="1">
      <c r="A641" s="273"/>
      <c r="B641" s="273"/>
      <c r="C641" s="277"/>
      <c r="D641" s="114"/>
      <c r="E641" s="114"/>
      <c r="F641" s="273"/>
      <c r="G641" s="118"/>
    </row>
    <row r="642" ht="15.75" customHeight="1">
      <c r="A642" s="273"/>
      <c r="B642" s="273"/>
      <c r="C642" s="277"/>
      <c r="D642" s="114"/>
      <c r="E642" s="114"/>
      <c r="F642" s="273"/>
      <c r="G642" s="118"/>
    </row>
    <row r="643" ht="15.75" customHeight="1">
      <c r="A643" s="273"/>
      <c r="B643" s="273"/>
      <c r="C643" s="277"/>
      <c r="D643" s="114"/>
      <c r="E643" s="114"/>
      <c r="F643" s="273"/>
      <c r="G643" s="118"/>
    </row>
    <row r="644" ht="15.75" customHeight="1">
      <c r="A644" s="273"/>
      <c r="B644" s="273"/>
      <c r="C644" s="277"/>
      <c r="D644" s="114"/>
      <c r="E644" s="114"/>
      <c r="F644" s="273"/>
      <c r="G644" s="118"/>
    </row>
    <row r="645" ht="15.75" customHeight="1">
      <c r="A645" s="273"/>
      <c r="B645" s="273"/>
      <c r="C645" s="277"/>
      <c r="D645" s="114"/>
      <c r="E645" s="114"/>
      <c r="F645" s="273"/>
      <c r="G645" s="118"/>
    </row>
    <row r="646" ht="15.75" customHeight="1">
      <c r="A646" s="273"/>
      <c r="B646" s="273"/>
      <c r="C646" s="277"/>
      <c r="D646" s="114"/>
      <c r="E646" s="114"/>
      <c r="F646" s="273"/>
      <c r="G646" s="118"/>
    </row>
    <row r="647" ht="15.75" customHeight="1">
      <c r="A647" s="273"/>
      <c r="B647" s="273"/>
      <c r="C647" s="273"/>
      <c r="D647" s="114"/>
      <c r="E647" s="114"/>
      <c r="F647" s="273"/>
      <c r="G647" s="118"/>
    </row>
    <row r="648" ht="15.75" customHeight="1">
      <c r="A648" s="273"/>
      <c r="B648" s="273"/>
      <c r="C648" s="277"/>
      <c r="D648" s="114"/>
      <c r="E648" s="114"/>
      <c r="F648" s="273"/>
      <c r="G648" s="118"/>
    </row>
    <row r="649" ht="15.75" customHeight="1">
      <c r="A649" s="273"/>
      <c r="B649" s="273"/>
      <c r="C649" s="277"/>
      <c r="D649" s="114"/>
      <c r="E649" s="114"/>
      <c r="F649" s="273"/>
      <c r="G649" s="118"/>
    </row>
    <row r="650" ht="15.75" customHeight="1">
      <c r="A650" s="273"/>
      <c r="B650" s="273"/>
      <c r="C650" s="277"/>
      <c r="D650" s="114"/>
      <c r="E650" s="114"/>
      <c r="F650" s="273"/>
      <c r="G650" s="118"/>
    </row>
    <row r="651" ht="15.75" customHeight="1">
      <c r="A651" s="273"/>
      <c r="B651" s="273"/>
      <c r="C651" s="277"/>
      <c r="D651" s="114"/>
      <c r="E651" s="114"/>
      <c r="F651" s="273"/>
      <c r="G651" s="118"/>
    </row>
    <row r="652" ht="15.75" customHeight="1">
      <c r="A652" s="273"/>
      <c r="B652" s="273"/>
      <c r="C652" s="277"/>
      <c r="D652" s="114"/>
      <c r="E652" s="114"/>
      <c r="F652" s="273"/>
      <c r="G652" s="118"/>
    </row>
    <row r="653" ht="15.75" customHeight="1">
      <c r="A653" s="273"/>
      <c r="B653" s="273"/>
      <c r="C653" s="277"/>
      <c r="D653" s="114"/>
      <c r="E653" s="114"/>
      <c r="F653" s="273"/>
      <c r="G653" s="118"/>
    </row>
    <row r="654" ht="15.75" customHeight="1">
      <c r="A654" s="273"/>
      <c r="B654" s="273"/>
      <c r="C654" s="277"/>
      <c r="D654" s="114"/>
      <c r="E654" s="114"/>
      <c r="F654" s="273"/>
      <c r="G654" s="118"/>
    </row>
    <row r="655" ht="15.75" customHeight="1">
      <c r="A655" s="273"/>
      <c r="B655" s="273"/>
      <c r="C655" s="277"/>
      <c r="D655" s="114"/>
      <c r="E655" s="114"/>
      <c r="F655" s="273"/>
      <c r="G655" s="118"/>
    </row>
    <row r="656" ht="15.75" customHeight="1">
      <c r="A656" s="273"/>
      <c r="B656" s="273"/>
      <c r="C656" s="273"/>
      <c r="D656" s="114"/>
      <c r="E656" s="114"/>
      <c r="F656" s="273"/>
      <c r="G656" s="118"/>
    </row>
    <row r="657" ht="15.75" customHeight="1">
      <c r="A657" s="273"/>
      <c r="B657" s="273"/>
      <c r="C657" s="277"/>
      <c r="D657" s="114"/>
      <c r="E657" s="114"/>
      <c r="F657" s="273"/>
      <c r="G657" s="118"/>
    </row>
    <row r="658" ht="15.75" customHeight="1">
      <c r="A658" s="273"/>
      <c r="B658" s="273"/>
      <c r="C658" s="277"/>
      <c r="D658" s="114"/>
      <c r="E658" s="114"/>
      <c r="F658" s="273"/>
      <c r="G658" s="118"/>
    </row>
    <row r="659" ht="15.75" customHeight="1">
      <c r="A659" s="273"/>
      <c r="B659" s="273"/>
      <c r="C659" s="277"/>
      <c r="D659" s="114"/>
      <c r="E659" s="114"/>
      <c r="F659" s="273"/>
      <c r="G659" s="118"/>
    </row>
    <row r="660" ht="15.75" customHeight="1">
      <c r="A660" s="273"/>
      <c r="B660" s="273"/>
      <c r="C660" s="277"/>
      <c r="D660" s="114"/>
      <c r="E660" s="114"/>
      <c r="F660" s="273"/>
      <c r="G660" s="118"/>
    </row>
    <row r="661" ht="15.75" customHeight="1">
      <c r="A661" s="273"/>
      <c r="B661" s="273"/>
      <c r="C661" s="277"/>
      <c r="D661" s="114"/>
      <c r="E661" s="114"/>
      <c r="F661" s="273"/>
      <c r="G661" s="118"/>
    </row>
    <row r="662" ht="15.75" customHeight="1">
      <c r="A662" s="273"/>
      <c r="B662" s="273"/>
      <c r="C662" s="277"/>
      <c r="D662" s="114"/>
      <c r="E662" s="114"/>
      <c r="F662" s="273"/>
      <c r="G662" s="118"/>
    </row>
    <row r="663" ht="15.75" customHeight="1">
      <c r="A663" s="273"/>
      <c r="B663" s="273"/>
      <c r="C663" s="277"/>
      <c r="D663" s="114"/>
      <c r="E663" s="114"/>
      <c r="F663" s="273"/>
      <c r="G663" s="118"/>
    </row>
    <row r="664" ht="15.75" customHeight="1">
      <c r="A664" s="273"/>
      <c r="B664" s="273"/>
      <c r="C664" s="277"/>
      <c r="D664" s="114"/>
      <c r="E664" s="114"/>
      <c r="F664" s="273"/>
      <c r="G664" s="118"/>
    </row>
    <row r="665" ht="15.75" customHeight="1">
      <c r="A665" s="273"/>
      <c r="B665" s="273"/>
      <c r="C665" s="277"/>
      <c r="D665" s="114"/>
      <c r="E665" s="114"/>
      <c r="F665" s="273"/>
      <c r="G665" s="118"/>
    </row>
    <row r="666" ht="15.75" customHeight="1">
      <c r="A666" s="273"/>
      <c r="B666" s="273"/>
      <c r="C666" s="273"/>
      <c r="D666" s="114"/>
      <c r="E666" s="114"/>
      <c r="F666" s="273"/>
      <c r="G666" s="118"/>
    </row>
    <row r="667" ht="15.75" customHeight="1">
      <c r="A667" s="273"/>
      <c r="B667" s="273"/>
      <c r="C667" s="277"/>
      <c r="D667" s="114"/>
      <c r="E667" s="114"/>
      <c r="F667" s="273"/>
      <c r="G667" s="118"/>
    </row>
    <row r="668" ht="15.75" customHeight="1">
      <c r="A668" s="273"/>
      <c r="B668" s="273"/>
      <c r="C668" s="277"/>
      <c r="D668" s="114"/>
      <c r="E668" s="114"/>
      <c r="F668" s="273"/>
      <c r="G668" s="118"/>
    </row>
    <row r="669" ht="15.75" customHeight="1">
      <c r="A669" s="273"/>
      <c r="B669" s="273"/>
      <c r="C669" s="277"/>
      <c r="D669" s="114"/>
      <c r="E669" s="114"/>
      <c r="F669" s="273"/>
      <c r="G669" s="118"/>
    </row>
    <row r="670" ht="15.75" customHeight="1">
      <c r="A670" s="273"/>
      <c r="B670" s="273"/>
      <c r="C670" s="277"/>
      <c r="D670" s="114"/>
      <c r="E670" s="114"/>
      <c r="F670" s="273"/>
      <c r="G670" s="118"/>
    </row>
    <row r="671" ht="15.75" customHeight="1">
      <c r="A671" s="273"/>
      <c r="B671" s="273"/>
      <c r="C671" s="277"/>
      <c r="D671" s="114"/>
      <c r="E671" s="114"/>
      <c r="F671" s="273"/>
      <c r="G671" s="118"/>
    </row>
    <row r="672" ht="15.75" customHeight="1">
      <c r="A672" s="273"/>
      <c r="B672" s="273"/>
      <c r="C672" s="277"/>
      <c r="D672" s="114"/>
      <c r="E672" s="114"/>
      <c r="F672" s="273"/>
      <c r="G672" s="118"/>
    </row>
    <row r="673" ht="15.75" customHeight="1">
      <c r="A673" s="273"/>
      <c r="B673" s="273"/>
      <c r="C673" s="273"/>
      <c r="D673" s="114"/>
      <c r="E673" s="114"/>
      <c r="F673" s="273"/>
      <c r="G673" s="118"/>
    </row>
    <row r="674" ht="15.75" customHeight="1">
      <c r="A674" s="273"/>
      <c r="B674" s="273"/>
      <c r="C674" s="277"/>
      <c r="D674" s="114"/>
      <c r="E674" s="114"/>
      <c r="F674" s="273"/>
      <c r="G674" s="118"/>
    </row>
    <row r="675" ht="15.75" customHeight="1">
      <c r="A675" s="273"/>
      <c r="B675" s="273"/>
      <c r="C675" s="277"/>
      <c r="D675" s="114"/>
      <c r="E675" s="114"/>
      <c r="F675" s="273"/>
      <c r="G675" s="118"/>
    </row>
    <row r="676" ht="15.75" customHeight="1">
      <c r="A676" s="273"/>
      <c r="B676" s="273"/>
      <c r="C676" s="277"/>
      <c r="D676" s="114"/>
      <c r="E676" s="114"/>
      <c r="F676" s="273"/>
      <c r="G676" s="118"/>
    </row>
    <row r="677" ht="15.75" customHeight="1">
      <c r="A677" s="273"/>
      <c r="B677" s="273"/>
      <c r="C677" s="273"/>
      <c r="D677" s="114"/>
      <c r="E677" s="114"/>
      <c r="F677" s="273"/>
      <c r="G677" s="118"/>
    </row>
    <row r="678" ht="15.75" customHeight="1">
      <c r="A678" s="273"/>
      <c r="B678" s="273"/>
      <c r="C678" s="277"/>
      <c r="D678" s="114"/>
      <c r="E678" s="114"/>
      <c r="F678" s="273"/>
      <c r="G678" s="118"/>
    </row>
    <row r="679" ht="15.75" customHeight="1">
      <c r="A679" s="273"/>
      <c r="B679" s="273"/>
      <c r="C679" s="277"/>
      <c r="D679" s="114"/>
      <c r="E679" s="114"/>
      <c r="F679" s="273"/>
      <c r="G679" s="118"/>
    </row>
    <row r="680" ht="15.75" customHeight="1">
      <c r="A680" s="273"/>
      <c r="B680" s="273"/>
      <c r="C680" s="277"/>
      <c r="D680" s="114"/>
      <c r="E680" s="114"/>
      <c r="F680" s="273"/>
      <c r="G680" s="118"/>
    </row>
    <row r="681" ht="15.75" customHeight="1">
      <c r="A681" s="273"/>
      <c r="B681" s="273"/>
      <c r="C681" s="277"/>
      <c r="D681" s="114"/>
      <c r="E681" s="114"/>
      <c r="F681" s="273"/>
      <c r="G681" s="118"/>
    </row>
    <row r="682" ht="15.75" customHeight="1">
      <c r="A682" s="273"/>
      <c r="B682" s="273"/>
      <c r="C682" s="277"/>
      <c r="D682" s="114"/>
      <c r="E682" s="114"/>
      <c r="F682" s="273"/>
      <c r="G682" s="118"/>
    </row>
    <row r="683" ht="15.75" customHeight="1">
      <c r="A683" s="273"/>
      <c r="B683" s="273"/>
      <c r="C683" s="277"/>
      <c r="D683" s="114"/>
      <c r="E683" s="114"/>
      <c r="F683" s="273"/>
      <c r="G683" s="118"/>
    </row>
    <row r="684" ht="15.75" customHeight="1">
      <c r="A684" s="273"/>
      <c r="B684" s="273"/>
      <c r="C684" s="277"/>
      <c r="D684" s="114"/>
      <c r="E684" s="114"/>
      <c r="F684" s="273"/>
      <c r="G684" s="118"/>
    </row>
    <row r="685" ht="15.75" customHeight="1">
      <c r="A685" s="273"/>
      <c r="B685" s="273"/>
      <c r="C685" s="277"/>
      <c r="D685" s="114"/>
      <c r="E685" s="114"/>
      <c r="F685" s="273"/>
      <c r="G685" s="118"/>
    </row>
    <row r="686" ht="15.75" customHeight="1">
      <c r="A686" s="273"/>
      <c r="B686" s="273"/>
      <c r="C686" s="277"/>
      <c r="D686" s="114"/>
      <c r="E686" s="114"/>
      <c r="F686" s="273"/>
      <c r="G686" s="118"/>
    </row>
    <row r="687" ht="15.75" customHeight="1">
      <c r="A687" s="273"/>
      <c r="B687" s="273"/>
      <c r="C687" s="277"/>
      <c r="D687" s="114"/>
      <c r="E687" s="114"/>
      <c r="F687" s="273"/>
      <c r="G687" s="118"/>
    </row>
    <row r="688" ht="15.75" customHeight="1">
      <c r="A688" s="273"/>
      <c r="B688" s="273"/>
      <c r="C688" s="277"/>
      <c r="D688" s="114"/>
      <c r="E688" s="114"/>
      <c r="F688" s="273"/>
      <c r="G688" s="118"/>
    </row>
    <row r="689" ht="15.75" customHeight="1">
      <c r="A689" s="273"/>
      <c r="B689" s="273"/>
      <c r="C689" s="277"/>
      <c r="D689" s="114"/>
      <c r="E689" s="114"/>
      <c r="F689" s="273"/>
      <c r="G689" s="118"/>
    </row>
    <row r="690" ht="15.75" customHeight="1">
      <c r="A690" s="273"/>
      <c r="B690" s="273"/>
      <c r="C690" s="277"/>
      <c r="D690" s="114"/>
      <c r="E690" s="114"/>
      <c r="F690" s="273"/>
      <c r="G690" s="118"/>
    </row>
    <row r="691" ht="15.75" customHeight="1">
      <c r="A691" s="273"/>
      <c r="B691" s="273"/>
      <c r="C691" s="277"/>
      <c r="D691" s="114"/>
      <c r="E691" s="114"/>
      <c r="F691" s="273"/>
      <c r="G691" s="118"/>
    </row>
    <row r="692" ht="15.75" customHeight="1">
      <c r="A692" s="273"/>
      <c r="B692" s="273"/>
      <c r="C692" s="273"/>
      <c r="D692" s="114"/>
      <c r="E692" s="114"/>
      <c r="F692" s="273"/>
      <c r="G692" s="118"/>
    </row>
    <row r="693" ht="15.75" customHeight="1">
      <c r="A693" s="273"/>
      <c r="B693" s="273"/>
      <c r="C693" s="277"/>
      <c r="D693" s="114"/>
      <c r="E693" s="114"/>
      <c r="F693" s="273"/>
      <c r="G693" s="118"/>
    </row>
    <row r="694" ht="15.75" customHeight="1">
      <c r="A694" s="273"/>
      <c r="B694" s="273"/>
      <c r="C694" s="277"/>
      <c r="D694" s="114"/>
      <c r="E694" s="114"/>
      <c r="F694" s="273"/>
      <c r="G694" s="118"/>
    </row>
    <row r="695" ht="15.75" customHeight="1">
      <c r="A695" s="273"/>
      <c r="B695" s="273"/>
      <c r="C695" s="277"/>
      <c r="D695" s="114"/>
      <c r="E695" s="114"/>
      <c r="F695" s="273"/>
      <c r="G695" s="118"/>
    </row>
    <row r="696" ht="15.75" customHeight="1">
      <c r="A696" s="273"/>
      <c r="B696" s="273"/>
      <c r="C696" s="277"/>
      <c r="D696" s="114"/>
      <c r="E696" s="114"/>
      <c r="F696" s="273"/>
      <c r="G696" s="118"/>
    </row>
    <row r="697" ht="15.75" customHeight="1">
      <c r="A697" s="273"/>
      <c r="B697" s="273"/>
      <c r="C697" s="277"/>
      <c r="D697" s="114"/>
      <c r="E697" s="114"/>
      <c r="F697" s="273"/>
      <c r="G697" s="118"/>
    </row>
    <row r="698" ht="15.75" customHeight="1">
      <c r="A698" s="273"/>
      <c r="B698" s="273"/>
      <c r="C698" s="277"/>
      <c r="D698" s="114"/>
      <c r="E698" s="114"/>
      <c r="F698" s="273"/>
      <c r="G698" s="118"/>
    </row>
    <row r="699" ht="15.75" customHeight="1">
      <c r="A699" s="273"/>
      <c r="B699" s="273"/>
      <c r="C699" s="277"/>
      <c r="D699" s="114"/>
      <c r="E699" s="114"/>
      <c r="F699" s="273"/>
      <c r="G699" s="118"/>
    </row>
    <row r="700" ht="15.75" customHeight="1">
      <c r="A700" s="273"/>
      <c r="B700" s="273"/>
      <c r="C700" s="277"/>
      <c r="D700" s="114"/>
      <c r="E700" s="114"/>
      <c r="F700" s="273"/>
      <c r="G700" s="118"/>
    </row>
    <row r="701" ht="15.75" customHeight="1">
      <c r="A701" s="273"/>
      <c r="B701" s="273"/>
      <c r="C701" s="277"/>
      <c r="D701" s="114"/>
      <c r="E701" s="114"/>
      <c r="F701" s="273"/>
      <c r="G701" s="118"/>
    </row>
    <row r="702" ht="15.75" customHeight="1">
      <c r="A702" s="273"/>
      <c r="B702" s="273"/>
      <c r="C702" s="277"/>
      <c r="D702" s="114"/>
      <c r="E702" s="114"/>
      <c r="F702" s="273"/>
      <c r="G702" s="118"/>
    </row>
    <row r="703" ht="15.75" customHeight="1">
      <c r="A703" s="273"/>
      <c r="B703" s="273"/>
      <c r="C703" s="277"/>
      <c r="D703" s="114"/>
      <c r="E703" s="114"/>
      <c r="F703" s="273"/>
      <c r="G703" s="118"/>
    </row>
    <row r="704" ht="15.75" customHeight="1">
      <c r="A704" s="273"/>
      <c r="B704" s="273"/>
      <c r="C704" s="273"/>
      <c r="D704" s="114"/>
      <c r="E704" s="114"/>
      <c r="F704" s="273"/>
      <c r="G704" s="118"/>
    </row>
    <row r="705" ht="15.75" customHeight="1">
      <c r="A705" s="273"/>
      <c r="B705" s="273"/>
      <c r="C705" s="277"/>
      <c r="D705" s="114"/>
      <c r="E705" s="114"/>
      <c r="F705" s="273"/>
      <c r="G705" s="118"/>
    </row>
    <row r="706" ht="15.75" customHeight="1">
      <c r="A706" s="273"/>
      <c r="B706" s="273"/>
      <c r="C706" s="277"/>
      <c r="D706" s="114"/>
      <c r="E706" s="114"/>
      <c r="F706" s="273"/>
      <c r="G706" s="118"/>
    </row>
    <row r="707" ht="15.75" customHeight="1">
      <c r="A707" s="273"/>
      <c r="B707" s="273"/>
      <c r="C707" s="277"/>
      <c r="D707" s="114"/>
      <c r="E707" s="114"/>
      <c r="F707" s="273"/>
      <c r="G707" s="118"/>
    </row>
    <row r="708" ht="15.75" customHeight="1">
      <c r="A708" s="273"/>
      <c r="B708" s="273"/>
      <c r="C708" s="277"/>
      <c r="D708" s="114"/>
      <c r="E708" s="114"/>
      <c r="F708" s="273"/>
      <c r="G708" s="118"/>
    </row>
    <row r="709" ht="15.75" customHeight="1">
      <c r="A709" s="273"/>
      <c r="B709" s="273"/>
      <c r="C709" s="277"/>
      <c r="D709" s="114"/>
      <c r="E709" s="114"/>
      <c r="F709" s="273"/>
      <c r="G709" s="118"/>
    </row>
    <row r="710" ht="15.75" customHeight="1">
      <c r="A710" s="273"/>
      <c r="B710" s="273"/>
      <c r="C710" s="277"/>
      <c r="D710" s="114"/>
      <c r="E710" s="114"/>
      <c r="F710" s="273"/>
      <c r="G710" s="118"/>
    </row>
    <row r="711" ht="15.75" customHeight="1">
      <c r="A711" s="273"/>
      <c r="B711" s="273"/>
      <c r="C711" s="277"/>
      <c r="D711" s="114"/>
      <c r="E711" s="114"/>
      <c r="F711" s="273"/>
      <c r="G711" s="118"/>
    </row>
    <row r="712" ht="15.75" customHeight="1">
      <c r="A712" s="273"/>
      <c r="B712" s="273"/>
      <c r="C712" s="277"/>
      <c r="D712" s="114"/>
      <c r="E712" s="114"/>
      <c r="F712" s="273"/>
      <c r="G712" s="118"/>
    </row>
    <row r="713" ht="15.75" customHeight="1">
      <c r="A713" s="273"/>
      <c r="B713" s="273"/>
      <c r="C713" s="277"/>
      <c r="D713" s="114"/>
      <c r="E713" s="114"/>
      <c r="F713" s="273"/>
      <c r="G713" s="118"/>
    </row>
    <row r="714" ht="15.75" customHeight="1">
      <c r="A714" s="273"/>
      <c r="B714" s="273"/>
      <c r="C714" s="277"/>
      <c r="D714" s="114"/>
      <c r="E714" s="114"/>
      <c r="F714" s="273"/>
      <c r="G714" s="118"/>
    </row>
    <row r="715" ht="15.75" customHeight="1">
      <c r="A715" s="273"/>
      <c r="B715" s="273"/>
      <c r="C715" s="277"/>
      <c r="D715" s="114"/>
      <c r="E715" s="114"/>
      <c r="F715" s="273"/>
      <c r="G715" s="118"/>
    </row>
    <row r="716" ht="15.75" customHeight="1">
      <c r="A716" s="273"/>
      <c r="B716" s="273"/>
      <c r="C716" s="273"/>
      <c r="D716" s="114"/>
      <c r="E716" s="114"/>
      <c r="F716" s="273"/>
      <c r="G716" s="118"/>
    </row>
    <row r="717" ht="15.75" customHeight="1">
      <c r="A717" s="273"/>
      <c r="B717" s="273"/>
      <c r="C717" s="277"/>
      <c r="D717" s="114"/>
      <c r="E717" s="114"/>
      <c r="F717" s="273"/>
      <c r="G717" s="118"/>
    </row>
    <row r="718" ht="15.75" customHeight="1">
      <c r="A718" s="273"/>
      <c r="B718" s="273"/>
      <c r="C718" s="277"/>
      <c r="D718" s="114"/>
      <c r="E718" s="114"/>
      <c r="F718" s="273"/>
      <c r="G718" s="118"/>
    </row>
    <row r="719" ht="15.75" customHeight="1">
      <c r="A719" s="273"/>
      <c r="B719" s="273"/>
      <c r="C719" s="277"/>
      <c r="D719" s="114"/>
      <c r="E719" s="114"/>
      <c r="F719" s="273"/>
      <c r="G719" s="118"/>
    </row>
    <row r="720" ht="15.75" customHeight="1">
      <c r="A720" s="273"/>
      <c r="B720" s="273"/>
      <c r="C720" s="277"/>
      <c r="D720" s="114"/>
      <c r="E720" s="114"/>
      <c r="F720" s="273"/>
      <c r="G720" s="118"/>
    </row>
    <row r="721" ht="15.75" customHeight="1">
      <c r="A721" s="273"/>
      <c r="B721" s="273"/>
      <c r="C721" s="277"/>
      <c r="D721" s="114"/>
      <c r="E721" s="114"/>
      <c r="F721" s="273"/>
      <c r="G721" s="118"/>
    </row>
    <row r="722" ht="15.75" customHeight="1">
      <c r="A722" s="273"/>
      <c r="B722" s="273"/>
      <c r="C722" s="277"/>
      <c r="D722" s="114"/>
      <c r="E722" s="114"/>
      <c r="F722" s="273"/>
      <c r="G722" s="118"/>
    </row>
    <row r="723" ht="15.75" customHeight="1">
      <c r="A723" s="273"/>
      <c r="B723" s="273"/>
      <c r="C723" s="277"/>
      <c r="D723" s="114"/>
      <c r="E723" s="114"/>
      <c r="F723" s="273"/>
      <c r="G723" s="118"/>
    </row>
    <row r="724" ht="15.75" customHeight="1">
      <c r="A724" s="273"/>
      <c r="B724" s="273"/>
      <c r="C724" s="277"/>
      <c r="D724" s="114"/>
      <c r="E724" s="114"/>
      <c r="F724" s="273"/>
      <c r="G724" s="118"/>
    </row>
    <row r="725" ht="15.75" customHeight="1">
      <c r="A725" s="273"/>
      <c r="B725" s="273"/>
      <c r="C725" s="277"/>
      <c r="D725" s="114"/>
      <c r="E725" s="114"/>
      <c r="F725" s="273"/>
      <c r="G725" s="118"/>
    </row>
    <row r="726" ht="15.75" customHeight="1">
      <c r="A726" s="273"/>
      <c r="B726" s="273"/>
      <c r="C726" s="277"/>
      <c r="D726" s="114"/>
      <c r="E726" s="114"/>
      <c r="F726" s="273"/>
      <c r="G726" s="118"/>
    </row>
    <row r="727" ht="15.75" customHeight="1">
      <c r="A727" s="273"/>
      <c r="B727" s="273"/>
      <c r="C727" s="277"/>
      <c r="D727" s="114"/>
      <c r="E727" s="114"/>
      <c r="F727" s="273"/>
      <c r="G727" s="118"/>
    </row>
    <row r="728" ht="15.75" customHeight="1">
      <c r="A728" s="273"/>
      <c r="B728" s="273"/>
      <c r="C728" s="277"/>
      <c r="D728" s="114"/>
      <c r="E728" s="114"/>
      <c r="F728" s="273"/>
      <c r="G728" s="118"/>
    </row>
    <row r="729" ht="15.75" customHeight="1">
      <c r="A729" s="273"/>
      <c r="B729" s="273"/>
      <c r="C729" s="273"/>
      <c r="D729" s="114"/>
      <c r="E729" s="114"/>
      <c r="F729" s="273"/>
      <c r="G729" s="118"/>
    </row>
    <row r="730" ht="15.75" customHeight="1">
      <c r="A730" s="273"/>
      <c r="B730" s="273"/>
      <c r="C730" s="277"/>
      <c r="D730" s="114"/>
      <c r="E730" s="114"/>
      <c r="F730" s="273"/>
      <c r="G730" s="118"/>
    </row>
    <row r="731" ht="15.75" customHeight="1">
      <c r="A731" s="273"/>
      <c r="B731" s="273"/>
      <c r="C731" s="277"/>
      <c r="D731" s="114"/>
      <c r="E731" s="114"/>
      <c r="F731" s="273"/>
      <c r="G731" s="118"/>
    </row>
    <row r="732" ht="15.75" customHeight="1">
      <c r="A732" s="273"/>
      <c r="B732" s="273"/>
      <c r="C732" s="277"/>
      <c r="D732" s="114"/>
      <c r="E732" s="114"/>
      <c r="F732" s="273"/>
      <c r="G732" s="118"/>
    </row>
    <row r="733" ht="15.75" customHeight="1">
      <c r="A733" s="273"/>
      <c r="B733" s="273"/>
      <c r="C733" s="277"/>
      <c r="D733" s="114"/>
      <c r="E733" s="114"/>
      <c r="F733" s="273"/>
      <c r="G733" s="118"/>
    </row>
    <row r="734" ht="15.75" customHeight="1">
      <c r="A734" s="273"/>
      <c r="B734" s="273"/>
      <c r="C734" s="277"/>
      <c r="D734" s="114"/>
      <c r="E734" s="114"/>
      <c r="F734" s="273"/>
      <c r="G734" s="118"/>
    </row>
    <row r="735" ht="15.75" customHeight="1">
      <c r="A735" s="273"/>
      <c r="B735" s="273"/>
      <c r="C735" s="273"/>
      <c r="D735" s="114"/>
      <c r="E735" s="114"/>
      <c r="F735" s="273"/>
      <c r="G735" s="118"/>
    </row>
    <row r="736" ht="15.75" customHeight="1">
      <c r="A736" s="273"/>
      <c r="B736" s="273"/>
      <c r="C736" s="273"/>
      <c r="D736" s="114"/>
      <c r="E736" s="114"/>
      <c r="F736" s="273"/>
      <c r="G736" s="118"/>
    </row>
    <row r="737" ht="15.75" customHeight="1">
      <c r="A737" s="273"/>
      <c r="B737" s="273"/>
      <c r="C737" s="273"/>
      <c r="D737" s="114"/>
      <c r="E737" s="114"/>
      <c r="F737" s="273"/>
      <c r="G737" s="118"/>
    </row>
    <row r="738" ht="15.75" customHeight="1">
      <c r="A738" s="273"/>
      <c r="B738" s="273"/>
      <c r="C738" s="273"/>
      <c r="D738" s="114"/>
      <c r="E738" s="114"/>
      <c r="F738" s="273"/>
      <c r="G738" s="118"/>
    </row>
    <row r="739" ht="15.75" customHeight="1">
      <c r="A739" s="273"/>
      <c r="B739" s="273"/>
      <c r="C739" s="273"/>
      <c r="D739" s="114"/>
      <c r="E739" s="114"/>
      <c r="F739" s="273"/>
      <c r="G739" s="118"/>
    </row>
    <row r="740" ht="15.75" customHeight="1">
      <c r="A740" s="273"/>
      <c r="B740" s="273"/>
      <c r="C740" s="273"/>
      <c r="D740" s="114"/>
      <c r="E740" s="114"/>
      <c r="F740" s="273"/>
      <c r="G740" s="118"/>
    </row>
    <row r="741" ht="15.75" customHeight="1">
      <c r="A741" s="273"/>
      <c r="B741" s="273"/>
      <c r="C741" s="273"/>
      <c r="D741" s="114"/>
      <c r="E741" s="114"/>
      <c r="F741" s="273"/>
      <c r="G741" s="118"/>
    </row>
    <row r="742" ht="15.75" customHeight="1">
      <c r="A742" s="273"/>
      <c r="B742" s="273"/>
      <c r="C742" s="273"/>
      <c r="D742" s="114"/>
      <c r="E742" s="114"/>
      <c r="F742" s="273"/>
      <c r="G742" s="118"/>
    </row>
    <row r="743" ht="15.75" customHeight="1">
      <c r="A743" s="273"/>
      <c r="B743" s="273"/>
      <c r="C743" s="273"/>
      <c r="D743" s="114"/>
      <c r="E743" s="114"/>
      <c r="F743" s="273"/>
      <c r="G743" s="118"/>
    </row>
    <row r="744" ht="15.75" customHeight="1">
      <c r="A744" s="273"/>
      <c r="B744" s="273"/>
      <c r="C744" s="273"/>
      <c r="D744" s="114"/>
      <c r="E744" s="114"/>
      <c r="F744" s="273"/>
      <c r="G744" s="118"/>
    </row>
    <row r="745" ht="15.75" customHeight="1">
      <c r="A745" s="273"/>
      <c r="B745" s="273"/>
      <c r="C745" s="273"/>
      <c r="D745" s="114"/>
      <c r="E745" s="114"/>
      <c r="F745" s="273"/>
      <c r="G745" s="118"/>
    </row>
    <row r="746" ht="15.75" customHeight="1">
      <c r="A746" s="273"/>
      <c r="B746" s="273"/>
      <c r="C746" s="273"/>
      <c r="D746" s="114"/>
      <c r="E746" s="114"/>
      <c r="F746" s="273"/>
      <c r="G746" s="118"/>
    </row>
    <row r="747" ht="15.75" customHeight="1">
      <c r="A747" s="273"/>
      <c r="B747" s="273"/>
      <c r="C747" s="273"/>
      <c r="D747" s="114"/>
      <c r="E747" s="114"/>
      <c r="F747" s="273"/>
      <c r="G747" s="118"/>
    </row>
    <row r="748" ht="15.75" customHeight="1">
      <c r="A748" s="273"/>
      <c r="B748" s="273"/>
      <c r="C748" s="273"/>
      <c r="D748" s="114"/>
      <c r="E748" s="114"/>
      <c r="F748" s="273"/>
      <c r="G748" s="118"/>
    </row>
    <row r="749" ht="15.75" customHeight="1">
      <c r="A749" s="273"/>
      <c r="B749" s="273"/>
      <c r="C749" s="273"/>
      <c r="D749" s="114"/>
      <c r="E749" s="114"/>
      <c r="F749" s="273"/>
      <c r="G749" s="118"/>
    </row>
    <row r="750" ht="15.75" customHeight="1">
      <c r="A750" s="273"/>
      <c r="B750" s="273"/>
      <c r="C750" s="273"/>
      <c r="D750" s="114"/>
      <c r="E750" s="114"/>
      <c r="F750" s="273"/>
      <c r="G750" s="118"/>
    </row>
    <row r="751" ht="15.75" customHeight="1">
      <c r="A751" s="273"/>
      <c r="B751" s="273"/>
      <c r="C751" s="273"/>
      <c r="D751" s="114"/>
      <c r="E751" s="114"/>
      <c r="F751" s="273"/>
      <c r="G751" s="118"/>
    </row>
    <row r="752" ht="15.75" customHeight="1">
      <c r="A752" s="273"/>
      <c r="B752" s="273"/>
      <c r="C752" s="273"/>
      <c r="D752" s="114"/>
      <c r="E752" s="114"/>
      <c r="F752" s="273"/>
      <c r="G752" s="118"/>
    </row>
    <row r="753" ht="15.75" customHeight="1">
      <c r="A753" s="273"/>
      <c r="B753" s="273"/>
      <c r="C753" s="273"/>
      <c r="D753" s="114"/>
      <c r="E753" s="114"/>
      <c r="F753" s="273"/>
      <c r="G753" s="118"/>
    </row>
    <row r="754" ht="15.75" customHeight="1">
      <c r="A754" s="273"/>
      <c r="B754" s="273"/>
      <c r="C754" s="273"/>
      <c r="D754" s="114"/>
      <c r="E754" s="114"/>
      <c r="F754" s="273"/>
      <c r="G754" s="118"/>
    </row>
    <row r="755" ht="15.75" customHeight="1">
      <c r="A755" s="273"/>
      <c r="B755" s="273"/>
      <c r="C755" s="273"/>
      <c r="D755" s="114"/>
      <c r="E755" s="114"/>
      <c r="F755" s="273"/>
      <c r="G755" s="118"/>
    </row>
    <row r="756" ht="15.75" customHeight="1">
      <c r="A756" s="273"/>
      <c r="B756" s="273"/>
      <c r="C756" s="273"/>
      <c r="D756" s="114"/>
      <c r="E756" s="114"/>
      <c r="F756" s="273"/>
      <c r="G756" s="118"/>
    </row>
    <row r="757" ht="15.75" customHeight="1">
      <c r="A757" s="273"/>
      <c r="B757" s="273"/>
      <c r="C757" s="273"/>
      <c r="D757" s="114"/>
      <c r="E757" s="114"/>
      <c r="F757" s="273"/>
      <c r="G757" s="118"/>
    </row>
    <row r="758" ht="15.75" customHeight="1">
      <c r="A758" s="273"/>
      <c r="B758" s="273"/>
      <c r="C758" s="273"/>
      <c r="D758" s="114"/>
      <c r="E758" s="114"/>
      <c r="F758" s="273"/>
      <c r="G758" s="118"/>
    </row>
    <row r="759" ht="15.75" customHeight="1">
      <c r="A759" s="273"/>
      <c r="B759" s="273"/>
      <c r="C759" s="273"/>
      <c r="D759" s="114"/>
      <c r="E759" s="114"/>
      <c r="F759" s="273"/>
      <c r="G759" s="118"/>
    </row>
    <row r="760" ht="15.75" customHeight="1">
      <c r="A760" s="273"/>
      <c r="B760" s="273"/>
      <c r="C760" s="273"/>
      <c r="D760" s="114"/>
      <c r="E760" s="114"/>
      <c r="F760" s="273"/>
      <c r="G760" s="118"/>
    </row>
    <row r="761" ht="15.75" customHeight="1">
      <c r="A761" s="273"/>
      <c r="B761" s="273"/>
      <c r="C761" s="273"/>
      <c r="D761" s="114"/>
      <c r="E761" s="114"/>
      <c r="F761" s="273"/>
      <c r="G761" s="118"/>
    </row>
    <row r="762" ht="15.75" customHeight="1">
      <c r="A762" s="273"/>
      <c r="B762" s="273"/>
      <c r="C762" s="273"/>
      <c r="D762" s="114"/>
      <c r="E762" s="114"/>
      <c r="F762" s="273"/>
      <c r="G762" s="118"/>
    </row>
    <row r="763" ht="15.75" customHeight="1">
      <c r="A763" s="273"/>
      <c r="B763" s="273"/>
      <c r="C763" s="273"/>
      <c r="D763" s="114"/>
      <c r="E763" s="114"/>
      <c r="F763" s="273"/>
      <c r="G763" s="118"/>
    </row>
    <row r="764" ht="15.75" customHeight="1">
      <c r="A764" s="273"/>
      <c r="B764" s="273"/>
      <c r="C764" s="273"/>
      <c r="D764" s="114"/>
      <c r="E764" s="114"/>
      <c r="F764" s="273"/>
      <c r="G764" s="118"/>
    </row>
    <row r="765" ht="15.75" customHeight="1">
      <c r="A765" s="273"/>
      <c r="B765" s="273"/>
      <c r="C765" s="273"/>
      <c r="D765" s="114"/>
      <c r="E765" s="114"/>
      <c r="F765" s="273"/>
      <c r="G765" s="118"/>
    </row>
    <row r="766" ht="15.75" customHeight="1">
      <c r="A766" s="273"/>
      <c r="B766" s="273"/>
      <c r="C766" s="273"/>
      <c r="D766" s="114"/>
      <c r="E766" s="114"/>
      <c r="F766" s="273"/>
      <c r="G766" s="118"/>
    </row>
    <row r="767" ht="15.75" customHeight="1">
      <c r="A767" s="273"/>
      <c r="B767" s="273"/>
      <c r="C767" s="273"/>
      <c r="D767" s="114"/>
      <c r="E767" s="114"/>
      <c r="F767" s="273"/>
      <c r="G767" s="118"/>
    </row>
    <row r="768" ht="15.75" customHeight="1">
      <c r="A768" s="273"/>
      <c r="B768" s="273"/>
      <c r="C768" s="273"/>
      <c r="D768" s="114"/>
      <c r="E768" s="114"/>
      <c r="F768" s="273"/>
      <c r="G768" s="118"/>
    </row>
    <row r="769" ht="15.75" customHeight="1">
      <c r="A769" s="273"/>
      <c r="B769" s="273"/>
      <c r="C769" s="273"/>
      <c r="D769" s="114"/>
      <c r="E769" s="114"/>
      <c r="F769" s="273"/>
      <c r="G769" s="118"/>
    </row>
    <row r="770" ht="15.75" customHeight="1">
      <c r="A770" s="273"/>
      <c r="B770" s="273"/>
      <c r="C770" s="273"/>
      <c r="D770" s="114"/>
      <c r="E770" s="114"/>
      <c r="F770" s="273"/>
      <c r="G770" s="118"/>
    </row>
    <row r="771" ht="15.75" customHeight="1">
      <c r="A771" s="273"/>
      <c r="B771" s="273"/>
      <c r="C771" s="273"/>
      <c r="D771" s="114"/>
      <c r="E771" s="114"/>
      <c r="F771" s="273"/>
      <c r="G771" s="118"/>
    </row>
    <row r="772" ht="15.75" customHeight="1">
      <c r="A772" s="273"/>
      <c r="B772" s="273"/>
      <c r="C772" s="273"/>
      <c r="D772" s="114"/>
      <c r="E772" s="114"/>
      <c r="F772" s="273"/>
      <c r="G772" s="118"/>
    </row>
    <row r="773" ht="15.75" customHeight="1">
      <c r="A773" s="273"/>
      <c r="B773" s="273"/>
      <c r="C773" s="273"/>
      <c r="D773" s="114"/>
      <c r="E773" s="114"/>
      <c r="F773" s="273"/>
      <c r="G773" s="118"/>
    </row>
    <row r="774" ht="15.75" customHeight="1">
      <c r="A774" s="273"/>
      <c r="B774" s="273"/>
      <c r="C774" s="273"/>
      <c r="D774" s="114"/>
      <c r="E774" s="114"/>
      <c r="F774" s="273"/>
      <c r="G774" s="118"/>
    </row>
    <row r="775" ht="15.75" customHeight="1">
      <c r="A775" s="273"/>
      <c r="B775" s="273"/>
      <c r="C775" s="273"/>
      <c r="D775" s="114"/>
      <c r="E775" s="114"/>
      <c r="F775" s="273"/>
      <c r="G775" s="118"/>
    </row>
    <row r="776" ht="15.75" customHeight="1">
      <c r="A776" s="273"/>
      <c r="B776" s="273"/>
      <c r="C776" s="273"/>
      <c r="D776" s="114"/>
      <c r="E776" s="114"/>
      <c r="F776" s="273"/>
      <c r="G776" s="118"/>
    </row>
    <row r="777" ht="15.75" customHeight="1">
      <c r="A777" s="273"/>
      <c r="B777" s="273"/>
      <c r="C777" s="273"/>
      <c r="D777" s="114"/>
      <c r="E777" s="114"/>
      <c r="F777" s="273"/>
      <c r="G777" s="118"/>
    </row>
    <row r="778" ht="15.75" customHeight="1">
      <c r="A778" s="273"/>
      <c r="B778" s="273"/>
      <c r="C778" s="273"/>
      <c r="D778" s="114"/>
      <c r="E778" s="114"/>
      <c r="F778" s="273"/>
      <c r="G778" s="118"/>
    </row>
    <row r="779" ht="15.75" customHeight="1">
      <c r="A779" s="273"/>
      <c r="B779" s="273"/>
      <c r="C779" s="273"/>
      <c r="D779" s="114"/>
      <c r="E779" s="114"/>
      <c r="F779" s="273"/>
      <c r="G779" s="118"/>
    </row>
    <row r="780" ht="15.75" customHeight="1">
      <c r="A780" s="273"/>
      <c r="B780" s="273"/>
      <c r="C780" s="273"/>
      <c r="D780" s="114"/>
      <c r="E780" s="114"/>
      <c r="F780" s="273"/>
      <c r="G780" s="118"/>
    </row>
    <row r="781" ht="15.75" customHeight="1">
      <c r="A781" s="273"/>
      <c r="B781" s="273"/>
      <c r="C781" s="273"/>
      <c r="D781" s="114"/>
      <c r="E781" s="114"/>
      <c r="F781" s="273"/>
      <c r="G781" s="118"/>
    </row>
    <row r="782" ht="15.75" customHeight="1">
      <c r="A782" s="273"/>
      <c r="B782" s="273"/>
      <c r="C782" s="273"/>
      <c r="D782" s="114"/>
      <c r="E782" s="114"/>
      <c r="F782" s="273"/>
      <c r="G782" s="118"/>
    </row>
    <row r="783" ht="15.75" customHeight="1">
      <c r="A783" s="273"/>
      <c r="B783" s="273"/>
      <c r="C783" s="273"/>
      <c r="D783" s="114"/>
      <c r="E783" s="114"/>
      <c r="F783" s="273"/>
      <c r="G783" s="118"/>
    </row>
    <row r="784" ht="15.75" customHeight="1">
      <c r="A784" s="273"/>
      <c r="B784" s="273"/>
      <c r="C784" s="273"/>
      <c r="D784" s="114"/>
      <c r="E784" s="114"/>
      <c r="F784" s="273"/>
      <c r="G784" s="118"/>
    </row>
    <row r="785" ht="15.75" customHeight="1">
      <c r="A785" s="273"/>
      <c r="B785" s="273"/>
      <c r="C785" s="273"/>
      <c r="D785" s="114"/>
      <c r="E785" s="114"/>
      <c r="F785" s="273"/>
      <c r="G785" s="118"/>
    </row>
    <row r="786" ht="15.75" customHeight="1">
      <c r="A786" s="273"/>
      <c r="B786" s="273"/>
      <c r="C786" s="273"/>
      <c r="D786" s="114"/>
      <c r="E786" s="114"/>
      <c r="F786" s="273"/>
      <c r="G786" s="118"/>
    </row>
    <row r="787" ht="15.75" customHeight="1">
      <c r="A787" s="273"/>
      <c r="B787" s="273"/>
      <c r="C787" s="273"/>
      <c r="D787" s="114"/>
      <c r="E787" s="114"/>
      <c r="F787" s="273"/>
      <c r="G787" s="118"/>
    </row>
    <row r="788" ht="15.75" customHeight="1">
      <c r="A788" s="273"/>
      <c r="B788" s="273"/>
      <c r="C788" s="273"/>
      <c r="D788" s="114"/>
      <c r="E788" s="114"/>
      <c r="F788" s="273"/>
      <c r="G788" s="118"/>
    </row>
    <row r="789" ht="15.75" customHeight="1">
      <c r="A789" s="273"/>
      <c r="B789" s="273"/>
      <c r="C789" s="273"/>
      <c r="D789" s="114"/>
      <c r="E789" s="114"/>
      <c r="F789" s="273"/>
      <c r="G789" s="118"/>
    </row>
    <row r="790" ht="15.75" customHeight="1">
      <c r="A790" s="273"/>
      <c r="B790" s="273"/>
      <c r="C790" s="273"/>
      <c r="D790" s="114"/>
      <c r="E790" s="114"/>
      <c r="F790" s="273"/>
      <c r="G790" s="118"/>
    </row>
    <row r="791" ht="15.75" customHeight="1">
      <c r="A791" s="273"/>
      <c r="B791" s="273"/>
      <c r="C791" s="273"/>
      <c r="D791" s="114"/>
      <c r="E791" s="114"/>
      <c r="F791" s="273"/>
      <c r="G791" s="118"/>
    </row>
    <row r="792" ht="15.75" customHeight="1">
      <c r="A792" s="273"/>
      <c r="B792" s="273"/>
      <c r="C792" s="273"/>
      <c r="D792" s="114"/>
      <c r="E792" s="114"/>
      <c r="F792" s="273"/>
      <c r="G792" s="118"/>
    </row>
    <row r="793" ht="15.75" customHeight="1">
      <c r="A793" s="273"/>
      <c r="B793" s="273"/>
      <c r="C793" s="273"/>
      <c r="D793" s="114"/>
      <c r="E793" s="114"/>
      <c r="F793" s="273"/>
      <c r="G793" s="118"/>
    </row>
    <row r="794" ht="15.75" customHeight="1">
      <c r="A794" s="273"/>
      <c r="B794" s="273"/>
      <c r="C794" s="273"/>
      <c r="D794" s="114"/>
      <c r="E794" s="114"/>
      <c r="F794" s="273"/>
      <c r="G794" s="118"/>
    </row>
    <row r="795" ht="15.75" customHeight="1">
      <c r="A795" s="273"/>
      <c r="B795" s="273"/>
      <c r="C795" s="273"/>
      <c r="D795" s="114"/>
      <c r="E795" s="114"/>
      <c r="F795" s="273"/>
      <c r="G795" s="118"/>
    </row>
    <row r="796" ht="15.75" customHeight="1">
      <c r="A796" s="273"/>
      <c r="B796" s="273"/>
      <c r="C796" s="273"/>
      <c r="D796" s="114"/>
      <c r="E796" s="114"/>
      <c r="F796" s="273"/>
      <c r="G796" s="118"/>
    </row>
    <row r="797" ht="15.75" customHeight="1">
      <c r="A797" s="273"/>
      <c r="B797" s="273"/>
      <c r="C797" s="273"/>
      <c r="D797" s="114"/>
      <c r="E797" s="114"/>
      <c r="F797" s="273"/>
      <c r="G797" s="118"/>
    </row>
    <row r="798" ht="15.75" customHeight="1">
      <c r="A798" s="273"/>
      <c r="B798" s="273"/>
      <c r="C798" s="273"/>
      <c r="D798" s="114"/>
      <c r="E798" s="114"/>
      <c r="F798" s="273"/>
      <c r="G798" s="118"/>
    </row>
    <row r="799" ht="15.75" customHeight="1">
      <c r="A799" s="273"/>
      <c r="B799" s="273"/>
      <c r="C799" s="273"/>
      <c r="D799" s="114"/>
      <c r="E799" s="114"/>
      <c r="F799" s="273"/>
      <c r="G799" s="118"/>
    </row>
    <row r="800" ht="15.75" customHeight="1">
      <c r="A800" s="273"/>
      <c r="B800" s="273"/>
      <c r="C800" s="273"/>
      <c r="D800" s="114"/>
      <c r="E800" s="114"/>
      <c r="F800" s="273"/>
      <c r="G800" s="118"/>
    </row>
    <row r="801" ht="15.75" customHeight="1">
      <c r="A801" s="273"/>
      <c r="B801" s="273"/>
      <c r="C801" s="273"/>
      <c r="D801" s="114"/>
      <c r="E801" s="114"/>
      <c r="F801" s="273"/>
      <c r="G801" s="118"/>
    </row>
    <row r="802" ht="15.75" customHeight="1">
      <c r="A802" s="273"/>
      <c r="B802" s="273"/>
      <c r="C802" s="273"/>
      <c r="D802" s="114"/>
      <c r="E802" s="114"/>
      <c r="F802" s="273"/>
      <c r="G802" s="118"/>
    </row>
    <row r="803" ht="15.75" customHeight="1">
      <c r="A803" s="273"/>
      <c r="B803" s="273"/>
      <c r="C803" s="273"/>
      <c r="D803" s="114"/>
      <c r="E803" s="114"/>
      <c r="F803" s="273"/>
      <c r="G803" s="118"/>
    </row>
    <row r="804" ht="15.75" customHeight="1">
      <c r="A804" s="273"/>
      <c r="B804" s="273"/>
      <c r="C804" s="273"/>
      <c r="D804" s="114"/>
      <c r="E804" s="114"/>
      <c r="F804" s="273"/>
      <c r="G804" s="118"/>
    </row>
    <row r="805" ht="15.75" customHeight="1">
      <c r="A805" s="273"/>
      <c r="B805" s="273"/>
      <c r="C805" s="273"/>
      <c r="D805" s="114"/>
      <c r="E805" s="114"/>
      <c r="F805" s="273"/>
      <c r="G805" s="118"/>
    </row>
    <row r="806" ht="15.75" customHeight="1">
      <c r="A806" s="273"/>
      <c r="B806" s="273"/>
      <c r="C806" s="273"/>
      <c r="D806" s="114"/>
      <c r="E806" s="114"/>
      <c r="F806" s="273"/>
      <c r="G806" s="118"/>
    </row>
    <row r="807" ht="15.75" customHeight="1">
      <c r="A807" s="273"/>
      <c r="B807" s="273"/>
      <c r="C807" s="273"/>
      <c r="D807" s="114"/>
      <c r="E807" s="114"/>
      <c r="F807" s="273"/>
      <c r="G807" s="118"/>
    </row>
    <row r="808" ht="15.75" customHeight="1">
      <c r="A808" s="273"/>
      <c r="B808" s="273"/>
      <c r="C808" s="273"/>
      <c r="D808" s="114"/>
      <c r="E808" s="114"/>
      <c r="F808" s="273"/>
      <c r="G808" s="118"/>
    </row>
    <row r="809" ht="15.75" customHeight="1">
      <c r="A809" s="273"/>
      <c r="B809" s="273"/>
      <c r="C809" s="273"/>
      <c r="D809" s="114"/>
      <c r="E809" s="114"/>
      <c r="F809" s="273"/>
      <c r="G809" s="118"/>
    </row>
    <row r="810" ht="15.75" customHeight="1">
      <c r="A810" s="273"/>
      <c r="B810" s="273"/>
      <c r="C810" s="273"/>
      <c r="D810" s="114"/>
      <c r="E810" s="114"/>
      <c r="F810" s="273"/>
      <c r="G810" s="118"/>
    </row>
    <row r="811" ht="15.75" customHeight="1">
      <c r="A811" s="273"/>
      <c r="B811" s="273"/>
      <c r="C811" s="273"/>
      <c r="D811" s="114"/>
      <c r="E811" s="114"/>
      <c r="F811" s="273"/>
      <c r="G811" s="118"/>
    </row>
    <row r="812" ht="15.75" customHeight="1">
      <c r="A812" s="273"/>
      <c r="B812" s="273"/>
      <c r="C812" s="273"/>
      <c r="D812" s="114"/>
      <c r="E812" s="114"/>
      <c r="F812" s="273"/>
      <c r="G812" s="118"/>
    </row>
    <row r="813" ht="15.75" customHeight="1">
      <c r="A813" s="273"/>
      <c r="B813" s="273"/>
      <c r="C813" s="273"/>
      <c r="D813" s="114"/>
      <c r="E813" s="114"/>
      <c r="F813" s="273"/>
      <c r="G813" s="118"/>
    </row>
    <row r="814" ht="15.75" customHeight="1">
      <c r="A814" s="273"/>
      <c r="B814" s="273"/>
      <c r="C814" s="273"/>
      <c r="D814" s="114"/>
      <c r="E814" s="114"/>
      <c r="F814" s="273"/>
      <c r="G814" s="118"/>
    </row>
    <row r="815" ht="15.75" customHeight="1">
      <c r="A815" s="273"/>
      <c r="B815" s="273"/>
      <c r="C815" s="273"/>
      <c r="D815" s="114"/>
      <c r="E815" s="114"/>
      <c r="F815" s="273"/>
      <c r="G815" s="118"/>
    </row>
    <row r="816" ht="15.75" customHeight="1">
      <c r="A816" s="273"/>
      <c r="B816" s="273"/>
      <c r="C816" s="273"/>
      <c r="D816" s="114"/>
      <c r="E816" s="114"/>
      <c r="F816" s="273"/>
      <c r="G816" s="118"/>
    </row>
    <row r="817" ht="15.75" customHeight="1">
      <c r="A817" s="273"/>
      <c r="B817" s="273"/>
      <c r="C817" s="273"/>
      <c r="D817" s="114"/>
      <c r="E817" s="114"/>
      <c r="F817" s="273"/>
      <c r="G817" s="118"/>
    </row>
    <row r="818" ht="15.75" customHeight="1">
      <c r="A818" s="273"/>
      <c r="B818" s="273"/>
      <c r="C818" s="273"/>
      <c r="D818" s="114"/>
      <c r="E818" s="114"/>
      <c r="F818" s="273"/>
      <c r="G818" s="118"/>
    </row>
    <row r="819" ht="15.75" customHeight="1">
      <c r="A819" s="273"/>
      <c r="B819" s="273"/>
      <c r="C819" s="273"/>
      <c r="D819" s="114"/>
      <c r="E819" s="114"/>
      <c r="F819" s="273"/>
      <c r="G819" s="118"/>
    </row>
    <row r="820" ht="15.75" customHeight="1">
      <c r="A820" s="273"/>
      <c r="B820" s="273"/>
      <c r="C820" s="273"/>
      <c r="D820" s="114"/>
      <c r="E820" s="114"/>
      <c r="F820" s="273"/>
      <c r="G820" s="118"/>
    </row>
    <row r="821" ht="15.75" customHeight="1">
      <c r="A821" s="273"/>
      <c r="B821" s="273"/>
      <c r="C821" s="273"/>
      <c r="D821" s="114"/>
      <c r="E821" s="114"/>
      <c r="F821" s="273"/>
      <c r="G821" s="118"/>
    </row>
    <row r="822" ht="15.75" customHeight="1">
      <c r="A822" s="273"/>
      <c r="B822" s="273"/>
      <c r="C822" s="273"/>
      <c r="D822" s="114"/>
      <c r="E822" s="114"/>
      <c r="F822" s="273"/>
      <c r="G822" s="118"/>
    </row>
    <row r="823" ht="15.75" customHeight="1">
      <c r="A823" s="273"/>
      <c r="B823" s="273"/>
      <c r="C823" s="273"/>
      <c r="D823" s="114"/>
      <c r="E823" s="114"/>
      <c r="F823" s="273"/>
      <c r="G823" s="118"/>
    </row>
    <row r="824" ht="15.75" customHeight="1">
      <c r="A824" s="273"/>
      <c r="B824" s="273"/>
      <c r="C824" s="273"/>
      <c r="D824" s="114"/>
      <c r="E824" s="114"/>
      <c r="F824" s="273"/>
      <c r="G824" s="118"/>
    </row>
    <row r="825" ht="15.75" customHeight="1">
      <c r="A825" s="273"/>
      <c r="B825" s="273"/>
      <c r="C825" s="273"/>
      <c r="D825" s="114"/>
      <c r="E825" s="114"/>
      <c r="F825" s="273"/>
      <c r="G825" s="118"/>
    </row>
    <row r="826" ht="15.75" customHeight="1">
      <c r="A826" s="273"/>
      <c r="B826" s="273"/>
      <c r="C826" s="273"/>
      <c r="D826" s="114"/>
      <c r="E826" s="114"/>
      <c r="F826" s="273"/>
      <c r="G826" s="118"/>
    </row>
    <row r="827" ht="15.75" customHeight="1">
      <c r="A827" s="273"/>
      <c r="B827" s="273"/>
      <c r="C827" s="273"/>
      <c r="D827" s="114"/>
      <c r="E827" s="114"/>
      <c r="F827" s="273"/>
      <c r="G827" s="118"/>
    </row>
    <row r="828" ht="15.75" customHeight="1">
      <c r="A828" s="273"/>
      <c r="B828" s="273"/>
      <c r="C828" s="273"/>
      <c r="D828" s="114"/>
      <c r="E828" s="114"/>
      <c r="F828" s="273"/>
      <c r="G828" s="118"/>
    </row>
    <row r="829" ht="15.75" customHeight="1">
      <c r="A829" s="273"/>
      <c r="B829" s="273"/>
      <c r="C829" s="273"/>
      <c r="D829" s="114"/>
      <c r="E829" s="114"/>
      <c r="F829" s="273"/>
      <c r="G829" s="118"/>
    </row>
    <row r="830" ht="15.75" customHeight="1">
      <c r="A830" s="273"/>
      <c r="B830" s="273"/>
      <c r="C830" s="273"/>
      <c r="D830" s="114"/>
      <c r="E830" s="114"/>
      <c r="F830" s="273"/>
      <c r="G830" s="118"/>
    </row>
    <row r="831" ht="15.75" customHeight="1">
      <c r="A831" s="273"/>
      <c r="B831" s="273"/>
      <c r="C831" s="273"/>
      <c r="D831" s="114"/>
      <c r="E831" s="114"/>
      <c r="F831" s="273"/>
      <c r="G831" s="118"/>
    </row>
    <row r="832" ht="15.75" customHeight="1">
      <c r="A832" s="273"/>
      <c r="B832" s="273"/>
      <c r="C832" s="273"/>
      <c r="D832" s="114"/>
      <c r="E832" s="114"/>
      <c r="F832" s="273"/>
      <c r="G832" s="118"/>
    </row>
    <row r="833" ht="15.75" customHeight="1">
      <c r="A833" s="273"/>
      <c r="B833" s="273"/>
      <c r="C833" s="273"/>
      <c r="D833" s="114"/>
      <c r="E833" s="114"/>
      <c r="F833" s="273"/>
      <c r="G833" s="118"/>
    </row>
    <row r="834" ht="15.75" customHeight="1">
      <c r="A834" s="273"/>
      <c r="B834" s="273"/>
      <c r="C834" s="273"/>
      <c r="D834" s="114"/>
      <c r="E834" s="114"/>
      <c r="F834" s="273"/>
      <c r="G834" s="118"/>
    </row>
    <row r="835" ht="15.75" customHeight="1">
      <c r="A835" s="273"/>
      <c r="B835" s="273"/>
      <c r="C835" s="273"/>
      <c r="D835" s="114"/>
      <c r="E835" s="114"/>
      <c r="F835" s="273"/>
      <c r="G835" s="118"/>
    </row>
    <row r="836" ht="15.75" customHeight="1">
      <c r="A836" s="273"/>
      <c r="B836" s="273"/>
      <c r="C836" s="273"/>
      <c r="D836" s="114"/>
      <c r="E836" s="114"/>
      <c r="F836" s="273"/>
      <c r="G836" s="118"/>
    </row>
    <row r="837" ht="15.75" customHeight="1">
      <c r="A837" s="273"/>
      <c r="B837" s="273"/>
      <c r="C837" s="273"/>
      <c r="D837" s="114"/>
      <c r="E837" s="114"/>
      <c r="F837" s="273"/>
      <c r="G837" s="118"/>
    </row>
    <row r="838" ht="15.75" customHeight="1">
      <c r="A838" s="273"/>
      <c r="B838" s="273"/>
      <c r="C838" s="273"/>
      <c r="D838" s="114"/>
      <c r="E838" s="114"/>
      <c r="F838" s="273"/>
      <c r="G838" s="118"/>
    </row>
    <row r="839" ht="15.75" customHeight="1">
      <c r="A839" s="273"/>
      <c r="B839" s="273"/>
      <c r="C839" s="273"/>
      <c r="D839" s="114"/>
      <c r="E839" s="114"/>
      <c r="F839" s="273"/>
      <c r="G839" s="118"/>
    </row>
    <row r="840" ht="15.75" customHeight="1">
      <c r="A840" s="273"/>
      <c r="B840" s="273"/>
      <c r="C840" s="273"/>
      <c r="D840" s="114"/>
      <c r="E840" s="114"/>
      <c r="F840" s="273"/>
      <c r="G840" s="118"/>
    </row>
    <row r="841" ht="15.75" customHeight="1">
      <c r="A841" s="273"/>
      <c r="B841" s="273"/>
      <c r="C841" s="273"/>
      <c r="D841" s="114"/>
      <c r="E841" s="114"/>
      <c r="F841" s="273"/>
      <c r="G841" s="118"/>
    </row>
    <row r="842" ht="15.75" customHeight="1">
      <c r="A842" s="273"/>
      <c r="B842" s="273"/>
      <c r="C842" s="273"/>
      <c r="D842" s="114"/>
      <c r="E842" s="114"/>
      <c r="F842" s="273"/>
      <c r="G842" s="118"/>
    </row>
    <row r="843" ht="15.75" customHeight="1">
      <c r="A843" s="273"/>
      <c r="B843" s="273"/>
      <c r="C843" s="273"/>
      <c r="D843" s="114"/>
      <c r="E843" s="114"/>
      <c r="F843" s="273"/>
      <c r="G843" s="118"/>
    </row>
    <row r="844" ht="15.75" customHeight="1">
      <c r="A844" s="273"/>
      <c r="B844" s="273"/>
      <c r="C844" s="273"/>
      <c r="D844" s="114"/>
      <c r="E844" s="114"/>
      <c r="F844" s="273"/>
      <c r="G844" s="118"/>
    </row>
    <row r="845" ht="15.75" customHeight="1">
      <c r="A845" s="273"/>
      <c r="B845" s="273"/>
      <c r="C845" s="273"/>
      <c r="D845" s="114"/>
      <c r="E845" s="114"/>
      <c r="F845" s="273"/>
      <c r="G845" s="118"/>
    </row>
    <row r="846" ht="15.75" customHeight="1">
      <c r="A846" s="273"/>
      <c r="B846" s="273"/>
      <c r="C846" s="273"/>
      <c r="D846" s="114"/>
      <c r="E846" s="114"/>
      <c r="F846" s="273"/>
      <c r="G846" s="118"/>
    </row>
    <row r="847" ht="15.75" customHeight="1">
      <c r="A847" s="273"/>
      <c r="B847" s="273"/>
      <c r="C847" s="273"/>
      <c r="D847" s="114"/>
      <c r="E847" s="114"/>
      <c r="F847" s="273"/>
      <c r="G847" s="118"/>
    </row>
    <row r="848" ht="15.75" customHeight="1">
      <c r="A848" s="273"/>
      <c r="B848" s="273"/>
      <c r="C848" s="273"/>
      <c r="D848" s="114"/>
      <c r="E848" s="114"/>
      <c r="F848" s="273"/>
      <c r="G848" s="118"/>
    </row>
    <row r="849" ht="15.75" customHeight="1">
      <c r="A849" s="273"/>
      <c r="B849" s="273"/>
      <c r="C849" s="273"/>
      <c r="D849" s="114"/>
      <c r="E849" s="114"/>
      <c r="F849" s="273"/>
      <c r="G849" s="118"/>
    </row>
    <row r="850" ht="15.75" customHeight="1">
      <c r="A850" s="273"/>
      <c r="B850" s="273"/>
      <c r="C850" s="273"/>
      <c r="D850" s="114"/>
      <c r="E850" s="114"/>
      <c r="F850" s="273"/>
      <c r="G850" s="118"/>
    </row>
    <row r="851" ht="15.75" customHeight="1">
      <c r="A851" s="273"/>
      <c r="B851" s="273"/>
      <c r="C851" s="273"/>
      <c r="D851" s="114"/>
      <c r="E851" s="114"/>
      <c r="F851" s="273"/>
      <c r="G851" s="118"/>
    </row>
    <row r="852" ht="15.75" customHeight="1">
      <c r="A852" s="273"/>
      <c r="B852" s="273"/>
      <c r="C852" s="273"/>
      <c r="D852" s="114"/>
      <c r="E852" s="114"/>
      <c r="F852" s="273"/>
      <c r="G852" s="118"/>
    </row>
    <row r="853" ht="15.75" customHeight="1">
      <c r="A853" s="273"/>
      <c r="B853" s="273"/>
      <c r="C853" s="273"/>
      <c r="D853" s="114"/>
      <c r="E853" s="114"/>
      <c r="F853" s="273"/>
      <c r="G853" s="118"/>
    </row>
    <row r="854" ht="15.75" customHeight="1">
      <c r="A854" s="273"/>
      <c r="B854" s="273"/>
      <c r="C854" s="273"/>
      <c r="D854" s="114"/>
      <c r="E854" s="114"/>
      <c r="F854" s="273"/>
      <c r="G854" s="118"/>
    </row>
    <row r="855" ht="15.75" customHeight="1">
      <c r="A855" s="273"/>
      <c r="B855" s="273"/>
      <c r="C855" s="273"/>
      <c r="D855" s="114"/>
      <c r="E855" s="114"/>
      <c r="F855" s="273"/>
      <c r="G855" s="118"/>
    </row>
    <row r="856" ht="15.75" customHeight="1">
      <c r="A856" s="273"/>
      <c r="B856" s="273"/>
      <c r="C856" s="273"/>
      <c r="D856" s="114"/>
      <c r="E856" s="114"/>
      <c r="F856" s="273"/>
      <c r="G856" s="118"/>
    </row>
    <row r="857" ht="15.75" customHeight="1">
      <c r="A857" s="273"/>
      <c r="B857" s="273"/>
      <c r="C857" s="273"/>
      <c r="D857" s="114"/>
      <c r="E857" s="114"/>
      <c r="F857" s="273"/>
      <c r="G857" s="118"/>
    </row>
    <row r="858" ht="15.75" customHeight="1">
      <c r="A858" s="273"/>
      <c r="B858" s="273"/>
      <c r="C858" s="273"/>
      <c r="D858" s="114"/>
      <c r="E858" s="114"/>
      <c r="F858" s="273"/>
      <c r="G858" s="118"/>
    </row>
    <row r="859" ht="15.75" customHeight="1">
      <c r="A859" s="273"/>
      <c r="B859" s="273"/>
      <c r="C859" s="273"/>
      <c r="D859" s="114"/>
      <c r="E859" s="114"/>
      <c r="F859" s="273"/>
      <c r="G859" s="118"/>
    </row>
    <row r="860" ht="15.75" customHeight="1">
      <c r="A860" s="273"/>
      <c r="B860" s="273"/>
      <c r="C860" s="273"/>
      <c r="D860" s="114"/>
      <c r="E860" s="114"/>
      <c r="F860" s="273"/>
      <c r="G860" s="118"/>
    </row>
    <row r="861" ht="15.75" customHeight="1">
      <c r="A861" s="273"/>
      <c r="B861" s="273"/>
      <c r="C861" s="273"/>
      <c r="D861" s="114"/>
      <c r="E861" s="114"/>
      <c r="F861" s="273"/>
      <c r="G861" s="118"/>
    </row>
    <row r="862" ht="15.75" customHeight="1">
      <c r="A862" s="273"/>
      <c r="B862" s="273"/>
      <c r="C862" s="273"/>
      <c r="D862" s="114"/>
      <c r="E862" s="114"/>
      <c r="F862" s="273"/>
      <c r="G862" s="118"/>
    </row>
    <row r="863" ht="15.75" customHeight="1">
      <c r="A863" s="273"/>
      <c r="B863" s="273"/>
      <c r="C863" s="273"/>
      <c r="D863" s="114"/>
      <c r="E863" s="114"/>
      <c r="F863" s="273"/>
      <c r="G863" s="118"/>
    </row>
    <row r="864" ht="15.75" customHeight="1">
      <c r="A864" s="273"/>
      <c r="B864" s="273"/>
      <c r="C864" s="273"/>
      <c r="D864" s="114"/>
      <c r="E864" s="114"/>
      <c r="F864" s="273"/>
      <c r="G864" s="118"/>
    </row>
    <row r="865" ht="15.75" customHeight="1">
      <c r="A865" s="273"/>
      <c r="B865" s="273"/>
      <c r="C865" s="273"/>
      <c r="D865" s="114"/>
      <c r="E865" s="114"/>
      <c r="F865" s="273"/>
      <c r="G865" s="118"/>
    </row>
    <row r="866" ht="15.75" customHeight="1">
      <c r="A866" s="273"/>
      <c r="B866" s="273"/>
      <c r="C866" s="273"/>
      <c r="D866" s="114"/>
      <c r="E866" s="114"/>
      <c r="F866" s="273"/>
      <c r="G866" s="118"/>
    </row>
    <row r="867" ht="15.75" customHeight="1">
      <c r="A867" s="273"/>
      <c r="B867" s="273"/>
      <c r="C867" s="273"/>
      <c r="D867" s="114"/>
      <c r="E867" s="114"/>
      <c r="F867" s="273"/>
      <c r="G867" s="118"/>
    </row>
    <row r="868" ht="15.75" customHeight="1">
      <c r="A868" s="273"/>
      <c r="B868" s="273"/>
      <c r="C868" s="273"/>
      <c r="D868" s="114"/>
      <c r="E868" s="114"/>
      <c r="F868" s="273"/>
      <c r="G868" s="118"/>
    </row>
    <row r="869" ht="15.75" customHeight="1">
      <c r="A869" s="273"/>
      <c r="B869" s="273"/>
      <c r="C869" s="273"/>
      <c r="D869" s="114"/>
      <c r="E869" s="114"/>
      <c r="F869" s="273"/>
      <c r="G869" s="118"/>
    </row>
    <row r="870" ht="15.75" customHeight="1">
      <c r="A870" s="273"/>
      <c r="B870" s="273"/>
      <c r="C870" s="273"/>
      <c r="D870" s="114"/>
      <c r="E870" s="114"/>
      <c r="F870" s="273"/>
      <c r="G870" s="118"/>
    </row>
    <row r="871" ht="15.75" customHeight="1">
      <c r="A871" s="273"/>
      <c r="B871" s="273"/>
      <c r="C871" s="273"/>
      <c r="D871" s="114"/>
      <c r="E871" s="114"/>
      <c r="F871" s="273"/>
      <c r="G871" s="118"/>
    </row>
    <row r="872" ht="15.75" customHeight="1">
      <c r="A872" s="273"/>
      <c r="B872" s="273"/>
      <c r="C872" s="273"/>
      <c r="D872" s="114"/>
      <c r="E872" s="114"/>
      <c r="F872" s="273"/>
      <c r="G872" s="118"/>
    </row>
    <row r="873" ht="15.75" customHeight="1">
      <c r="A873" s="273"/>
      <c r="B873" s="273"/>
      <c r="C873" s="273"/>
      <c r="D873" s="114"/>
      <c r="E873" s="114"/>
      <c r="F873" s="273"/>
      <c r="G873" s="118"/>
    </row>
    <row r="874" ht="15.75" customHeight="1">
      <c r="A874" s="273"/>
      <c r="B874" s="273"/>
      <c r="C874" s="273"/>
      <c r="D874" s="114"/>
      <c r="E874" s="114"/>
      <c r="F874" s="273"/>
      <c r="G874" s="118"/>
    </row>
    <row r="875" ht="15.75" customHeight="1">
      <c r="A875" s="273"/>
      <c r="B875" s="273"/>
      <c r="C875" s="273"/>
      <c r="D875" s="114"/>
      <c r="E875" s="114"/>
      <c r="F875" s="273"/>
      <c r="G875" s="118"/>
    </row>
    <row r="876" ht="15.75" customHeight="1">
      <c r="A876" s="273"/>
      <c r="B876" s="273"/>
      <c r="C876" s="273"/>
      <c r="D876" s="114"/>
      <c r="E876" s="114"/>
      <c r="F876" s="273"/>
      <c r="G876" s="118"/>
    </row>
    <row r="877" ht="15.75" customHeight="1">
      <c r="A877" s="273"/>
      <c r="B877" s="273"/>
      <c r="C877" s="273"/>
      <c r="D877" s="114"/>
      <c r="E877" s="114"/>
      <c r="F877" s="273"/>
      <c r="G877" s="118"/>
    </row>
    <row r="878" ht="15.75" customHeight="1">
      <c r="A878" s="273"/>
      <c r="B878" s="273"/>
      <c r="C878" s="273"/>
      <c r="D878" s="114"/>
      <c r="E878" s="114"/>
      <c r="F878" s="273"/>
      <c r="G878" s="118"/>
    </row>
    <row r="879" ht="15.75" customHeight="1">
      <c r="A879" s="273"/>
      <c r="B879" s="273"/>
      <c r="C879" s="273"/>
      <c r="D879" s="114"/>
      <c r="E879" s="114"/>
      <c r="F879" s="273"/>
      <c r="G879" s="118"/>
    </row>
    <row r="880" ht="15.75" customHeight="1">
      <c r="A880" s="273"/>
      <c r="B880" s="273"/>
      <c r="C880" s="273"/>
      <c r="D880" s="114"/>
      <c r="E880" s="114"/>
      <c r="F880" s="273"/>
      <c r="G880" s="118"/>
    </row>
    <row r="881" ht="15.75" customHeight="1">
      <c r="A881" s="273"/>
      <c r="B881" s="273"/>
      <c r="C881" s="273"/>
      <c r="D881" s="114"/>
      <c r="E881" s="114"/>
      <c r="F881" s="273"/>
      <c r="G881" s="118"/>
    </row>
    <row r="882" ht="15.75" customHeight="1">
      <c r="A882" s="273"/>
      <c r="B882" s="273"/>
      <c r="C882" s="273"/>
      <c r="D882" s="114"/>
      <c r="E882" s="114"/>
      <c r="F882" s="273"/>
      <c r="G882" s="118"/>
    </row>
    <row r="883" ht="15.75" customHeight="1">
      <c r="A883" s="273"/>
      <c r="B883" s="273"/>
      <c r="C883" s="273"/>
      <c r="D883" s="114"/>
      <c r="E883" s="114"/>
      <c r="F883" s="273"/>
      <c r="G883" s="118"/>
    </row>
    <row r="884" ht="15.75" customHeight="1">
      <c r="A884" s="273"/>
      <c r="B884" s="273"/>
      <c r="C884" s="273"/>
      <c r="D884" s="114"/>
      <c r="E884" s="114"/>
      <c r="F884" s="273"/>
      <c r="G884" s="118"/>
    </row>
    <row r="885" ht="15.75" customHeight="1">
      <c r="A885" s="273"/>
      <c r="B885" s="273"/>
      <c r="C885" s="273"/>
      <c r="D885" s="114"/>
      <c r="E885" s="114"/>
      <c r="F885" s="273"/>
      <c r="G885" s="118"/>
    </row>
    <row r="886" ht="15.75" customHeight="1">
      <c r="A886" s="273"/>
      <c r="B886" s="273"/>
      <c r="C886" s="273"/>
      <c r="D886" s="114"/>
      <c r="E886" s="114"/>
      <c r="F886" s="273"/>
      <c r="G886" s="118"/>
    </row>
    <row r="887" ht="15.75" customHeight="1">
      <c r="A887" s="273"/>
      <c r="B887" s="273"/>
      <c r="C887" s="273"/>
      <c r="D887" s="114"/>
      <c r="E887" s="114"/>
      <c r="F887" s="273"/>
      <c r="G887" s="118"/>
    </row>
    <row r="888" ht="15.75" customHeight="1">
      <c r="A888" s="273"/>
      <c r="B888" s="273"/>
      <c r="C888" s="273"/>
      <c r="D888" s="114"/>
      <c r="E888" s="114"/>
      <c r="F888" s="273"/>
      <c r="G888" s="118"/>
    </row>
    <row r="889" ht="15.75" customHeight="1">
      <c r="A889" s="273"/>
      <c r="B889" s="273"/>
      <c r="C889" s="273"/>
      <c r="D889" s="114"/>
      <c r="E889" s="114"/>
      <c r="F889" s="273"/>
      <c r="G889" s="118"/>
    </row>
    <row r="890" ht="15.75" customHeight="1">
      <c r="A890" s="273"/>
      <c r="B890" s="273"/>
      <c r="C890" s="273"/>
      <c r="D890" s="114"/>
      <c r="E890" s="114"/>
      <c r="F890" s="273"/>
      <c r="G890" s="118"/>
    </row>
    <row r="891" ht="15.75" customHeight="1">
      <c r="A891" s="273"/>
      <c r="B891" s="273"/>
      <c r="C891" s="273"/>
      <c r="D891" s="114"/>
      <c r="E891" s="114"/>
      <c r="F891" s="273"/>
      <c r="G891" s="118"/>
    </row>
    <row r="892" ht="15.75" customHeight="1">
      <c r="A892" s="273"/>
      <c r="B892" s="273"/>
      <c r="C892" s="273"/>
      <c r="D892" s="114"/>
      <c r="E892" s="114"/>
      <c r="F892" s="273"/>
      <c r="G892" s="118"/>
    </row>
    <row r="893" ht="15.75" customHeight="1">
      <c r="A893" s="273"/>
      <c r="B893" s="273"/>
      <c r="C893" s="273"/>
      <c r="D893" s="114"/>
      <c r="E893" s="114"/>
      <c r="F893" s="273"/>
      <c r="G893" s="118"/>
    </row>
    <row r="894" ht="15.75" customHeight="1">
      <c r="A894" s="273"/>
      <c r="B894" s="273"/>
      <c r="C894" s="273"/>
      <c r="D894" s="114"/>
      <c r="E894" s="114"/>
      <c r="F894" s="273"/>
      <c r="G894" s="118"/>
    </row>
    <row r="895" ht="15.75" customHeight="1">
      <c r="A895" s="273"/>
      <c r="B895" s="273"/>
      <c r="C895" s="273"/>
      <c r="D895" s="114"/>
      <c r="E895" s="114"/>
      <c r="F895" s="273"/>
      <c r="G895" s="118"/>
    </row>
    <row r="896" ht="15.75" customHeight="1">
      <c r="A896" s="273"/>
      <c r="B896" s="273"/>
      <c r="C896" s="273"/>
      <c r="D896" s="114"/>
      <c r="E896" s="114"/>
      <c r="F896" s="273"/>
      <c r="G896" s="118"/>
    </row>
    <row r="897" ht="15.75" customHeight="1">
      <c r="A897" s="273"/>
      <c r="B897" s="273"/>
      <c r="C897" s="273"/>
      <c r="D897" s="114"/>
      <c r="E897" s="114"/>
      <c r="F897" s="273"/>
      <c r="G897" s="118"/>
    </row>
    <row r="898" ht="15.75" customHeight="1">
      <c r="A898" s="273"/>
      <c r="B898" s="273"/>
      <c r="C898" s="273"/>
      <c r="D898" s="114"/>
      <c r="E898" s="114"/>
      <c r="F898" s="273"/>
      <c r="G898" s="118"/>
    </row>
    <row r="899" ht="15.75" customHeight="1">
      <c r="A899" s="273"/>
      <c r="B899" s="273"/>
      <c r="C899" s="273"/>
      <c r="D899" s="114"/>
      <c r="E899" s="114"/>
      <c r="F899" s="273"/>
      <c r="G899" s="118"/>
    </row>
    <row r="900" ht="15.75" customHeight="1">
      <c r="A900" s="273"/>
      <c r="B900" s="273"/>
      <c r="C900" s="273"/>
      <c r="D900" s="114"/>
      <c r="E900" s="114"/>
      <c r="F900" s="273"/>
      <c r="G900" s="118"/>
    </row>
    <row r="901" ht="15.75" customHeight="1">
      <c r="A901" s="273"/>
      <c r="B901" s="273"/>
      <c r="C901" s="273"/>
      <c r="D901" s="114"/>
      <c r="E901" s="114"/>
      <c r="F901" s="273"/>
      <c r="G901" s="118"/>
    </row>
    <row r="902" ht="15.75" customHeight="1">
      <c r="A902" s="273"/>
      <c r="B902" s="273"/>
      <c r="C902" s="273"/>
      <c r="D902" s="114"/>
      <c r="E902" s="114"/>
      <c r="F902" s="273"/>
      <c r="G902" s="118"/>
    </row>
    <row r="903" ht="15.75" customHeight="1">
      <c r="A903" s="273"/>
      <c r="B903" s="273"/>
      <c r="C903" s="273"/>
      <c r="D903" s="114"/>
      <c r="E903" s="114"/>
      <c r="F903" s="273"/>
      <c r="G903" s="118"/>
    </row>
    <row r="904" ht="15.75" customHeight="1">
      <c r="A904" s="273"/>
      <c r="B904" s="273"/>
      <c r="C904" s="273"/>
      <c r="D904" s="114"/>
      <c r="E904" s="114"/>
      <c r="F904" s="273"/>
      <c r="G904" s="118"/>
    </row>
    <row r="905" ht="15.75" customHeight="1">
      <c r="A905" s="273"/>
      <c r="B905" s="273"/>
      <c r="C905" s="273"/>
      <c r="D905" s="114"/>
      <c r="E905" s="114"/>
      <c r="F905" s="273"/>
      <c r="G905" s="118"/>
    </row>
    <row r="906" ht="15.75" customHeight="1">
      <c r="A906" s="273"/>
      <c r="B906" s="273"/>
      <c r="C906" s="273"/>
      <c r="D906" s="114"/>
      <c r="E906" s="114"/>
      <c r="F906" s="273"/>
      <c r="G906" s="118"/>
    </row>
    <row r="907" ht="15.75" customHeight="1">
      <c r="A907" s="273"/>
      <c r="B907" s="273"/>
      <c r="C907" s="273"/>
      <c r="D907" s="114"/>
      <c r="E907" s="114"/>
      <c r="F907" s="273"/>
      <c r="G907" s="118"/>
    </row>
    <row r="908" ht="15.75" customHeight="1">
      <c r="A908" s="273"/>
      <c r="B908" s="273"/>
      <c r="C908" s="273"/>
      <c r="D908" s="114"/>
      <c r="E908" s="114"/>
      <c r="F908" s="273"/>
      <c r="G908" s="118"/>
    </row>
    <row r="909" ht="15.75" customHeight="1">
      <c r="A909" s="273"/>
      <c r="B909" s="273"/>
      <c r="C909" s="273"/>
      <c r="D909" s="114"/>
      <c r="E909" s="114"/>
      <c r="F909" s="273"/>
      <c r="G909" s="118"/>
    </row>
    <row r="910" ht="15.75" customHeight="1">
      <c r="A910" s="273"/>
      <c r="B910" s="273"/>
      <c r="C910" s="273"/>
      <c r="D910" s="114"/>
      <c r="E910" s="114"/>
      <c r="F910" s="273"/>
      <c r="G910" s="118"/>
    </row>
    <row r="911" ht="15.75" customHeight="1">
      <c r="A911" s="273"/>
      <c r="B911" s="273"/>
      <c r="C911" s="273"/>
      <c r="D911" s="114"/>
      <c r="E911" s="114"/>
      <c r="F911" s="273"/>
      <c r="G911" s="118"/>
    </row>
    <row r="912" ht="15.75" customHeight="1">
      <c r="A912" s="273"/>
      <c r="B912" s="273"/>
      <c r="C912" s="273"/>
      <c r="D912" s="114"/>
      <c r="E912" s="114"/>
      <c r="F912" s="273"/>
      <c r="G912" s="118"/>
    </row>
    <row r="913" ht="15.75" customHeight="1">
      <c r="A913" s="273"/>
      <c r="B913" s="273"/>
      <c r="C913" s="273"/>
      <c r="D913" s="114"/>
      <c r="E913" s="114"/>
      <c r="F913" s="273"/>
      <c r="G913" s="118"/>
    </row>
    <row r="914" ht="15.75" customHeight="1">
      <c r="A914" s="273"/>
      <c r="B914" s="273"/>
      <c r="C914" s="273"/>
      <c r="D914" s="114"/>
      <c r="E914" s="114"/>
      <c r="F914" s="273"/>
      <c r="G914" s="118"/>
    </row>
    <row r="915" ht="15.75" customHeight="1">
      <c r="A915" s="273"/>
      <c r="B915" s="273"/>
      <c r="C915" s="273"/>
      <c r="D915" s="114"/>
      <c r="E915" s="114"/>
      <c r="F915" s="273"/>
      <c r="G915" s="118"/>
    </row>
    <row r="916" ht="15.75" customHeight="1">
      <c r="A916" s="273"/>
      <c r="B916" s="273"/>
      <c r="C916" s="273"/>
      <c r="D916" s="114"/>
      <c r="E916" s="114"/>
      <c r="F916" s="273"/>
      <c r="G916" s="118"/>
    </row>
    <row r="917" ht="15.75" customHeight="1">
      <c r="A917" s="273"/>
      <c r="B917" s="273"/>
      <c r="C917" s="273"/>
      <c r="D917" s="114"/>
      <c r="E917" s="114"/>
      <c r="F917" s="273"/>
      <c r="G917" s="118"/>
    </row>
    <row r="918" ht="15.75" customHeight="1">
      <c r="A918" s="273"/>
      <c r="B918" s="273"/>
      <c r="C918" s="273"/>
      <c r="D918" s="114"/>
      <c r="E918" s="114"/>
      <c r="F918" s="273"/>
      <c r="G918" s="118"/>
    </row>
    <row r="919" ht="15.75" customHeight="1">
      <c r="A919" s="273"/>
      <c r="B919" s="273"/>
      <c r="C919" s="273"/>
      <c r="D919" s="114"/>
      <c r="E919" s="114"/>
      <c r="F919" s="273"/>
      <c r="G919" s="118"/>
    </row>
    <row r="920" ht="15.75" customHeight="1">
      <c r="A920" s="273"/>
      <c r="B920" s="273"/>
      <c r="C920" s="273"/>
      <c r="D920" s="114"/>
      <c r="E920" s="114"/>
      <c r="F920" s="273"/>
      <c r="G920" s="118"/>
    </row>
    <row r="921" ht="15.75" customHeight="1">
      <c r="A921" s="273"/>
      <c r="B921" s="273"/>
      <c r="C921" s="273"/>
      <c r="D921" s="114"/>
      <c r="E921" s="114"/>
      <c r="F921" s="273"/>
      <c r="G921" s="118"/>
    </row>
    <row r="922" ht="15.75" customHeight="1">
      <c r="A922" s="273"/>
      <c r="B922" s="273"/>
      <c r="C922" s="273"/>
      <c r="D922" s="114"/>
      <c r="E922" s="114"/>
      <c r="F922" s="273"/>
      <c r="G922" s="118"/>
    </row>
    <row r="923" ht="15.75" customHeight="1">
      <c r="A923" s="273"/>
      <c r="B923" s="273"/>
      <c r="C923" s="273"/>
      <c r="D923" s="114"/>
      <c r="E923" s="114"/>
      <c r="F923" s="273"/>
      <c r="G923" s="118"/>
    </row>
    <row r="924" ht="15.75" customHeight="1">
      <c r="A924" s="273"/>
      <c r="B924" s="273"/>
      <c r="C924" s="273"/>
      <c r="D924" s="114"/>
      <c r="E924" s="114"/>
      <c r="F924" s="273"/>
      <c r="G924" s="118"/>
    </row>
    <row r="925" ht="15.75" customHeight="1">
      <c r="A925" s="273"/>
      <c r="B925" s="273"/>
      <c r="C925" s="273"/>
      <c r="D925" s="114"/>
      <c r="E925" s="114"/>
      <c r="F925" s="273"/>
      <c r="G925" s="118"/>
    </row>
    <row r="926" ht="15.75" customHeight="1">
      <c r="A926" s="273"/>
      <c r="B926" s="273"/>
      <c r="C926" s="273"/>
      <c r="D926" s="114"/>
      <c r="E926" s="114"/>
      <c r="F926" s="273"/>
      <c r="G926" s="118"/>
    </row>
    <row r="927" ht="15.75" customHeight="1">
      <c r="A927" s="273"/>
      <c r="B927" s="273"/>
      <c r="C927" s="273"/>
      <c r="D927" s="114"/>
      <c r="E927" s="114"/>
      <c r="F927" s="273"/>
      <c r="G927" s="118"/>
    </row>
    <row r="928" ht="15.75" customHeight="1">
      <c r="A928" s="273"/>
      <c r="B928" s="273"/>
      <c r="C928" s="273"/>
      <c r="D928" s="114"/>
      <c r="E928" s="114"/>
      <c r="F928" s="273"/>
      <c r="G928" s="118"/>
    </row>
    <row r="929" ht="15.75" customHeight="1">
      <c r="A929" s="273"/>
      <c r="B929" s="273"/>
      <c r="C929" s="273"/>
      <c r="D929" s="114"/>
      <c r="E929" s="114"/>
      <c r="F929" s="273"/>
      <c r="G929" s="118"/>
    </row>
    <row r="930" ht="15.75" customHeight="1">
      <c r="A930" s="273"/>
      <c r="B930" s="273"/>
      <c r="C930" s="273"/>
      <c r="D930" s="114"/>
      <c r="E930" s="114"/>
      <c r="F930" s="273"/>
      <c r="G930" s="118"/>
    </row>
    <row r="931" ht="15.75" customHeight="1">
      <c r="A931" s="273"/>
      <c r="B931" s="273"/>
      <c r="C931" s="273"/>
      <c r="D931" s="114"/>
      <c r="E931" s="114"/>
      <c r="F931" s="273"/>
      <c r="G931" s="118"/>
    </row>
    <row r="932" ht="15.75" customHeight="1">
      <c r="A932" s="273"/>
      <c r="B932" s="273"/>
      <c r="C932" s="273"/>
      <c r="D932" s="114"/>
      <c r="E932" s="114"/>
      <c r="F932" s="273"/>
      <c r="G932" s="118"/>
    </row>
    <row r="933" ht="15.75" customHeight="1">
      <c r="A933" s="273"/>
      <c r="B933" s="273"/>
      <c r="C933" s="273"/>
      <c r="D933" s="114"/>
      <c r="E933" s="114"/>
      <c r="F933" s="273"/>
      <c r="G933" s="118"/>
    </row>
    <row r="934" ht="15.75" customHeight="1">
      <c r="A934" s="273"/>
      <c r="B934" s="273"/>
      <c r="C934" s="273"/>
      <c r="D934" s="114"/>
      <c r="E934" s="114"/>
      <c r="F934" s="273"/>
      <c r="G934" s="118"/>
    </row>
    <row r="935" ht="15.75" customHeight="1">
      <c r="A935" s="273"/>
      <c r="B935" s="273"/>
      <c r="C935" s="273"/>
      <c r="D935" s="114"/>
      <c r="E935" s="114"/>
      <c r="F935" s="273"/>
      <c r="G935" s="118"/>
    </row>
    <row r="936" ht="15.75" customHeight="1">
      <c r="A936" s="273"/>
      <c r="B936" s="273"/>
      <c r="C936" s="273"/>
      <c r="D936" s="114"/>
      <c r="E936" s="114"/>
      <c r="F936" s="273"/>
      <c r="G936" s="118"/>
    </row>
    <row r="937" ht="15.75" customHeight="1">
      <c r="A937" s="273"/>
      <c r="B937" s="273"/>
      <c r="C937" s="273"/>
      <c r="D937" s="114"/>
      <c r="E937" s="114"/>
      <c r="F937" s="273"/>
      <c r="G937" s="118"/>
    </row>
    <row r="938" ht="15.75" customHeight="1">
      <c r="A938" s="273"/>
      <c r="B938" s="273"/>
      <c r="C938" s="273"/>
      <c r="D938" s="114"/>
      <c r="E938" s="114"/>
      <c r="F938" s="273"/>
      <c r="G938" s="118"/>
    </row>
    <row r="939" ht="15.75" customHeight="1">
      <c r="A939" s="273"/>
      <c r="B939" s="273"/>
      <c r="C939" s="273"/>
      <c r="D939" s="114"/>
      <c r="E939" s="114"/>
      <c r="F939" s="273"/>
      <c r="G939" s="118"/>
    </row>
    <row r="940" ht="15.75" customHeight="1">
      <c r="A940" s="273"/>
      <c r="B940" s="273"/>
      <c r="C940" s="273"/>
      <c r="D940" s="114"/>
      <c r="E940" s="114"/>
      <c r="F940" s="273"/>
      <c r="G940" s="118"/>
    </row>
    <row r="941" ht="15.75" customHeight="1">
      <c r="A941" s="273"/>
      <c r="B941" s="273"/>
      <c r="C941" s="273"/>
      <c r="D941" s="114"/>
      <c r="E941" s="114"/>
      <c r="F941" s="273"/>
      <c r="G941" s="118"/>
    </row>
    <row r="942" ht="15.75" customHeight="1">
      <c r="A942" s="273"/>
      <c r="B942" s="273"/>
      <c r="C942" s="273"/>
      <c r="D942" s="114"/>
      <c r="E942" s="114"/>
      <c r="F942" s="273"/>
      <c r="G942" s="118"/>
    </row>
    <row r="943" ht="15.75" customHeight="1">
      <c r="A943" s="273"/>
      <c r="B943" s="273"/>
      <c r="C943" s="273"/>
      <c r="D943" s="114"/>
      <c r="E943" s="114"/>
      <c r="F943" s="273"/>
      <c r="G943" s="118"/>
    </row>
    <row r="944" ht="15.75" customHeight="1">
      <c r="A944" s="273"/>
      <c r="B944" s="273"/>
      <c r="C944" s="273"/>
      <c r="D944" s="114"/>
      <c r="E944" s="114"/>
      <c r="F944" s="273"/>
      <c r="G944" s="118"/>
    </row>
    <row r="945" ht="15.75" customHeight="1">
      <c r="A945" s="273"/>
      <c r="B945" s="273"/>
      <c r="C945" s="273"/>
      <c r="D945" s="114"/>
      <c r="E945" s="114"/>
      <c r="F945" s="273"/>
      <c r="G945" s="118"/>
    </row>
    <row r="946" ht="15.75" customHeight="1">
      <c r="A946" s="273"/>
      <c r="B946" s="273"/>
      <c r="C946" s="273"/>
      <c r="D946" s="114"/>
      <c r="E946" s="114"/>
      <c r="F946" s="273"/>
      <c r="G946" s="118"/>
    </row>
    <row r="947" ht="15.75" customHeight="1">
      <c r="A947" s="273"/>
      <c r="B947" s="273"/>
      <c r="C947" s="273"/>
      <c r="D947" s="114"/>
      <c r="E947" s="114"/>
      <c r="F947" s="273"/>
      <c r="G947" s="118"/>
    </row>
    <row r="948" ht="15.75" customHeight="1">
      <c r="A948" s="273"/>
      <c r="B948" s="273"/>
      <c r="C948" s="273"/>
      <c r="D948" s="114"/>
      <c r="E948" s="114"/>
      <c r="F948" s="273"/>
      <c r="G948" s="118"/>
    </row>
    <row r="949" ht="15.75" customHeight="1">
      <c r="A949" s="273"/>
      <c r="B949" s="273"/>
      <c r="C949" s="273"/>
      <c r="D949" s="114"/>
      <c r="E949" s="114"/>
      <c r="F949" s="273"/>
      <c r="G949" s="118"/>
    </row>
    <row r="950" ht="15.75" customHeight="1">
      <c r="A950" s="273"/>
      <c r="B950" s="273"/>
      <c r="C950" s="273"/>
      <c r="D950" s="114"/>
      <c r="E950" s="114"/>
      <c r="F950" s="273"/>
      <c r="G950" s="118"/>
    </row>
    <row r="951" ht="15.75" customHeight="1">
      <c r="A951" s="273"/>
      <c r="B951" s="273"/>
      <c r="C951" s="273"/>
      <c r="D951" s="114"/>
      <c r="E951" s="114"/>
      <c r="F951" s="273"/>
      <c r="G951" s="118"/>
    </row>
    <row r="952" ht="15.75" customHeight="1">
      <c r="A952" s="273"/>
      <c r="B952" s="273"/>
      <c r="C952" s="273"/>
      <c r="D952" s="114"/>
      <c r="E952" s="114"/>
      <c r="F952" s="273"/>
      <c r="G952" s="118"/>
    </row>
    <row r="953" ht="15.75" customHeight="1">
      <c r="A953" s="273"/>
      <c r="B953" s="273"/>
      <c r="C953" s="273"/>
      <c r="D953" s="114"/>
      <c r="E953" s="114"/>
      <c r="F953" s="273"/>
      <c r="G953" s="118"/>
    </row>
    <row r="954" ht="15.75" customHeight="1">
      <c r="A954" s="273"/>
      <c r="B954" s="273"/>
      <c r="C954" s="273"/>
      <c r="D954" s="114"/>
      <c r="E954" s="114"/>
      <c r="F954" s="273"/>
      <c r="G954" s="118"/>
    </row>
    <row r="955" ht="15.75" customHeight="1">
      <c r="A955" s="273"/>
      <c r="B955" s="273"/>
      <c r="C955" s="273"/>
      <c r="D955" s="114"/>
      <c r="E955" s="114"/>
      <c r="F955" s="273"/>
      <c r="G955" s="118"/>
    </row>
    <row r="956" ht="15.75" customHeight="1">
      <c r="A956" s="273"/>
      <c r="B956" s="273"/>
      <c r="C956" s="273"/>
      <c r="D956" s="114"/>
      <c r="E956" s="114"/>
      <c r="F956" s="273"/>
      <c r="G956" s="118"/>
    </row>
    <row r="957" ht="15.75" customHeight="1">
      <c r="A957" s="273"/>
      <c r="B957" s="273"/>
      <c r="C957" s="273"/>
      <c r="D957" s="114"/>
      <c r="E957" s="114"/>
      <c r="F957" s="273"/>
      <c r="G957" s="118"/>
    </row>
    <row r="958" ht="15.75" customHeight="1">
      <c r="A958" s="273"/>
      <c r="B958" s="273"/>
      <c r="C958" s="273"/>
      <c r="D958" s="114"/>
      <c r="E958" s="114"/>
      <c r="F958" s="273"/>
      <c r="G958" s="118"/>
    </row>
    <row r="959" ht="15.75" customHeight="1">
      <c r="A959" s="273"/>
      <c r="B959" s="273"/>
      <c r="C959" s="273"/>
      <c r="D959" s="114"/>
      <c r="E959" s="114"/>
      <c r="F959" s="273"/>
      <c r="G959" s="118"/>
    </row>
    <row r="960" ht="15.75" customHeight="1">
      <c r="A960" s="273"/>
      <c r="B960" s="273"/>
      <c r="C960" s="273"/>
      <c r="D960" s="114"/>
      <c r="E960" s="114"/>
      <c r="F960" s="273"/>
      <c r="G960" s="118"/>
    </row>
    <row r="961" ht="15.75" customHeight="1">
      <c r="A961" s="273"/>
      <c r="B961" s="273"/>
      <c r="C961" s="273"/>
      <c r="D961" s="114"/>
      <c r="E961" s="114"/>
      <c r="F961" s="273"/>
      <c r="G961" s="118"/>
    </row>
    <row r="962" ht="15.75" customHeight="1">
      <c r="A962" s="273"/>
      <c r="B962" s="273"/>
      <c r="C962" s="273"/>
      <c r="D962" s="114"/>
      <c r="E962" s="114"/>
      <c r="F962" s="273"/>
      <c r="G962" s="118"/>
    </row>
    <row r="963" ht="15.75" customHeight="1">
      <c r="A963" s="273"/>
      <c r="B963" s="273"/>
      <c r="C963" s="273"/>
      <c r="D963" s="114"/>
      <c r="E963" s="114"/>
      <c r="F963" s="273"/>
      <c r="G963" s="118"/>
    </row>
    <row r="964" ht="15.75" customHeight="1">
      <c r="A964" s="273"/>
      <c r="B964" s="273"/>
      <c r="C964" s="273"/>
      <c r="D964" s="114"/>
      <c r="E964" s="114"/>
      <c r="F964" s="273"/>
      <c r="G964" s="118"/>
    </row>
    <row r="965" ht="15.75" customHeight="1">
      <c r="A965" s="273"/>
      <c r="B965" s="273"/>
      <c r="C965" s="273"/>
      <c r="D965" s="114"/>
      <c r="E965" s="114"/>
      <c r="F965" s="273"/>
      <c r="G965" s="118"/>
    </row>
    <row r="966" ht="15.75" customHeight="1">
      <c r="A966" s="273"/>
      <c r="B966" s="273"/>
      <c r="C966" s="273"/>
      <c r="D966" s="114"/>
      <c r="E966" s="114"/>
      <c r="F966" s="273"/>
      <c r="G966" s="118"/>
    </row>
    <row r="967" ht="15.75" customHeight="1">
      <c r="A967" s="273"/>
      <c r="B967" s="273"/>
      <c r="C967" s="273"/>
      <c r="D967" s="114"/>
      <c r="E967" s="114"/>
      <c r="F967" s="273"/>
      <c r="G967" s="118"/>
    </row>
    <row r="968" ht="15.75" customHeight="1">
      <c r="A968" s="273"/>
      <c r="B968" s="273"/>
      <c r="C968" s="273"/>
      <c r="D968" s="114"/>
      <c r="E968" s="114"/>
      <c r="F968" s="273"/>
      <c r="G968" s="118"/>
    </row>
    <row r="969" ht="15.75" customHeight="1">
      <c r="A969" s="273"/>
      <c r="B969" s="273"/>
      <c r="C969" s="273"/>
      <c r="D969" s="114"/>
      <c r="E969" s="114"/>
      <c r="F969" s="273"/>
      <c r="G969" s="118"/>
    </row>
    <row r="970" ht="15.75" customHeight="1">
      <c r="A970" s="273"/>
      <c r="B970" s="273"/>
      <c r="C970" s="273"/>
      <c r="D970" s="114"/>
      <c r="E970" s="114"/>
      <c r="F970" s="273"/>
      <c r="G970" s="118"/>
    </row>
    <row r="971" ht="15.75" customHeight="1">
      <c r="A971" s="273"/>
      <c r="B971" s="273"/>
      <c r="C971" s="273"/>
      <c r="D971" s="114"/>
      <c r="E971" s="114"/>
      <c r="F971" s="273"/>
      <c r="G971" s="118"/>
    </row>
    <row r="972" ht="15.75" customHeight="1">
      <c r="A972" s="273"/>
      <c r="B972" s="273"/>
      <c r="C972" s="273"/>
      <c r="D972" s="114"/>
      <c r="E972" s="114"/>
      <c r="F972" s="273"/>
      <c r="G972" s="118"/>
    </row>
    <row r="973" ht="15.75" customHeight="1">
      <c r="A973" s="273"/>
      <c r="B973" s="273"/>
      <c r="C973" s="273"/>
      <c r="D973" s="114"/>
      <c r="E973" s="114"/>
      <c r="F973" s="273"/>
      <c r="G973" s="118"/>
    </row>
    <row r="974" ht="15.75" customHeight="1">
      <c r="A974" s="273"/>
      <c r="B974" s="273"/>
      <c r="C974" s="273"/>
      <c r="D974" s="114"/>
      <c r="E974" s="114"/>
      <c r="F974" s="273"/>
      <c r="G974" s="118"/>
    </row>
    <row r="975" ht="15.75" customHeight="1">
      <c r="A975" s="273"/>
      <c r="B975" s="273"/>
      <c r="C975" s="273"/>
      <c r="D975" s="114"/>
      <c r="E975" s="114"/>
      <c r="F975" s="273"/>
      <c r="G975" s="118"/>
    </row>
    <row r="976" ht="15.75" customHeight="1">
      <c r="A976" s="273"/>
      <c r="B976" s="273"/>
      <c r="C976" s="273"/>
      <c r="D976" s="114"/>
      <c r="E976" s="114"/>
      <c r="F976" s="273"/>
      <c r="G976" s="118"/>
    </row>
    <row r="977" ht="15.75" customHeight="1">
      <c r="A977" s="273"/>
      <c r="B977" s="273"/>
      <c r="C977" s="273"/>
      <c r="D977" s="114"/>
      <c r="E977" s="114"/>
      <c r="F977" s="273"/>
      <c r="G977" s="118"/>
    </row>
    <row r="978" ht="15.75" customHeight="1">
      <c r="A978" s="273"/>
      <c r="B978" s="273"/>
      <c r="C978" s="273"/>
      <c r="D978" s="114"/>
      <c r="E978" s="114"/>
      <c r="F978" s="273"/>
      <c r="G978" s="118"/>
    </row>
    <row r="979" ht="15.75" customHeight="1">
      <c r="A979" s="273"/>
      <c r="B979" s="273"/>
      <c r="C979" s="273"/>
      <c r="D979" s="114"/>
      <c r="E979" s="114"/>
      <c r="F979" s="273"/>
      <c r="G979" s="118"/>
    </row>
    <row r="980" ht="15.75" customHeight="1">
      <c r="A980" s="273"/>
      <c r="B980" s="273"/>
      <c r="C980" s="273"/>
      <c r="D980" s="114"/>
      <c r="E980" s="114"/>
      <c r="F980" s="273"/>
      <c r="G980" s="118"/>
    </row>
    <row r="981" ht="15.75" customHeight="1">
      <c r="A981" s="273"/>
      <c r="B981" s="273"/>
      <c r="C981" s="273"/>
      <c r="D981" s="114"/>
      <c r="E981" s="114"/>
      <c r="F981" s="273"/>
      <c r="G981" s="118"/>
    </row>
    <row r="982" ht="15.75" customHeight="1">
      <c r="A982" s="273"/>
      <c r="B982" s="273"/>
      <c r="C982" s="273"/>
      <c r="D982" s="114"/>
      <c r="E982" s="114"/>
      <c r="F982" s="273"/>
      <c r="G982" s="118"/>
    </row>
    <row r="983" ht="15.75" customHeight="1">
      <c r="A983" s="273"/>
      <c r="B983" s="273"/>
      <c r="C983" s="273"/>
      <c r="D983" s="114"/>
      <c r="E983" s="114"/>
      <c r="F983" s="273"/>
      <c r="G983" s="118"/>
    </row>
    <row r="984" ht="15.75" customHeight="1">
      <c r="A984" s="273"/>
      <c r="B984" s="273"/>
      <c r="C984" s="273"/>
      <c r="D984" s="114"/>
      <c r="E984" s="114"/>
      <c r="F984" s="273"/>
      <c r="G984" s="118"/>
    </row>
    <row r="985" ht="15.75" customHeight="1">
      <c r="A985" s="273"/>
      <c r="B985" s="273"/>
      <c r="C985" s="273"/>
      <c r="D985" s="114"/>
      <c r="E985" s="114"/>
      <c r="F985" s="273"/>
      <c r="G985" s="118"/>
    </row>
    <row r="986" ht="15.75" customHeight="1">
      <c r="A986" s="273"/>
      <c r="B986" s="273"/>
      <c r="C986" s="273"/>
      <c r="D986" s="114"/>
      <c r="E986" s="114"/>
      <c r="F986" s="273"/>
      <c r="G986" s="118"/>
    </row>
    <row r="987" ht="15.75" customHeight="1">
      <c r="A987" s="273"/>
      <c r="B987" s="273"/>
      <c r="C987" s="273"/>
      <c r="D987" s="114"/>
      <c r="E987" s="114"/>
      <c r="F987" s="273"/>
      <c r="G987" s="118"/>
    </row>
    <row r="988" ht="15.75" customHeight="1">
      <c r="A988" s="273"/>
      <c r="B988" s="273"/>
      <c r="C988" s="273"/>
      <c r="D988" s="114"/>
      <c r="E988" s="114"/>
      <c r="F988" s="273"/>
      <c r="G988" s="118"/>
    </row>
    <row r="989" ht="15.75" customHeight="1">
      <c r="A989" s="273"/>
      <c r="B989" s="273"/>
      <c r="C989" s="273"/>
      <c r="D989" s="114"/>
      <c r="E989" s="114"/>
      <c r="F989" s="273"/>
      <c r="G989" s="118"/>
    </row>
    <row r="990" ht="15.75" customHeight="1">
      <c r="A990" s="273"/>
      <c r="B990" s="273"/>
      <c r="C990" s="273"/>
      <c r="D990" s="114"/>
      <c r="E990" s="114"/>
      <c r="F990" s="273"/>
      <c r="G990" s="118"/>
    </row>
    <row r="991" ht="15.75" customHeight="1">
      <c r="A991" s="273"/>
      <c r="B991" s="273"/>
      <c r="C991" s="273"/>
      <c r="D991" s="114"/>
      <c r="E991" s="114"/>
      <c r="F991" s="273"/>
      <c r="G991" s="118"/>
    </row>
    <row r="992" ht="15.75" customHeight="1">
      <c r="A992" s="273"/>
      <c r="B992" s="273"/>
      <c r="C992" s="273"/>
      <c r="D992" s="114"/>
      <c r="E992" s="114"/>
      <c r="F992" s="273"/>
      <c r="G992" s="118"/>
    </row>
    <row r="993" ht="15.75" customHeight="1">
      <c r="A993" s="273"/>
      <c r="B993" s="273"/>
      <c r="C993" s="273"/>
      <c r="D993" s="114"/>
      <c r="E993" s="114"/>
      <c r="F993" s="273"/>
      <c r="G993" s="118"/>
    </row>
    <row r="994" ht="15.75" customHeight="1">
      <c r="A994" s="273"/>
      <c r="B994" s="273"/>
      <c r="C994" s="273"/>
      <c r="D994" s="114"/>
      <c r="E994" s="114"/>
      <c r="F994" s="273"/>
      <c r="G994" s="118"/>
    </row>
    <row r="995" ht="15.75" customHeight="1">
      <c r="A995" s="273"/>
      <c r="B995" s="273"/>
      <c r="C995" s="273"/>
      <c r="D995" s="114"/>
      <c r="E995" s="114"/>
      <c r="F995" s="273"/>
      <c r="G995" s="118"/>
    </row>
    <row r="996" ht="15.75" customHeight="1">
      <c r="A996" s="273"/>
      <c r="B996" s="273"/>
      <c r="C996" s="273"/>
      <c r="D996" s="114"/>
      <c r="E996" s="114"/>
      <c r="F996" s="273"/>
      <c r="G996" s="118"/>
    </row>
    <row r="997" ht="15.75" customHeight="1">
      <c r="A997" s="273"/>
      <c r="B997" s="273"/>
      <c r="C997" s="273"/>
      <c r="D997" s="273"/>
      <c r="E997" s="273"/>
      <c r="F997" s="273"/>
      <c r="G997" s="118"/>
    </row>
    <row r="998" ht="15.75" customHeight="1">
      <c r="A998" s="273"/>
      <c r="B998" s="273"/>
      <c r="C998" s="273"/>
      <c r="D998" s="273"/>
      <c r="E998" s="273"/>
      <c r="F998" s="273"/>
      <c r="G998" s="118"/>
    </row>
    <row r="999" ht="15.75" customHeight="1">
      <c r="A999" s="273"/>
      <c r="B999" s="273"/>
      <c r="C999" s="273"/>
      <c r="D999" s="273"/>
      <c r="E999" s="273"/>
      <c r="F999" s="273"/>
      <c r="G999" s="118"/>
    </row>
    <row r="1000" ht="15.75" customHeight="1">
      <c r="A1000" s="273"/>
      <c r="B1000" s="273"/>
      <c r="C1000" s="273"/>
      <c r="D1000" s="273"/>
      <c r="E1000" s="273"/>
      <c r="F1000" s="273"/>
      <c r="G1000" s="118"/>
    </row>
    <row r="1001" ht="15.75" customHeight="1">
      <c r="A1001" s="273"/>
      <c r="B1001" s="273"/>
      <c r="C1001" s="273"/>
      <c r="D1001" s="273"/>
      <c r="E1001" s="273"/>
      <c r="F1001" s="273"/>
      <c r="G1001" s="118"/>
    </row>
    <row r="1002" ht="15.75" customHeight="1">
      <c r="A1002" s="273"/>
      <c r="B1002" s="273"/>
      <c r="C1002" s="273"/>
      <c r="D1002" s="273"/>
      <c r="E1002" s="273"/>
      <c r="F1002" s="273"/>
      <c r="G1002" s="118"/>
    </row>
    <row r="1003" ht="15.75" customHeight="1">
      <c r="A1003" s="273"/>
      <c r="B1003" s="273"/>
      <c r="C1003" s="273"/>
      <c r="D1003" s="273"/>
      <c r="E1003" s="273"/>
      <c r="F1003" s="273"/>
      <c r="G1003" s="118"/>
    </row>
    <row r="1004" ht="15.75" customHeight="1">
      <c r="A1004" s="273"/>
      <c r="B1004" s="273"/>
      <c r="C1004" s="273"/>
      <c r="D1004" s="273"/>
      <c r="E1004" s="273"/>
      <c r="F1004" s="273"/>
      <c r="G1004" s="118"/>
    </row>
    <row r="1005" ht="15.75" customHeight="1">
      <c r="A1005" s="273"/>
      <c r="B1005" s="273"/>
      <c r="C1005" s="273"/>
      <c r="D1005" s="273"/>
      <c r="E1005" s="273"/>
      <c r="F1005" s="273"/>
      <c r="G1005" s="118"/>
    </row>
    <row r="1006" ht="15.75" customHeight="1">
      <c r="A1006" s="273"/>
      <c r="B1006" s="273"/>
      <c r="C1006" s="273"/>
      <c r="D1006" s="273"/>
      <c r="E1006" s="273"/>
      <c r="F1006" s="273"/>
      <c r="G1006" s="118"/>
    </row>
    <row r="1007" ht="15.75" customHeight="1">
      <c r="A1007" s="273"/>
      <c r="B1007" s="273"/>
      <c r="C1007" s="273"/>
      <c r="D1007" s="273"/>
      <c r="E1007" s="273"/>
      <c r="F1007" s="273"/>
      <c r="G1007" s="118"/>
    </row>
    <row r="1008" ht="15.75" customHeight="1">
      <c r="A1008" s="273"/>
      <c r="B1008" s="273"/>
      <c r="C1008" s="273"/>
      <c r="D1008" s="273"/>
      <c r="E1008" s="273"/>
      <c r="F1008" s="273"/>
      <c r="G1008" s="118"/>
    </row>
    <row r="1009" ht="15.75" customHeight="1">
      <c r="A1009" s="273"/>
      <c r="B1009" s="273"/>
      <c r="C1009" s="273"/>
      <c r="D1009" s="273"/>
      <c r="E1009" s="273"/>
      <c r="F1009" s="273"/>
      <c r="G1009" s="118"/>
    </row>
    <row r="1010" ht="15.75" customHeight="1">
      <c r="A1010" s="273"/>
      <c r="B1010" s="273"/>
      <c r="C1010" s="273"/>
      <c r="D1010" s="273"/>
      <c r="E1010" s="273"/>
      <c r="F1010" s="273"/>
      <c r="G1010" s="118"/>
    </row>
    <row r="1011" ht="15.75" customHeight="1">
      <c r="A1011" s="273"/>
      <c r="B1011" s="273"/>
      <c r="C1011" s="273"/>
      <c r="D1011" s="273"/>
      <c r="E1011" s="273"/>
      <c r="F1011" s="273"/>
      <c r="G1011" s="118"/>
    </row>
  </sheetData>
  <conditionalFormatting sqref="D3:G9 D11:G26 D28:G30 D32:G32 D34:G1011">
    <cfRule type="containsText" dxfId="1" priority="1" operator="containsText" text="Mayor a 5">
      <formula>NOT(ISERROR(SEARCH(("Mayor a 5"),(D3))))</formula>
    </cfRule>
  </conditionalFormatting>
  <conditionalFormatting sqref="D3:G9 D11:G26 D28:G30 D32:G32 D34:G1011">
    <cfRule type="containsText" dxfId="2" priority="2" operator="containsText" text="Menor a 5">
      <formula>NOT(ISERROR(SEARCH(("Menor a 5"),(D3))))</formula>
    </cfRule>
  </conditionalFormatting>
  <conditionalFormatting sqref="D3:G9 D11:G26 D28:G30 D32:G32 D34:G1011">
    <cfRule type="containsText" dxfId="3" priority="3" operator="containsText" text="Sin stock">
      <formula>NOT(ISERROR(SEARCH(("Sin stock"),(D3))))</formula>
    </cfRule>
  </conditionalFormatting>
  <hyperlinks>
    <hyperlink r:id="rId2" ref="B3"/>
    <hyperlink r:id="rId3" ref="B4"/>
    <hyperlink r:id="rId4" location="id-m60-support-expand-30-135796" ref="B5"/>
    <hyperlink r:id="rId5" location="id-m60-support-expand-30-135796" ref="B6"/>
    <hyperlink r:id="rId6" location="id-m63-front-tech-expand-80-135749" ref="B7"/>
    <hyperlink r:id="rId7" ref="B8"/>
    <hyperlink r:id="rId8" ref="B9"/>
    <hyperlink r:id="rId9" ref="B12"/>
    <hyperlink r:id="rId10" ref="B13"/>
    <hyperlink r:id="rId11" ref="B14"/>
    <hyperlink r:id="rId12" ref="B15"/>
    <hyperlink r:id="rId13" ref="B16"/>
    <hyperlink r:id="rId14" ref="B17"/>
    <hyperlink r:id="rId15" ref="B18"/>
    <hyperlink r:id="rId16" ref="B19"/>
    <hyperlink r:id="rId17" ref="B20"/>
    <hyperlink r:id="rId18" ref="B21"/>
    <hyperlink r:id="rId19" ref="B25"/>
    <hyperlink r:id="rId20" ref="B26"/>
    <hyperlink r:id="rId21" ref="B28"/>
    <hyperlink r:id="rId22" ref="B29"/>
    <hyperlink r:id="rId23" ref="B30"/>
    <hyperlink r:id="rId24" ref="B32"/>
    <hyperlink r:id="rId25" ref="B34"/>
    <hyperlink r:id="rId26" ref="B35"/>
    <hyperlink r:id="rId27" ref="B36"/>
    <hyperlink r:id="rId28" ref="B37"/>
    <hyperlink r:id="rId29" ref="B38"/>
    <hyperlink r:id="rId30" ref="B39"/>
    <hyperlink r:id="rId31" ref="B40"/>
    <hyperlink r:id="rId32" ref="B41"/>
    <hyperlink r:id="rId33" ref="B42"/>
    <hyperlink r:id="rId34" ref="B43"/>
  </hyperlinks>
  <printOptions/>
  <pageMargins bottom="0.75" footer="0.0" header="0.0" left="0.7" right="0.7" top="0.75"/>
  <pageSetup orientation="landscape"/>
  <drawing r:id="rId35"/>
  <legacyDrawing r:id="rId3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982"/>
    <outlinePr summaryBelow="0" summaryRight="0"/>
    <pageSetUpPr/>
  </sheetPr>
  <sheetViews>
    <sheetView workbookViewId="0"/>
  </sheetViews>
  <sheetFormatPr customHeight="1" defaultColWidth="12.63" defaultRowHeight="15.0"/>
  <cols>
    <col customWidth="1" min="1" max="1" width="13.25"/>
    <col customWidth="1" min="2" max="2" width="21.5"/>
    <col customWidth="1" min="3" max="3" width="67.13"/>
    <col customWidth="1" min="4" max="4" width="22.25"/>
    <col customWidth="1" min="5" max="5" width="14.25"/>
    <col customWidth="1" min="6" max="8" width="9.25"/>
  </cols>
  <sheetData>
    <row r="1" ht="15.75" customHeight="1">
      <c r="A1" s="8" t="s">
        <v>23</v>
      </c>
      <c r="B1" s="8" t="s">
        <v>24</v>
      </c>
      <c r="C1" s="8" t="s">
        <v>25</v>
      </c>
      <c r="D1" s="8" t="s">
        <v>4658</v>
      </c>
      <c r="E1" s="119" t="s">
        <v>26</v>
      </c>
      <c r="F1" s="26" t="s">
        <v>27</v>
      </c>
      <c r="G1" s="120" t="s">
        <v>28</v>
      </c>
      <c r="H1" s="8" t="s">
        <v>29</v>
      </c>
    </row>
    <row r="2" ht="15.75" customHeight="1">
      <c r="A2" s="28" t="s">
        <v>4659</v>
      </c>
      <c r="C2" s="31"/>
      <c r="D2" s="31"/>
      <c r="E2" s="51"/>
      <c r="F2" s="51"/>
      <c r="G2" s="31"/>
      <c r="H2" s="29"/>
    </row>
    <row r="3" ht="15.75" customHeight="1">
      <c r="A3" s="158" t="s">
        <v>4660</v>
      </c>
      <c r="B3" s="164" t="s">
        <v>4661</v>
      </c>
      <c r="C3" s="159" t="s">
        <v>4662</v>
      </c>
      <c r="D3" s="278"/>
      <c r="E3" s="236" t="s">
        <v>4663</v>
      </c>
      <c r="F3" s="96" t="s">
        <v>4664</v>
      </c>
      <c r="G3" s="142">
        <v>0.21</v>
      </c>
      <c r="H3" s="38" t="str">
        <f>VLOOKUP("NC3FX1-TOP",STOCK!$B$2:$Q$3671,3,FALSE)</f>
        <v>Mayor a 5</v>
      </c>
    </row>
    <row r="4" ht="15.75" customHeight="1">
      <c r="A4" s="161" t="s">
        <v>4660</v>
      </c>
      <c r="B4" s="165" t="s">
        <v>4665</v>
      </c>
      <c r="C4" s="163" t="s">
        <v>4666</v>
      </c>
      <c r="D4" s="116"/>
      <c r="E4" s="238" t="s">
        <v>4667</v>
      </c>
      <c r="F4" s="101" t="s">
        <v>4668</v>
      </c>
      <c r="G4" s="102">
        <v>0.21</v>
      </c>
      <c r="H4" s="38" t="str">
        <f>VLOOKUP("NC3MX1-TOP",STOCK!$B$2:$Q$3671,3,FALSE)</f>
        <v>Mayor a 5</v>
      </c>
    </row>
    <row r="5" ht="15.75" customHeight="1">
      <c r="A5" s="158" t="s">
        <v>4660</v>
      </c>
      <c r="B5" s="164" t="s">
        <v>4669</v>
      </c>
      <c r="C5" s="279" t="s">
        <v>4670</v>
      </c>
      <c r="D5" s="278"/>
      <c r="E5" s="236" t="s">
        <v>4671</v>
      </c>
      <c r="F5" s="96" t="s">
        <v>4672</v>
      </c>
      <c r="G5" s="142">
        <v>0.21</v>
      </c>
      <c r="H5" s="38" t="str">
        <f>VLOOKUP("NC3FXX-D",STOCK!$B$2:$Q$3671,3,FALSE)</f>
        <v>Mayor a 5</v>
      </c>
    </row>
    <row r="6" ht="15.75" customHeight="1">
      <c r="A6" s="161" t="s">
        <v>4660</v>
      </c>
      <c r="B6" s="165" t="s">
        <v>4673</v>
      </c>
      <c r="C6" s="163" t="s">
        <v>4674</v>
      </c>
      <c r="D6" s="116"/>
      <c r="E6" s="238" t="s">
        <v>4675</v>
      </c>
      <c r="F6" s="101" t="s">
        <v>4676</v>
      </c>
      <c r="G6" s="102">
        <v>0.21</v>
      </c>
      <c r="H6" s="38" t="str">
        <f>VLOOKUP("NC3MXCC",STOCK!$B$2:$Q$3671,3,FALSE)</f>
        <v>Mayor a 5</v>
      </c>
    </row>
    <row r="7" ht="15.75" customHeight="1">
      <c r="A7" s="158" t="s">
        <v>4660</v>
      </c>
      <c r="B7" s="164" t="s">
        <v>4677</v>
      </c>
      <c r="C7" s="279" t="s">
        <v>4678</v>
      </c>
      <c r="D7" s="278"/>
      <c r="E7" s="236" t="s">
        <v>4679</v>
      </c>
      <c r="F7" s="96" t="s">
        <v>4680</v>
      </c>
      <c r="G7" s="142">
        <v>0.21</v>
      </c>
      <c r="H7" s="38" t="str">
        <f>VLOOKUP("NC3MXX-D",STOCK!$B$2:$Q$3671,3,FALSE)</f>
        <v>Mayor a 5</v>
      </c>
    </row>
    <row r="8" ht="15.75" customHeight="1">
      <c r="A8" s="161" t="s">
        <v>4660</v>
      </c>
      <c r="B8" s="162" t="s">
        <v>4681</v>
      </c>
      <c r="C8" s="163" t="s">
        <v>4682</v>
      </c>
      <c r="D8" s="280">
        <v>100.0</v>
      </c>
      <c r="E8" s="238" t="s">
        <v>4683</v>
      </c>
      <c r="F8" s="101" t="s">
        <v>4684</v>
      </c>
      <c r="G8" s="102">
        <v>0.21</v>
      </c>
      <c r="H8" s="38" t="str">
        <f>VLOOKUP("NC3FX-D",STOCK!$B$2:$Q$3671,3,FALSE)</f>
        <v>Mayor a 5</v>
      </c>
    </row>
    <row r="9" ht="15.75" customHeight="1">
      <c r="A9" s="158" t="s">
        <v>4660</v>
      </c>
      <c r="B9" s="166" t="s">
        <v>4685</v>
      </c>
      <c r="C9" s="159" t="s">
        <v>4686</v>
      </c>
      <c r="D9" s="281">
        <v>100.0</v>
      </c>
      <c r="E9" s="236" t="s">
        <v>4687</v>
      </c>
      <c r="F9" s="96" t="s">
        <v>4688</v>
      </c>
      <c r="G9" s="142">
        <v>0.21</v>
      </c>
      <c r="H9" s="38" t="str">
        <f>VLOOKUP("NC3MX-D",STOCK!$B$2:$Q$3671,3,FALSE)</f>
        <v>Mayor a 5</v>
      </c>
    </row>
    <row r="10" ht="15.75" customHeight="1">
      <c r="A10" s="161" t="s">
        <v>4660</v>
      </c>
      <c r="B10" s="162" t="s">
        <v>4689</v>
      </c>
      <c r="C10" s="163" t="s">
        <v>4690</v>
      </c>
      <c r="D10" s="280">
        <v>100.0</v>
      </c>
      <c r="E10" s="238" t="s">
        <v>4691</v>
      </c>
      <c r="F10" s="101" t="s">
        <v>4692</v>
      </c>
      <c r="G10" s="102">
        <v>0.21</v>
      </c>
      <c r="H10" s="38" t="str">
        <f>VLOOKUP("NC3FX",STOCK!$B$2:$Q$3671,3,FALSE)</f>
        <v>Mayor a 5</v>
      </c>
    </row>
    <row r="11" ht="15.75" customHeight="1">
      <c r="A11" s="158" t="s">
        <v>4660</v>
      </c>
      <c r="B11" s="166" t="s">
        <v>4693</v>
      </c>
      <c r="C11" s="159" t="s">
        <v>4694</v>
      </c>
      <c r="D11" s="281">
        <v>50.0</v>
      </c>
      <c r="E11" s="236" t="s">
        <v>4695</v>
      </c>
      <c r="F11" s="96" t="s">
        <v>4696</v>
      </c>
      <c r="G11" s="142">
        <v>0.21</v>
      </c>
      <c r="H11" s="38" t="str">
        <f>VLOOKUP("NC3FXCC",STOCK!$B$2:$Q$3671,3,FALSE)</f>
        <v>Menor a 5</v>
      </c>
    </row>
    <row r="12" ht="15.75" customHeight="1">
      <c r="A12" s="161" t="s">
        <v>4660</v>
      </c>
      <c r="B12" s="162" t="s">
        <v>4697</v>
      </c>
      <c r="C12" s="163" t="s">
        <v>4698</v>
      </c>
      <c r="D12" s="280">
        <v>100.0</v>
      </c>
      <c r="E12" s="238" t="s">
        <v>4699</v>
      </c>
      <c r="F12" s="101" t="s">
        <v>4700</v>
      </c>
      <c r="G12" s="102">
        <v>0.21</v>
      </c>
      <c r="H12" s="38" t="str">
        <f>VLOOKUP("NC3MX",STOCK!$B$2:$Q$3671,3,FALSE)</f>
        <v>Mayor a 5</v>
      </c>
    </row>
    <row r="13" ht="15.75" customHeight="1">
      <c r="A13" s="158" t="s">
        <v>4660</v>
      </c>
      <c r="B13" s="166" t="s">
        <v>4673</v>
      </c>
      <c r="C13" s="159" t="s">
        <v>4701</v>
      </c>
      <c r="D13" s="281">
        <v>50.0</v>
      </c>
      <c r="E13" s="236" t="s">
        <v>4702</v>
      </c>
      <c r="F13" s="96" t="s">
        <v>4703</v>
      </c>
      <c r="G13" s="142">
        <v>0.21</v>
      </c>
      <c r="H13" s="38" t="str">
        <f>VLOOKUP("NC3MXCC",STOCK!$B$2:$Q$3671,3,FALSE)</f>
        <v>Mayor a 5</v>
      </c>
    </row>
    <row r="14" ht="15.75" customHeight="1">
      <c r="A14" s="161" t="s">
        <v>4660</v>
      </c>
      <c r="B14" s="162" t="s">
        <v>4704</v>
      </c>
      <c r="C14" s="163" t="s">
        <v>4705</v>
      </c>
      <c r="D14" s="280">
        <v>100.0</v>
      </c>
      <c r="E14" s="238" t="s">
        <v>4706</v>
      </c>
      <c r="F14" s="101" t="s">
        <v>4707</v>
      </c>
      <c r="G14" s="102">
        <v>0.21</v>
      </c>
      <c r="H14" s="38" t="str">
        <f>VLOOKUP("NC3FX-B",STOCK!$B$2:$Q$3671,3,FALSE)</f>
        <v>Mayor a 5</v>
      </c>
    </row>
    <row r="15" ht="15.75" customHeight="1">
      <c r="A15" s="158" t="s">
        <v>4660</v>
      </c>
      <c r="B15" s="166" t="s">
        <v>4708</v>
      </c>
      <c r="C15" s="159" t="s">
        <v>4709</v>
      </c>
      <c r="D15" s="281">
        <v>100.0</v>
      </c>
      <c r="E15" s="236" t="s">
        <v>4710</v>
      </c>
      <c r="F15" s="96" t="s">
        <v>4711</v>
      </c>
      <c r="G15" s="142">
        <v>0.21</v>
      </c>
      <c r="H15" s="38" t="str">
        <f>VLOOKUP("NC3MX-B",STOCK!$B$2:$Q$3671,3,FALSE)</f>
        <v>Mayor a 5</v>
      </c>
    </row>
    <row r="16" ht="15.75" customHeight="1">
      <c r="A16" s="161" t="s">
        <v>4660</v>
      </c>
      <c r="B16" s="162" t="s">
        <v>4712</v>
      </c>
      <c r="C16" s="161" t="s">
        <v>4713</v>
      </c>
      <c r="D16" s="280">
        <v>100.0</v>
      </c>
      <c r="E16" s="238" t="s">
        <v>4714</v>
      </c>
      <c r="F16" s="101" t="s">
        <v>4715</v>
      </c>
      <c r="G16" s="102">
        <v>0.21</v>
      </c>
      <c r="H16" s="38" t="str">
        <f>VLOOKUP("NC3FXX",STOCK!$B$2:$Q$3671,3,FALSE)</f>
        <v>Mayor a 5</v>
      </c>
    </row>
    <row r="17" ht="15.75" customHeight="1">
      <c r="A17" s="158" t="s">
        <v>4660</v>
      </c>
      <c r="B17" s="166" t="s">
        <v>4716</v>
      </c>
      <c r="C17" s="164" t="s">
        <v>4717</v>
      </c>
      <c r="D17" s="281">
        <v>100.0</v>
      </c>
      <c r="E17" s="236" t="s">
        <v>4718</v>
      </c>
      <c r="F17" s="96" t="s">
        <v>4719</v>
      </c>
      <c r="G17" s="142">
        <v>0.21</v>
      </c>
      <c r="H17" s="38" t="str">
        <f>VLOOKUP("NC3FX",STOCK!$B$2:$Q$3671,3,FALSE)</f>
        <v>Mayor a 5</v>
      </c>
    </row>
    <row r="18" ht="15.75" customHeight="1">
      <c r="A18" s="161" t="s">
        <v>4660</v>
      </c>
      <c r="B18" s="162" t="s">
        <v>4720</v>
      </c>
      <c r="C18" s="163" t="s">
        <v>4721</v>
      </c>
      <c r="D18" s="280">
        <v>50.0</v>
      </c>
      <c r="E18" s="238" t="s">
        <v>4722</v>
      </c>
      <c r="F18" s="101" t="s">
        <v>4723</v>
      </c>
      <c r="G18" s="102">
        <v>0.21</v>
      </c>
      <c r="H18" s="38" t="str">
        <f>VLOOKUP("NC3FX-HD",STOCK!$B$2:$Q$3671,3,FALSE)</f>
        <v>Mayor a 5</v>
      </c>
    </row>
    <row r="19" ht="15.75" customHeight="1">
      <c r="A19" s="158" t="s">
        <v>4660</v>
      </c>
      <c r="B19" s="166" t="s">
        <v>4724</v>
      </c>
      <c r="C19" s="159" t="s">
        <v>4725</v>
      </c>
      <c r="D19" s="281">
        <v>50.0</v>
      </c>
      <c r="E19" s="236" t="s">
        <v>4726</v>
      </c>
      <c r="F19" s="96" t="s">
        <v>4727</v>
      </c>
      <c r="G19" s="142">
        <v>0.21</v>
      </c>
      <c r="H19" s="38" t="str">
        <f>VLOOKUP("NC3FX",STOCK!$B$2:$Q$3671,3,FALSE)</f>
        <v>Mayor a 5</v>
      </c>
    </row>
    <row r="20" ht="15.75" customHeight="1">
      <c r="A20" s="161" t="s">
        <v>4660</v>
      </c>
      <c r="B20" s="162" t="s">
        <v>4728</v>
      </c>
      <c r="C20" s="163" t="s">
        <v>4729</v>
      </c>
      <c r="D20" s="280">
        <v>50.0</v>
      </c>
      <c r="E20" s="238" t="s">
        <v>4730</v>
      </c>
      <c r="F20" s="101" t="s">
        <v>4731</v>
      </c>
      <c r="G20" s="102">
        <v>0.21</v>
      </c>
      <c r="H20" s="38" t="str">
        <f>VLOOKUP("NC3FRX",STOCK!$B$2:$Q$3671,3,FALSE)</f>
        <v>Mayor a 5</v>
      </c>
    </row>
    <row r="21" ht="15.75" customHeight="1">
      <c r="A21" s="158" t="s">
        <v>4660</v>
      </c>
      <c r="B21" s="166" t="s">
        <v>4732</v>
      </c>
      <c r="C21" s="158" t="s">
        <v>4733</v>
      </c>
      <c r="D21" s="281">
        <v>50.0</v>
      </c>
      <c r="E21" s="236" t="s">
        <v>4734</v>
      </c>
      <c r="F21" s="96" t="s">
        <v>4735</v>
      </c>
      <c r="G21" s="142">
        <v>0.21</v>
      </c>
      <c r="H21" s="38" t="str">
        <f>VLOOKUP("NC3FX",STOCK!$B$2:$Q$3671,3,FALSE)</f>
        <v>Mayor a 5</v>
      </c>
    </row>
    <row r="22" ht="15.75" customHeight="1">
      <c r="A22" s="161" t="s">
        <v>4660</v>
      </c>
      <c r="B22" s="162" t="s">
        <v>4736</v>
      </c>
      <c r="C22" s="163" t="s">
        <v>4737</v>
      </c>
      <c r="D22" s="280">
        <v>50.0</v>
      </c>
      <c r="E22" s="238" t="s">
        <v>4738</v>
      </c>
      <c r="F22" s="101" t="s">
        <v>4739</v>
      </c>
      <c r="G22" s="102">
        <v>0.21</v>
      </c>
      <c r="H22" s="38" t="str">
        <f>VLOOKUP("NC3FM",STOCK!$B$2:$Q$3671,3,FALSE)</f>
        <v>Mayor a 5</v>
      </c>
    </row>
    <row r="23" ht="15.75" customHeight="1">
      <c r="A23" s="28" t="s">
        <v>4740</v>
      </c>
      <c r="C23" s="282"/>
      <c r="D23" s="282"/>
      <c r="E23" s="51"/>
      <c r="F23" s="51"/>
      <c r="G23" s="121"/>
      <c r="H23" s="121"/>
    </row>
    <row r="24" ht="15.75" customHeight="1">
      <c r="A24" s="158" t="s">
        <v>4660</v>
      </c>
      <c r="B24" s="166" t="s">
        <v>4741</v>
      </c>
      <c r="C24" s="159" t="s">
        <v>4742</v>
      </c>
      <c r="D24" s="281">
        <v>100.0</v>
      </c>
      <c r="E24" s="236" t="s">
        <v>4743</v>
      </c>
      <c r="F24" s="96" t="s">
        <v>4744</v>
      </c>
      <c r="G24" s="142">
        <v>0.21</v>
      </c>
      <c r="H24" s="38" t="str">
        <f>VLOOKUP("BSX-2-RED",STOCK!$B$2:$Q$3671,3,FALSE)</f>
        <v>Mayor a 5</v>
      </c>
    </row>
    <row r="25" ht="15.75" customHeight="1">
      <c r="A25" s="161" t="s">
        <v>4660</v>
      </c>
      <c r="B25" s="162" t="s">
        <v>4745</v>
      </c>
      <c r="C25" s="163" t="s">
        <v>4746</v>
      </c>
      <c r="D25" s="280">
        <v>100.0</v>
      </c>
      <c r="E25" s="238" t="s">
        <v>4743</v>
      </c>
      <c r="F25" s="101" t="s">
        <v>4744</v>
      </c>
      <c r="G25" s="102">
        <v>0.21</v>
      </c>
      <c r="H25" s="38" t="str">
        <f>VLOOKUP("NC3MX-D",STOCK!$B$2:$Q$3671,3,FALSE)</f>
        <v>Mayor a 5</v>
      </c>
    </row>
    <row r="26" ht="15.75" customHeight="1">
      <c r="A26" s="158" t="s">
        <v>4660</v>
      </c>
      <c r="B26" s="166" t="s">
        <v>4747</v>
      </c>
      <c r="C26" s="159" t="s">
        <v>4748</v>
      </c>
      <c r="D26" s="281">
        <v>100.0</v>
      </c>
      <c r="E26" s="236" t="s">
        <v>4743</v>
      </c>
      <c r="F26" s="96" t="s">
        <v>4744</v>
      </c>
      <c r="G26" s="142">
        <v>0.21</v>
      </c>
      <c r="H26" s="38" t="str">
        <f>VLOOKUP("NC3FX",STOCK!$B$2:$Q$3671,3,FALSE)</f>
        <v>Mayor a 5</v>
      </c>
    </row>
    <row r="27" ht="15.75" customHeight="1">
      <c r="A27" s="161" t="s">
        <v>4660</v>
      </c>
      <c r="B27" s="162" t="s">
        <v>4749</v>
      </c>
      <c r="C27" s="163" t="s">
        <v>4750</v>
      </c>
      <c r="D27" s="280">
        <v>100.0</v>
      </c>
      <c r="E27" s="238" t="s">
        <v>4751</v>
      </c>
      <c r="F27" s="101" t="s">
        <v>4752</v>
      </c>
      <c r="G27" s="102">
        <v>0.21</v>
      </c>
      <c r="H27" s="283" t="str">
        <f>VLOOKUP("XXR-2 NEO",STOCK!$B$2:$Q$3671,3,FALSE)</f>
        <v>Mayor a 5</v>
      </c>
    </row>
    <row r="28" ht="15.75" customHeight="1">
      <c r="A28" s="158" t="s">
        <v>4660</v>
      </c>
      <c r="B28" s="166" t="s">
        <v>4753</v>
      </c>
      <c r="C28" s="158" t="s">
        <v>4754</v>
      </c>
      <c r="D28" s="281">
        <v>100.0</v>
      </c>
      <c r="E28" s="236" t="s">
        <v>4751</v>
      </c>
      <c r="F28" s="96" t="s">
        <v>4752</v>
      </c>
      <c r="G28" s="142">
        <v>0.21</v>
      </c>
      <c r="H28" s="283" t="str">
        <f>VLOOKUP("XXR-6 NEO",STOCK!$B$2:$Q$3671,3,FALSE)</f>
        <v>Mayor a 5</v>
      </c>
    </row>
    <row r="29" ht="15.75" customHeight="1">
      <c r="A29" s="28" t="s">
        <v>4755</v>
      </c>
      <c r="C29" s="282"/>
      <c r="D29" s="31"/>
      <c r="E29" s="51"/>
      <c r="F29" s="51"/>
      <c r="G29" s="31"/>
      <c r="H29" s="29"/>
    </row>
    <row r="30" ht="15.75" customHeight="1">
      <c r="A30" s="158" t="s">
        <v>4660</v>
      </c>
      <c r="B30" s="164" t="s">
        <v>4756</v>
      </c>
      <c r="C30" s="159" t="s">
        <v>4757</v>
      </c>
      <c r="D30" s="278"/>
      <c r="E30" s="236" t="s">
        <v>4758</v>
      </c>
      <c r="F30" s="96" t="s">
        <v>4759</v>
      </c>
      <c r="G30" s="142">
        <v>0.21</v>
      </c>
      <c r="H30" s="38" t="str">
        <f>VLOOKUP("NC4FXX",STOCK!$B$2:$Q$3671,3,FALSE)</f>
        <v>Mayor a 5</v>
      </c>
    </row>
    <row r="31" ht="15.75" customHeight="1">
      <c r="A31" s="161" t="s">
        <v>4660</v>
      </c>
      <c r="B31" s="162" t="s">
        <v>4760</v>
      </c>
      <c r="C31" s="161" t="s">
        <v>4761</v>
      </c>
      <c r="D31" s="280">
        <v>100.0</v>
      </c>
      <c r="E31" s="238" t="s">
        <v>4762</v>
      </c>
      <c r="F31" s="101" t="s">
        <v>4763</v>
      </c>
      <c r="G31" s="102">
        <v>0.21</v>
      </c>
      <c r="H31" s="38" t="str">
        <f>VLOOKUP("NC4FX",STOCK!$B$2:$Q$3671,3,FALSE)</f>
        <v>Mayor a 5</v>
      </c>
    </row>
    <row r="32" ht="15.75" customHeight="1">
      <c r="A32" s="158" t="s">
        <v>4660</v>
      </c>
      <c r="B32" s="166" t="s">
        <v>4764</v>
      </c>
      <c r="C32" s="159" t="s">
        <v>4765</v>
      </c>
      <c r="D32" s="281">
        <v>100.0</v>
      </c>
      <c r="E32" s="236" t="s">
        <v>4766</v>
      </c>
      <c r="F32" s="96" t="s">
        <v>4767</v>
      </c>
      <c r="G32" s="142">
        <v>0.21</v>
      </c>
      <c r="H32" s="283" t="str">
        <f>VLOOKUP("NC4MX",STOCK!$B$2:$Q$3671,3,FALSE)</f>
        <v>Mayor a 5</v>
      </c>
    </row>
    <row r="33" ht="15.75" customHeight="1">
      <c r="A33" s="28" t="s">
        <v>4768</v>
      </c>
      <c r="C33" s="282"/>
      <c r="D33" s="282"/>
      <c r="E33" s="51"/>
      <c r="F33" s="51"/>
      <c r="G33" s="121"/>
      <c r="H33" s="121"/>
    </row>
    <row r="34" ht="15.75" customHeight="1">
      <c r="A34" s="158" t="s">
        <v>4660</v>
      </c>
      <c r="B34" s="158" t="s">
        <v>4769</v>
      </c>
      <c r="C34" s="158" t="s">
        <v>4770</v>
      </c>
      <c r="D34" s="278"/>
      <c r="E34" s="236" t="s">
        <v>4771</v>
      </c>
      <c r="F34" s="96" t="s">
        <v>4772</v>
      </c>
      <c r="G34" s="142">
        <v>0.21</v>
      </c>
      <c r="H34" s="38" t="str">
        <f>VLOOKUP("NC5FXX",STOCK!$B$2:$Q$3671,3,FALSE)</f>
        <v>Mayor a 5</v>
      </c>
    </row>
    <row r="35" ht="15.75" customHeight="1">
      <c r="A35" s="161" t="s">
        <v>4660</v>
      </c>
      <c r="B35" s="165" t="s">
        <v>4773</v>
      </c>
      <c r="C35" s="163" t="s">
        <v>4774</v>
      </c>
      <c r="D35" s="116"/>
      <c r="E35" s="238" t="s">
        <v>4775</v>
      </c>
      <c r="F35" s="101" t="s">
        <v>4776</v>
      </c>
      <c r="G35" s="102">
        <v>0.21</v>
      </c>
      <c r="H35" s="38" t="str">
        <f>VLOOKUP("NC5MXX",STOCK!$B$2:$Q$3671,3,FALSE)</f>
        <v>Mayor a 5</v>
      </c>
    </row>
    <row r="36" ht="15.75" customHeight="1">
      <c r="A36" s="158" t="s">
        <v>4660</v>
      </c>
      <c r="B36" s="166" t="s">
        <v>4777</v>
      </c>
      <c r="C36" s="159" t="s">
        <v>4778</v>
      </c>
      <c r="D36" s="281">
        <v>100.0</v>
      </c>
      <c r="E36" s="236" t="s">
        <v>4779</v>
      </c>
      <c r="F36" s="96" t="s">
        <v>4780</v>
      </c>
      <c r="G36" s="142">
        <v>0.21</v>
      </c>
      <c r="H36" s="38" t="str">
        <f>VLOOKUP("NC5FX",STOCK!$B$2:$Q$3671,3,FALSE)</f>
        <v>Mayor a 5</v>
      </c>
    </row>
    <row r="37" ht="15.75" customHeight="1">
      <c r="A37" s="161" t="s">
        <v>4660</v>
      </c>
      <c r="B37" s="162" t="s">
        <v>4781</v>
      </c>
      <c r="C37" s="163" t="s">
        <v>4782</v>
      </c>
      <c r="D37" s="280">
        <v>100.0</v>
      </c>
      <c r="E37" s="238" t="s">
        <v>4783</v>
      </c>
      <c r="F37" s="101" t="s">
        <v>4784</v>
      </c>
      <c r="G37" s="102">
        <v>0.21</v>
      </c>
      <c r="H37" s="38" t="str">
        <f>VLOOKUP("NC5MX",STOCK!$B$2:$Q$3671,3,FALSE)</f>
        <v>Mayor a 5</v>
      </c>
    </row>
    <row r="38" ht="15.75" customHeight="1">
      <c r="A38" s="28" t="s">
        <v>4785</v>
      </c>
      <c r="C38" s="282"/>
      <c r="D38" s="282"/>
      <c r="E38" s="51"/>
      <c r="F38" s="51"/>
      <c r="G38" s="284"/>
      <c r="H38" s="284"/>
    </row>
    <row r="39" ht="15.75" customHeight="1">
      <c r="A39" s="158" t="s">
        <v>4660</v>
      </c>
      <c r="B39" s="166" t="s">
        <v>4786</v>
      </c>
      <c r="C39" s="159" t="s">
        <v>4787</v>
      </c>
      <c r="D39" s="281">
        <v>25.0</v>
      </c>
      <c r="E39" s="236" t="s">
        <v>4788</v>
      </c>
      <c r="F39" s="96" t="s">
        <v>4789</v>
      </c>
      <c r="G39" s="142">
        <v>0.21</v>
      </c>
      <c r="H39" s="38" t="str">
        <f>VLOOKUP("NC6FX",STOCK!$B$2:$Q$3671,3,FALSE)</f>
        <v>Mayor a 5</v>
      </c>
    </row>
    <row r="40" ht="15.75" customHeight="1">
      <c r="A40" s="161" t="s">
        <v>4660</v>
      </c>
      <c r="B40" s="162" t="s">
        <v>4790</v>
      </c>
      <c r="C40" s="163" t="s">
        <v>4791</v>
      </c>
      <c r="D40" s="280">
        <v>25.0</v>
      </c>
      <c r="E40" s="238" t="s">
        <v>4792</v>
      </c>
      <c r="F40" s="101" t="s">
        <v>4793</v>
      </c>
      <c r="G40" s="102">
        <v>0.21</v>
      </c>
      <c r="H40" s="38" t="str">
        <f>VLOOKUP("NC6MX",STOCK!$B$2:$Q$3671,3,FALSE)</f>
        <v>Mayor a 5</v>
      </c>
    </row>
    <row r="41" ht="15.75" customHeight="1">
      <c r="A41" s="28" t="s">
        <v>4794</v>
      </c>
      <c r="C41" s="31"/>
      <c r="D41" s="282"/>
      <c r="E41" s="51"/>
      <c r="F41" s="51"/>
      <c r="G41" s="121"/>
      <c r="H41" s="121"/>
    </row>
    <row r="42" ht="15.75" customHeight="1">
      <c r="A42" s="158" t="s">
        <v>4660</v>
      </c>
      <c r="B42" s="165" t="s">
        <v>4795</v>
      </c>
      <c r="C42" s="163" t="s">
        <v>4796</v>
      </c>
      <c r="D42" s="116"/>
      <c r="E42" s="236" t="s">
        <v>4797</v>
      </c>
      <c r="F42" s="96" t="s">
        <v>4798</v>
      </c>
      <c r="G42" s="102">
        <v>0.21</v>
      </c>
      <c r="H42" s="38" t="str">
        <f>VLOOKUP("NC7MX-BAG",STOCK!$B$2:$Q$3671,3,FALSE)</f>
        <v>Mayor a 5</v>
      </c>
    </row>
    <row r="43" ht="15.75" customHeight="1">
      <c r="A43" s="158" t="s">
        <v>4660</v>
      </c>
      <c r="B43" s="166" t="s">
        <v>4799</v>
      </c>
      <c r="C43" s="159" t="s">
        <v>4800</v>
      </c>
      <c r="D43" s="281">
        <v>25.0</v>
      </c>
      <c r="E43" s="238" t="s">
        <v>4801</v>
      </c>
      <c r="F43" s="101" t="s">
        <v>4802</v>
      </c>
      <c r="G43" s="142">
        <v>0.21</v>
      </c>
      <c r="H43" s="38" t="str">
        <f>VLOOKUP("NC7FX",STOCK!$B$2:$Q$3671,3,FALSE)</f>
        <v>Mayor a 5</v>
      </c>
    </row>
    <row r="44" ht="15.75" customHeight="1">
      <c r="A44" s="161" t="s">
        <v>4660</v>
      </c>
      <c r="B44" s="162" t="s">
        <v>4803</v>
      </c>
      <c r="C44" s="163" t="s">
        <v>4804</v>
      </c>
      <c r="D44" s="280">
        <v>25.0</v>
      </c>
      <c r="E44" s="236" t="s">
        <v>4805</v>
      </c>
      <c r="F44" s="96" t="s">
        <v>4806</v>
      </c>
      <c r="G44" s="102">
        <v>0.21</v>
      </c>
      <c r="H44" s="38" t="str">
        <f>VLOOKUP("NC7MX",STOCK!$B$2:$Q$3671,3,FALSE)</f>
        <v>Mayor a 5</v>
      </c>
    </row>
    <row r="45" ht="15.75" customHeight="1">
      <c r="A45" s="28" t="s">
        <v>4807</v>
      </c>
      <c r="C45" s="282"/>
      <c r="D45" s="282"/>
      <c r="E45" s="51"/>
      <c r="F45" s="51"/>
      <c r="G45" s="121"/>
      <c r="H45" s="121"/>
    </row>
    <row r="46" ht="15.75" customHeight="1">
      <c r="A46" s="158" t="s">
        <v>4660</v>
      </c>
      <c r="B46" s="166" t="s">
        <v>4808</v>
      </c>
      <c r="C46" s="158" t="s">
        <v>4809</v>
      </c>
      <c r="D46" s="281">
        <v>100.0</v>
      </c>
      <c r="E46" s="236" t="s">
        <v>4810</v>
      </c>
      <c r="F46" s="96" t="s">
        <v>4811</v>
      </c>
      <c r="G46" s="142">
        <v>0.21</v>
      </c>
      <c r="H46" s="38" t="str">
        <f>VLOOKUP("NC3FP-1",STOCK!$B$2:$Q$3671,3,FALSE)</f>
        <v>Mayor a 5</v>
      </c>
    </row>
    <row r="47" ht="15.75" customHeight="1">
      <c r="A47" s="161" t="s">
        <v>4660</v>
      </c>
      <c r="B47" s="162" t="s">
        <v>4812</v>
      </c>
      <c r="C47" s="163" t="s">
        <v>4813</v>
      </c>
      <c r="D47" s="280">
        <v>100.0</v>
      </c>
      <c r="E47" s="238" t="s">
        <v>4814</v>
      </c>
      <c r="F47" s="101" t="s">
        <v>4815</v>
      </c>
      <c r="G47" s="102">
        <v>0.21</v>
      </c>
      <c r="H47" s="29" t="str">
        <f>VLOOKUP("NC3MP",STOCK!$B$2:$Q$3671,3,FALSE)</f>
        <v>Mayor a 5</v>
      </c>
    </row>
    <row r="48" ht="15.75" customHeight="1">
      <c r="A48" s="158" t="s">
        <v>4660</v>
      </c>
      <c r="B48" s="166" t="s">
        <v>4816</v>
      </c>
      <c r="C48" s="159" t="s">
        <v>4817</v>
      </c>
      <c r="D48" s="281">
        <v>100.0</v>
      </c>
      <c r="E48" s="236" t="s">
        <v>4818</v>
      </c>
      <c r="F48" s="96" t="s">
        <v>4819</v>
      </c>
      <c r="G48" s="142">
        <v>0.21</v>
      </c>
      <c r="H48" s="38" t="str">
        <f>VLOOKUP("NC3FD-L-1",STOCK!$B$2:$Q$3671,3,FALSE)</f>
        <v>Mayor a 5</v>
      </c>
    </row>
    <row r="49" ht="15.75" customHeight="1">
      <c r="A49" s="161" t="s">
        <v>4660</v>
      </c>
      <c r="B49" s="162" t="s">
        <v>4820</v>
      </c>
      <c r="C49" s="163" t="s">
        <v>4821</v>
      </c>
      <c r="D49" s="280">
        <v>100.0</v>
      </c>
      <c r="E49" s="238" t="s">
        <v>4822</v>
      </c>
      <c r="F49" s="101" t="s">
        <v>4823</v>
      </c>
      <c r="G49" s="102">
        <v>0.21</v>
      </c>
      <c r="H49" s="38" t="str">
        <f>VLOOKUP("NC3MD-L-1",STOCK!$B$2:$Q$3671,3,FALSE)</f>
        <v>Mayor a 5</v>
      </c>
    </row>
    <row r="50" ht="15.75" customHeight="1">
      <c r="A50" s="158" t="s">
        <v>4660</v>
      </c>
      <c r="B50" s="166" t="s">
        <v>4824</v>
      </c>
      <c r="C50" s="158" t="s">
        <v>4825</v>
      </c>
      <c r="D50" s="281">
        <v>100.0</v>
      </c>
      <c r="E50" s="236" t="s">
        <v>4826</v>
      </c>
      <c r="F50" s="96" t="s">
        <v>4827</v>
      </c>
      <c r="G50" s="142">
        <v>0.21</v>
      </c>
      <c r="H50" s="283"/>
    </row>
    <row r="51" ht="15.75" customHeight="1">
      <c r="A51" s="161" t="s">
        <v>4660</v>
      </c>
      <c r="B51" s="162" t="s">
        <v>4828</v>
      </c>
      <c r="C51" s="163" t="s">
        <v>4829</v>
      </c>
      <c r="D51" s="280">
        <v>100.0</v>
      </c>
      <c r="E51" s="238" t="s">
        <v>4830</v>
      </c>
      <c r="F51" s="101" t="s">
        <v>4831</v>
      </c>
      <c r="G51" s="102">
        <v>0.21</v>
      </c>
      <c r="H51" s="38" t="str">
        <f>VLOOKUP("NC3MD-L-B-1",STOCK!$B$2:$Q$3671,3,FALSE)</f>
        <v>Mayor a 5</v>
      </c>
    </row>
    <row r="52" ht="15.75" customHeight="1">
      <c r="A52" s="28" t="s">
        <v>4832</v>
      </c>
      <c r="C52" s="282"/>
      <c r="D52" s="31"/>
      <c r="E52" s="51"/>
      <c r="F52" s="51"/>
      <c r="G52" s="31"/>
      <c r="H52" s="29"/>
    </row>
    <row r="53" ht="15.75" customHeight="1">
      <c r="A53" s="158" t="s">
        <v>4660</v>
      </c>
      <c r="B53" s="166" t="s">
        <v>4833</v>
      </c>
      <c r="C53" s="159" t="s">
        <v>4834</v>
      </c>
      <c r="D53" s="281">
        <v>100.0</v>
      </c>
      <c r="E53" s="236" t="s">
        <v>4835</v>
      </c>
      <c r="F53" s="96" t="s">
        <v>4836</v>
      </c>
      <c r="G53" s="142">
        <v>0.21</v>
      </c>
      <c r="H53" s="38" t="str">
        <f>VLOOKUP("NC4FP-1",STOCK!$B$2:$Q$3671,3,FALSE)</f>
        <v>Mayor a 5</v>
      </c>
    </row>
    <row r="54" ht="15.75" customHeight="1">
      <c r="A54" s="161" t="s">
        <v>4660</v>
      </c>
      <c r="B54" s="162" t="s">
        <v>4837</v>
      </c>
      <c r="C54" s="161" t="s">
        <v>4838</v>
      </c>
      <c r="D54" s="280">
        <v>100.0</v>
      </c>
      <c r="E54" s="238" t="s">
        <v>4839</v>
      </c>
      <c r="F54" s="101" t="s">
        <v>4840</v>
      </c>
      <c r="G54" s="102">
        <v>0.21</v>
      </c>
      <c r="H54" s="38" t="str">
        <f>VLOOKUP("NC4MP",STOCK!$B$2:$Q$3671,3,FALSE)</f>
        <v>Mayor a 5</v>
      </c>
    </row>
    <row r="55" ht="15.75" customHeight="1">
      <c r="A55" s="158" t="s">
        <v>4660</v>
      </c>
      <c r="B55" s="166" t="s">
        <v>4841</v>
      </c>
      <c r="C55" s="159" t="s">
        <v>4842</v>
      </c>
      <c r="D55" s="281">
        <v>100.0</v>
      </c>
      <c r="E55" s="236" t="s">
        <v>519</v>
      </c>
      <c r="F55" s="96" t="s">
        <v>520</v>
      </c>
      <c r="G55" s="142">
        <v>0.21</v>
      </c>
      <c r="H55" s="38" t="str">
        <f>VLOOKUP("NC4FD-L-1",STOCK!$B$2:$Q$3671,3,FALSE)</f>
        <v>Mayor a 5</v>
      </c>
    </row>
    <row r="56" ht="15.75" customHeight="1">
      <c r="A56" s="161" t="s">
        <v>4660</v>
      </c>
      <c r="B56" s="162" t="s">
        <v>4843</v>
      </c>
      <c r="C56" s="163" t="s">
        <v>4844</v>
      </c>
      <c r="D56" s="280">
        <v>100.0</v>
      </c>
      <c r="E56" s="238" t="s">
        <v>4845</v>
      </c>
      <c r="F56" s="101" t="s">
        <v>4846</v>
      </c>
      <c r="G56" s="102">
        <v>0.21</v>
      </c>
      <c r="H56" s="38" t="str">
        <f>VLOOKUP("NC4MD-L-1",STOCK!$B$2:$Q$3671,3,FALSE)</f>
        <v>Mayor a 5</v>
      </c>
    </row>
    <row r="57" ht="15.75" customHeight="1">
      <c r="A57" s="28" t="s">
        <v>4847</v>
      </c>
      <c r="C57" s="282"/>
      <c r="D57" s="282"/>
      <c r="E57" s="51"/>
      <c r="F57" s="51"/>
      <c r="G57" s="121"/>
      <c r="H57" s="121"/>
    </row>
    <row r="58" ht="15.75" customHeight="1">
      <c r="A58" s="158" t="s">
        <v>4660</v>
      </c>
      <c r="B58" s="166" t="s">
        <v>4848</v>
      </c>
      <c r="C58" s="159" t="s">
        <v>4849</v>
      </c>
      <c r="D58" s="281">
        <v>100.0</v>
      </c>
      <c r="E58" s="236" t="s">
        <v>4850</v>
      </c>
      <c r="F58" s="96" t="s">
        <v>4851</v>
      </c>
      <c r="G58" s="142">
        <v>0.21</v>
      </c>
      <c r="H58" s="38" t="str">
        <f>VLOOKUP("NC5FP-1",STOCK!$B$2:$Q$3671,3,FALSE)</f>
        <v>Mayor a 5</v>
      </c>
    </row>
    <row r="59" ht="15.75" customHeight="1">
      <c r="A59" s="161" t="s">
        <v>4660</v>
      </c>
      <c r="B59" s="162" t="s">
        <v>4852</v>
      </c>
      <c r="C59" s="163" t="s">
        <v>4853</v>
      </c>
      <c r="D59" s="280">
        <v>100.0</v>
      </c>
      <c r="E59" s="238" t="s">
        <v>4854</v>
      </c>
      <c r="F59" s="101" t="s">
        <v>4855</v>
      </c>
      <c r="G59" s="102">
        <v>0.21</v>
      </c>
      <c r="H59" s="38" t="str">
        <f>VLOOKUP("NC5MP",STOCK!$B$2:$Q$3671,3,FALSE)</f>
        <v>Mayor a 5</v>
      </c>
    </row>
    <row r="60" ht="15.75" customHeight="1">
      <c r="A60" s="158" t="s">
        <v>4660</v>
      </c>
      <c r="B60" s="166" t="s">
        <v>4856</v>
      </c>
      <c r="C60" s="159" t="s">
        <v>4857</v>
      </c>
      <c r="D60" s="281">
        <v>100.0</v>
      </c>
      <c r="E60" s="236" t="s">
        <v>4858</v>
      </c>
      <c r="F60" s="96" t="s">
        <v>4859</v>
      </c>
      <c r="G60" s="142">
        <v>0.21</v>
      </c>
      <c r="H60" s="38" t="str">
        <f>VLOOKUP("NC5MD-L-1",STOCK!$B$2:$Q$3671,3,FALSE)</f>
        <v>Mayor a 5</v>
      </c>
    </row>
    <row r="61" ht="15.75" customHeight="1">
      <c r="A61" s="28" t="s">
        <v>4860</v>
      </c>
      <c r="C61" s="31"/>
      <c r="D61" s="282"/>
      <c r="E61" s="51"/>
      <c r="F61" s="51"/>
      <c r="G61" s="121"/>
      <c r="H61" s="121"/>
    </row>
    <row r="62" ht="15.75" customHeight="1">
      <c r="A62" s="158" t="s">
        <v>4660</v>
      </c>
      <c r="B62" s="166" t="s">
        <v>4861</v>
      </c>
      <c r="C62" s="159" t="s">
        <v>4862</v>
      </c>
      <c r="D62" s="281">
        <v>20.0</v>
      </c>
      <c r="E62" s="236" t="s">
        <v>4863</v>
      </c>
      <c r="F62" s="96" t="s">
        <v>4864</v>
      </c>
      <c r="G62" s="142">
        <v>0.21</v>
      </c>
      <c r="H62" s="38" t="str">
        <f>VLOOKUP("NC7FP-1",STOCK!$B$2:$Q$3671,3,FALSE)</f>
        <v>Mayor a 5</v>
      </c>
    </row>
    <row r="63" ht="15.75" customHeight="1">
      <c r="A63" s="161" t="s">
        <v>4660</v>
      </c>
      <c r="B63" s="162" t="s">
        <v>4865</v>
      </c>
      <c r="C63" s="161" t="s">
        <v>4866</v>
      </c>
      <c r="D63" s="280">
        <v>20.0</v>
      </c>
      <c r="E63" s="238" t="s">
        <v>4867</v>
      </c>
      <c r="F63" s="101" t="s">
        <v>4868</v>
      </c>
      <c r="G63" s="102">
        <v>0.21</v>
      </c>
      <c r="H63" s="38" t="str">
        <f>VLOOKUP("NC7MD-L-1",STOCK!$B$2:$Q$3671,3,FALSE)</f>
        <v>Mayor a 5</v>
      </c>
    </row>
    <row r="64" ht="15.75" customHeight="1">
      <c r="A64" s="158" t="s">
        <v>4660</v>
      </c>
      <c r="B64" s="166" t="s">
        <v>4869</v>
      </c>
      <c r="C64" s="159" t="s">
        <v>4862</v>
      </c>
      <c r="D64" s="281">
        <v>20.0</v>
      </c>
      <c r="E64" s="236" t="s">
        <v>4870</v>
      </c>
      <c r="F64" s="96" t="s">
        <v>4871</v>
      </c>
      <c r="G64" s="142">
        <v>0.21</v>
      </c>
      <c r="H64" s="38" t="str">
        <f>VLOOKUP("NC7FD-L-1",STOCK!$B$2:$Q$3671,3,FALSE)</f>
        <v>Mayor a 5</v>
      </c>
    </row>
    <row r="65" ht="15.75" customHeight="1">
      <c r="A65" s="28" t="s">
        <v>4872</v>
      </c>
      <c r="C65" s="282"/>
      <c r="D65" s="282"/>
      <c r="E65" s="51"/>
      <c r="F65" s="51"/>
      <c r="G65" s="121"/>
      <c r="H65" s="121"/>
    </row>
    <row r="66" ht="15.75" customHeight="1">
      <c r="A66" s="158" t="s">
        <v>4660</v>
      </c>
      <c r="B66" s="166" t="s">
        <v>4873</v>
      </c>
      <c r="C66" s="159" t="s">
        <v>4874</v>
      </c>
      <c r="D66" s="281">
        <v>100.0</v>
      </c>
      <c r="E66" s="236" t="s">
        <v>4875</v>
      </c>
      <c r="F66" s="96" t="s">
        <v>4876</v>
      </c>
      <c r="G66" s="142">
        <v>0.21</v>
      </c>
      <c r="H66" s="38" t="str">
        <f>VLOOKUP("NC3FAH2",STOCK!$B$2:$Q$3671,3,FALSE)</f>
        <v>Mayor a 5</v>
      </c>
    </row>
    <row r="67" ht="15.75" customHeight="1">
      <c r="A67" s="161" t="s">
        <v>4660</v>
      </c>
      <c r="B67" s="162" t="s">
        <v>4877</v>
      </c>
      <c r="C67" s="163" t="s">
        <v>4878</v>
      </c>
      <c r="D67" s="280">
        <v>100.0</v>
      </c>
      <c r="E67" s="238" t="s">
        <v>4879</v>
      </c>
      <c r="F67" s="101" t="s">
        <v>4880</v>
      </c>
      <c r="G67" s="102">
        <v>0.21</v>
      </c>
      <c r="H67" s="46" t="str">
        <f>VLOOKUP("NC3MAH",STOCK!$B$2:$Q$3671,3,FALSE)</f>
        <v>Mayor a 5</v>
      </c>
    </row>
    <row r="68" ht="15.75" customHeight="1">
      <c r="A68" s="158" t="s">
        <v>4660</v>
      </c>
      <c r="B68" s="166" t="s">
        <v>4881</v>
      </c>
      <c r="C68" s="158" t="s">
        <v>4882</v>
      </c>
      <c r="D68" s="281">
        <v>100.0</v>
      </c>
      <c r="E68" s="236" t="s">
        <v>4883</v>
      </c>
      <c r="F68" s="96" t="s">
        <v>4884</v>
      </c>
      <c r="G68" s="142">
        <v>0.21</v>
      </c>
      <c r="H68" s="46" t="str">
        <f>VLOOKUP("NC3FAV2",STOCK!$B$2:$Q$3671,3,FALSE)</f>
        <v>Mayor a 5</v>
      </c>
    </row>
    <row r="69" ht="15.75" customHeight="1">
      <c r="A69" s="161" t="s">
        <v>4660</v>
      </c>
      <c r="B69" s="162" t="s">
        <v>4885</v>
      </c>
      <c r="C69" s="163" t="s">
        <v>4886</v>
      </c>
      <c r="D69" s="280">
        <v>100.0</v>
      </c>
      <c r="E69" s="238" t="s">
        <v>4879</v>
      </c>
      <c r="F69" s="101" t="s">
        <v>4880</v>
      </c>
      <c r="G69" s="102">
        <v>0.21</v>
      </c>
      <c r="H69" s="38" t="str">
        <f>VLOOKUP("NC3MAV",STOCK!$B$2:$Q$3671,3,FALSE)</f>
        <v>Mayor a 5</v>
      </c>
    </row>
    <row r="70" ht="15.75" customHeight="1">
      <c r="A70" s="158" t="s">
        <v>4660</v>
      </c>
      <c r="B70" s="166" t="s">
        <v>4887</v>
      </c>
      <c r="C70" s="159" t="s">
        <v>4888</v>
      </c>
      <c r="D70" s="281">
        <v>100.0</v>
      </c>
      <c r="E70" s="236" t="s">
        <v>4889</v>
      </c>
      <c r="F70" s="96" t="s">
        <v>4890</v>
      </c>
      <c r="G70" s="142">
        <v>0.21</v>
      </c>
      <c r="H70" s="38" t="str">
        <f>VLOOKUP("NC3FAHR2",STOCK!$B$2:$Q$3671,3,FALSE)</f>
        <v>Mayor a 5</v>
      </c>
    </row>
    <row r="71" ht="15.75" customHeight="1">
      <c r="A71" s="161" t="s">
        <v>4660</v>
      </c>
      <c r="B71" s="162" t="s">
        <v>4891</v>
      </c>
      <c r="C71" s="161" t="s">
        <v>4892</v>
      </c>
      <c r="D71" s="280">
        <v>100.0</v>
      </c>
      <c r="E71" s="238" t="s">
        <v>4893</v>
      </c>
      <c r="F71" s="101" t="s">
        <v>4894</v>
      </c>
      <c r="G71" s="102">
        <v>0.21</v>
      </c>
      <c r="H71" s="46" t="str">
        <f>VLOOKUP("NC3MAHR",STOCK!$B$2:$Q$3671,3,FALSE)</f>
        <v>Mayor a 5</v>
      </c>
    </row>
    <row r="72" ht="15.75" customHeight="1">
      <c r="A72" s="158" t="s">
        <v>4660</v>
      </c>
      <c r="B72" s="166" t="s">
        <v>4895</v>
      </c>
      <c r="C72" s="159" t="s">
        <v>4896</v>
      </c>
      <c r="D72" s="281">
        <v>100.0</v>
      </c>
      <c r="E72" s="236" t="s">
        <v>4897</v>
      </c>
      <c r="F72" s="96" t="s">
        <v>4898</v>
      </c>
      <c r="G72" s="142">
        <v>0.21</v>
      </c>
      <c r="H72" s="38" t="str">
        <f>VLOOKUP("NC3FDM3-H-BAG",STOCK!$B$2:$Q$3671,3,FALSE)</f>
        <v>Menor a 5</v>
      </c>
    </row>
    <row r="73" ht="15.75" customHeight="1">
      <c r="A73" s="161" t="s">
        <v>4660</v>
      </c>
      <c r="B73" s="162" t="s">
        <v>4899</v>
      </c>
      <c r="C73" s="161" t="s">
        <v>4900</v>
      </c>
      <c r="D73" s="280">
        <v>100.0</v>
      </c>
      <c r="E73" s="238" t="s">
        <v>4901</v>
      </c>
      <c r="F73" s="101" t="s">
        <v>4902</v>
      </c>
      <c r="G73" s="102">
        <v>0.21</v>
      </c>
      <c r="H73" s="38" t="str">
        <f>VLOOKUP("NC3MD-V",STOCK!$B$2:$Q$3671,3,FALSE)</f>
        <v>Menor a 5</v>
      </c>
    </row>
    <row r="74" ht="15.75" customHeight="1">
      <c r="A74" s="28" t="s">
        <v>4903</v>
      </c>
      <c r="C74" s="282"/>
      <c r="D74" s="31"/>
      <c r="E74" s="51"/>
      <c r="F74" s="51"/>
      <c r="G74" s="31"/>
      <c r="H74" s="29"/>
    </row>
    <row r="75" ht="15.75" customHeight="1">
      <c r="A75" s="158" t="s">
        <v>4660</v>
      </c>
      <c r="B75" s="166" t="s">
        <v>4904</v>
      </c>
      <c r="C75" s="159" t="s">
        <v>4905</v>
      </c>
      <c r="D75" s="281">
        <v>100.0</v>
      </c>
      <c r="E75" s="236" t="s">
        <v>4906</v>
      </c>
      <c r="F75" s="96" t="s">
        <v>4907</v>
      </c>
      <c r="G75" s="142">
        <v>0.21</v>
      </c>
      <c r="H75" s="38" t="str">
        <f>VLOOKUP("NCJ6FI-H",STOCK!$B$2:$Q$3671,3,FALSE)</f>
        <v>Mayor a 5</v>
      </c>
    </row>
    <row r="76" ht="15.75" customHeight="1">
      <c r="A76" s="161" t="s">
        <v>4660</v>
      </c>
      <c r="B76" s="162" t="s">
        <v>4908</v>
      </c>
      <c r="C76" s="163" t="s">
        <v>4905</v>
      </c>
      <c r="D76" s="280">
        <v>100.0</v>
      </c>
      <c r="E76" s="238" t="s">
        <v>4909</v>
      </c>
      <c r="F76" s="101" t="s">
        <v>4910</v>
      </c>
      <c r="G76" s="102">
        <v>0.21</v>
      </c>
      <c r="H76" s="38" t="str">
        <f>VLOOKUP("NCJ6FI-V",STOCK!$B$2:$Q$3671,3,FALSE)</f>
        <v>Mayor a 5</v>
      </c>
    </row>
    <row r="77" ht="15.75" customHeight="1">
      <c r="A77" s="158" t="s">
        <v>4660</v>
      </c>
      <c r="B77" s="166" t="s">
        <v>4911</v>
      </c>
      <c r="C77" s="159" t="s">
        <v>4912</v>
      </c>
      <c r="D77" s="281">
        <v>100.0</v>
      </c>
      <c r="E77" s="236" t="s">
        <v>4913</v>
      </c>
      <c r="F77" s="96" t="s">
        <v>4914</v>
      </c>
      <c r="G77" s="142">
        <v>0.21</v>
      </c>
      <c r="H77" s="49" t="str">
        <f>VLOOKUP("NCJ6FA-H",STOCK!$B$2:$Q$3671,3,FALSE)</f>
        <v>Mayor a 5</v>
      </c>
    </row>
    <row r="78" ht="15.75" customHeight="1">
      <c r="A78" s="161" t="s">
        <v>4660</v>
      </c>
      <c r="B78" s="162" t="s">
        <v>4915</v>
      </c>
      <c r="C78" s="163" t="s">
        <v>4916</v>
      </c>
      <c r="D78" s="280">
        <v>100.0</v>
      </c>
      <c r="E78" s="238" t="s">
        <v>4917</v>
      </c>
      <c r="F78" s="101" t="s">
        <v>4918</v>
      </c>
      <c r="G78" s="102">
        <v>0.21</v>
      </c>
      <c r="H78" s="49" t="str">
        <f>VLOOKUP("NCJ6FA-V",STOCK!$B$2:$Q$3671,3,FALSE)</f>
        <v>Mayor a 5</v>
      </c>
    </row>
    <row r="79" ht="15.75" customHeight="1">
      <c r="A79" s="28" t="s">
        <v>4919</v>
      </c>
      <c r="C79" s="282"/>
      <c r="D79" s="282"/>
      <c r="E79" s="51"/>
      <c r="F79" s="51"/>
      <c r="G79" s="121"/>
      <c r="H79" s="121"/>
    </row>
    <row r="80" ht="15.75" customHeight="1">
      <c r="A80" s="158" t="s">
        <v>4660</v>
      </c>
      <c r="B80" s="166" t="s">
        <v>4920</v>
      </c>
      <c r="C80" s="159" t="s">
        <v>4921</v>
      </c>
      <c r="D80" s="281">
        <v>100.0</v>
      </c>
      <c r="E80" s="236" t="s">
        <v>4922</v>
      </c>
      <c r="F80" s="96" t="s">
        <v>4923</v>
      </c>
      <c r="G80" s="142">
        <v>0.21</v>
      </c>
      <c r="H80" s="46" t="str">
        <f>VLOOKUP("NJ3FP6C",STOCK!$B$2:$Q$3671,3,FALSE)</f>
        <v>Menor a 5</v>
      </c>
    </row>
    <row r="81" ht="15.75" customHeight="1">
      <c r="A81" s="161" t="s">
        <v>4660</v>
      </c>
      <c r="B81" s="162" t="s">
        <v>4924</v>
      </c>
      <c r="C81" s="163" t="s">
        <v>4925</v>
      </c>
      <c r="D81" s="280">
        <v>50.0</v>
      </c>
      <c r="E81" s="238" t="s">
        <v>4926</v>
      </c>
      <c r="F81" s="101" t="s">
        <v>4927</v>
      </c>
      <c r="G81" s="102">
        <v>0.21</v>
      </c>
      <c r="H81" s="38" t="str">
        <f>VLOOKUP("NJ3FC6",STOCK!$B$2:$Q$3671,3,FALSE)</f>
        <v>Mayor a 5</v>
      </c>
    </row>
    <row r="82" ht="15.75" customHeight="1">
      <c r="A82" s="28" t="s">
        <v>4928</v>
      </c>
      <c r="C82" s="31"/>
      <c r="D82" s="282"/>
      <c r="E82" s="51"/>
      <c r="F82" s="51"/>
      <c r="G82" s="121"/>
      <c r="H82" s="121"/>
    </row>
    <row r="83" ht="15.75" customHeight="1">
      <c r="A83" s="158" t="s">
        <v>4660</v>
      </c>
      <c r="B83" s="166" t="s">
        <v>4929</v>
      </c>
      <c r="C83" s="158" t="s">
        <v>4930</v>
      </c>
      <c r="D83" s="281">
        <v>50.0</v>
      </c>
      <c r="E83" s="236" t="s">
        <v>4931</v>
      </c>
      <c r="F83" s="96" t="s">
        <v>4932</v>
      </c>
      <c r="G83" s="142">
        <v>0.21</v>
      </c>
      <c r="H83" s="38" t="str">
        <f>VLOOKUP("NL2FX",STOCK!$B$2:$Q$3671,3,FALSE)</f>
        <v>Menor a 5</v>
      </c>
    </row>
    <row r="84" ht="15.75" customHeight="1">
      <c r="A84" s="161" t="s">
        <v>4660</v>
      </c>
      <c r="B84" s="162" t="s">
        <v>4933</v>
      </c>
      <c r="C84" s="163" t="s">
        <v>4934</v>
      </c>
      <c r="D84" s="280">
        <v>50.0</v>
      </c>
      <c r="E84" s="238" t="s">
        <v>4931</v>
      </c>
      <c r="F84" s="101" t="s">
        <v>4932</v>
      </c>
      <c r="G84" s="102">
        <v>0.21</v>
      </c>
      <c r="H84" s="38" t="str">
        <f>VLOOKUP("NL2FXX-W-S",STOCK!$B$2:$Q$3671,3,FALSE)</f>
        <v>Menor a 5</v>
      </c>
    </row>
    <row r="85" ht="15.75" customHeight="1">
      <c r="A85" s="158" t="s">
        <v>4660</v>
      </c>
      <c r="B85" s="166" t="s">
        <v>4935</v>
      </c>
      <c r="C85" s="159" t="s">
        <v>4936</v>
      </c>
      <c r="D85" s="281">
        <v>50.0</v>
      </c>
      <c r="E85" s="236" t="s">
        <v>4937</v>
      </c>
      <c r="F85" s="96" t="s">
        <v>4938</v>
      </c>
      <c r="G85" s="142">
        <v>0.21</v>
      </c>
      <c r="H85" s="38" t="str">
        <f>VLOOKUP("NL4FX",STOCK!$B$2:$Q$3671,3,FALSE)</f>
        <v>Menor a 5</v>
      </c>
    </row>
    <row r="86" ht="15.75" customHeight="1">
      <c r="A86" s="161" t="s">
        <v>4660</v>
      </c>
      <c r="B86" s="162" t="s">
        <v>4939</v>
      </c>
      <c r="C86" s="285" t="s">
        <v>4940</v>
      </c>
      <c r="D86" s="280">
        <v>50.0</v>
      </c>
      <c r="E86" s="238" t="s">
        <v>4941</v>
      </c>
      <c r="F86" s="101" t="s">
        <v>4942</v>
      </c>
      <c r="G86" s="102">
        <v>0.21</v>
      </c>
      <c r="H86" s="38" t="str">
        <f>VLOOKUP("NL4FX-D",STOCK!$B$2:$Q$3671,3,FALSE)</f>
        <v>Mayor a 5</v>
      </c>
    </row>
    <row r="87" ht="15.75" customHeight="1">
      <c r="A87" s="158" t="s">
        <v>4660</v>
      </c>
      <c r="B87" s="166" t="s">
        <v>4943</v>
      </c>
      <c r="C87" s="159" t="s">
        <v>4944</v>
      </c>
      <c r="D87" s="281">
        <v>50.0</v>
      </c>
      <c r="E87" s="236" t="s">
        <v>4702</v>
      </c>
      <c r="F87" s="96" t="s">
        <v>4703</v>
      </c>
      <c r="G87" s="142">
        <v>0.21</v>
      </c>
      <c r="H87" s="38" t="str">
        <f>VLOOKUP("NL4FXX-W-S",STOCK!$B$2:$Q$3671,3,FALSE)</f>
        <v>Mayor a 5</v>
      </c>
    </row>
    <row r="88" ht="15.75" customHeight="1">
      <c r="A88" s="161" t="s">
        <v>4660</v>
      </c>
      <c r="B88" s="162" t="s">
        <v>4945</v>
      </c>
      <c r="C88" s="163" t="s">
        <v>4946</v>
      </c>
      <c r="D88" s="280">
        <v>50.0</v>
      </c>
      <c r="E88" s="238" t="s">
        <v>4702</v>
      </c>
      <c r="F88" s="101" t="s">
        <v>4703</v>
      </c>
      <c r="G88" s="102">
        <v>0.21</v>
      </c>
      <c r="H88" s="38" t="str">
        <f>VLOOKUP("NL4FXX-W-L",STOCK!$B$2:$Q$3671,3,FALSE)</f>
        <v>Mayor a 5</v>
      </c>
    </row>
    <row r="89" ht="15.75" customHeight="1">
      <c r="A89" s="158" t="s">
        <v>4660</v>
      </c>
      <c r="B89" s="166" t="s">
        <v>4947</v>
      </c>
      <c r="C89" s="158" t="s">
        <v>4948</v>
      </c>
      <c r="D89" s="281">
        <v>50.0</v>
      </c>
      <c r="E89" s="236" t="s">
        <v>4949</v>
      </c>
      <c r="F89" s="96" t="s">
        <v>4950</v>
      </c>
      <c r="G89" s="142">
        <v>0.21</v>
      </c>
      <c r="H89" s="38" t="str">
        <f>VLOOKUP("NLT4FX",STOCK!$B$2:$Q$3671,3,FALSE)</f>
        <v>Menor a 5</v>
      </c>
    </row>
    <row r="90" ht="15.75" customHeight="1">
      <c r="A90" s="161" t="s">
        <v>4660</v>
      </c>
      <c r="B90" s="165" t="s">
        <v>4951</v>
      </c>
      <c r="C90" s="163" t="s">
        <v>4952</v>
      </c>
      <c r="D90" s="116"/>
      <c r="E90" s="238" t="s">
        <v>4953</v>
      </c>
      <c r="F90" s="101" t="s">
        <v>4954</v>
      </c>
      <c r="G90" s="102">
        <v>0.21</v>
      </c>
      <c r="H90" s="38" t="str">
        <f>VLOOKUP("NLT4FXX",STOCK!$B$2:$Q$3671,3,FALSE)</f>
        <v>Mayor a 5</v>
      </c>
    </row>
    <row r="91" ht="15.75" customHeight="1">
      <c r="A91" s="158" t="s">
        <v>4660</v>
      </c>
      <c r="B91" s="166" t="s">
        <v>4955</v>
      </c>
      <c r="C91" s="159" t="s">
        <v>4956</v>
      </c>
      <c r="D91" s="281">
        <v>50.0</v>
      </c>
      <c r="E91" s="236" t="s">
        <v>4957</v>
      </c>
      <c r="F91" s="96" t="s">
        <v>4958</v>
      </c>
      <c r="G91" s="142">
        <v>0.21</v>
      </c>
      <c r="H91" s="38" t="str">
        <f>VLOOKUP("NLT4MX",STOCK!$B$2:$Q$3671,3,FALSE)</f>
        <v>Menor a 5</v>
      </c>
    </row>
    <row r="92" ht="15.75" customHeight="1">
      <c r="A92" s="161" t="s">
        <v>4660</v>
      </c>
      <c r="B92" s="165" t="s">
        <v>4959</v>
      </c>
      <c r="C92" s="161" t="s">
        <v>4960</v>
      </c>
      <c r="D92" s="116"/>
      <c r="E92" s="238" t="s">
        <v>4957</v>
      </c>
      <c r="F92" s="101" t="s">
        <v>4958</v>
      </c>
      <c r="G92" s="102">
        <v>0.21</v>
      </c>
      <c r="H92" s="46" t="str">
        <f>VLOOKUP("NLT4MXX",STOCK!$B$2:$Q$3671,3,FALSE)</f>
        <v>Mayor a 5</v>
      </c>
    </row>
    <row r="93" ht="15.75" customHeight="1">
      <c r="A93" s="158" t="s">
        <v>4660</v>
      </c>
      <c r="B93" s="166" t="s">
        <v>4961</v>
      </c>
      <c r="C93" s="159" t="s">
        <v>4962</v>
      </c>
      <c r="D93" s="281">
        <v>25.0</v>
      </c>
      <c r="E93" s="236" t="s">
        <v>4963</v>
      </c>
      <c r="F93" s="96" t="s">
        <v>4964</v>
      </c>
      <c r="G93" s="142">
        <v>0.21</v>
      </c>
      <c r="H93" s="38" t="str">
        <f>VLOOKUP("NL8FC",STOCK!$B$2:$Q$3671,3,FALSE)</f>
        <v>Mayor a 5</v>
      </c>
    </row>
    <row r="94" ht="15.75" customHeight="1">
      <c r="A94" s="161" t="s">
        <v>4660</v>
      </c>
      <c r="B94" s="162" t="s">
        <v>4965</v>
      </c>
      <c r="C94" s="163" t="s">
        <v>4966</v>
      </c>
      <c r="D94" s="280">
        <v>20.0</v>
      </c>
      <c r="E94" s="238" t="s">
        <v>4967</v>
      </c>
      <c r="F94" s="101" t="s">
        <v>4968</v>
      </c>
      <c r="G94" s="102">
        <v>0.21</v>
      </c>
      <c r="H94" s="38" t="str">
        <f>VLOOKUP("NC3FX",STOCK!$B$2:$Q$3671,3,FALSE)</f>
        <v>Mayor a 5</v>
      </c>
    </row>
    <row r="95" ht="15.75" customHeight="1">
      <c r="A95" s="158" t="s">
        <v>4660</v>
      </c>
      <c r="B95" s="166" t="s">
        <v>4969</v>
      </c>
      <c r="C95" s="159" t="s">
        <v>4966</v>
      </c>
      <c r="D95" s="281">
        <v>20.0</v>
      </c>
      <c r="E95" s="236" t="s">
        <v>4970</v>
      </c>
      <c r="F95" s="96" t="s">
        <v>4971</v>
      </c>
      <c r="G95" s="142">
        <v>0.21</v>
      </c>
      <c r="H95" s="38" t="str">
        <f>VLOOKUP("NLT8MX",STOCK!$B$2:$Q$3671,3,FALSE)</f>
        <v>Menor a 5</v>
      </c>
    </row>
    <row r="96" ht="15.75" customHeight="1">
      <c r="A96" s="161" t="s">
        <v>4660</v>
      </c>
      <c r="B96" s="162" t="s">
        <v>4972</v>
      </c>
      <c r="C96" s="163" t="s">
        <v>4973</v>
      </c>
      <c r="D96" s="280">
        <v>25.0</v>
      </c>
      <c r="E96" s="238" t="s">
        <v>4974</v>
      </c>
      <c r="F96" s="101" t="s">
        <v>4975</v>
      </c>
      <c r="G96" s="102">
        <v>0.21</v>
      </c>
      <c r="H96" s="38" t="str">
        <f>VLOOKUP("NL4MMX",STOCK!$B$2:$Q$3671,3,FALSE)</f>
        <v>Mayor a 5</v>
      </c>
    </row>
    <row r="97" ht="15.75" customHeight="1">
      <c r="A97" s="158" t="s">
        <v>4660</v>
      </c>
      <c r="B97" s="166" t="s">
        <v>4976</v>
      </c>
      <c r="C97" s="158" t="s">
        <v>4977</v>
      </c>
      <c r="D97" s="281">
        <v>25.0</v>
      </c>
      <c r="E97" s="236" t="s">
        <v>4978</v>
      </c>
      <c r="F97" s="96" t="s">
        <v>4979</v>
      </c>
      <c r="G97" s="142">
        <v>0.21</v>
      </c>
      <c r="H97" s="38" t="str">
        <f>VLOOKUP("NL8MM",STOCK!$B$2:$Q$3671,3,FALSE)</f>
        <v>Mayor a 5</v>
      </c>
    </row>
    <row r="98" ht="15.75" customHeight="1">
      <c r="A98" s="161" t="s">
        <v>4660</v>
      </c>
      <c r="B98" s="161" t="s">
        <v>4980</v>
      </c>
      <c r="C98" s="161" t="s">
        <v>4981</v>
      </c>
      <c r="D98" s="116"/>
      <c r="E98" s="238" t="s">
        <v>4982</v>
      </c>
      <c r="F98" s="101" t="s">
        <v>4983</v>
      </c>
      <c r="G98" s="102">
        <v>0.21</v>
      </c>
      <c r="H98" s="38" t="str">
        <f>VLOOKUP("NLT8MXX-BAG",STOCK!$B$2:$Q$3671,3,FALSE)</f>
        <v>Mayor a 5</v>
      </c>
    </row>
    <row r="99" ht="15.75" customHeight="1">
      <c r="A99" s="28" t="s">
        <v>4984</v>
      </c>
      <c r="C99" s="282"/>
      <c r="D99" s="282"/>
      <c r="E99" s="51"/>
      <c r="F99" s="51"/>
      <c r="G99" s="121"/>
      <c r="H99" s="121"/>
    </row>
    <row r="100" ht="15.75" customHeight="1">
      <c r="A100" s="158" t="s">
        <v>4660</v>
      </c>
      <c r="B100" s="166" t="s">
        <v>4985</v>
      </c>
      <c r="C100" s="159" t="s">
        <v>4986</v>
      </c>
      <c r="D100" s="281">
        <v>100.0</v>
      </c>
      <c r="E100" s="236" t="s">
        <v>4987</v>
      </c>
      <c r="F100" s="96" t="s">
        <v>4988</v>
      </c>
      <c r="G100" s="142">
        <v>0.21</v>
      </c>
      <c r="H100" s="38" t="str">
        <f>VLOOKUP("NL4MP",STOCK!$B$2:$Q$3671,3,FALSE)</f>
        <v>Menor a 5</v>
      </c>
    </row>
    <row r="101" ht="15.75" customHeight="1">
      <c r="A101" s="161" t="s">
        <v>4660</v>
      </c>
      <c r="B101" s="162" t="s">
        <v>4989</v>
      </c>
      <c r="C101" s="163" t="s">
        <v>4990</v>
      </c>
      <c r="D101" s="280">
        <v>25.0</v>
      </c>
      <c r="E101" s="238" t="s">
        <v>4991</v>
      </c>
      <c r="F101" s="101" t="s">
        <v>4992</v>
      </c>
      <c r="G101" s="102">
        <v>0.21</v>
      </c>
      <c r="H101" s="29" t="str">
        <f>VLOOKUP("NLT4MP",STOCK!$B$2:$Q$3671,3,FALSE)</f>
        <v>Mayor a 5</v>
      </c>
    </row>
    <row r="102" ht="15.75" customHeight="1">
      <c r="A102" s="158" t="s">
        <v>4660</v>
      </c>
      <c r="B102" s="166" t="s">
        <v>4993</v>
      </c>
      <c r="C102" s="159" t="s">
        <v>4994</v>
      </c>
      <c r="D102" s="281">
        <v>40.0</v>
      </c>
      <c r="E102" s="236" t="s">
        <v>4699</v>
      </c>
      <c r="F102" s="96" t="s">
        <v>4700</v>
      </c>
      <c r="G102" s="142">
        <v>0.21</v>
      </c>
      <c r="H102" s="38" t="str">
        <f>VLOOKUP("NL4MPR",STOCK!$B$2:$Q$3671,3,FALSE)</f>
        <v>Menor a 5</v>
      </c>
    </row>
    <row r="103" ht="15.75" customHeight="1">
      <c r="A103" s="161" t="s">
        <v>4660</v>
      </c>
      <c r="B103" s="162" t="s">
        <v>4995</v>
      </c>
      <c r="C103" s="163" t="s">
        <v>4996</v>
      </c>
      <c r="D103" s="280">
        <v>100.0</v>
      </c>
      <c r="E103" s="238" t="s">
        <v>4987</v>
      </c>
      <c r="F103" s="101" t="s">
        <v>4988</v>
      </c>
      <c r="G103" s="102">
        <v>0.21</v>
      </c>
      <c r="H103" s="38" t="str">
        <f>VLOOKUP("NL4MPXX",STOCK!$B$2:$Q$3671,3,FALSE)</f>
        <v>Menor a 5</v>
      </c>
    </row>
    <row r="104" ht="15.75" customHeight="1">
      <c r="A104" s="158" t="s">
        <v>4660</v>
      </c>
      <c r="B104" s="164" t="s">
        <v>4997</v>
      </c>
      <c r="C104" s="159" t="s">
        <v>4998</v>
      </c>
      <c r="D104" s="278"/>
      <c r="E104" s="236" t="s">
        <v>4991</v>
      </c>
      <c r="F104" s="96" t="s">
        <v>4992</v>
      </c>
      <c r="G104" s="142">
        <v>0.21</v>
      </c>
      <c r="H104" s="38" t="str">
        <f>VLOOKUP("NLT4MPXX",STOCK!$B$2:$Q$3671,3,FALSE)</f>
        <v>Mayor a 5</v>
      </c>
    </row>
    <row r="105" ht="15.75" customHeight="1">
      <c r="A105" s="161" t="s">
        <v>4660</v>
      </c>
      <c r="B105" s="162" t="s">
        <v>4999</v>
      </c>
      <c r="C105" s="161" t="s">
        <v>4990</v>
      </c>
      <c r="D105" s="280">
        <v>40.0</v>
      </c>
      <c r="E105" s="238" t="s">
        <v>5000</v>
      </c>
      <c r="F105" s="101" t="s">
        <v>5001</v>
      </c>
      <c r="G105" s="102">
        <v>0.21</v>
      </c>
      <c r="H105" s="38" t="str">
        <f>VLOOKUP("NLT8MP",STOCK!$B$2:$Q$3671,3,FALSE)</f>
        <v>Mayor a 5</v>
      </c>
    </row>
    <row r="106" ht="15.75" customHeight="1">
      <c r="A106" s="158" t="s">
        <v>4660</v>
      </c>
      <c r="B106" s="166" t="s">
        <v>5002</v>
      </c>
      <c r="C106" s="159" t="s">
        <v>5003</v>
      </c>
      <c r="D106" s="281">
        <v>40.0</v>
      </c>
      <c r="E106" s="236" t="s">
        <v>5004</v>
      </c>
      <c r="F106" s="96" t="s">
        <v>5005</v>
      </c>
      <c r="G106" s="142">
        <v>0.21</v>
      </c>
      <c r="H106" s="38" t="str">
        <f>VLOOKUP("NL8MPR",STOCK!$B$2:$Q$3671,3,FALSE)</f>
        <v>Mayor a 5</v>
      </c>
    </row>
    <row r="107" ht="15.75" customHeight="1">
      <c r="A107" s="161" t="s">
        <v>4660</v>
      </c>
      <c r="B107" s="165" t="s">
        <v>5006</v>
      </c>
      <c r="C107" s="163" t="s">
        <v>5007</v>
      </c>
      <c r="D107" s="116"/>
      <c r="E107" s="238" t="s">
        <v>5000</v>
      </c>
      <c r="F107" s="101" t="s">
        <v>5001</v>
      </c>
      <c r="G107" s="102">
        <v>0.21</v>
      </c>
      <c r="H107" s="38" t="str">
        <f>VLOOKUP("NLT8MPXX",STOCK!$B$2:$Q$3671,3,FALSE)</f>
        <v>Mayor a 5</v>
      </c>
    </row>
    <row r="108" ht="15.75" customHeight="1">
      <c r="A108" s="28" t="s">
        <v>5008</v>
      </c>
      <c r="C108" s="31"/>
      <c r="D108" s="282"/>
      <c r="E108" s="51"/>
      <c r="F108" s="51"/>
      <c r="G108" s="121"/>
      <c r="H108" s="121"/>
    </row>
    <row r="109" ht="15.75" customHeight="1">
      <c r="A109" s="158" t="s">
        <v>5009</v>
      </c>
      <c r="B109" s="166" t="s">
        <v>5010</v>
      </c>
      <c r="C109" s="159" t="s">
        <v>5011</v>
      </c>
      <c r="D109" s="281">
        <v>1.0</v>
      </c>
      <c r="E109" s="236" t="s">
        <v>5012</v>
      </c>
      <c r="F109" s="96" t="s">
        <v>5013</v>
      </c>
      <c r="G109" s="142">
        <v>0.21</v>
      </c>
      <c r="H109" s="46" t="str">
        <f>VLOOKUP("NSB2B-12/4",STOCK!$B$2:$Q$3671,3,FALSE)</f>
        <v>Menor a 5</v>
      </c>
    </row>
    <row r="110" ht="15.75" customHeight="1">
      <c r="A110" s="161" t="s">
        <v>5009</v>
      </c>
      <c r="B110" s="162" t="s">
        <v>5014</v>
      </c>
      <c r="C110" s="163" t="s">
        <v>5015</v>
      </c>
      <c r="D110" s="280">
        <v>1.0</v>
      </c>
      <c r="E110" s="238" t="s">
        <v>5016</v>
      </c>
      <c r="F110" s="101" t="s">
        <v>5017</v>
      </c>
      <c r="G110" s="102">
        <v>0.21</v>
      </c>
      <c r="H110" s="38" t="str">
        <f>VLOOKUP("NSB3B-20/4",STOCK!$B$2:$Q$3671,3,FALSE)</f>
        <v>Mayor a 5</v>
      </c>
    </row>
    <row r="111" ht="15.75" customHeight="1">
      <c r="A111" s="28" t="s">
        <v>5018</v>
      </c>
      <c r="B111" s="31"/>
      <c r="C111" s="282"/>
      <c r="D111" s="282"/>
      <c r="E111" s="51"/>
      <c r="F111" s="51"/>
      <c r="G111" s="121"/>
      <c r="H111" s="121"/>
    </row>
    <row r="112" ht="15.75" customHeight="1">
      <c r="A112" s="158" t="s">
        <v>4660</v>
      </c>
      <c r="B112" s="166" t="s">
        <v>5019</v>
      </c>
      <c r="C112" s="159" t="s">
        <v>5020</v>
      </c>
      <c r="D112" s="281">
        <v>1.0</v>
      </c>
      <c r="E112" s="236" t="s">
        <v>5021</v>
      </c>
      <c r="F112" s="96" t="s">
        <v>5022</v>
      </c>
      <c r="G112" s="142">
        <v>0.21</v>
      </c>
      <c r="H112" s="38" t="str">
        <f>VLOOKUP("NTL1",STOCK!$B$2:$Q$3671,3,FALSE)</f>
        <v>Mayor a 5</v>
      </c>
    </row>
    <row r="113" ht="15.75" customHeight="1">
      <c r="A113" s="161" t="s">
        <v>4660</v>
      </c>
      <c r="B113" s="162" t="s">
        <v>5023</v>
      </c>
      <c r="C113" s="163" t="s">
        <v>5024</v>
      </c>
      <c r="D113" s="280">
        <v>1.0</v>
      </c>
      <c r="E113" s="238" t="s">
        <v>5025</v>
      </c>
      <c r="F113" s="101" t="s">
        <v>5026</v>
      </c>
      <c r="G113" s="102">
        <v>0.21</v>
      </c>
      <c r="H113" s="38" t="str">
        <f>VLOOKUP("NTE1",STOCK!$B$2:$Q$3671,3,FALSE)</f>
        <v>Mayor a 5</v>
      </c>
    </row>
    <row r="114" ht="15.75" customHeight="1">
      <c r="A114" s="158" t="s">
        <v>4660</v>
      </c>
      <c r="B114" s="166" t="s">
        <v>5027</v>
      </c>
      <c r="C114" s="159" t="s">
        <v>5028</v>
      </c>
      <c r="D114" s="281">
        <v>1.0</v>
      </c>
      <c r="E114" s="236" t="s">
        <v>5029</v>
      </c>
      <c r="F114" s="96" t="s">
        <v>5030</v>
      </c>
      <c r="G114" s="142">
        <v>0.21</v>
      </c>
      <c r="H114" s="38" t="str">
        <f>VLOOKUP("NTM4",STOCK!$B$2:$Q$3671,3,FALSE)</f>
        <v>Mayor a 5</v>
      </c>
    </row>
    <row r="115" ht="15.75" customHeight="1">
      <c r="A115" s="161" t="s">
        <v>4660</v>
      </c>
      <c r="B115" s="162" t="s">
        <v>5031</v>
      </c>
      <c r="C115" s="163" t="s">
        <v>5032</v>
      </c>
      <c r="D115" s="280">
        <v>1.0</v>
      </c>
      <c r="E115" s="238" t="s">
        <v>5033</v>
      </c>
      <c r="F115" s="101" t="s">
        <v>5034</v>
      </c>
      <c r="G115" s="102">
        <v>0.21</v>
      </c>
      <c r="H115" s="38" t="str">
        <f>VLOOKUP("NTE4",STOCK!$B$2:$Q$3671,3,FALSE)</f>
        <v>Mayor a 5</v>
      </c>
    </row>
    <row r="116" ht="15.75" customHeight="1">
      <c r="A116" s="28" t="s">
        <v>5035</v>
      </c>
      <c r="B116" s="31"/>
      <c r="C116" s="282"/>
      <c r="D116" s="282"/>
      <c r="E116" s="51"/>
      <c r="F116" s="51"/>
      <c r="G116" s="121"/>
      <c r="H116" s="121"/>
    </row>
    <row r="117" ht="15.75" customHeight="1">
      <c r="A117" s="158" t="s">
        <v>4660</v>
      </c>
      <c r="B117" s="166" t="s">
        <v>5036</v>
      </c>
      <c r="C117" s="159" t="s">
        <v>5037</v>
      </c>
      <c r="D117" s="281">
        <v>100.0</v>
      </c>
      <c r="E117" s="236" t="s">
        <v>5038</v>
      </c>
      <c r="F117" s="96" t="s">
        <v>5039</v>
      </c>
      <c r="G117" s="142">
        <v>0.21</v>
      </c>
      <c r="H117" s="38" t="str">
        <f>VLOOKUP("NP2C",STOCK!$B$2:$Q$3671,3,FALSE)</f>
        <v>Mayor a 5</v>
      </c>
    </row>
    <row r="118" ht="15.75" customHeight="1">
      <c r="A118" s="161" t="s">
        <v>4660</v>
      </c>
      <c r="B118" s="100" t="s">
        <v>5040</v>
      </c>
      <c r="C118" s="163" t="s">
        <v>5041</v>
      </c>
      <c r="D118" s="280">
        <v>100.0</v>
      </c>
      <c r="E118" s="238" t="s">
        <v>4810</v>
      </c>
      <c r="F118" s="101" t="s">
        <v>4811</v>
      </c>
      <c r="G118" s="102">
        <v>0.21</v>
      </c>
      <c r="H118" s="38" t="str">
        <f>VLOOKUP("NP2X",STOCK!$B$2:$Q$3671,3,FALSE)</f>
        <v>Mayor a 5</v>
      </c>
    </row>
    <row r="119" ht="15.75" customHeight="1">
      <c r="A119" s="158" t="s">
        <v>4660</v>
      </c>
      <c r="B119" s="166" t="s">
        <v>5042</v>
      </c>
      <c r="C119" s="159" t="s">
        <v>5043</v>
      </c>
      <c r="D119" s="281">
        <v>25.0</v>
      </c>
      <c r="E119" s="236" t="s">
        <v>5044</v>
      </c>
      <c r="F119" s="96" t="s">
        <v>5045</v>
      </c>
      <c r="G119" s="142">
        <v>0.21</v>
      </c>
      <c r="H119" s="38" t="str">
        <f>VLOOKUP("NP2RX",STOCK!$B$2:$Q$3671,3,FALSE)</f>
        <v>Mayor a 5</v>
      </c>
    </row>
    <row r="120" ht="15.75" customHeight="1">
      <c r="A120" s="161" t="s">
        <v>4660</v>
      </c>
      <c r="B120" s="162" t="s">
        <v>5046</v>
      </c>
      <c r="C120" s="161" t="s">
        <v>5047</v>
      </c>
      <c r="D120" s="280">
        <v>100.0</v>
      </c>
      <c r="E120" s="238" t="s">
        <v>5048</v>
      </c>
      <c r="F120" s="101" t="s">
        <v>5049</v>
      </c>
      <c r="G120" s="102">
        <v>0.21</v>
      </c>
      <c r="H120" s="283" t="str">
        <f>VLOOKUP("NP2X-SILENT",STOCK!$B$2:$Q$3671,3,FALSE)</f>
        <v>Mayor a 5</v>
      </c>
    </row>
    <row r="121" ht="15.75" customHeight="1">
      <c r="A121" s="158" t="s">
        <v>4660</v>
      </c>
      <c r="B121" s="166" t="s">
        <v>5050</v>
      </c>
      <c r="C121" s="159" t="s">
        <v>5051</v>
      </c>
      <c r="D121" s="281">
        <v>100.0</v>
      </c>
      <c r="E121" s="236" t="s">
        <v>4675</v>
      </c>
      <c r="F121" s="96" t="s">
        <v>4676</v>
      </c>
      <c r="G121" s="142">
        <v>0.21</v>
      </c>
      <c r="H121" s="38" t="str">
        <f>VLOOKUP("NP3X",STOCK!$B$2:$Q$3671,3,FALSE)</f>
        <v>Mayor a 5</v>
      </c>
    </row>
    <row r="122" ht="15.75" customHeight="1">
      <c r="A122" s="161" t="s">
        <v>4660</v>
      </c>
      <c r="B122" s="162" t="s">
        <v>5052</v>
      </c>
      <c r="C122" s="163" t="s">
        <v>5053</v>
      </c>
      <c r="D122" s="280">
        <v>25.0</v>
      </c>
      <c r="E122" s="238" t="s">
        <v>5054</v>
      </c>
      <c r="F122" s="101" t="s">
        <v>5055</v>
      </c>
      <c r="G122" s="102">
        <v>0.21</v>
      </c>
      <c r="H122" s="38" t="str">
        <f>VLOOKUP("NP3RX",STOCK!$B$2:$Q$3671,3,FALSE)</f>
        <v>Mayor a 5</v>
      </c>
    </row>
    <row r="123" ht="15.75" customHeight="1">
      <c r="A123" s="158" t="s">
        <v>4660</v>
      </c>
      <c r="B123" s="166" t="s">
        <v>5056</v>
      </c>
      <c r="C123" s="159" t="s">
        <v>5057</v>
      </c>
      <c r="D123" s="281">
        <v>100.0</v>
      </c>
      <c r="E123" s="236" t="s">
        <v>5058</v>
      </c>
      <c r="F123" s="96" t="s">
        <v>5059</v>
      </c>
      <c r="G123" s="142">
        <v>0.21</v>
      </c>
      <c r="H123" s="38" t="str">
        <f>VLOOKUP("NTP3RC",STOCK!$B$2:$Q$3671,3,FALSE)</f>
        <v>Mayor a 5</v>
      </c>
    </row>
    <row r="124" ht="15.75" customHeight="1">
      <c r="A124" s="28" t="s">
        <v>5060</v>
      </c>
      <c r="B124" s="31"/>
      <c r="C124" s="282"/>
      <c r="D124" s="282"/>
      <c r="E124" s="51"/>
      <c r="F124" s="51"/>
      <c r="G124" s="121"/>
      <c r="H124" s="121"/>
    </row>
    <row r="125" ht="15.75" customHeight="1">
      <c r="A125" s="158" t="s">
        <v>4660</v>
      </c>
      <c r="B125" s="166" t="s">
        <v>5061</v>
      </c>
      <c r="C125" s="159" t="s">
        <v>5062</v>
      </c>
      <c r="D125" s="281">
        <v>100.0</v>
      </c>
      <c r="E125" s="236" t="s">
        <v>5063</v>
      </c>
      <c r="F125" s="96" t="s">
        <v>5064</v>
      </c>
      <c r="G125" s="142">
        <v>0.21</v>
      </c>
      <c r="H125" s="38" t="str">
        <f>VLOOKUP("NF2D-O",STOCK!$B$2:$Q$3671,3,FALSE)</f>
        <v>Mayor a 5</v>
      </c>
    </row>
    <row r="126" ht="15.75" customHeight="1">
      <c r="A126" s="161" t="s">
        <v>4660</v>
      </c>
      <c r="B126" s="162" t="s">
        <v>5065</v>
      </c>
      <c r="C126" s="163" t="s">
        <v>5066</v>
      </c>
      <c r="D126" s="280">
        <v>100.0</v>
      </c>
      <c r="E126" s="238" t="s">
        <v>5067</v>
      </c>
      <c r="F126" s="101" t="s">
        <v>5068</v>
      </c>
      <c r="G126" s="102">
        <v>0.21</v>
      </c>
      <c r="H126" s="283" t="str">
        <f>VLOOKUP("NF2D-2",STOCK!$B$2:$Q$3671,3,FALSE)</f>
        <v>Mayor a 5</v>
      </c>
    </row>
    <row r="127" ht="15.75" customHeight="1">
      <c r="A127" s="28" t="s">
        <v>5069</v>
      </c>
      <c r="C127" s="282"/>
      <c r="D127" s="282"/>
      <c r="E127" s="51"/>
      <c r="F127" s="51"/>
      <c r="G127" s="121"/>
      <c r="H127" s="121"/>
    </row>
    <row r="128" ht="15.75" customHeight="1">
      <c r="A128" s="158" t="s">
        <v>4660</v>
      </c>
      <c r="B128" s="166" t="s">
        <v>5070</v>
      </c>
      <c r="C128" s="159" t="s">
        <v>5071</v>
      </c>
      <c r="D128" s="281">
        <v>25.0</v>
      </c>
      <c r="E128" s="236" t="s">
        <v>5072</v>
      </c>
      <c r="F128" s="96" t="s">
        <v>5073</v>
      </c>
      <c r="G128" s="142">
        <v>0.21</v>
      </c>
      <c r="H128" s="38" t="str">
        <f>VLOOKUP("NADITBNC-M",STOCK!$B$2:$Q$3671,3,FALSE)</f>
        <v>Mayor a 5</v>
      </c>
    </row>
    <row r="129" ht="15.75" customHeight="1">
      <c r="A129" s="161" t="s">
        <v>4660</v>
      </c>
      <c r="B129" s="162" t="s">
        <v>5074</v>
      </c>
      <c r="C129" s="163" t="s">
        <v>5071</v>
      </c>
      <c r="D129" s="280">
        <v>25.0</v>
      </c>
      <c r="E129" s="238" t="s">
        <v>5075</v>
      </c>
      <c r="F129" s="101" t="s">
        <v>5076</v>
      </c>
      <c r="G129" s="102">
        <v>0.21</v>
      </c>
      <c r="H129" s="38" t="str">
        <f>VLOOKUP("NADITBNC-F",STOCK!$B$2:$Q$3671,3,FALSE)</f>
        <v>Mayor a 5</v>
      </c>
    </row>
    <row r="130" ht="15.75" customHeight="1">
      <c r="A130" s="161" t="s">
        <v>4660</v>
      </c>
      <c r="B130" s="162" t="s">
        <v>5077</v>
      </c>
      <c r="C130" s="163" t="s">
        <v>5078</v>
      </c>
      <c r="D130" s="280">
        <v>25.0</v>
      </c>
      <c r="E130" s="236" t="s">
        <v>5079</v>
      </c>
      <c r="F130" s="96" t="s">
        <v>5080</v>
      </c>
      <c r="G130" s="102">
        <v>0.21</v>
      </c>
      <c r="H130" s="38" t="str">
        <f>VLOOKUP("NA3MJ",STOCK!$B$2:$Q$3671,3,FALSE)</f>
        <v>Mayor a 5</v>
      </c>
    </row>
    <row r="131" ht="15.75" customHeight="1">
      <c r="A131" s="158" t="s">
        <v>4660</v>
      </c>
      <c r="B131" s="166" t="s">
        <v>5081</v>
      </c>
      <c r="C131" s="159" t="s">
        <v>5082</v>
      </c>
      <c r="D131" s="281">
        <v>25.0</v>
      </c>
      <c r="E131" s="238" t="s">
        <v>5083</v>
      </c>
      <c r="F131" s="101" t="s">
        <v>5084</v>
      </c>
      <c r="G131" s="142">
        <v>0.21</v>
      </c>
      <c r="H131" s="38" t="str">
        <f>VLOOKUP("NA3FP",STOCK!$B$2:$Q$3671,3,FALSE)</f>
        <v>Mayor a 5</v>
      </c>
    </row>
    <row r="132" ht="15.75" customHeight="1">
      <c r="A132" s="161" t="s">
        <v>4660</v>
      </c>
      <c r="B132" s="162" t="s">
        <v>5085</v>
      </c>
      <c r="C132" s="163" t="s">
        <v>5086</v>
      </c>
      <c r="D132" s="280">
        <v>25.0</v>
      </c>
      <c r="E132" s="236" t="s">
        <v>5087</v>
      </c>
      <c r="F132" s="96" t="s">
        <v>5088</v>
      </c>
      <c r="G132" s="102">
        <v>0.21</v>
      </c>
      <c r="H132" s="38" t="str">
        <f>VLOOKUP("NC3FX",STOCK!$B$2:$Q$3671,3,FALSE)</f>
        <v>Mayor a 5</v>
      </c>
    </row>
    <row r="133" ht="15.75" customHeight="1">
      <c r="A133" s="158" t="s">
        <v>4660</v>
      </c>
      <c r="B133" s="166" t="s">
        <v>5089</v>
      </c>
      <c r="C133" s="158" t="s">
        <v>5090</v>
      </c>
      <c r="D133" s="281">
        <v>25.0</v>
      </c>
      <c r="E133" s="238" t="s">
        <v>5091</v>
      </c>
      <c r="F133" s="101" t="s">
        <v>5092</v>
      </c>
      <c r="G133" s="142">
        <v>0.21</v>
      </c>
      <c r="H133" s="38" t="str">
        <f>VLOOKUP("NA3FF",STOCK!$B$2:$Q$3671,3,FALSE)</f>
        <v>Mayor a 5</v>
      </c>
    </row>
    <row r="134" ht="15.75" customHeight="1">
      <c r="A134" s="161" t="s">
        <v>4660</v>
      </c>
      <c r="B134" s="162" t="s">
        <v>5093</v>
      </c>
      <c r="C134" s="161" t="s">
        <v>5094</v>
      </c>
      <c r="D134" s="280">
        <v>25.0</v>
      </c>
      <c r="E134" s="236" t="s">
        <v>5095</v>
      </c>
      <c r="F134" s="96" t="s">
        <v>5096</v>
      </c>
      <c r="G134" s="102">
        <v>0.21</v>
      </c>
      <c r="H134" s="46" t="str">
        <f>VLOOKUP("NA3MM",STOCK!$B$2:$Q$3671,3,FALSE)</f>
        <v>Mayor a 5</v>
      </c>
    </row>
    <row r="135" ht="15.75" customHeight="1">
      <c r="A135" s="158" t="s">
        <v>4660</v>
      </c>
      <c r="B135" s="166" t="s">
        <v>5097</v>
      </c>
      <c r="C135" s="158" t="s">
        <v>5098</v>
      </c>
      <c r="D135" s="281">
        <v>25.0</v>
      </c>
      <c r="E135" s="238" t="s">
        <v>5099</v>
      </c>
      <c r="F135" s="101" t="s">
        <v>5100</v>
      </c>
      <c r="G135" s="142">
        <v>0.21</v>
      </c>
      <c r="H135" s="46" t="str">
        <f>VLOOKUP("NA3JJ",STOCK!$B$2:$Q$3671,3,FALSE)</f>
        <v>Mayor a 5</v>
      </c>
    </row>
    <row r="136" ht="15.75" customHeight="1">
      <c r="A136" s="28" t="s">
        <v>5101</v>
      </c>
      <c r="B136" s="31"/>
      <c r="C136" s="282"/>
      <c r="D136" s="282"/>
      <c r="E136" s="51"/>
      <c r="F136" s="51"/>
      <c r="G136" s="121"/>
      <c r="H136" s="121"/>
    </row>
    <row r="137" ht="15.75" customHeight="1">
      <c r="A137" s="158" t="s">
        <v>4660</v>
      </c>
      <c r="B137" s="164" t="s">
        <v>5102</v>
      </c>
      <c r="C137" s="159" t="s">
        <v>5103</v>
      </c>
      <c r="D137" s="278"/>
      <c r="E137" s="236" t="s">
        <v>5104</v>
      </c>
      <c r="F137" s="96" t="s">
        <v>5105</v>
      </c>
      <c r="G137" s="142">
        <v>0.21</v>
      </c>
      <c r="H137" s="38" t="str">
        <f>VLOOKUP("NAC3FX-W-TOP",STOCK!$B$2:$Q$3671,3,FALSE)</f>
        <v>Mayor a 5</v>
      </c>
    </row>
    <row r="138" ht="15.75" customHeight="1">
      <c r="A138" s="161" t="s">
        <v>4660</v>
      </c>
      <c r="B138" s="165" t="s">
        <v>5106</v>
      </c>
      <c r="C138" s="163" t="s">
        <v>5107</v>
      </c>
      <c r="D138" s="116"/>
      <c r="E138" s="238" t="s">
        <v>5104</v>
      </c>
      <c r="F138" s="101" t="s">
        <v>5105</v>
      </c>
      <c r="G138" s="102">
        <v>0.21</v>
      </c>
      <c r="H138" s="38" t="str">
        <f>VLOOKUP("NAC3MX-W-TOP",STOCK!$B$2:$Q$3671,3,FALSE)</f>
        <v>Mayor a 5</v>
      </c>
    </row>
    <row r="139" ht="15.75" customHeight="1">
      <c r="A139" s="158" t="s">
        <v>4660</v>
      </c>
      <c r="B139" s="166" t="s">
        <v>5108</v>
      </c>
      <c r="C139" s="159" t="s">
        <v>5109</v>
      </c>
      <c r="D139" s="281">
        <v>50.0</v>
      </c>
      <c r="E139" s="236" t="s">
        <v>5110</v>
      </c>
      <c r="F139" s="96" t="s">
        <v>5111</v>
      </c>
      <c r="G139" s="142">
        <v>0.21</v>
      </c>
      <c r="H139" s="38" t="str">
        <f>VLOOKUP("NAC3FCA",STOCK!$B$2:$Q$3671,3,FALSE)</f>
        <v>Menor a 5</v>
      </c>
    </row>
    <row r="140" ht="15.75" customHeight="1">
      <c r="A140" s="161" t="s">
        <v>4660</v>
      </c>
      <c r="B140" s="162" t="s">
        <v>5112</v>
      </c>
      <c r="C140" s="163" t="s">
        <v>5113</v>
      </c>
      <c r="D140" s="280">
        <v>100.0</v>
      </c>
      <c r="E140" s="238" t="s">
        <v>3875</v>
      </c>
      <c r="F140" s="101" t="s">
        <v>5114</v>
      </c>
      <c r="G140" s="102">
        <v>0.21</v>
      </c>
      <c r="H140" s="283" t="str">
        <f>VLOOKUP("NAC3MPA",STOCK!$B$2:$Q$3671,3,FALSE)</f>
        <v>Mayor a 5</v>
      </c>
    </row>
    <row r="141" ht="15.75" customHeight="1">
      <c r="A141" s="158" t="s">
        <v>4660</v>
      </c>
      <c r="B141" s="166" t="s">
        <v>5115</v>
      </c>
      <c r="C141" s="159" t="s">
        <v>5109</v>
      </c>
      <c r="D141" s="281">
        <v>50.0</v>
      </c>
      <c r="E141" s="236" t="s">
        <v>5110</v>
      </c>
      <c r="F141" s="96" t="s">
        <v>5111</v>
      </c>
      <c r="G141" s="142">
        <v>0.21</v>
      </c>
      <c r="H141" s="38" t="str">
        <f>VLOOKUP("NAC3FCB",STOCK!$B$2:$Q$3671,3,FALSE)</f>
        <v>Mayor a 5</v>
      </c>
    </row>
    <row r="142" ht="15.75" customHeight="1">
      <c r="A142" s="161" t="s">
        <v>4660</v>
      </c>
      <c r="B142" s="162" t="s">
        <v>5116</v>
      </c>
      <c r="C142" s="161" t="s">
        <v>5113</v>
      </c>
      <c r="D142" s="280">
        <v>100.0</v>
      </c>
      <c r="E142" s="238" t="s">
        <v>5117</v>
      </c>
      <c r="F142" s="101" t="s">
        <v>5118</v>
      </c>
      <c r="G142" s="102">
        <v>0.21</v>
      </c>
      <c r="H142" s="38" t="str">
        <f>VLOOKUP("NAC3MPB",STOCK!$B$2:$Q$3671,3,FALSE)</f>
        <v>Mayor a 5</v>
      </c>
    </row>
    <row r="143" ht="15.75" customHeight="1">
      <c r="A143" s="158" t="s">
        <v>4660</v>
      </c>
      <c r="B143" s="166" t="s">
        <v>5119</v>
      </c>
      <c r="C143" s="159" t="s">
        <v>5120</v>
      </c>
      <c r="D143" s="281">
        <v>50.0</v>
      </c>
      <c r="E143" s="236" t="s">
        <v>4663</v>
      </c>
      <c r="F143" s="96" t="s">
        <v>4664</v>
      </c>
      <c r="G143" s="142">
        <v>0.21</v>
      </c>
      <c r="H143" s="38" t="str">
        <f>VLOOKUP("NAC3FX",STOCK!$B$2:$Q$3671,3,FALSE)</f>
        <v>Menor a 5</v>
      </c>
    </row>
    <row r="144" ht="15.75" customHeight="1">
      <c r="A144" s="161" t="s">
        <v>4660</v>
      </c>
      <c r="B144" s="162" t="s">
        <v>5121</v>
      </c>
      <c r="C144" s="163" t="s">
        <v>5122</v>
      </c>
      <c r="D144" s="280">
        <v>50.0</v>
      </c>
      <c r="E144" s="238" t="s">
        <v>4663</v>
      </c>
      <c r="F144" s="101" t="s">
        <v>4664</v>
      </c>
      <c r="G144" s="102">
        <v>0.21</v>
      </c>
      <c r="H144" s="38" t="str">
        <f>VLOOKUP("NAC3MX",STOCK!$B$2:$Q$3671,3,FALSE)</f>
        <v>Mayor a 5</v>
      </c>
    </row>
    <row r="145" ht="15.75" customHeight="1">
      <c r="A145" s="158" t="s">
        <v>4660</v>
      </c>
      <c r="B145" s="95" t="s">
        <v>5123</v>
      </c>
      <c r="C145" s="94" t="s">
        <v>5124</v>
      </c>
      <c r="D145" s="281">
        <v>100.0</v>
      </c>
      <c r="E145" s="236" t="s">
        <v>5125</v>
      </c>
      <c r="F145" s="96" t="s">
        <v>5126</v>
      </c>
      <c r="G145" s="142">
        <v>0.21</v>
      </c>
      <c r="H145" s="38" t="str">
        <f>VLOOKUP("NAC3FPX",STOCK!$B$2:$Q$3671,3,FALSE)</f>
        <v>Mayor a 5</v>
      </c>
    </row>
    <row r="146" ht="15.75" customHeight="1">
      <c r="A146" s="161" t="s">
        <v>4660</v>
      </c>
      <c r="B146" s="162" t="s">
        <v>5127</v>
      </c>
      <c r="C146" s="163" t="s">
        <v>5128</v>
      </c>
      <c r="D146" s="280">
        <v>100.0</v>
      </c>
      <c r="E146" s="238" t="s">
        <v>5129</v>
      </c>
      <c r="F146" s="101" t="s">
        <v>4931</v>
      </c>
      <c r="G146" s="102">
        <v>0.21</v>
      </c>
      <c r="H146" s="38" t="str">
        <f>VLOOKUP("NAC3MPX",STOCK!$B$2:$Q$3671,3,FALSE)</f>
        <v>Mayor a 5</v>
      </c>
    </row>
    <row r="147" ht="15.75" customHeight="1">
      <c r="A147" s="158" t="s">
        <v>4660</v>
      </c>
      <c r="B147" s="166" t="s">
        <v>5130</v>
      </c>
      <c r="C147" s="159" t="s">
        <v>5131</v>
      </c>
      <c r="D147" s="281">
        <v>50.0</v>
      </c>
      <c r="E147" s="236" t="s">
        <v>5132</v>
      </c>
      <c r="F147" s="96" t="s">
        <v>5133</v>
      </c>
      <c r="G147" s="142">
        <v>0.21</v>
      </c>
      <c r="H147" s="38" t="str">
        <f>VLOOKUP("NAC3PX",STOCK!$B$2:$Q$3671,3,FALSE)</f>
        <v>Mayor a 5</v>
      </c>
    </row>
    <row r="148" ht="15.75" customHeight="1">
      <c r="A148" s="161" t="s">
        <v>4660</v>
      </c>
      <c r="B148" s="162" t="s">
        <v>5134</v>
      </c>
      <c r="C148" s="163" t="s">
        <v>5135</v>
      </c>
      <c r="D148" s="280">
        <v>25.0</v>
      </c>
      <c r="E148" s="238" t="s">
        <v>5136</v>
      </c>
      <c r="F148" s="101" t="s">
        <v>5137</v>
      </c>
      <c r="G148" s="102">
        <v>0.21</v>
      </c>
      <c r="H148" s="38" t="str">
        <f>VLOOKUP("NAC3FC-HC",STOCK!$B$2:$Q$3671,3,FALSE)</f>
        <v>Mayor a 5</v>
      </c>
    </row>
    <row r="149" ht="15.75" customHeight="1">
      <c r="A149" s="158" t="s">
        <v>4660</v>
      </c>
      <c r="B149" s="166" t="s">
        <v>5138</v>
      </c>
      <c r="C149" s="158" t="s">
        <v>5139</v>
      </c>
      <c r="D149" s="281">
        <v>40.0</v>
      </c>
      <c r="E149" s="236" t="s">
        <v>5140</v>
      </c>
      <c r="F149" s="96" t="s">
        <v>5141</v>
      </c>
      <c r="G149" s="142">
        <v>0.21</v>
      </c>
      <c r="H149" s="38" t="str">
        <f>VLOOKUP("NAC3MP-HC",STOCK!$B$2:$Q$3671,3,FALSE)</f>
        <v>Mayor a 5</v>
      </c>
    </row>
    <row r="150" ht="15.75" customHeight="1">
      <c r="A150" s="161" t="s">
        <v>4660</v>
      </c>
      <c r="B150" s="162" t="s">
        <v>5142</v>
      </c>
      <c r="C150" s="163" t="s">
        <v>5143</v>
      </c>
      <c r="D150" s="280">
        <v>25.0</v>
      </c>
      <c r="E150" s="238" t="s">
        <v>5144</v>
      </c>
      <c r="F150" s="101" t="s">
        <v>5145</v>
      </c>
      <c r="G150" s="102">
        <v>0.21</v>
      </c>
      <c r="H150" s="38" t="str">
        <f>VLOOKUP("NAC3MM",STOCK!$B$2:$Q$3671,3,FALSE)</f>
        <v>Mayor a 5</v>
      </c>
    </row>
    <row r="151" ht="15.75" customHeight="1">
      <c r="A151" s="28" t="s">
        <v>5146</v>
      </c>
      <c r="B151" s="31"/>
      <c r="C151" s="282"/>
      <c r="D151" s="282"/>
      <c r="E151" s="51"/>
      <c r="F151" s="51"/>
      <c r="G151" s="121"/>
      <c r="H151" s="121"/>
    </row>
    <row r="152" ht="15.75" customHeight="1">
      <c r="A152" s="158" t="s">
        <v>4660</v>
      </c>
      <c r="B152" s="158" t="s">
        <v>5147</v>
      </c>
      <c r="C152" s="159" t="s">
        <v>5148</v>
      </c>
      <c r="D152" s="278"/>
      <c r="E152" s="236" t="s">
        <v>5149</v>
      </c>
      <c r="F152" s="96" t="s">
        <v>5150</v>
      </c>
      <c r="G152" s="142">
        <v>0.21</v>
      </c>
      <c r="H152" s="38" t="str">
        <f>VLOOKUP("NE8FDY-C6-B",STOCK!$B$2:$Q$3671,3,FALSE)</f>
        <v>Mayor a 5</v>
      </c>
    </row>
    <row r="153" ht="15.75" customHeight="1">
      <c r="A153" s="161" t="s">
        <v>4660</v>
      </c>
      <c r="B153" s="100" t="s">
        <v>5151</v>
      </c>
      <c r="C153" s="163" t="s">
        <v>5152</v>
      </c>
      <c r="D153" s="280">
        <v>100.0</v>
      </c>
      <c r="E153" s="238" t="s">
        <v>5153</v>
      </c>
      <c r="F153" s="101" t="s">
        <v>5154</v>
      </c>
      <c r="G153" s="102">
        <v>0.21</v>
      </c>
      <c r="H153" s="38" t="str">
        <f>VLOOKUP("NE8MC",STOCK!$B$2:$Q$3671,3,FALSE)</f>
        <v>Mayor a 5</v>
      </c>
    </row>
    <row r="154" ht="15.75" customHeight="1">
      <c r="A154" s="158" t="s">
        <v>4660</v>
      </c>
      <c r="B154" s="95" t="s">
        <v>5155</v>
      </c>
      <c r="C154" s="159" t="s">
        <v>5156</v>
      </c>
      <c r="D154" s="281">
        <v>100.0</v>
      </c>
      <c r="E154" s="236" t="s">
        <v>5153</v>
      </c>
      <c r="F154" s="96" t="s">
        <v>5154</v>
      </c>
      <c r="G154" s="142">
        <v>0.21</v>
      </c>
      <c r="H154" s="38" t="str">
        <f>VLOOKUP("NE8MC-1",STOCK!$B$2:$Q$3671,3,FALSE)</f>
        <v>Mayor a 5</v>
      </c>
    </row>
    <row r="155" ht="15.75" customHeight="1">
      <c r="A155" s="161" t="s">
        <v>4660</v>
      </c>
      <c r="B155" s="162" t="s">
        <v>5157</v>
      </c>
      <c r="C155" s="163" t="s">
        <v>5158</v>
      </c>
      <c r="D155" s="280">
        <v>100.0</v>
      </c>
      <c r="E155" s="238" t="s">
        <v>5159</v>
      </c>
      <c r="F155" s="101" t="s">
        <v>5160</v>
      </c>
      <c r="G155" s="102">
        <v>0.21</v>
      </c>
      <c r="H155" s="38" t="str">
        <f>VLOOKUP("NE8MX-1",STOCK!$B$2:$Q$3671,3,FALSE)</f>
        <v>Mayor a 5</v>
      </c>
    </row>
    <row r="156" ht="15.75" customHeight="1">
      <c r="A156" s="158" t="s">
        <v>4660</v>
      </c>
      <c r="B156" s="166" t="s">
        <v>5161</v>
      </c>
      <c r="C156" s="158" t="s">
        <v>5162</v>
      </c>
      <c r="D156" s="281">
        <v>100.0</v>
      </c>
      <c r="E156" s="236" t="s">
        <v>5163</v>
      </c>
      <c r="F156" s="96" t="s">
        <v>5164</v>
      </c>
      <c r="G156" s="142">
        <v>0.21</v>
      </c>
      <c r="H156" s="38" t="str">
        <f>VLOOKUP("NE8FAV",STOCK!$B$2:$Q$3671,3,FALSE)</f>
        <v>Mayor a 5</v>
      </c>
    </row>
    <row r="157" ht="15.75" customHeight="1">
      <c r="A157" s="161" t="s">
        <v>4660</v>
      </c>
      <c r="B157" s="162" t="s">
        <v>5165</v>
      </c>
      <c r="C157" s="163" t="s">
        <v>5166</v>
      </c>
      <c r="D157" s="280">
        <v>100.0</v>
      </c>
      <c r="E157" s="238" t="s">
        <v>5163</v>
      </c>
      <c r="F157" s="101" t="s">
        <v>5164</v>
      </c>
      <c r="G157" s="102">
        <v>0.21</v>
      </c>
      <c r="H157" s="38" t="str">
        <f>VLOOKUP("NE8FAH",STOCK!$B$2:$Q$3671,3,FALSE)</f>
        <v>Mayor a 5</v>
      </c>
    </row>
    <row r="158" ht="15.75" customHeight="1">
      <c r="A158" s="158" t="s">
        <v>4660</v>
      </c>
      <c r="B158" s="166" t="s">
        <v>5167</v>
      </c>
      <c r="C158" s="158" t="s">
        <v>5168</v>
      </c>
      <c r="D158" s="281">
        <v>50.0</v>
      </c>
      <c r="E158" s="236" t="s">
        <v>5169</v>
      </c>
      <c r="F158" s="96" t="s">
        <v>5170</v>
      </c>
      <c r="G158" s="142">
        <v>0.21</v>
      </c>
      <c r="H158" s="38" t="str">
        <f>VLOOKUP("NE8FDV-YK",STOCK!$B$2:$Q$3671,3,FALSE)</f>
        <v>Mayor a 5</v>
      </c>
    </row>
    <row r="159" ht="15.75" customHeight="1">
      <c r="A159" s="161" t="s">
        <v>4660</v>
      </c>
      <c r="B159" s="162" t="s">
        <v>5171</v>
      </c>
      <c r="C159" s="163" t="s">
        <v>5172</v>
      </c>
      <c r="D159" s="280">
        <v>50.0</v>
      </c>
      <c r="E159" s="238" t="s">
        <v>5173</v>
      </c>
      <c r="F159" s="101" t="s">
        <v>5174</v>
      </c>
      <c r="G159" s="102">
        <v>0.21</v>
      </c>
      <c r="H159" s="38" t="str">
        <f>VLOOKUP("NE8FDP",STOCK!$B$2:$Q$3671,3,FALSE)</f>
        <v>Mayor a 5</v>
      </c>
    </row>
    <row r="160" ht="15.75" customHeight="1">
      <c r="A160" s="158" t="s">
        <v>4660</v>
      </c>
      <c r="B160" s="166" t="s">
        <v>5175</v>
      </c>
      <c r="C160" s="159" t="s">
        <v>5176</v>
      </c>
      <c r="D160" s="281">
        <v>50.0</v>
      </c>
      <c r="E160" s="236" t="s">
        <v>5177</v>
      </c>
      <c r="F160" s="96" t="s">
        <v>5178</v>
      </c>
      <c r="G160" s="142">
        <v>0.21</v>
      </c>
      <c r="H160" s="38" t="str">
        <f>VLOOKUP("NE8MX6",STOCK!$B$2:$Q$3671,3,FALSE)</f>
        <v>Mayor a 5</v>
      </c>
    </row>
    <row r="161" ht="15.75" customHeight="1">
      <c r="A161" s="161" t="s">
        <v>4660</v>
      </c>
      <c r="B161" s="162" t="s">
        <v>5179</v>
      </c>
      <c r="C161" s="163" t="s">
        <v>5180</v>
      </c>
      <c r="D161" s="280">
        <v>50.0</v>
      </c>
      <c r="E161" s="238" t="s">
        <v>5181</v>
      </c>
      <c r="F161" s="101" t="s">
        <v>5182</v>
      </c>
      <c r="G161" s="102">
        <v>0.21</v>
      </c>
      <c r="H161" s="283"/>
    </row>
    <row r="162" ht="15.75" customHeight="1">
      <c r="A162" s="28" t="s">
        <v>5183</v>
      </c>
      <c r="B162" s="31"/>
      <c r="C162" s="282"/>
      <c r="D162" s="31"/>
      <c r="E162" s="51"/>
      <c r="F162" s="51"/>
      <c r="G162" s="31"/>
      <c r="H162" s="29"/>
    </row>
    <row r="163" ht="15.75" customHeight="1">
      <c r="A163" s="158" t="s">
        <v>4660</v>
      </c>
      <c r="B163" s="164" t="s">
        <v>5184</v>
      </c>
      <c r="C163" s="159" t="s">
        <v>5185</v>
      </c>
      <c r="D163" s="281">
        <v>1.0</v>
      </c>
      <c r="E163" s="236" t="s">
        <v>5186</v>
      </c>
      <c r="F163" s="96" t="s">
        <v>5187</v>
      </c>
      <c r="G163" s="142">
        <v>0.21</v>
      </c>
      <c r="H163" s="38" t="str">
        <f>VLOOKUP("NKE5E-E1E1-M0050",STOCK!$B$2:$Q$3671,3,FALSE)</f>
        <v>Menor a 5</v>
      </c>
    </row>
    <row r="164" ht="15.75" customHeight="1">
      <c r="A164" s="161" t="s">
        <v>4660</v>
      </c>
      <c r="B164" s="165" t="s">
        <v>5188</v>
      </c>
      <c r="C164" s="161" t="s">
        <v>5189</v>
      </c>
      <c r="D164" s="280">
        <v>1.0</v>
      </c>
      <c r="E164" s="238" t="s">
        <v>5190</v>
      </c>
      <c r="F164" s="101" t="s">
        <v>5191</v>
      </c>
      <c r="G164" s="102">
        <v>0.21</v>
      </c>
      <c r="H164" s="46" t="str">
        <f>VLOOKUP("NKE5E-E1E1-M0150",STOCK!$B$2:$Q$3671,3,FALSE)</f>
        <v>Menor a 5</v>
      </c>
    </row>
    <row r="165" ht="15.75" customHeight="1">
      <c r="A165" s="28" t="s">
        <v>5192</v>
      </c>
      <c r="B165" s="105"/>
      <c r="C165" s="282"/>
      <c r="D165" s="282"/>
      <c r="E165" s="51"/>
      <c r="F165" s="51"/>
      <c r="G165" s="121"/>
      <c r="H165" s="121"/>
    </row>
    <row r="166" ht="15.75" customHeight="1">
      <c r="A166" s="158" t="s">
        <v>4660</v>
      </c>
      <c r="B166" s="166" t="s">
        <v>5193</v>
      </c>
      <c r="C166" s="159" t="s">
        <v>5194</v>
      </c>
      <c r="D166" s="281">
        <v>100.0</v>
      </c>
      <c r="E166" s="236" t="s">
        <v>4909</v>
      </c>
      <c r="F166" s="96" t="s">
        <v>4910</v>
      </c>
      <c r="G166" s="142">
        <v>0.21</v>
      </c>
      <c r="H166" s="38" t="str">
        <f>VLOOKUP("NBNC75BLP7",STOCK!$B$2:$Q$3671,3,FALSE)</f>
        <v>Mayor a 5</v>
      </c>
    </row>
    <row r="167" ht="15.75" customHeight="1">
      <c r="A167" s="161" t="s">
        <v>4660</v>
      </c>
      <c r="B167" s="162" t="s">
        <v>5195</v>
      </c>
      <c r="C167" s="161" t="s">
        <v>5196</v>
      </c>
      <c r="D167" s="280">
        <v>100.0</v>
      </c>
      <c r="E167" s="238" t="s">
        <v>4909</v>
      </c>
      <c r="F167" s="101" t="s">
        <v>4910</v>
      </c>
      <c r="G167" s="102">
        <v>0.21</v>
      </c>
      <c r="H167" s="38" t="str">
        <f>VLOOKUP("NBNC75BLP9",STOCK!$B$2:$Q$3671,3,FALSE)</f>
        <v>Mayor a 5</v>
      </c>
    </row>
    <row r="168" ht="15.75" customHeight="1">
      <c r="A168" s="158" t="s">
        <v>4660</v>
      </c>
      <c r="B168" s="158" t="s">
        <v>5197</v>
      </c>
      <c r="C168" s="158" t="s">
        <v>5198</v>
      </c>
      <c r="D168" s="281">
        <v>100.0</v>
      </c>
      <c r="E168" s="236" t="s">
        <v>5199</v>
      </c>
      <c r="F168" s="96" t="s">
        <v>5200</v>
      </c>
      <c r="G168" s="142">
        <v>0.21</v>
      </c>
      <c r="H168" s="38" t="str">
        <f>VLOOKUP("NBNC75PNS7",STOCK!$B$2:$Q$3671,3,FALSE)</f>
        <v>Mayor a 5</v>
      </c>
    </row>
    <row r="169" ht="15.75" customHeight="1">
      <c r="A169" s="161" t="s">
        <v>4660</v>
      </c>
      <c r="B169" s="162" t="s">
        <v>5201</v>
      </c>
      <c r="C169" s="161" t="s">
        <v>5202</v>
      </c>
      <c r="D169" s="280">
        <v>100.0</v>
      </c>
      <c r="E169" s="238" t="s">
        <v>4909</v>
      </c>
      <c r="F169" s="101" t="s">
        <v>4910</v>
      </c>
      <c r="G169" s="102">
        <v>0.21</v>
      </c>
      <c r="H169" s="38" t="str">
        <f>VLOOKUP("NBNC75BTU11",STOCK!$B$2:$Q$3671,3,FALSE)</f>
        <v>Mayor a 5</v>
      </c>
    </row>
    <row r="170" ht="15.75" customHeight="1">
      <c r="A170" s="158" t="s">
        <v>4660</v>
      </c>
      <c r="B170" s="166" t="s">
        <v>5203</v>
      </c>
      <c r="C170" s="158" t="s">
        <v>5204</v>
      </c>
      <c r="D170" s="281">
        <v>100.0</v>
      </c>
      <c r="E170" s="236" t="s">
        <v>5205</v>
      </c>
      <c r="F170" s="96" t="s">
        <v>5206</v>
      </c>
      <c r="G170" s="142">
        <v>0.21</v>
      </c>
      <c r="H170" s="38" t="str">
        <f>VLOOKUP("NBNC75BDD6X",STOCK!$B$2:$Q$3671,3,FALSE)</f>
        <v>Mayor a 5</v>
      </c>
    </row>
    <row r="171" ht="15.75" customHeight="1">
      <c r="A171" s="161" t="s">
        <v>4660</v>
      </c>
      <c r="B171" s="162" t="s">
        <v>5207</v>
      </c>
      <c r="C171" s="163" t="s">
        <v>5208</v>
      </c>
      <c r="D171" s="280">
        <v>100.0</v>
      </c>
      <c r="E171" s="238" t="s">
        <v>4827</v>
      </c>
      <c r="F171" s="101" t="s">
        <v>4909</v>
      </c>
      <c r="G171" s="102">
        <v>0.21</v>
      </c>
      <c r="H171" s="38" t="str">
        <f>VLOOKUP("NBNC75BUU11X",STOCK!$B$2:$Q$3671,3,FALSE)</f>
        <v>Menor a 5</v>
      </c>
    </row>
    <row r="172" ht="15.75" customHeight="1">
      <c r="A172" s="28" t="s">
        <v>5209</v>
      </c>
      <c r="B172" s="31"/>
      <c r="C172" s="31"/>
      <c r="D172" s="282"/>
      <c r="E172" s="51"/>
      <c r="F172" s="51"/>
      <c r="G172" s="121"/>
      <c r="H172" s="121"/>
    </row>
    <row r="173" ht="15.75" customHeight="1">
      <c r="A173" s="158" t="s">
        <v>4660</v>
      </c>
      <c r="B173" s="166" t="s">
        <v>5210</v>
      </c>
      <c r="C173" s="159" t="s">
        <v>5211</v>
      </c>
      <c r="D173" s="281">
        <v>100.0</v>
      </c>
      <c r="E173" s="236" t="s">
        <v>5212</v>
      </c>
      <c r="F173" s="96" t="s">
        <v>5213</v>
      </c>
      <c r="G173" s="142">
        <v>0.21</v>
      </c>
      <c r="H173" s="38" t="str">
        <f>VLOOKUP("NBB75FI",STOCK!$B$2:$Q$3671,3,FALSE)</f>
        <v>Mayor a 5</v>
      </c>
    </row>
    <row r="174" ht="15.75" customHeight="1">
      <c r="A174" s="161" t="s">
        <v>4660</v>
      </c>
      <c r="B174" s="161" t="s">
        <v>5214</v>
      </c>
      <c r="C174" s="163" t="s">
        <v>5215</v>
      </c>
      <c r="D174" s="116"/>
      <c r="E174" s="238" t="s">
        <v>5216</v>
      </c>
      <c r="F174" s="101" t="s">
        <v>5217</v>
      </c>
      <c r="G174" s="102">
        <v>0.21</v>
      </c>
      <c r="H174" s="46" t="str">
        <f>VLOOKUP("NBB75DFIX",STOCK!$B$2:$Q$3671,3,FALSE)</f>
        <v>Menor a 5</v>
      </c>
    </row>
    <row r="175" ht="15.75" customHeight="1">
      <c r="A175" s="158" t="s">
        <v>4660</v>
      </c>
      <c r="B175" s="166" t="s">
        <v>5218</v>
      </c>
      <c r="C175" s="159" t="s">
        <v>5219</v>
      </c>
      <c r="D175" s="281">
        <v>100.0</v>
      </c>
      <c r="E175" s="236" t="s">
        <v>5169</v>
      </c>
      <c r="F175" s="96" t="s">
        <v>5170</v>
      </c>
      <c r="G175" s="142">
        <v>0.21</v>
      </c>
      <c r="H175" s="38" t="str">
        <f>VLOOKUP("NBB75DFI",STOCK!$B$2:$Q$3671,3,FALSE)</f>
        <v>Mayor a 5</v>
      </c>
    </row>
    <row r="176" ht="15.75" customHeight="1">
      <c r="A176" s="161" t="s">
        <v>4660</v>
      </c>
      <c r="B176" s="162" t="s">
        <v>5220</v>
      </c>
      <c r="C176" s="163" t="s">
        <v>5221</v>
      </c>
      <c r="D176" s="280">
        <v>100.0</v>
      </c>
      <c r="E176" s="238" t="s">
        <v>5222</v>
      </c>
      <c r="F176" s="101" t="s">
        <v>5223</v>
      </c>
      <c r="G176" s="102">
        <v>0.21</v>
      </c>
      <c r="H176" s="38" t="str">
        <f>VLOOKUP("NBB75DFG",STOCK!$B$2:$Q$3671,3,FALSE)</f>
        <v>Mayor a 5</v>
      </c>
    </row>
    <row r="177" ht="15.75" customHeight="1">
      <c r="A177" s="158" t="s">
        <v>4660</v>
      </c>
      <c r="B177" s="94" t="s">
        <v>5224</v>
      </c>
      <c r="C177" s="159" t="s">
        <v>5225</v>
      </c>
      <c r="D177" s="278"/>
      <c r="E177" s="236" t="s">
        <v>5226</v>
      </c>
      <c r="F177" s="96" t="s">
        <v>5227</v>
      </c>
      <c r="G177" s="142">
        <v>0.21</v>
      </c>
      <c r="H177" s="38" t="str">
        <f>VLOOKUP("NBB75DFGX",STOCK!$B$2:$Q$3671,3,FALSE)</f>
        <v>Mayor a 5</v>
      </c>
    </row>
    <row r="178" ht="15.75" customHeight="1">
      <c r="A178" s="28" t="s">
        <v>5228</v>
      </c>
      <c r="B178" s="31"/>
      <c r="C178" s="31"/>
      <c r="D178" s="31"/>
      <c r="E178" s="51"/>
      <c r="F178" s="51"/>
      <c r="G178" s="31"/>
      <c r="H178" s="29"/>
    </row>
    <row r="179" ht="15.75" customHeight="1">
      <c r="A179" s="158" t="s">
        <v>4660</v>
      </c>
      <c r="B179" s="166" t="s">
        <v>5229</v>
      </c>
      <c r="C179" s="158" t="s">
        <v>5230</v>
      </c>
      <c r="D179" s="281">
        <v>100.0</v>
      </c>
      <c r="E179" s="236" t="s">
        <v>5231</v>
      </c>
      <c r="F179" s="96" t="s">
        <v>5232</v>
      </c>
      <c r="G179" s="142">
        <v>0.21</v>
      </c>
      <c r="H179" s="38" t="str">
        <f>VLOOKUP("NAHDMI-W",STOCK!$B$2:$Q$3671,3,FALSE)</f>
        <v>Menor a 5</v>
      </c>
    </row>
    <row r="180" ht="15.75" customHeight="1">
      <c r="A180" s="28" t="s">
        <v>5233</v>
      </c>
      <c r="B180" s="31"/>
      <c r="C180" s="31"/>
      <c r="D180" s="31"/>
      <c r="E180" s="51"/>
      <c r="F180" s="51"/>
      <c r="G180" s="31"/>
      <c r="H180" s="29"/>
    </row>
    <row r="181" ht="15.75" customHeight="1">
      <c r="A181" s="158" t="s">
        <v>4660</v>
      </c>
      <c r="B181" s="166" t="s">
        <v>5234</v>
      </c>
      <c r="C181" s="159" t="s">
        <v>5235</v>
      </c>
      <c r="D181" s="281">
        <v>1.0</v>
      </c>
      <c r="E181" s="236" t="s">
        <v>5236</v>
      </c>
      <c r="F181" s="96" t="s">
        <v>5237</v>
      </c>
      <c r="G181" s="142">
        <v>0.21</v>
      </c>
      <c r="H181" s="38" t="str">
        <f>VLOOKUP("NKUSB-1",STOCK!$B$2:$Q$3671,3,FALSE)</f>
        <v>Mayor a 5</v>
      </c>
    </row>
    <row r="182" ht="15.75" customHeight="1">
      <c r="A182" s="161" t="s">
        <v>4660</v>
      </c>
      <c r="B182" s="162" t="s">
        <v>5238</v>
      </c>
      <c r="C182" s="163" t="s">
        <v>5239</v>
      </c>
      <c r="D182" s="280">
        <v>100.0</v>
      </c>
      <c r="E182" s="238" t="s">
        <v>5240</v>
      </c>
      <c r="F182" s="101" t="s">
        <v>5241</v>
      </c>
      <c r="G182" s="102">
        <v>0.21</v>
      </c>
      <c r="H182" s="46" t="str">
        <f>VLOOKUP("NAUSB-W",STOCK!$B$2:$Q$3671,3,FALSE)</f>
        <v>Mayor a 5</v>
      </c>
    </row>
    <row r="183" ht="15.75" customHeight="1">
      <c r="A183" s="158" t="s">
        <v>4660</v>
      </c>
      <c r="B183" s="166" t="s">
        <v>5242</v>
      </c>
      <c r="C183" s="159" t="s">
        <v>5243</v>
      </c>
      <c r="D183" s="281">
        <v>100.0</v>
      </c>
      <c r="E183" s="236" t="s">
        <v>5244</v>
      </c>
      <c r="F183" s="96" t="s">
        <v>5245</v>
      </c>
      <c r="G183" s="142">
        <v>0.21</v>
      </c>
      <c r="H183" s="283" t="str">
        <f>VLOOKUP("NAUSB3",STOCK!$B$2:$Q$3671,3,FALSE)</f>
        <v>Mayor a 5</v>
      </c>
    </row>
    <row r="184" ht="15.75" customHeight="1">
      <c r="A184" s="161" t="s">
        <v>4660</v>
      </c>
      <c r="B184" s="162" t="s">
        <v>5246</v>
      </c>
      <c r="C184" s="163" t="s">
        <v>5247</v>
      </c>
      <c r="D184" s="280">
        <v>100.0</v>
      </c>
      <c r="E184" s="238" t="s">
        <v>5248</v>
      </c>
      <c r="F184" s="101" t="s">
        <v>5249</v>
      </c>
      <c r="G184" s="102">
        <v>0.21</v>
      </c>
      <c r="H184" s="46" t="str">
        <f>VLOOKUP("NMC-C",STOCK!$B$2:$Q$3671,3,FALSE)</f>
        <v>Mayor a 5</v>
      </c>
    </row>
    <row r="185" ht="15.75" customHeight="1">
      <c r="A185" s="158" t="s">
        <v>4660</v>
      </c>
      <c r="B185" s="166" t="s">
        <v>5250</v>
      </c>
      <c r="C185" s="158" t="s">
        <v>5251</v>
      </c>
      <c r="D185" s="281">
        <v>100.0</v>
      </c>
      <c r="E185" s="236" t="s">
        <v>5252</v>
      </c>
      <c r="F185" s="96" t="s">
        <v>5253</v>
      </c>
      <c r="G185" s="142">
        <v>0.21</v>
      </c>
      <c r="H185" s="49" t="str">
        <f>VLOOKUP("NMC-C-HR",STOCK!$B$2:$Q$3671,3,FALSE)</f>
        <v>Mayor a 5</v>
      </c>
    </row>
    <row r="186" ht="15.75" customHeight="1">
      <c r="A186" s="28" t="s">
        <v>5254</v>
      </c>
      <c r="B186" s="31"/>
      <c r="C186" s="282"/>
      <c r="D186" s="282"/>
      <c r="E186" s="51"/>
      <c r="F186" s="51"/>
      <c r="G186" s="121"/>
      <c r="H186" s="121"/>
    </row>
    <row r="187" ht="15.75" customHeight="1">
      <c r="A187" s="158" t="s">
        <v>4660</v>
      </c>
      <c r="B187" s="164" t="s">
        <v>5255</v>
      </c>
      <c r="C187" s="286"/>
      <c r="D187" s="278"/>
      <c r="E187" s="249" t="s">
        <v>5256</v>
      </c>
      <c r="F187" s="43" t="s">
        <v>5257</v>
      </c>
      <c r="G187" s="142">
        <v>0.21</v>
      </c>
      <c r="H187" s="283" t="str">
        <f>VLOOKUP("NOSR-2C-L-ARD",STOCK!$B$2:$Q$3671,3,FALSE)</f>
        <v>Mayor a 5</v>
      </c>
    </row>
    <row r="188" ht="15.75" customHeight="1">
      <c r="A188" s="161" t="s">
        <v>4660</v>
      </c>
      <c r="B188" s="165" t="s">
        <v>5258</v>
      </c>
      <c r="C188" s="116"/>
      <c r="D188" s="116"/>
      <c r="E188" s="250" t="s">
        <v>5256</v>
      </c>
      <c r="F188" s="36" t="s">
        <v>5257</v>
      </c>
      <c r="G188" s="102">
        <v>0.21</v>
      </c>
      <c r="H188" s="283" t="str">
        <f>VLOOKUP("NOSR-4C-A-ARD",STOCK!$B$2:$Q$3671,3,FALSE)</f>
        <v>Mayor a 5</v>
      </c>
    </row>
    <row r="189" ht="15.75" customHeight="1">
      <c r="A189" s="158" t="s">
        <v>4660</v>
      </c>
      <c r="B189" s="164" t="s">
        <v>5259</v>
      </c>
      <c r="C189" s="278"/>
      <c r="D189" s="278"/>
      <c r="E189" s="249" t="s">
        <v>5260</v>
      </c>
      <c r="F189" s="43" t="s">
        <v>5261</v>
      </c>
      <c r="G189" s="142">
        <v>0.21</v>
      </c>
      <c r="H189" s="283" t="str">
        <f>VLOOKUP("NOSR-4C-L-ARD",STOCK!$B$2:$Q$3671,3,FALSE)</f>
        <v>Mayor a 5</v>
      </c>
    </row>
    <row r="190" ht="15.75" customHeight="1">
      <c r="A190" s="161" t="s">
        <v>4660</v>
      </c>
      <c r="B190" s="165" t="s">
        <v>5262</v>
      </c>
      <c r="C190" s="113"/>
      <c r="D190" s="116"/>
      <c r="E190" s="250" t="s">
        <v>5256</v>
      </c>
      <c r="F190" s="36" t="s">
        <v>5257</v>
      </c>
      <c r="G190" s="102">
        <v>0.21</v>
      </c>
      <c r="H190" s="38" t="str">
        <f>VLOOKUP("NO2SX-A-KIT",STOCK!$B$2:$Q$3671,3,FALSE)</f>
        <v>Menor a 5</v>
      </c>
    </row>
    <row r="191" ht="15.75" customHeight="1">
      <c r="A191" s="158" t="s">
        <v>4660</v>
      </c>
      <c r="B191" s="164" t="s">
        <v>5263</v>
      </c>
      <c r="C191" s="278"/>
      <c r="D191" s="278"/>
      <c r="E191" s="249" t="s">
        <v>5264</v>
      </c>
      <c r="F191" s="43" t="s">
        <v>5265</v>
      </c>
      <c r="G191" s="142">
        <v>0.21</v>
      </c>
      <c r="H191" s="49" t="str">
        <f>VLOOKUP("NO2SX-L-KIT",STOCK!$B$2:$Q$3671,3,FALSE)</f>
        <v>Mayor a 5</v>
      </c>
    </row>
    <row r="192" ht="15.75" customHeight="1">
      <c r="A192" s="161" t="s">
        <v>4660</v>
      </c>
      <c r="B192" s="165" t="s">
        <v>5266</v>
      </c>
      <c r="C192" s="116"/>
      <c r="D192" s="116"/>
      <c r="E192" s="250" t="s">
        <v>5267</v>
      </c>
      <c r="F192" s="36" t="s">
        <v>5268</v>
      </c>
      <c r="G192" s="102">
        <v>0.21</v>
      </c>
      <c r="H192" s="49" t="str">
        <f>VLOOKUP("NO4MX-A-KIT",STOCK!$B$2:$Q$3671,3,FALSE)</f>
        <v>Mayor a 5</v>
      </c>
    </row>
    <row r="193" ht="15.75" customHeight="1">
      <c r="A193" s="158" t="s">
        <v>4660</v>
      </c>
      <c r="B193" s="164" t="s">
        <v>5269</v>
      </c>
      <c r="C193" s="278"/>
      <c r="D193" s="278"/>
      <c r="E193" s="249" t="s">
        <v>5270</v>
      </c>
      <c r="F193" s="43" t="s">
        <v>5271</v>
      </c>
      <c r="G193" s="142">
        <v>0.21</v>
      </c>
      <c r="H193" s="49" t="str">
        <f>VLOOKUP("NO4SF-KIT",STOCK!$B$2:$Q$3671,3,FALSE)</f>
        <v>Mayor a 5</v>
      </c>
    </row>
    <row r="194" ht="15.75" customHeight="1">
      <c r="A194" s="161" t="s">
        <v>4660</v>
      </c>
      <c r="B194" s="161" t="s">
        <v>5272</v>
      </c>
      <c r="C194" s="116"/>
      <c r="D194" s="116"/>
      <c r="E194" s="250" t="s">
        <v>5273</v>
      </c>
      <c r="F194" s="36" t="s">
        <v>5274</v>
      </c>
      <c r="G194" s="102">
        <v>0.21</v>
      </c>
      <c r="H194" s="49" t="str">
        <f>VLOOKUP("NO4SX-L-KIT",STOCK!$B$2:$Q$3671,3,FALSE)</f>
        <v>Mayor a 5</v>
      </c>
    </row>
    <row r="195" ht="15.75" customHeight="1">
      <c r="A195" s="158" t="s">
        <v>4660</v>
      </c>
      <c r="B195" s="164" t="s">
        <v>5275</v>
      </c>
      <c r="C195" s="286"/>
      <c r="D195" s="278"/>
      <c r="E195" s="249" t="s">
        <v>5276</v>
      </c>
      <c r="F195" s="43" t="s">
        <v>5277</v>
      </c>
      <c r="G195" s="142">
        <v>0.21</v>
      </c>
      <c r="H195" s="49" t="str">
        <f>VLOOKUP("NOSR-S1-A-ARD",STOCK!$B$2:$Q$3671,3,FALSE)</f>
        <v>Mayor a 5</v>
      </c>
    </row>
    <row r="196" ht="15.75" customHeight="1">
      <c r="A196" s="161" t="s">
        <v>4660</v>
      </c>
      <c r="B196" s="162" t="s">
        <v>5278</v>
      </c>
      <c r="C196" s="163" t="s">
        <v>5279</v>
      </c>
      <c r="D196" s="280">
        <v>25.0</v>
      </c>
      <c r="E196" s="250" t="s">
        <v>5280</v>
      </c>
      <c r="F196" s="36" t="s">
        <v>5281</v>
      </c>
      <c r="G196" s="287">
        <v>0.21</v>
      </c>
      <c r="H196" s="49" t="str">
        <f>VLOOKUP("NO2-4FDW-A",STOCK!$B$2:$Q$3671,3,FALSE)</f>
        <v>Mayor a 5</v>
      </c>
    </row>
    <row r="197" ht="15.75" customHeight="1">
      <c r="A197" s="158" t="s">
        <v>4660</v>
      </c>
      <c r="B197" s="166" t="s">
        <v>5282</v>
      </c>
      <c r="C197" s="159" t="s">
        <v>5279</v>
      </c>
      <c r="D197" s="281">
        <v>25.0</v>
      </c>
      <c r="E197" s="249" t="s">
        <v>5283</v>
      </c>
      <c r="F197" s="43" t="s">
        <v>5284</v>
      </c>
      <c r="G197" s="288">
        <v>0.21</v>
      </c>
      <c r="H197" s="49" t="str">
        <f>VLOOKUP("NO4-FDW-A",STOCK!$B$2:$Q$3671,3,FALSE)</f>
        <v>Mayor a 5</v>
      </c>
    </row>
    <row r="198" ht="15.75" customHeight="1">
      <c r="A198" s="33" t="s">
        <v>4660</v>
      </c>
      <c r="B198" s="65" t="s">
        <v>5285</v>
      </c>
      <c r="C198" s="207" t="s">
        <v>5286</v>
      </c>
      <c r="D198" s="289">
        <v>1.0</v>
      </c>
      <c r="E198" s="250" t="s">
        <v>5287</v>
      </c>
      <c r="F198" s="36" t="s">
        <v>5288</v>
      </c>
      <c r="G198" s="37">
        <v>0.105</v>
      </c>
      <c r="H198" s="283"/>
    </row>
    <row r="199" ht="15.75" customHeight="1">
      <c r="A199" s="28" t="s">
        <v>5289</v>
      </c>
      <c r="B199" s="31"/>
      <c r="C199" s="31"/>
      <c r="D199" s="31"/>
      <c r="E199" s="51"/>
      <c r="F199" s="51"/>
      <c r="G199" s="31"/>
      <c r="H199" s="29"/>
    </row>
    <row r="200" ht="15.75" customHeight="1">
      <c r="A200" s="158" t="s">
        <v>4660</v>
      </c>
      <c r="B200" s="166" t="s">
        <v>5290</v>
      </c>
      <c r="C200" s="158" t="s">
        <v>5291</v>
      </c>
      <c r="D200" s="281">
        <v>1.0</v>
      </c>
      <c r="E200" s="236" t="s">
        <v>5292</v>
      </c>
      <c r="F200" s="96" t="s">
        <v>3136</v>
      </c>
      <c r="G200" s="142">
        <v>0.21</v>
      </c>
      <c r="H200" s="38" t="str">
        <f>VLOOKUP("NA2-IO-DPRO",STOCK!$B$2:$Q$3671,3,FALSE)</f>
        <v>Menor a 5</v>
      </c>
    </row>
    <row r="201" ht="15.75" customHeight="1">
      <c r="A201" s="28" t="s">
        <v>5293</v>
      </c>
      <c r="C201" s="282"/>
      <c r="D201" s="282"/>
      <c r="E201" s="51"/>
      <c r="F201" s="51"/>
      <c r="G201" s="121"/>
      <c r="H201" s="121"/>
    </row>
    <row r="202" ht="15.75" customHeight="1">
      <c r="A202" s="158" t="s">
        <v>4660</v>
      </c>
      <c r="B202" s="94" t="s">
        <v>5294</v>
      </c>
      <c r="C202" s="159" t="s">
        <v>5295</v>
      </c>
      <c r="D202" s="281">
        <v>100.0</v>
      </c>
      <c r="E202" s="236" t="s">
        <v>5296</v>
      </c>
      <c r="F202" s="96" t="s">
        <v>5297</v>
      </c>
      <c r="G202" s="142">
        <v>0.21</v>
      </c>
      <c r="H202" s="38" t="str">
        <f>VLOOKUP("NA1394-6-W",STOCK!$B$2:$Q$3671,3,FALSE)</f>
        <v>Mayor a 5</v>
      </c>
    </row>
    <row r="203" ht="15.75" customHeight="1">
      <c r="A203" s="28" t="s">
        <v>5298</v>
      </c>
      <c r="B203" s="31"/>
      <c r="C203" s="282"/>
      <c r="D203" s="282"/>
      <c r="E203" s="51"/>
      <c r="F203" s="51"/>
      <c r="G203" s="121"/>
      <c r="H203" s="121"/>
    </row>
    <row r="204" ht="15.75" customHeight="1">
      <c r="A204" s="158" t="s">
        <v>4660</v>
      </c>
      <c r="B204" s="164" t="s">
        <v>5299</v>
      </c>
      <c r="C204" s="159" t="s">
        <v>5300</v>
      </c>
      <c r="D204" s="278"/>
      <c r="E204" s="249" t="s">
        <v>5301</v>
      </c>
      <c r="F204" s="43" t="s">
        <v>5302</v>
      </c>
      <c r="G204" s="142">
        <v>0.21</v>
      </c>
      <c r="H204" s="49" t="str">
        <f>VLOOKUP("NKTT12-R",STOCK!$B$2:$Q$3671,3,FALSE)</f>
        <v>Mayor a 5</v>
      </c>
    </row>
    <row r="205" ht="15.75" customHeight="1">
      <c r="A205" s="161" t="s">
        <v>4660</v>
      </c>
      <c r="B205" s="165" t="s">
        <v>5303</v>
      </c>
      <c r="C205" s="161" t="s">
        <v>5304</v>
      </c>
      <c r="D205" s="116"/>
      <c r="E205" s="250" t="s">
        <v>5301</v>
      </c>
      <c r="F205" s="36" t="s">
        <v>5302</v>
      </c>
      <c r="G205" s="102">
        <v>0.21</v>
      </c>
      <c r="H205" s="38" t="str">
        <f>VLOOKUP("NKTT12-B",STOCK!$B$2:$Q$3671,3,FALSE)</f>
        <v>Mayor a 5</v>
      </c>
    </row>
    <row r="206" ht="15.75" customHeight="1">
      <c r="A206" s="158" t="s">
        <v>4660</v>
      </c>
      <c r="B206" s="166" t="s">
        <v>5305</v>
      </c>
      <c r="C206" s="159" t="s">
        <v>5306</v>
      </c>
      <c r="D206" s="281">
        <v>1.0</v>
      </c>
      <c r="E206" s="249" t="s">
        <v>5307</v>
      </c>
      <c r="F206" s="43" t="s">
        <v>5308</v>
      </c>
      <c r="G206" s="142">
        <v>0.21</v>
      </c>
      <c r="H206" s="38"/>
    </row>
    <row r="207" ht="15.75" customHeight="1">
      <c r="A207" s="161" t="s">
        <v>4660</v>
      </c>
      <c r="B207" s="162" t="s">
        <v>5309</v>
      </c>
      <c r="C207" s="163" t="s">
        <v>5310</v>
      </c>
      <c r="D207" s="280">
        <v>1.0</v>
      </c>
      <c r="E207" s="250" t="s">
        <v>5311</v>
      </c>
      <c r="F207" s="36" t="s">
        <v>5312</v>
      </c>
      <c r="G207" s="102">
        <v>0.21</v>
      </c>
      <c r="H207" s="283" t="str">
        <f>VLOOKUP("NPPA-TT-PT",STOCK!$B$2:$Q$3671,3,FALSE)</f>
        <v>Menor a 5</v>
      </c>
    </row>
    <row r="208" ht="15.75" customHeight="1">
      <c r="A208" s="158" t="s">
        <v>4660</v>
      </c>
      <c r="B208" s="166" t="s">
        <v>5313</v>
      </c>
      <c r="C208" s="159" t="s">
        <v>5314</v>
      </c>
      <c r="D208" s="281">
        <v>1.0</v>
      </c>
      <c r="E208" s="249" t="s">
        <v>5315</v>
      </c>
      <c r="F208" s="43" t="s">
        <v>5316</v>
      </c>
      <c r="G208" s="142">
        <v>0.21</v>
      </c>
      <c r="H208" s="38" t="str">
        <f>VLOOKUP("NPP-TB",STOCK!$B$2:$Q$3671,3,FALSE)</f>
        <v>Menor a 5</v>
      </c>
    </row>
    <row r="209" ht="15.75" customHeight="1">
      <c r="A209" s="161" t="s">
        <v>4660</v>
      </c>
      <c r="B209" s="162" t="s">
        <v>5317</v>
      </c>
      <c r="C209" s="163" t="s">
        <v>5318</v>
      </c>
      <c r="D209" s="280">
        <v>1.0</v>
      </c>
      <c r="E209" s="250" t="s">
        <v>5319</v>
      </c>
      <c r="F209" s="36" t="s">
        <v>5320</v>
      </c>
      <c r="G209" s="102">
        <v>0.21</v>
      </c>
      <c r="H209" s="29" t="str">
        <f>VLOOKUP("NPP-TB-HN",STOCK!$B$2:$Q$3671,3,FALSE)</f>
        <v>Mayor a 5</v>
      </c>
    </row>
    <row r="210" ht="15.75" customHeight="1">
      <c r="A210" s="158" t="s">
        <v>4660</v>
      </c>
      <c r="B210" s="166" t="s">
        <v>5321</v>
      </c>
      <c r="C210" s="158" t="s">
        <v>5322</v>
      </c>
      <c r="D210" s="281">
        <v>1.0</v>
      </c>
      <c r="E210" s="249" t="s">
        <v>5323</v>
      </c>
      <c r="F210" s="43" t="s">
        <v>5324</v>
      </c>
      <c r="G210" s="142">
        <v>0.21</v>
      </c>
      <c r="H210" s="283"/>
    </row>
    <row r="211" ht="15.75" customHeight="1">
      <c r="A211" s="161" t="s">
        <v>4660</v>
      </c>
      <c r="B211" s="162" t="s">
        <v>5325</v>
      </c>
      <c r="C211" s="163" t="s">
        <v>5326</v>
      </c>
      <c r="D211" s="280">
        <v>1.0</v>
      </c>
      <c r="E211" s="250" t="s">
        <v>5327</v>
      </c>
      <c r="F211" s="36" t="s">
        <v>5328</v>
      </c>
      <c r="G211" s="102">
        <v>0.21</v>
      </c>
      <c r="H211" s="283"/>
    </row>
    <row r="212" ht="15.75" customHeight="1">
      <c r="A212" s="158" t="s">
        <v>4660</v>
      </c>
      <c r="B212" s="166" t="s">
        <v>5329</v>
      </c>
      <c r="C212" s="159" t="s">
        <v>5326</v>
      </c>
      <c r="D212" s="281">
        <v>1.0</v>
      </c>
      <c r="E212" s="249" t="s">
        <v>5327</v>
      </c>
      <c r="F212" s="43" t="s">
        <v>5328</v>
      </c>
      <c r="G212" s="142">
        <v>0.21</v>
      </c>
      <c r="H212" s="46" t="str">
        <f>VLOOKUP("NKTT05BU",STOCK!$B$2:$Q$3671,3,FALSE)</f>
        <v>#N/A</v>
      </c>
    </row>
    <row r="213" ht="15.75" customHeight="1">
      <c r="A213" s="161" t="s">
        <v>4660</v>
      </c>
      <c r="B213" s="162" t="s">
        <v>5330</v>
      </c>
      <c r="C213" s="163" t="s">
        <v>5331</v>
      </c>
      <c r="D213" s="280">
        <v>10.0</v>
      </c>
      <c r="E213" s="250" t="s">
        <v>5332</v>
      </c>
      <c r="F213" s="36" t="s">
        <v>5333</v>
      </c>
      <c r="G213" s="102">
        <v>0.21</v>
      </c>
      <c r="H213" s="46" t="str">
        <f>VLOOKUP("NKTB05-R",STOCK!$B$2:$Q$3671,3,FALSE)</f>
        <v>Mayor a 5</v>
      </c>
    </row>
    <row r="214" ht="15.75" customHeight="1">
      <c r="A214" s="158" t="s">
        <v>4660</v>
      </c>
      <c r="B214" s="166" t="s">
        <v>5334</v>
      </c>
      <c r="C214" s="159" t="s">
        <v>5331</v>
      </c>
      <c r="D214" s="281">
        <v>10.0</v>
      </c>
      <c r="E214" s="249" t="s">
        <v>5335</v>
      </c>
      <c r="F214" s="43" t="s">
        <v>5336</v>
      </c>
      <c r="G214" s="142">
        <v>0.21</v>
      </c>
      <c r="H214" s="46" t="str">
        <f>VLOOKUP("NKTB05-B",STOCK!$B$2:$Q$3671,3,FALSE)</f>
        <v>Mayor a 5</v>
      </c>
    </row>
    <row r="215" ht="15.75" customHeight="1">
      <c r="A215" s="161" t="s">
        <v>4660</v>
      </c>
      <c r="B215" s="162" t="s">
        <v>5337</v>
      </c>
      <c r="C215" s="161" t="s">
        <v>5338</v>
      </c>
      <c r="D215" s="280">
        <v>100.0</v>
      </c>
      <c r="E215" s="250" t="s">
        <v>4974</v>
      </c>
      <c r="F215" s="36" t="s">
        <v>4975</v>
      </c>
      <c r="G215" s="102">
        <v>0.21</v>
      </c>
      <c r="H215" s="46" t="str">
        <f>VLOOKUP("NP3TT-P-B",STOCK!$B$2:$Q$3671,3,FALSE)</f>
        <v>Menor a 5</v>
      </c>
    </row>
    <row r="216" ht="15.75" customHeight="1">
      <c r="A216" s="158" t="s">
        <v>4660</v>
      </c>
      <c r="B216" s="166" t="s">
        <v>5339</v>
      </c>
      <c r="C216" s="159" t="s">
        <v>5340</v>
      </c>
      <c r="D216" s="281">
        <v>100.0</v>
      </c>
      <c r="E216" s="236" t="s">
        <v>4858</v>
      </c>
      <c r="F216" s="96" t="s">
        <v>4859</v>
      </c>
      <c r="G216" s="142">
        <v>0.21</v>
      </c>
      <c r="H216" s="283"/>
    </row>
    <row r="217" ht="15.75" customHeight="1">
      <c r="A217" s="28" t="s">
        <v>5341</v>
      </c>
      <c r="B217" s="31"/>
      <c r="C217" s="282"/>
      <c r="D217" s="282"/>
      <c r="E217" s="51"/>
      <c r="F217" s="51"/>
      <c r="G217" s="121"/>
      <c r="H217" s="121"/>
    </row>
    <row r="218" ht="15.75" customHeight="1">
      <c r="A218" s="158" t="s">
        <v>4660</v>
      </c>
      <c r="B218" s="166" t="s">
        <v>5342</v>
      </c>
      <c r="C218" s="158" t="s">
        <v>5343</v>
      </c>
      <c r="D218" s="281">
        <v>1.0</v>
      </c>
      <c r="E218" s="236" t="s">
        <v>5344</v>
      </c>
      <c r="F218" s="96" t="s">
        <v>5345</v>
      </c>
      <c r="G218" s="142">
        <v>0.21</v>
      </c>
      <c r="H218" s="38" t="str">
        <f>VLOOKUP("GN18",STOCK!$B$2:$Q$3671,3,FALSE)</f>
        <v>Mayor a 5</v>
      </c>
    </row>
    <row r="219" ht="15.75" customHeight="1">
      <c r="A219" s="28" t="s">
        <v>5346</v>
      </c>
      <c r="B219" s="31"/>
      <c r="C219" s="282"/>
      <c r="D219" s="31"/>
      <c r="E219" s="51"/>
      <c r="F219" s="51"/>
      <c r="G219" s="31"/>
      <c r="H219" s="29"/>
    </row>
    <row r="220" ht="15.75" customHeight="1">
      <c r="A220" s="158" t="s">
        <v>4660</v>
      </c>
      <c r="B220" s="166" t="s">
        <v>5347</v>
      </c>
      <c r="C220" s="159" t="s">
        <v>5348</v>
      </c>
      <c r="D220" s="281">
        <v>10.0</v>
      </c>
      <c r="E220" s="249" t="s">
        <v>5349</v>
      </c>
      <c r="F220" s="43" t="s">
        <v>5350</v>
      </c>
      <c r="G220" s="142">
        <v>0.21</v>
      </c>
      <c r="H220" s="38" t="str">
        <f>VLOOKUP("NMK-20U-0.5",STOCK!$B$2:$Q$3671,3,FALSE)</f>
        <v>Menor a 5</v>
      </c>
    </row>
    <row r="221" ht="15.75" customHeight="1">
      <c r="A221" s="161" t="s">
        <v>4660</v>
      </c>
      <c r="B221" s="162" t="s">
        <v>5351</v>
      </c>
      <c r="C221" s="161" t="s">
        <v>5352</v>
      </c>
      <c r="D221" s="280">
        <v>10.0</v>
      </c>
      <c r="E221" s="250" t="s">
        <v>5353</v>
      </c>
      <c r="F221" s="36" t="s">
        <v>5354</v>
      </c>
      <c r="G221" s="102">
        <v>0.21</v>
      </c>
      <c r="H221" s="38" t="str">
        <f>VLOOKUP("NMK-20U-1",STOCK!$B$2:$Q$3671,3,FALSE)</f>
        <v>Menor a 5</v>
      </c>
    </row>
    <row r="222" ht="15.75" customHeight="1">
      <c r="A222" s="28" t="s">
        <v>5355</v>
      </c>
      <c r="C222" s="282"/>
      <c r="D222" s="282"/>
      <c r="E222" s="51"/>
      <c r="F222" s="51"/>
      <c r="G222" s="121"/>
      <c r="H222" s="121"/>
    </row>
    <row r="223" ht="15.75" customHeight="1">
      <c r="A223" s="158" t="s">
        <v>5009</v>
      </c>
      <c r="B223" s="166" t="s">
        <v>5356</v>
      </c>
      <c r="C223" s="159" t="s">
        <v>5357</v>
      </c>
      <c r="D223" s="281">
        <v>100.0</v>
      </c>
      <c r="E223" s="249" t="s">
        <v>5358</v>
      </c>
      <c r="F223" s="43" t="s">
        <v>5359</v>
      </c>
      <c r="G223" s="142">
        <v>0.21</v>
      </c>
      <c r="H223" s="38" t="str">
        <f>VLOOKUP("NYS352",STOCK!$B$2:$Q$3671,3,FALSE)</f>
        <v>Mayor a 5</v>
      </c>
    </row>
    <row r="224" ht="15.75" customHeight="1">
      <c r="A224" s="161" t="s">
        <v>5009</v>
      </c>
      <c r="B224" s="162" t="s">
        <v>5360</v>
      </c>
      <c r="C224" s="161" t="s">
        <v>5361</v>
      </c>
      <c r="D224" s="280">
        <v>100.0</v>
      </c>
      <c r="E224" s="250" t="s">
        <v>4917</v>
      </c>
      <c r="F224" s="36" t="s">
        <v>4918</v>
      </c>
      <c r="G224" s="102">
        <v>0.21</v>
      </c>
      <c r="H224" s="38" t="str">
        <f>VLOOKUP("NYS373-0",STOCK!$B$2:$Q$3671,3,FALSE)</f>
        <v>Mayor a 5</v>
      </c>
    </row>
    <row r="225" ht="15.75" customHeight="1">
      <c r="A225" s="158" t="s">
        <v>5009</v>
      </c>
      <c r="B225" s="166" t="s">
        <v>5362</v>
      </c>
      <c r="C225" s="159" t="s">
        <v>5363</v>
      </c>
      <c r="D225" s="281">
        <v>100.0</v>
      </c>
      <c r="E225" s="249" t="s">
        <v>5364</v>
      </c>
      <c r="F225" s="43" t="s">
        <v>5365</v>
      </c>
      <c r="G225" s="142">
        <v>0.21</v>
      </c>
      <c r="H225" s="38" t="str">
        <f>VLOOKUP("NYS373-2",STOCK!$B$2:$Q$3671,3,FALSE)</f>
        <v>Mayor a 5</v>
      </c>
    </row>
    <row r="226" ht="15.75" customHeight="1">
      <c r="A226" s="161" t="s">
        <v>5009</v>
      </c>
      <c r="B226" s="162" t="s">
        <v>5366</v>
      </c>
      <c r="C226" s="163" t="s">
        <v>5367</v>
      </c>
      <c r="D226" s="280">
        <v>100.0</v>
      </c>
      <c r="E226" s="250" t="s">
        <v>5368</v>
      </c>
      <c r="F226" s="36" t="s">
        <v>5369</v>
      </c>
      <c r="G226" s="102">
        <v>0.21</v>
      </c>
      <c r="H226" s="38" t="str">
        <f>VLOOKUP("NYS373-5",STOCK!$B$2:$Q$3671,3,FALSE)</f>
        <v>Mayor a 5</v>
      </c>
    </row>
    <row r="227" ht="15.75" customHeight="1">
      <c r="A227" s="158" t="s">
        <v>5009</v>
      </c>
      <c r="B227" s="166" t="s">
        <v>5370</v>
      </c>
      <c r="C227" s="159" t="s">
        <v>5371</v>
      </c>
      <c r="D227" s="281">
        <v>10.0</v>
      </c>
      <c r="E227" s="249" t="s">
        <v>5372</v>
      </c>
      <c r="F227" s="43" t="s">
        <v>5373</v>
      </c>
      <c r="G227" s="142">
        <v>0.21</v>
      </c>
      <c r="H227" s="38" t="str">
        <f>VLOOKUP("NF2C-B/2",STOCK!$B$2:$Q$3671,3,FALSE)</f>
        <v>Mayor a 5</v>
      </c>
    </row>
    <row r="228" ht="15.75" customHeight="1">
      <c r="A228" s="161" t="s">
        <v>5009</v>
      </c>
      <c r="B228" s="162" t="s">
        <v>5374</v>
      </c>
      <c r="C228" s="163" t="s">
        <v>5375</v>
      </c>
      <c r="D228" s="280">
        <v>200.0</v>
      </c>
      <c r="E228" s="250" t="s">
        <v>5364</v>
      </c>
      <c r="F228" s="36" t="s">
        <v>5365</v>
      </c>
      <c r="G228" s="102">
        <v>0.21</v>
      </c>
      <c r="H228" s="38" t="str">
        <f>VLOOKUP("NYS367-0",STOCK!$B$2:$Q$3671,3,FALSE)</f>
        <v>Mayor a 5</v>
      </c>
    </row>
    <row r="229" ht="15.75" customHeight="1">
      <c r="A229" s="158" t="s">
        <v>5009</v>
      </c>
      <c r="B229" s="166" t="s">
        <v>5376</v>
      </c>
      <c r="C229" s="159" t="s">
        <v>5377</v>
      </c>
      <c r="D229" s="281">
        <v>200.0</v>
      </c>
      <c r="E229" s="249" t="s">
        <v>5364</v>
      </c>
      <c r="F229" s="43" t="s">
        <v>5365</v>
      </c>
      <c r="G229" s="142">
        <v>0.21</v>
      </c>
      <c r="H229" s="38" t="str">
        <f>VLOOKUP("NYS367-2",STOCK!$B$2:$Q$3671,3,FALSE)</f>
        <v>Mayor a 5</v>
      </c>
    </row>
    <row r="230" ht="15.75" customHeight="1">
      <c r="A230" s="161" t="s">
        <v>5009</v>
      </c>
      <c r="B230" s="161" t="s">
        <v>5378</v>
      </c>
      <c r="C230" s="163" t="s">
        <v>5379</v>
      </c>
      <c r="D230" s="280">
        <v>100.0</v>
      </c>
      <c r="E230" s="250" t="s">
        <v>5380</v>
      </c>
      <c r="F230" s="36" t="s">
        <v>5381</v>
      </c>
      <c r="G230" s="102">
        <v>0.21</v>
      </c>
      <c r="H230" s="283"/>
    </row>
    <row r="231" ht="15.75" customHeight="1">
      <c r="A231" s="158" t="s">
        <v>5009</v>
      </c>
      <c r="B231" s="166" t="s">
        <v>5382</v>
      </c>
      <c r="C231" s="159" t="s">
        <v>5383</v>
      </c>
      <c r="D231" s="281">
        <v>1.0</v>
      </c>
      <c r="E231" s="236" t="s">
        <v>5384</v>
      </c>
      <c r="F231" s="96" t="s">
        <v>5385</v>
      </c>
      <c r="G231" s="142">
        <v>0.21</v>
      </c>
      <c r="H231" s="38" t="str">
        <f>VLOOKUP("NYS-SPP-L",STOCK!$B$2:$Q$3671,3,FALSE)</f>
        <v>Mayor a 5</v>
      </c>
    </row>
    <row r="232" ht="15.75" customHeight="1">
      <c r="A232" s="28" t="s">
        <v>5146</v>
      </c>
      <c r="B232" s="31"/>
      <c r="C232" s="282"/>
      <c r="D232" s="282"/>
      <c r="E232" s="51"/>
      <c r="F232" s="51"/>
      <c r="G232" s="121"/>
      <c r="H232" s="121"/>
    </row>
    <row r="233" ht="15.75" customHeight="1">
      <c r="A233" s="158" t="s">
        <v>5009</v>
      </c>
      <c r="B233" s="166" t="s">
        <v>5386</v>
      </c>
      <c r="C233" s="159" t="s">
        <v>5387</v>
      </c>
      <c r="D233" s="281">
        <v>100.0</v>
      </c>
      <c r="E233" s="249" t="s">
        <v>5388</v>
      </c>
      <c r="F233" s="43" t="s">
        <v>5389</v>
      </c>
      <c r="G233" s="142">
        <v>0.21</v>
      </c>
      <c r="H233" s="283"/>
    </row>
    <row r="234" ht="15.75" customHeight="1">
      <c r="A234" s="161" t="s">
        <v>5009</v>
      </c>
      <c r="B234" s="162" t="s">
        <v>5390</v>
      </c>
      <c r="C234" s="163" t="s">
        <v>5391</v>
      </c>
      <c r="D234" s="280">
        <v>100.0</v>
      </c>
      <c r="E234" s="250" t="s">
        <v>5392</v>
      </c>
      <c r="F234" s="36" t="s">
        <v>5393</v>
      </c>
      <c r="G234" s="102">
        <v>0.21</v>
      </c>
      <c r="H234" s="283"/>
    </row>
    <row r="235" ht="15.75" customHeight="1">
      <c r="A235" s="158" t="s">
        <v>5009</v>
      </c>
      <c r="B235" s="166" t="s">
        <v>5394</v>
      </c>
      <c r="C235" s="159" t="s">
        <v>5395</v>
      </c>
      <c r="D235" s="281">
        <v>100.0</v>
      </c>
      <c r="E235" s="249" t="s">
        <v>5396</v>
      </c>
      <c r="F235" s="43" t="s">
        <v>5397</v>
      </c>
      <c r="G235" s="142">
        <v>0.21</v>
      </c>
      <c r="H235" s="38" t="str">
        <f>VLOOKUP("RE8MY-1",STOCK!$B$2:$Q$3671,3,FALSE)</f>
        <v>Mayor a 5</v>
      </c>
    </row>
    <row r="236" ht="15.75" customHeight="1">
      <c r="A236" s="161" t="s">
        <v>5009</v>
      </c>
      <c r="B236" s="162" t="s">
        <v>5398</v>
      </c>
      <c r="C236" s="163" t="s">
        <v>5399</v>
      </c>
      <c r="D236" s="280">
        <v>100.0</v>
      </c>
      <c r="E236" s="250" t="s">
        <v>5400</v>
      </c>
      <c r="F236" s="36" t="s">
        <v>5401</v>
      </c>
      <c r="G236" s="102">
        <v>0.21</v>
      </c>
      <c r="H236" s="38" t="str">
        <f>VLOOKUP("RE8MY-1-D",STOCK!$B$2:$Q$3671,3,FALSE)</f>
        <v>Mayor a 5</v>
      </c>
    </row>
    <row r="237" ht="15.75" customHeight="1">
      <c r="A237" s="28" t="s">
        <v>4659</v>
      </c>
      <c r="B237" s="31"/>
      <c r="C237" s="282"/>
      <c r="D237" s="282"/>
      <c r="E237" s="51"/>
      <c r="F237" s="51"/>
      <c r="G237" s="121"/>
      <c r="H237" s="121"/>
    </row>
    <row r="238" ht="15.75" customHeight="1">
      <c r="A238" s="158" t="s">
        <v>5009</v>
      </c>
      <c r="B238" s="166" t="s">
        <v>5402</v>
      </c>
      <c r="C238" s="159" t="s">
        <v>5403</v>
      </c>
      <c r="D238" s="281">
        <v>100.0</v>
      </c>
      <c r="E238" s="249" t="s">
        <v>5404</v>
      </c>
      <c r="F238" s="43" t="s">
        <v>5405</v>
      </c>
      <c r="G238" s="142">
        <v>0.21</v>
      </c>
      <c r="H238" s="38" t="str">
        <f>VLOOKUP("RC3F-D",STOCK!$B$2:$Q$3671,3,FALSE)</f>
        <v>Mayor a 5</v>
      </c>
    </row>
    <row r="239" ht="15.75" customHeight="1">
      <c r="A239" s="161" t="s">
        <v>5009</v>
      </c>
      <c r="B239" s="162" t="s">
        <v>5406</v>
      </c>
      <c r="C239" s="161" t="s">
        <v>5407</v>
      </c>
      <c r="D239" s="280">
        <v>100.0</v>
      </c>
      <c r="E239" s="250" t="s">
        <v>5396</v>
      </c>
      <c r="F239" s="36" t="s">
        <v>5397</v>
      </c>
      <c r="G239" s="102">
        <v>0.21</v>
      </c>
      <c r="H239" s="38" t="str">
        <f>VLOOKUP("RC3M-D",STOCK!$B$2:$Q$3671,3,FALSE)</f>
        <v>Mayor a 5</v>
      </c>
    </row>
    <row r="240" ht="15.75" customHeight="1">
      <c r="A240" s="158" t="s">
        <v>5009</v>
      </c>
      <c r="B240" s="166" t="s">
        <v>5408</v>
      </c>
      <c r="C240" s="159" t="s">
        <v>4690</v>
      </c>
      <c r="D240" s="281">
        <v>100.0</v>
      </c>
      <c r="E240" s="249" t="s">
        <v>5409</v>
      </c>
      <c r="F240" s="43" t="s">
        <v>5410</v>
      </c>
      <c r="G240" s="142">
        <v>0.21</v>
      </c>
      <c r="H240" s="46" t="str">
        <f>VLOOKUP("RC3F",STOCK!$B$2:$Q$3671,3,FALSE)</f>
        <v>Mayor a 5</v>
      </c>
    </row>
    <row r="241" ht="15.75" customHeight="1">
      <c r="A241" s="161" t="s">
        <v>5009</v>
      </c>
      <c r="B241" s="162" t="s">
        <v>5411</v>
      </c>
      <c r="C241" s="163" t="s">
        <v>4698</v>
      </c>
      <c r="D241" s="280">
        <v>100.0</v>
      </c>
      <c r="E241" s="250" t="s">
        <v>5412</v>
      </c>
      <c r="F241" s="36" t="s">
        <v>5413</v>
      </c>
      <c r="G241" s="102">
        <v>0.21</v>
      </c>
      <c r="H241" s="38" t="str">
        <f>VLOOKUP("RC3M",STOCK!$B$2:$Q$3671,3,FALSE)</f>
        <v>Mayor a 5</v>
      </c>
    </row>
    <row r="242" ht="15.75" customHeight="1">
      <c r="A242" s="158" t="s">
        <v>5009</v>
      </c>
      <c r="B242" s="164" t="s">
        <v>5414</v>
      </c>
      <c r="C242" s="159" t="s">
        <v>5415</v>
      </c>
      <c r="D242" s="278"/>
      <c r="E242" s="249" t="s">
        <v>5416</v>
      </c>
      <c r="F242" s="43" t="s">
        <v>5417</v>
      </c>
      <c r="G242" s="142">
        <v>0.21</v>
      </c>
      <c r="H242" s="38" t="str">
        <f>VLOOKUP("RC3F-B",STOCK!$B$2:$Q$3671,3,FALSE)</f>
        <v>Mayor a 5</v>
      </c>
    </row>
    <row r="243" ht="15.75" customHeight="1">
      <c r="A243" s="161" t="s">
        <v>5009</v>
      </c>
      <c r="B243" s="165" t="s">
        <v>5418</v>
      </c>
      <c r="C243" s="285" t="s">
        <v>5419</v>
      </c>
      <c r="D243" s="116"/>
      <c r="E243" s="250" t="s">
        <v>5420</v>
      </c>
      <c r="F243" s="36" t="s">
        <v>5421</v>
      </c>
      <c r="G243" s="102">
        <v>0.21</v>
      </c>
      <c r="H243" s="38" t="str">
        <f>VLOOKUP("RC3F-BAG-D",STOCK!$B$2:$Q$3671,3,FALSE)</f>
        <v>Mayor a 5</v>
      </c>
    </row>
    <row r="244" ht="15.75" customHeight="1">
      <c r="A244" s="158" t="s">
        <v>5009</v>
      </c>
      <c r="B244" s="164" t="s">
        <v>5422</v>
      </c>
      <c r="C244" s="159" t="s">
        <v>5423</v>
      </c>
      <c r="D244" s="278"/>
      <c r="E244" s="249" t="s">
        <v>5424</v>
      </c>
      <c r="F244" s="43" t="s">
        <v>5425</v>
      </c>
      <c r="G244" s="142">
        <v>0.21</v>
      </c>
      <c r="H244" s="38" t="str">
        <f>VLOOKUP("RC3M-B",STOCK!$B$2:$Q$3671,3,FALSE)</f>
        <v>Mayor a 5</v>
      </c>
    </row>
    <row r="245" ht="15.75" customHeight="1">
      <c r="A245" s="161" t="s">
        <v>5009</v>
      </c>
      <c r="B245" s="165" t="s">
        <v>5426</v>
      </c>
      <c r="C245" s="285" t="s">
        <v>5427</v>
      </c>
      <c r="D245" s="116"/>
      <c r="E245" s="250" t="s">
        <v>5428</v>
      </c>
      <c r="F245" s="36" t="s">
        <v>5429</v>
      </c>
      <c r="G245" s="102">
        <v>0.21</v>
      </c>
      <c r="H245" s="38" t="str">
        <f>VLOOKUP("RC3M-BAG-D",STOCK!$B$2:$Q$3671,3,FALSE)</f>
        <v>Mayor a 5</v>
      </c>
    </row>
    <row r="246" ht="15.75" customHeight="1">
      <c r="A246" s="28" t="s">
        <v>4768</v>
      </c>
      <c r="B246" s="31"/>
      <c r="C246" s="31"/>
      <c r="D246" s="282"/>
      <c r="E246" s="51"/>
      <c r="F246" s="51"/>
      <c r="G246" s="121"/>
      <c r="H246" s="121"/>
    </row>
    <row r="247" ht="15.75" customHeight="1">
      <c r="A247" s="158" t="s">
        <v>5009</v>
      </c>
      <c r="B247" s="166" t="s">
        <v>5430</v>
      </c>
      <c r="C247" s="159" t="s">
        <v>5431</v>
      </c>
      <c r="D247" s="281">
        <v>100.0</v>
      </c>
      <c r="E247" s="249" t="s">
        <v>5432</v>
      </c>
      <c r="F247" s="43" t="s">
        <v>5433</v>
      </c>
      <c r="G247" s="142">
        <v>0.21</v>
      </c>
      <c r="H247" s="46" t="str">
        <f>VLOOKUP("RC5F-D",STOCK!$B$2:$Q$3671,3,FALSE)</f>
        <v>Mayor a 5</v>
      </c>
    </row>
    <row r="248" ht="15.75" customHeight="1">
      <c r="A248" s="161" t="s">
        <v>5009</v>
      </c>
      <c r="B248" s="162" t="s">
        <v>5434</v>
      </c>
      <c r="C248" s="161" t="s">
        <v>5435</v>
      </c>
      <c r="D248" s="280">
        <v>100.0</v>
      </c>
      <c r="E248" s="250" t="s">
        <v>5436</v>
      </c>
      <c r="F248" s="36" t="s">
        <v>5437</v>
      </c>
      <c r="G248" s="102">
        <v>0.21</v>
      </c>
      <c r="H248" s="46" t="str">
        <f>VLOOKUP("RC5M-D",STOCK!$B$2:$Q$3671,3,FALSE)</f>
        <v>Mayor a 5</v>
      </c>
    </row>
    <row r="249" ht="15.75" customHeight="1">
      <c r="A249" s="158" t="s">
        <v>5009</v>
      </c>
      <c r="B249" s="166" t="s">
        <v>5438</v>
      </c>
      <c r="C249" s="159" t="s">
        <v>5439</v>
      </c>
      <c r="D249" s="281">
        <v>100.0</v>
      </c>
      <c r="E249" s="249" t="s">
        <v>4909</v>
      </c>
      <c r="F249" s="43" t="s">
        <v>4910</v>
      </c>
      <c r="G249" s="142">
        <v>0.21</v>
      </c>
      <c r="H249" s="46" t="str">
        <f>VLOOKUP("RC5F",STOCK!$B$2:$Q$3671,3,FALSE)</f>
        <v>Mayor a 5</v>
      </c>
    </row>
    <row r="250" ht="15.75" customHeight="1">
      <c r="A250" s="161" t="s">
        <v>5009</v>
      </c>
      <c r="B250" s="162" t="s">
        <v>5440</v>
      </c>
      <c r="C250" s="163" t="s">
        <v>5441</v>
      </c>
      <c r="D250" s="280">
        <v>100.0</v>
      </c>
      <c r="E250" s="250" t="s">
        <v>5416</v>
      </c>
      <c r="F250" s="36" t="s">
        <v>5417</v>
      </c>
      <c r="G250" s="102">
        <v>0.21</v>
      </c>
      <c r="H250" s="46" t="str">
        <f>VLOOKUP("RC5M",STOCK!$B$2:$Q$3671,3,FALSE)</f>
        <v>Mayor a 5</v>
      </c>
    </row>
    <row r="251" ht="15.75" customHeight="1">
      <c r="A251" s="28" t="s">
        <v>4807</v>
      </c>
      <c r="B251" s="31"/>
      <c r="C251" s="31"/>
      <c r="D251" s="282"/>
      <c r="E251" s="51"/>
      <c r="F251" s="51"/>
      <c r="G251" s="121"/>
      <c r="H251" s="121"/>
    </row>
    <row r="252" ht="15.75" customHeight="1">
      <c r="A252" s="158" t="s">
        <v>5009</v>
      </c>
      <c r="B252" s="166" t="s">
        <v>5442</v>
      </c>
      <c r="C252" s="159" t="s">
        <v>4817</v>
      </c>
      <c r="D252" s="281">
        <v>50.0</v>
      </c>
      <c r="E252" s="249" t="s">
        <v>4917</v>
      </c>
      <c r="F252" s="43" t="s">
        <v>4918</v>
      </c>
      <c r="G252" s="142">
        <v>0.21</v>
      </c>
      <c r="H252" s="38" t="str">
        <f>VLOOKUP("RC3FDL",STOCK!$B$2:$Q$3671,3,FALSE)</f>
        <v>Mayor a 5</v>
      </c>
    </row>
    <row r="253" ht="15.75" customHeight="1">
      <c r="A253" s="161" t="s">
        <v>5009</v>
      </c>
      <c r="B253" s="162" t="s">
        <v>5443</v>
      </c>
      <c r="C253" s="163" t="s">
        <v>4821</v>
      </c>
      <c r="D253" s="280">
        <v>50.0</v>
      </c>
      <c r="E253" s="250" t="s">
        <v>5404</v>
      </c>
      <c r="F253" s="36" t="s">
        <v>5405</v>
      </c>
      <c r="G253" s="102">
        <v>0.21</v>
      </c>
      <c r="H253" s="38" t="str">
        <f>VLOOKUP("RC3MDL",STOCK!$B$2:$Q$3671,3,FALSE)</f>
        <v>Mayor a 5</v>
      </c>
    </row>
    <row r="254" ht="15.75" customHeight="1">
      <c r="A254" s="158" t="s">
        <v>5009</v>
      </c>
      <c r="B254" s="164" t="s">
        <v>5444</v>
      </c>
      <c r="C254" s="279" t="s">
        <v>5445</v>
      </c>
      <c r="D254" s="278"/>
      <c r="E254" s="236" t="s">
        <v>5446</v>
      </c>
      <c r="F254" s="96" t="s">
        <v>5447</v>
      </c>
      <c r="G254" s="142">
        <v>0.21</v>
      </c>
      <c r="H254" s="38" t="str">
        <f>VLOOKUP("RRX3F-Z",STOCK!$B$2:$Q$3671,3,FALSE)</f>
        <v>Mayor a 5</v>
      </c>
    </row>
    <row r="255" ht="15.75" customHeight="1">
      <c r="A255" s="28" t="s">
        <v>4847</v>
      </c>
      <c r="B255" s="31"/>
      <c r="C255" s="282"/>
      <c r="D255" s="31"/>
      <c r="E255" s="51"/>
      <c r="F255" s="51"/>
      <c r="G255" s="31"/>
      <c r="H255" s="29"/>
    </row>
    <row r="256" ht="15.75" customHeight="1">
      <c r="A256" s="158" t="s">
        <v>5009</v>
      </c>
      <c r="B256" s="166" t="s">
        <v>5448</v>
      </c>
      <c r="C256" s="159" t="s">
        <v>5449</v>
      </c>
      <c r="D256" s="281">
        <v>50.0</v>
      </c>
      <c r="E256" s="249" t="s">
        <v>4766</v>
      </c>
      <c r="F256" s="43" t="s">
        <v>4767</v>
      </c>
      <c r="G256" s="142">
        <v>0.21</v>
      </c>
      <c r="H256" s="38" t="str">
        <f>VLOOKUP("RC5FDL",STOCK!$B$2:$Q$3671,3,FALSE)</f>
        <v>Mayor a 5</v>
      </c>
    </row>
    <row r="257" ht="15.75" customHeight="1">
      <c r="A257" s="161" t="s">
        <v>5009</v>
      </c>
      <c r="B257" s="162" t="s">
        <v>5450</v>
      </c>
      <c r="C257" s="163" t="s">
        <v>5451</v>
      </c>
      <c r="D257" s="280">
        <v>50.0</v>
      </c>
      <c r="E257" s="250" t="s">
        <v>5452</v>
      </c>
      <c r="F257" s="36" t="s">
        <v>3663</v>
      </c>
      <c r="G257" s="102">
        <v>0.21</v>
      </c>
      <c r="H257" s="38" t="str">
        <f>VLOOKUP("RC5MDL",STOCK!$B$2:$Q$3671,3,FALSE)</f>
        <v>Mayor a 5</v>
      </c>
    </row>
    <row r="258" ht="15.75" customHeight="1">
      <c r="A258" s="28" t="s">
        <v>4903</v>
      </c>
      <c r="B258" s="31"/>
      <c r="C258" s="282"/>
      <c r="D258" s="282"/>
      <c r="E258" s="51"/>
      <c r="F258" s="51"/>
      <c r="G258" s="121"/>
      <c r="H258" s="121"/>
    </row>
    <row r="259" ht="15.75" customHeight="1">
      <c r="A259" s="158" t="s">
        <v>5009</v>
      </c>
      <c r="B259" s="166" t="s">
        <v>5453</v>
      </c>
      <c r="C259" s="159" t="s">
        <v>4905</v>
      </c>
      <c r="D259" s="281">
        <v>100.0</v>
      </c>
      <c r="E259" s="249" t="s">
        <v>3836</v>
      </c>
      <c r="F259" s="43" t="s">
        <v>5454</v>
      </c>
      <c r="G259" s="142">
        <v>0.21</v>
      </c>
      <c r="H259" s="38" t="str">
        <f>VLOOKUP("RCJ6FI-H",STOCK!$B$2:$Q$3671,3,FALSE)</f>
        <v>Mayor a 5</v>
      </c>
    </row>
    <row r="260" ht="15.75" customHeight="1">
      <c r="A260" s="161" t="s">
        <v>5009</v>
      </c>
      <c r="B260" s="162" t="s">
        <v>5455</v>
      </c>
      <c r="C260" s="163" t="s">
        <v>4905</v>
      </c>
      <c r="D260" s="280">
        <v>100.0</v>
      </c>
      <c r="E260" s="250" t="s">
        <v>5456</v>
      </c>
      <c r="F260" s="36" t="s">
        <v>5457</v>
      </c>
      <c r="G260" s="102">
        <v>0.21</v>
      </c>
      <c r="H260" s="38" t="str">
        <f>VLOOKUP("RCJ6FI-V",STOCK!$B$2:$Q$3671,3,FALSE)</f>
        <v>Mayor a 5</v>
      </c>
    </row>
    <row r="261" ht="15.75" customHeight="1">
      <c r="A261" s="28" t="s">
        <v>5035</v>
      </c>
      <c r="B261" s="31"/>
      <c r="C261" s="282"/>
      <c r="D261" s="282"/>
      <c r="E261" s="51"/>
      <c r="F261" s="51"/>
      <c r="G261" s="121"/>
      <c r="H261" s="121"/>
    </row>
    <row r="262" ht="15.75" customHeight="1">
      <c r="A262" s="158" t="s">
        <v>5009</v>
      </c>
      <c r="B262" s="166" t="s">
        <v>5458</v>
      </c>
      <c r="C262" s="159" t="s">
        <v>5459</v>
      </c>
      <c r="D262" s="281">
        <v>100.0</v>
      </c>
      <c r="E262" s="249" t="s">
        <v>5460</v>
      </c>
      <c r="F262" s="43" t="s">
        <v>5358</v>
      </c>
      <c r="G262" s="142">
        <v>0.21</v>
      </c>
      <c r="H262" s="38" t="str">
        <f>VLOOKUP("NYS201",STOCK!$B$2:$Q$3671,3,FALSE)</f>
        <v>Mayor a 5</v>
      </c>
    </row>
    <row r="263" ht="15.75" customHeight="1">
      <c r="A263" s="161" t="s">
        <v>5009</v>
      </c>
      <c r="B263" s="162" t="s">
        <v>5461</v>
      </c>
      <c r="C263" s="163" t="s">
        <v>5462</v>
      </c>
      <c r="D263" s="280">
        <v>100.0</v>
      </c>
      <c r="E263" s="250" t="s">
        <v>4918</v>
      </c>
      <c r="F263" s="36" t="s">
        <v>5463</v>
      </c>
      <c r="G263" s="102">
        <v>0.21</v>
      </c>
      <c r="H263" s="38" t="str">
        <f>VLOOKUP("NYS202",STOCK!$B$2:$Q$3671,3,FALSE)</f>
        <v>Mayor a 5</v>
      </c>
    </row>
    <row r="264" ht="15.75" customHeight="1">
      <c r="A264" s="158" t="s">
        <v>5009</v>
      </c>
      <c r="B264" s="166" t="s">
        <v>5464</v>
      </c>
      <c r="C264" s="159" t="s">
        <v>5465</v>
      </c>
      <c r="D264" s="281">
        <v>100.0</v>
      </c>
      <c r="E264" s="249" t="s">
        <v>5466</v>
      </c>
      <c r="F264" s="43" t="s">
        <v>5467</v>
      </c>
      <c r="G264" s="142">
        <v>0.21</v>
      </c>
      <c r="H264" s="38" t="str">
        <f>VLOOKUP("NYS207",STOCK!$B$2:$Q$3671,3,FALSE)</f>
        <v>Mayor a 5</v>
      </c>
    </row>
    <row r="265" ht="15.75" customHeight="1">
      <c r="A265" s="161" t="s">
        <v>5009</v>
      </c>
      <c r="B265" s="162" t="s">
        <v>5468</v>
      </c>
      <c r="C265" s="163" t="s">
        <v>5469</v>
      </c>
      <c r="D265" s="280">
        <v>100.0</v>
      </c>
      <c r="E265" s="250" t="s">
        <v>5470</v>
      </c>
      <c r="F265" s="36" t="s">
        <v>5471</v>
      </c>
      <c r="G265" s="102">
        <v>0.21</v>
      </c>
      <c r="H265" s="38" t="str">
        <f>VLOOKUP("NYS231",STOCK!$B$2:$Q$3671,3,FALSE)</f>
        <v>Mayor a 5</v>
      </c>
    </row>
    <row r="266" ht="15.75" customHeight="1">
      <c r="A266" s="158" t="s">
        <v>5009</v>
      </c>
      <c r="B266" s="158" t="s">
        <v>5472</v>
      </c>
      <c r="C266" s="159" t="s">
        <v>5473</v>
      </c>
      <c r="D266" s="278"/>
      <c r="E266" s="249" t="s">
        <v>5474</v>
      </c>
      <c r="F266" s="43" t="s">
        <v>5475</v>
      </c>
      <c r="G266" s="142">
        <v>0.21</v>
      </c>
      <c r="H266" s="38" t="str">
        <f>VLOOKUP("NYS2203P",STOCK!$B$2:$Q$3671,3,FALSE)</f>
        <v>Mayor a 5</v>
      </c>
    </row>
    <row r="267" ht="15.75" customHeight="1">
      <c r="A267" s="161" t="s">
        <v>5009</v>
      </c>
      <c r="B267" s="162" t="s">
        <v>5476</v>
      </c>
      <c r="C267" s="163" t="s">
        <v>5477</v>
      </c>
      <c r="D267" s="280">
        <v>100.0</v>
      </c>
      <c r="E267" s="250" t="s">
        <v>5478</v>
      </c>
      <c r="F267" s="36" t="s">
        <v>5479</v>
      </c>
      <c r="G267" s="102">
        <v>0.21</v>
      </c>
      <c r="H267" s="38" t="str">
        <f>VLOOKUP("RP2C-D",STOCK!$B$2:$Q$3671,3,FALSE)</f>
        <v>Menor a 5</v>
      </c>
    </row>
    <row r="268" ht="15.75" customHeight="1">
      <c r="A268" s="158" t="s">
        <v>5009</v>
      </c>
      <c r="B268" s="166" t="s">
        <v>5480</v>
      </c>
      <c r="C268" s="159" t="s">
        <v>5037</v>
      </c>
      <c r="D268" s="281">
        <v>100.0</v>
      </c>
      <c r="E268" s="249" t="s">
        <v>5481</v>
      </c>
      <c r="F268" s="43" t="s">
        <v>5482</v>
      </c>
      <c r="G268" s="142">
        <v>0.21</v>
      </c>
      <c r="H268" s="38" t="str">
        <f>VLOOKUP("RP2C",STOCK!$B$2:$Q$3671,3,FALSE)</f>
        <v>Mayor a 5</v>
      </c>
    </row>
    <row r="269" ht="15.75" customHeight="1">
      <c r="A269" s="161" t="s">
        <v>5009</v>
      </c>
      <c r="B269" s="161" t="s">
        <v>5483</v>
      </c>
      <c r="C269" s="163" t="s">
        <v>5484</v>
      </c>
      <c r="D269" s="116"/>
      <c r="E269" s="250" t="s">
        <v>5485</v>
      </c>
      <c r="F269" s="36" t="s">
        <v>5486</v>
      </c>
      <c r="G269" s="102">
        <v>0.21</v>
      </c>
      <c r="H269" s="38" t="str">
        <f>VLOOKUP("RTP3C-BAG",STOCK!$B$2:$Q$3671,3,FALSE)</f>
        <v>Mayor a 5</v>
      </c>
    </row>
    <row r="270" ht="15.75" customHeight="1">
      <c r="A270" s="158" t="s">
        <v>5009</v>
      </c>
      <c r="B270" s="166" t="s">
        <v>5487</v>
      </c>
      <c r="C270" s="159" t="s">
        <v>5488</v>
      </c>
      <c r="D270" s="281">
        <v>100.0</v>
      </c>
      <c r="E270" s="249" t="s">
        <v>5489</v>
      </c>
      <c r="F270" s="43" t="s">
        <v>5474</v>
      </c>
      <c r="G270" s="142">
        <v>0.21</v>
      </c>
      <c r="H270" s="38" t="str">
        <f>VLOOKUP("RP3C-D",STOCK!$B$2:$Q$3671,3,FALSE)</f>
        <v>Menor a 5</v>
      </c>
    </row>
    <row r="271" ht="15.75" customHeight="1">
      <c r="A271" s="161" t="s">
        <v>5009</v>
      </c>
      <c r="B271" s="162" t="s">
        <v>5490</v>
      </c>
      <c r="C271" s="163" t="s">
        <v>5491</v>
      </c>
      <c r="D271" s="280">
        <v>100.0</v>
      </c>
      <c r="E271" s="250" t="s">
        <v>5416</v>
      </c>
      <c r="F271" s="36" t="s">
        <v>5417</v>
      </c>
      <c r="G271" s="102">
        <v>0.21</v>
      </c>
      <c r="H271" s="38" t="str">
        <f>VLOOKUP("RP3C",STOCK!$B$2:$Q$3671,3,FALSE)</f>
        <v>Mayor a 5</v>
      </c>
    </row>
    <row r="272" ht="15.75" customHeight="1">
      <c r="A272" s="158" t="s">
        <v>5009</v>
      </c>
      <c r="B272" s="166" t="s">
        <v>5492</v>
      </c>
      <c r="C272" s="159" t="s">
        <v>5043</v>
      </c>
      <c r="D272" s="281">
        <v>100.0</v>
      </c>
      <c r="E272" s="249" t="s">
        <v>4718</v>
      </c>
      <c r="F272" s="43" t="s">
        <v>4719</v>
      </c>
      <c r="G272" s="142">
        <v>0.21</v>
      </c>
      <c r="H272" s="38" t="str">
        <f>VLOOKUP("RP2RC",STOCK!$B$2:$Q$3671,3,FALSE)</f>
        <v>Mayor a 5</v>
      </c>
    </row>
    <row r="273" ht="15.75" customHeight="1">
      <c r="A273" s="161" t="s">
        <v>5009</v>
      </c>
      <c r="B273" s="162" t="s">
        <v>5493</v>
      </c>
      <c r="C273" s="163" t="s">
        <v>5053</v>
      </c>
      <c r="D273" s="280">
        <v>100.0</v>
      </c>
      <c r="E273" s="250" t="s">
        <v>5494</v>
      </c>
      <c r="F273" s="36" t="s">
        <v>5495</v>
      </c>
      <c r="G273" s="102">
        <v>0.21</v>
      </c>
      <c r="H273" s="38" t="str">
        <f>VLOOKUP("RP3RC",STOCK!$B$2:$Q$3671,3,FALSE)</f>
        <v>Mayor a 5</v>
      </c>
    </row>
    <row r="274" ht="15.75" customHeight="1">
      <c r="A274" s="158" t="s">
        <v>5009</v>
      </c>
      <c r="B274" s="166" t="s">
        <v>5496</v>
      </c>
      <c r="C274" s="159" t="s">
        <v>5053</v>
      </c>
      <c r="D274" s="281">
        <v>100.0</v>
      </c>
      <c r="E274" s="249" t="s">
        <v>5388</v>
      </c>
      <c r="F274" s="43" t="s">
        <v>5389</v>
      </c>
      <c r="G274" s="142">
        <v>0.21</v>
      </c>
      <c r="H274" s="38" t="str">
        <f>VLOOKUP("NYS208",STOCK!$B$2:$Q$3671,3,FALSE)</f>
        <v>Mayor a 5</v>
      </c>
    </row>
    <row r="275" ht="15.75" customHeight="1">
      <c r="A275" s="161" t="s">
        <v>5009</v>
      </c>
      <c r="B275" s="162" t="s">
        <v>5497</v>
      </c>
      <c r="C275" s="163" t="s">
        <v>5498</v>
      </c>
      <c r="D275" s="280">
        <v>100.0</v>
      </c>
      <c r="E275" s="250" t="s">
        <v>5368</v>
      </c>
      <c r="F275" s="36" t="s">
        <v>5369</v>
      </c>
      <c r="G275" s="102">
        <v>0.21</v>
      </c>
      <c r="H275" s="38" t="str">
        <f>VLOOKUP("RTP3C",STOCK!$B$2:$Q$3671,3,FALSE)</f>
        <v>Mayor a 5</v>
      </c>
    </row>
    <row r="276" ht="15.75" customHeight="1">
      <c r="A276" s="158" t="s">
        <v>5009</v>
      </c>
      <c r="B276" s="166" t="s">
        <v>5499</v>
      </c>
      <c r="C276" s="159" t="s">
        <v>5500</v>
      </c>
      <c r="D276" s="281">
        <v>100.0</v>
      </c>
      <c r="E276" s="249" t="s">
        <v>5396</v>
      </c>
      <c r="F276" s="43" t="s">
        <v>5397</v>
      </c>
      <c r="G276" s="142">
        <v>0.21</v>
      </c>
      <c r="H276" s="38" t="str">
        <f>VLOOKUP("RP2RCF-D",STOCK!$B$2:$Q$3671,3,FALSE)</f>
        <v>Menor a 5</v>
      </c>
    </row>
    <row r="277" ht="15.75" customHeight="1">
      <c r="A277" s="161" t="s">
        <v>5009</v>
      </c>
      <c r="B277" s="162" t="s">
        <v>5501</v>
      </c>
      <c r="C277" s="163" t="s">
        <v>5502</v>
      </c>
      <c r="D277" s="280">
        <v>100.0</v>
      </c>
      <c r="E277" s="250" t="s">
        <v>5503</v>
      </c>
      <c r="F277" s="36" t="s">
        <v>5504</v>
      </c>
      <c r="G277" s="102">
        <v>0.21</v>
      </c>
      <c r="H277" s="38" t="str">
        <f>VLOOKUP("NYS240L",STOCK!$B$2:$Q$3671,3,FALSE)</f>
        <v>Menor a 5</v>
      </c>
    </row>
    <row r="278" ht="15.75" customHeight="1">
      <c r="A278" s="28" t="s">
        <v>5505</v>
      </c>
      <c r="B278" s="31"/>
      <c r="C278" s="282"/>
      <c r="D278" s="282"/>
      <c r="E278" s="51"/>
      <c r="F278" s="51"/>
      <c r="G278" s="121"/>
      <c r="H278" s="121"/>
    </row>
    <row r="279" ht="15.75" customHeight="1">
      <c r="A279" s="158" t="s">
        <v>5009</v>
      </c>
      <c r="B279" s="166" t="s">
        <v>5506</v>
      </c>
      <c r="C279" s="159" t="s">
        <v>5507</v>
      </c>
      <c r="D279" s="281">
        <v>100.0</v>
      </c>
      <c r="E279" s="249" t="s">
        <v>5508</v>
      </c>
      <c r="F279" s="43" t="s">
        <v>5509</v>
      </c>
      <c r="G279" s="142">
        <v>0.21</v>
      </c>
      <c r="H279" s="38" t="str">
        <f>VLOOKUP("NYS212",STOCK!$B$2:$Q$3671,3,FALSE)</f>
        <v>Mayor a 5</v>
      </c>
    </row>
    <row r="280" ht="15.75" customHeight="1">
      <c r="A280" s="161" t="s">
        <v>5009</v>
      </c>
      <c r="B280" s="162" t="s">
        <v>5510</v>
      </c>
      <c r="C280" s="163" t="s">
        <v>5511</v>
      </c>
      <c r="D280" s="280">
        <v>100.0</v>
      </c>
      <c r="E280" s="250" t="s">
        <v>5512</v>
      </c>
      <c r="F280" s="36" t="s">
        <v>5513</v>
      </c>
      <c r="G280" s="102">
        <v>0.21</v>
      </c>
      <c r="H280" s="38" t="str">
        <f>VLOOKUP("NYS212/2",STOCK!$B$2:$Q$3671,3,FALSE)</f>
        <v>Mayor a 5</v>
      </c>
    </row>
    <row r="281" ht="15.75" customHeight="1">
      <c r="A281" s="158" t="s">
        <v>5009</v>
      </c>
      <c r="B281" s="166" t="s">
        <v>5514</v>
      </c>
      <c r="C281" s="159" t="s">
        <v>5515</v>
      </c>
      <c r="D281" s="281">
        <v>100.0</v>
      </c>
      <c r="E281" s="249" t="s">
        <v>5516</v>
      </c>
      <c r="F281" s="43" t="s">
        <v>5517</v>
      </c>
      <c r="G281" s="142">
        <v>0.21</v>
      </c>
      <c r="H281" s="38" t="str">
        <f>VLOOKUP("NYS215",STOCK!$B$2:$Q$3671,3,FALSE)</f>
        <v>Mayor a 5</v>
      </c>
    </row>
    <row r="282" ht="15.75" customHeight="1">
      <c r="A282" s="161" t="s">
        <v>5009</v>
      </c>
      <c r="B282" s="162" t="s">
        <v>5518</v>
      </c>
      <c r="C282" s="163" t="s">
        <v>5519</v>
      </c>
      <c r="D282" s="280">
        <v>100.0</v>
      </c>
      <c r="E282" s="250" t="s">
        <v>5520</v>
      </c>
      <c r="F282" s="36" t="s">
        <v>5521</v>
      </c>
      <c r="G282" s="102">
        <v>0.21</v>
      </c>
      <c r="H282" s="38" t="str">
        <f>VLOOKUP("NYS216",STOCK!$B$2:$Q$3671,3,FALSE)</f>
        <v>Mayor a 5</v>
      </c>
    </row>
    <row r="283" ht="15.75" customHeight="1">
      <c r="A283" s="158" t="s">
        <v>5009</v>
      </c>
      <c r="B283" s="166" t="s">
        <v>5522</v>
      </c>
      <c r="C283" s="159" t="s">
        <v>5523</v>
      </c>
      <c r="D283" s="281">
        <v>200.0</v>
      </c>
      <c r="E283" s="249" t="s">
        <v>5358</v>
      </c>
      <c r="F283" s="43" t="s">
        <v>5359</v>
      </c>
      <c r="G283" s="142">
        <v>0.21</v>
      </c>
      <c r="H283" s="38" t="str">
        <f>VLOOKUP("NYS229",STOCK!$B$2:$Q$3671,3,FALSE)</f>
        <v>Mayor a 5</v>
      </c>
    </row>
    <row r="284" ht="15.75" customHeight="1">
      <c r="A284" s="161" t="s">
        <v>5009</v>
      </c>
      <c r="B284" s="162" t="s">
        <v>5524</v>
      </c>
      <c r="C284" s="163" t="s">
        <v>5525</v>
      </c>
      <c r="D284" s="280">
        <v>100.0</v>
      </c>
      <c r="E284" s="250" t="s">
        <v>5526</v>
      </c>
      <c r="F284" s="36" t="s">
        <v>5527</v>
      </c>
      <c r="G284" s="102">
        <v>0.21</v>
      </c>
      <c r="H284" s="38" t="str">
        <f>VLOOKUP("NYS230",STOCK!$B$2:$Q$3671,3,FALSE)</f>
        <v>Mayor a 5</v>
      </c>
    </row>
    <row r="285" ht="15.75" customHeight="1">
      <c r="A285" s="28" t="s">
        <v>5528</v>
      </c>
      <c r="C285" s="282"/>
      <c r="D285" s="282"/>
      <c r="E285" s="51"/>
      <c r="F285" s="51"/>
      <c r="G285" s="121"/>
      <c r="H285" s="121"/>
    </row>
    <row r="286" ht="15.75" customHeight="1">
      <c r="A286" s="158" t="s">
        <v>5009</v>
      </c>
      <c r="B286" s="158" t="s">
        <v>5529</v>
      </c>
      <c r="C286" s="279" t="s">
        <v>5530</v>
      </c>
      <c r="D286" s="278"/>
      <c r="E286" s="249" t="s">
        <v>5531</v>
      </c>
      <c r="F286" s="43" t="s">
        <v>5532</v>
      </c>
      <c r="G286" s="142">
        <v>0.21</v>
      </c>
      <c r="H286" s="38" t="str">
        <f>VLOOKUP("RCLS4F-G-000-0",STOCK!$B$2:$Q$3671,3,FALSE)</f>
        <v>Mayor a 5</v>
      </c>
    </row>
    <row r="287" ht="15.75" customHeight="1">
      <c r="A287" s="161" t="s">
        <v>5009</v>
      </c>
      <c r="B287" s="161" t="s">
        <v>5533</v>
      </c>
      <c r="C287" s="163" t="s">
        <v>5534</v>
      </c>
      <c r="D287" s="116"/>
      <c r="E287" s="250" t="s">
        <v>5163</v>
      </c>
      <c r="F287" s="36" t="s">
        <v>5164</v>
      </c>
      <c r="G287" s="102">
        <v>0.21</v>
      </c>
      <c r="H287" s="38" t="str">
        <f>VLOOKUP("RCLS4F-G-000-1",STOCK!$B$2:$Q$3671,3,FALSE)</f>
        <v>Mayor a 5</v>
      </c>
    </row>
    <row r="288" ht="15.75" customHeight="1">
      <c r="A288" s="158" t="s">
        <v>5009</v>
      </c>
      <c r="B288" s="166" t="s">
        <v>5535</v>
      </c>
      <c r="C288" s="159" t="s">
        <v>4936</v>
      </c>
      <c r="D288" s="281">
        <v>100.0</v>
      </c>
      <c r="E288" s="236" t="s">
        <v>5536</v>
      </c>
      <c r="F288" s="96" t="s">
        <v>5537</v>
      </c>
      <c r="G288" s="142">
        <v>0.21</v>
      </c>
      <c r="H288" s="38" t="str">
        <f>VLOOKUP("RLS4FC",STOCK!$B$2:$Q$3671,3,FALSE)</f>
        <v>Menor a 5</v>
      </c>
    </row>
    <row r="289" ht="15.75" customHeight="1">
      <c r="A289" s="28" t="s">
        <v>5538</v>
      </c>
      <c r="B289" s="31"/>
      <c r="C289" s="282"/>
      <c r="D289" s="282"/>
      <c r="E289" s="51"/>
      <c r="F289" s="51"/>
      <c r="G289" s="121"/>
      <c r="H289" s="121"/>
    </row>
    <row r="290" ht="15.75" customHeight="1">
      <c r="A290" s="158" t="s">
        <v>5009</v>
      </c>
      <c r="B290" s="166" t="s">
        <v>5539</v>
      </c>
      <c r="C290" s="159" t="s">
        <v>5540</v>
      </c>
      <c r="D290" s="281">
        <v>100.0</v>
      </c>
      <c r="E290" s="249" t="s">
        <v>5536</v>
      </c>
      <c r="F290" s="43" t="s">
        <v>5537</v>
      </c>
      <c r="G290" s="142">
        <v>0.21</v>
      </c>
      <c r="H290" s="38" t="str">
        <f>VLOOKUP("RCAC3I-G",STOCK!$B$2:$Q$3671,3,FALSE)</f>
        <v>Mayor a 5</v>
      </c>
    </row>
    <row r="291" ht="15.75" customHeight="1">
      <c r="A291" s="161" t="s">
        <v>5009</v>
      </c>
      <c r="B291" s="162" t="s">
        <v>5541</v>
      </c>
      <c r="C291" s="163" t="s">
        <v>5542</v>
      </c>
      <c r="D291" s="280">
        <v>100.0</v>
      </c>
      <c r="E291" s="250" t="s">
        <v>5536</v>
      </c>
      <c r="F291" s="36" t="s">
        <v>5537</v>
      </c>
      <c r="G291" s="102">
        <v>0.21</v>
      </c>
      <c r="H291" s="38" t="str">
        <f>VLOOKUP("RCAC3O-G",STOCK!$B$2:$Q$3671,3,FALSE)</f>
        <v>Mayor a 5</v>
      </c>
    </row>
    <row r="292" ht="15.75" customHeight="1">
      <c r="A292" s="158" t="s">
        <v>5009</v>
      </c>
      <c r="B292" s="158" t="s">
        <v>5543</v>
      </c>
      <c r="C292" s="279" t="s">
        <v>5544</v>
      </c>
      <c r="D292" s="281">
        <v>100.0</v>
      </c>
      <c r="E292" s="249" t="s">
        <v>5545</v>
      </c>
      <c r="F292" s="43" t="s">
        <v>5546</v>
      </c>
      <c r="G292" s="142">
        <v>0.21</v>
      </c>
      <c r="H292" s="38" t="str">
        <f>VLOOKUP("RCAC3F-X",STOCK!$B$2:$Q$3671,3,FALSE)</f>
        <v>Mayor a 5</v>
      </c>
    </row>
    <row r="293" ht="15.75" customHeight="1">
      <c r="A293" s="161" t="s">
        <v>5009</v>
      </c>
      <c r="B293" s="161" t="s">
        <v>5547</v>
      </c>
      <c r="C293" s="285" t="s">
        <v>5548</v>
      </c>
      <c r="D293" s="280">
        <v>100.0</v>
      </c>
      <c r="E293" s="250" t="s">
        <v>5549</v>
      </c>
      <c r="F293" s="36" t="s">
        <v>5550</v>
      </c>
      <c r="G293" s="102">
        <v>0.21</v>
      </c>
      <c r="H293" s="38" t="str">
        <f>VLOOKUP("RCAC3M-X",STOCK!$B$2:$Q$3671,3,FALSE)</f>
        <v>Mayor a 5</v>
      </c>
    </row>
    <row r="294" ht="15.75" customHeight="1">
      <c r="A294" s="28" t="s">
        <v>5551</v>
      </c>
      <c r="B294" s="31"/>
      <c r="C294" s="282"/>
      <c r="D294" s="282"/>
      <c r="E294" s="51"/>
      <c r="F294" s="51"/>
      <c r="G294" s="121"/>
      <c r="H294" s="121"/>
    </row>
    <row r="295" ht="15.75" customHeight="1">
      <c r="A295" s="158" t="s">
        <v>5009</v>
      </c>
      <c r="B295" s="166" t="s">
        <v>5552</v>
      </c>
      <c r="C295" s="159" t="s">
        <v>5553</v>
      </c>
      <c r="D295" s="281">
        <v>100.0</v>
      </c>
      <c r="E295" s="249" t="s">
        <v>5554</v>
      </c>
      <c r="F295" s="43" t="s">
        <v>5555</v>
      </c>
      <c r="G295" s="142">
        <v>0.21</v>
      </c>
      <c r="H295" s="38" t="str">
        <f>VLOOKUP("RRAC3I-G",STOCK!$B$2:$Q$3671,3,FALSE)</f>
        <v>Mayor a 5</v>
      </c>
    </row>
    <row r="296" ht="15.75" customHeight="1">
      <c r="A296" s="161" t="s">
        <v>5009</v>
      </c>
      <c r="B296" s="162" t="s">
        <v>5556</v>
      </c>
      <c r="C296" s="163" t="s">
        <v>5553</v>
      </c>
      <c r="D296" s="280">
        <v>100.0</v>
      </c>
      <c r="E296" s="250" t="s">
        <v>5554</v>
      </c>
      <c r="F296" s="36" t="s">
        <v>5555</v>
      </c>
      <c r="G296" s="102">
        <v>0.21</v>
      </c>
      <c r="H296" s="38" t="str">
        <f>VLOOKUP("RRAC3O-G",STOCK!$B$2:$Q$3671,3,FALSE)</f>
        <v>Mayor a 5</v>
      </c>
    </row>
    <row r="297" ht="15.75" customHeight="1">
      <c r="A297" s="158" t="s">
        <v>5009</v>
      </c>
      <c r="B297" s="158" t="s">
        <v>5557</v>
      </c>
      <c r="C297" s="279" t="s">
        <v>5558</v>
      </c>
      <c r="D297" s="281">
        <v>100.0</v>
      </c>
      <c r="E297" s="249" t="s">
        <v>5559</v>
      </c>
      <c r="F297" s="43" t="s">
        <v>5560</v>
      </c>
      <c r="G297" s="142">
        <v>0.21</v>
      </c>
      <c r="H297" s="38" t="str">
        <f>VLOOKUP("RRAC3F-X",STOCK!$B$2:$Q$3671,3,FALSE)</f>
        <v>Mayor a 5</v>
      </c>
    </row>
    <row r="298" ht="15.75" customHeight="1">
      <c r="A298" s="161" t="s">
        <v>5009</v>
      </c>
      <c r="B298" s="161" t="s">
        <v>5561</v>
      </c>
      <c r="C298" s="285" t="s">
        <v>5562</v>
      </c>
      <c r="D298" s="116"/>
      <c r="E298" s="250" t="s">
        <v>5563</v>
      </c>
      <c r="F298" s="36" t="s">
        <v>5564</v>
      </c>
      <c r="G298" s="102">
        <v>0.21</v>
      </c>
      <c r="H298" s="38" t="str">
        <f>VLOOKUP("RRAC3M-X",STOCK!$B$2:$Q$3671,3,FALSE)</f>
        <v>Mayor a 5</v>
      </c>
    </row>
    <row r="299" ht="15.75" customHeight="1">
      <c r="A299" s="158" t="s">
        <v>4660</v>
      </c>
      <c r="B299" s="158" t="s">
        <v>5565</v>
      </c>
      <c r="C299" s="159" t="s">
        <v>5566</v>
      </c>
      <c r="D299" s="278"/>
      <c r="E299" s="236" t="s">
        <v>5567</v>
      </c>
      <c r="F299" s="96" t="s">
        <v>5568</v>
      </c>
      <c r="G299" s="288">
        <v>0.105</v>
      </c>
      <c r="H299" s="38" t="str">
        <f>VLOOKUP("NA-4I4O-AES72",STOCK!$B$2:$Q$3671,3,FALSE)</f>
        <v>Mayor a 5</v>
      </c>
    </row>
    <row r="300" ht="15.75" customHeight="1">
      <c r="A300" s="28" t="s">
        <v>5569</v>
      </c>
      <c r="B300" s="31"/>
      <c r="C300" s="282"/>
      <c r="D300" s="282"/>
      <c r="E300" s="51"/>
      <c r="F300" s="51"/>
      <c r="G300" s="121"/>
      <c r="H300" s="121"/>
    </row>
    <row r="301" ht="15.75" customHeight="1">
      <c r="A301" s="158" t="s">
        <v>4660</v>
      </c>
      <c r="B301" s="158" t="s">
        <v>5570</v>
      </c>
      <c r="C301" s="159" t="s">
        <v>5571</v>
      </c>
      <c r="D301" s="278"/>
      <c r="E301" s="249" t="s">
        <v>5572</v>
      </c>
      <c r="F301" s="43" t="s">
        <v>5573</v>
      </c>
      <c r="G301" s="142">
        <v>0.21</v>
      </c>
      <c r="H301" s="38" t="str">
        <f>VLOOKUP("NRP1RU-2A",STOCK!$B$2:$Q$3671,3,FALSE)</f>
        <v>Mayor a 5</v>
      </c>
    </row>
    <row r="302" ht="15.75" customHeight="1">
      <c r="A302" s="161" t="s">
        <v>4660</v>
      </c>
      <c r="B302" s="161" t="s">
        <v>5574</v>
      </c>
      <c r="C302" s="163" t="s">
        <v>5575</v>
      </c>
      <c r="D302" s="116"/>
      <c r="E302" s="250" t="s">
        <v>5576</v>
      </c>
      <c r="F302" s="36" t="s">
        <v>5577</v>
      </c>
      <c r="G302" s="102">
        <v>0.21</v>
      </c>
      <c r="H302" s="38" t="str">
        <f>VLOOKUP("NZP1RU-12",STOCK!$B$2:$Q$3671,3,FALSE)</f>
        <v>Mayor a 5</v>
      </c>
    </row>
    <row r="303" ht="15.75" customHeight="1">
      <c r="A303" s="158" t="s">
        <v>4660</v>
      </c>
      <c r="B303" s="158" t="s">
        <v>5578</v>
      </c>
      <c r="C303" s="159" t="s">
        <v>5579</v>
      </c>
      <c r="D303" s="278"/>
      <c r="E303" s="236" t="s">
        <v>5580</v>
      </c>
      <c r="F303" s="96" t="s">
        <v>5581</v>
      </c>
      <c r="G303" s="142">
        <v>0.21</v>
      </c>
      <c r="H303" s="38" t="str">
        <f>VLOOKUP("NZP1RU-8",STOCK!$B$2:$Q$3671,3,FALSE)</f>
        <v>Mayor a 5</v>
      </c>
    </row>
    <row r="304" ht="15.75" customHeight="1">
      <c r="A304" s="28" t="s">
        <v>5582</v>
      </c>
      <c r="B304" s="31"/>
      <c r="C304" s="282"/>
      <c r="D304" s="282"/>
      <c r="E304" s="51"/>
      <c r="F304" s="51"/>
      <c r="G304" s="121"/>
      <c r="H304" s="121"/>
    </row>
    <row r="305" ht="15.75" customHeight="1">
      <c r="A305" s="158" t="s">
        <v>5009</v>
      </c>
      <c r="B305" s="158" t="s">
        <v>5583</v>
      </c>
      <c r="C305" s="279" t="s">
        <v>5584</v>
      </c>
      <c r="D305" s="278"/>
      <c r="E305" s="249" t="s">
        <v>5585</v>
      </c>
      <c r="F305" s="43" t="s">
        <v>5586</v>
      </c>
      <c r="G305" s="142">
        <v>0.21</v>
      </c>
      <c r="H305" s="38" t="str">
        <f>VLOOKUP("RT3FC-B-D",STOCK!$B$2:$Q$3671,3,FALSE)</f>
        <v>Mayor a 5</v>
      </c>
    </row>
    <row r="306" ht="15.75" customHeight="1">
      <c r="A306" s="161" t="s">
        <v>5009</v>
      </c>
      <c r="B306" s="161" t="s">
        <v>5587</v>
      </c>
      <c r="C306" s="285" t="s">
        <v>5588</v>
      </c>
      <c r="D306" s="116"/>
      <c r="E306" s="250" t="s">
        <v>5589</v>
      </c>
      <c r="F306" s="36" t="s">
        <v>5590</v>
      </c>
      <c r="G306" s="102">
        <v>0.21</v>
      </c>
      <c r="H306" s="38" t="str">
        <f>VLOOKUP("RT3MC-B-D",STOCK!$B$2:$Q$3671,3,FALSE)</f>
        <v>Mayor a 5</v>
      </c>
    </row>
    <row r="307" ht="15.75" customHeight="1">
      <c r="A307" s="158" t="s">
        <v>5009</v>
      </c>
      <c r="B307" s="158" t="s">
        <v>5591</v>
      </c>
      <c r="C307" s="279" t="s">
        <v>5592</v>
      </c>
      <c r="D307" s="278"/>
      <c r="E307" s="249" t="s">
        <v>5593</v>
      </c>
      <c r="F307" s="43" t="s">
        <v>5594</v>
      </c>
      <c r="G307" s="142">
        <v>0.21</v>
      </c>
      <c r="H307" s="38" t="str">
        <f>VLOOKUP("RT4FC-B-D",STOCK!$B$2:$Q$3671,3,FALSE)</f>
        <v>Mayor a 5</v>
      </c>
    </row>
    <row r="308" ht="15.75" customHeight="1">
      <c r="A308" s="161" t="s">
        <v>5009</v>
      </c>
      <c r="B308" s="161" t="s">
        <v>5595</v>
      </c>
      <c r="C308" s="163" t="s">
        <v>5596</v>
      </c>
      <c r="D308" s="116"/>
      <c r="E308" s="250" t="s">
        <v>5597</v>
      </c>
      <c r="F308" s="36" t="s">
        <v>5598</v>
      </c>
      <c r="G308" s="102">
        <v>0.21</v>
      </c>
      <c r="H308" s="38" t="str">
        <f>VLOOKUP("RT4FC-B-W",STOCK!$B$2:$Q$3671,3,FALSE)</f>
        <v>Mayor a 5</v>
      </c>
    </row>
    <row r="309" ht="15.75" customHeight="1">
      <c r="A309" s="158" t="s">
        <v>5009</v>
      </c>
      <c r="B309" s="158" t="s">
        <v>5599</v>
      </c>
      <c r="C309" s="279" t="s">
        <v>5600</v>
      </c>
      <c r="D309" s="278"/>
      <c r="E309" s="249" t="s">
        <v>5601</v>
      </c>
      <c r="F309" s="43" t="s">
        <v>5602</v>
      </c>
      <c r="G309" s="142">
        <v>0.21</v>
      </c>
      <c r="H309" s="38" t="str">
        <f>VLOOKUP("RT5FC-B-D",STOCK!$B$2:$Q$3671,3,FALSE)</f>
        <v>Mayor a 5</v>
      </c>
    </row>
    <row r="310" ht="15.75" customHeight="1">
      <c r="A310" s="113"/>
      <c r="B310" s="161" t="s">
        <v>5603</v>
      </c>
      <c r="C310" s="116"/>
      <c r="D310" s="116"/>
      <c r="E310" s="250" t="s">
        <v>2068</v>
      </c>
      <c r="F310" s="36" t="s">
        <v>2068</v>
      </c>
      <c r="G310" s="102">
        <v>0.21</v>
      </c>
      <c r="H310" s="38" t="str">
        <f>VLOOKUP("SCNO2SX-A",STOCK!$B$2:$Q$3671,3,FALSE)</f>
        <v>Mayor a 5</v>
      </c>
    </row>
    <row r="311" ht="15.75" customHeight="1">
      <c r="A311" s="286"/>
      <c r="B311" s="158" t="s">
        <v>5604</v>
      </c>
      <c r="C311" s="278"/>
      <c r="D311" s="278"/>
      <c r="E311" s="249" t="s">
        <v>2068</v>
      </c>
      <c r="F311" s="43" t="s">
        <v>2068</v>
      </c>
      <c r="G311" s="142">
        <v>0.21</v>
      </c>
      <c r="H311" s="38" t="str">
        <f>VLOOKUP("SCNO4SX-A",STOCK!$B$2:$Q$3671,3,FALSE)</f>
        <v>Mayor a 5</v>
      </c>
    </row>
    <row r="312" ht="15.75" customHeight="1">
      <c r="A312" s="113"/>
      <c r="B312" s="161" t="s">
        <v>5605</v>
      </c>
      <c r="C312" s="116"/>
      <c r="D312" s="116"/>
      <c r="E312" s="250" t="s">
        <v>5606</v>
      </c>
      <c r="F312" s="36" t="s">
        <v>5607</v>
      </c>
      <c r="G312" s="102">
        <v>0.21</v>
      </c>
      <c r="H312" s="38" t="str">
        <f>VLOOKUP("NKO-DR1",STOCK!$B$2:$Q$3671,3,FALSE)</f>
        <v>Menor a 5</v>
      </c>
    </row>
    <row r="313" ht="15.75" customHeight="1">
      <c r="A313" s="286"/>
      <c r="B313" s="158" t="s">
        <v>5608</v>
      </c>
      <c r="C313" s="278"/>
      <c r="D313" s="278"/>
      <c r="E313" s="236" t="s">
        <v>2068</v>
      </c>
      <c r="F313" s="96" t="s">
        <v>2068</v>
      </c>
      <c r="G313" s="142">
        <v>0.21</v>
      </c>
      <c r="H313" s="38" t="str">
        <f>VLOOKUP("NKTB1-R/G",STOCK!$B$2:$Q$3671,3,FALSE)</f>
        <v>Mayor a 5</v>
      </c>
    </row>
    <row r="314" ht="15.75" customHeight="1">
      <c r="A314" s="286"/>
      <c r="B314" s="158"/>
      <c r="C314" s="278"/>
      <c r="D314" s="278"/>
      <c r="E314" s="236" t="s">
        <v>5609</v>
      </c>
      <c r="F314" s="96" t="s">
        <v>5610</v>
      </c>
      <c r="G314" s="142"/>
      <c r="H314" s="38"/>
    </row>
    <row r="315" ht="15.75" customHeight="1">
      <c r="A315" s="286"/>
      <c r="B315" s="158"/>
      <c r="C315" s="278"/>
      <c r="D315" s="278"/>
      <c r="E315" s="225"/>
      <c r="F315" s="225"/>
      <c r="G315" s="142"/>
      <c r="H315" s="38"/>
    </row>
  </sheetData>
  <mergeCells count="20">
    <mergeCell ref="A2:B2"/>
    <mergeCell ref="A23:B23"/>
    <mergeCell ref="A29:B29"/>
    <mergeCell ref="A33:B33"/>
    <mergeCell ref="A38:B38"/>
    <mergeCell ref="A41:B41"/>
    <mergeCell ref="A45:B45"/>
    <mergeCell ref="A99:B99"/>
    <mergeCell ref="A108:B108"/>
    <mergeCell ref="A127:B127"/>
    <mergeCell ref="A201:B201"/>
    <mergeCell ref="A222:B222"/>
    <mergeCell ref="A285:B285"/>
    <mergeCell ref="A52:B52"/>
    <mergeCell ref="A57:B57"/>
    <mergeCell ref="A61:B61"/>
    <mergeCell ref="A65:B65"/>
    <mergeCell ref="A74:B74"/>
    <mergeCell ref="A79:B79"/>
    <mergeCell ref="A82:B82"/>
  </mergeCells>
  <conditionalFormatting sqref="H1:H22 H24:H32 H34:H37 H39:H40 H42:H44 H46:H56 H58:H60 H62:H64 H66:H78 H80:H81 H83:H98 H100:H107 H109:H110 H112:H115 H117:H123 H125:H126 H128:H135 H137:H150 H152:H164 H166:H171 H173:H185 H187:H200 H202 H204:H216 H218:H221 H223:H231 H233:H236 H238:H245 H247:H250 H252:H257 H259:H260 H262:H277 H279:H284 H286:H288 H290:H293 H295:H299 H301:H303 H305:H315">
    <cfRule type="containsText" dxfId="1" priority="1" operator="containsText" text="Mayor a 5">
      <formula>NOT(ISERROR(SEARCH(("Mayor a 5"),(H1))))</formula>
    </cfRule>
  </conditionalFormatting>
  <conditionalFormatting sqref="H1:H22 H24:H32 H34:H37 H39:H40 H42:H44 H46:H56 H58:H60 H62:H64 H66:H78 H80:H81 H83:H98 H100:H107 H109:H110 H112:H115 H117:H123 H125:H126 H128:H135 H137:H150 H152:H164 H166:H171 H173:H185 H187:H200 H202 H204:H216 H218:H221 H223:H231 H233:H236 H238:H245 H247:H250 H252:H257 H259:H260 H262:H277 H279:H284 H286:H288 H290:H293 H295:H299 H301:H303 H305:H315">
    <cfRule type="containsText" dxfId="2" priority="2" operator="containsText" text="Menor a 5">
      <formula>NOT(ISERROR(SEARCH(("Menor a 5"),(H1))))</formula>
    </cfRule>
  </conditionalFormatting>
  <conditionalFormatting sqref="H1:H22 H24:H32 H34:H37 H39:H40 H42:H44 H46:H56 H58:H60 H62:H64 H66:H78 H80:H81 H83:H98 H100:H107 H109:H110 H112:H115 H117:H123 H125:H126 H128:H135 H137:H150 H152:H164 H166:H171 H173:H185 H187:H200 H202 H204:H216 H218:H221 H223:H231 H233:H236 H238:H245 H247:H250 H252:H257 H259:H260 H262:H277 H279:H284 H286:H288 H290:H293 H295:H299 H301:H303 H305:H315">
    <cfRule type="containsText" dxfId="3" priority="3" operator="containsText" text="Sin stock">
      <formula>NOT(ISERROR(SEARCH(("Sin stock"),(H1))))</formula>
    </cfRule>
  </conditionalFormatting>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5"/>
    <hyperlink r:id="rId14" ref="B16"/>
    <hyperlink r:id="rId15" ref="B17"/>
    <hyperlink r:id="rId16" ref="C17"/>
    <hyperlink r:id="rId17" ref="B18"/>
    <hyperlink r:id="rId18" ref="B19"/>
    <hyperlink r:id="rId19" ref="B20"/>
    <hyperlink r:id="rId20" ref="B21"/>
    <hyperlink r:id="rId21" ref="B22"/>
    <hyperlink r:id="rId22" ref="B24"/>
    <hyperlink r:id="rId23" ref="B25"/>
    <hyperlink r:id="rId24" ref="B26"/>
    <hyperlink r:id="rId25" ref="B27"/>
    <hyperlink r:id="rId26" ref="B28"/>
    <hyperlink r:id="rId27" ref="B30"/>
    <hyperlink r:id="rId28" ref="B31"/>
    <hyperlink r:id="rId29" ref="B32"/>
    <hyperlink r:id="rId30" ref="B35"/>
    <hyperlink r:id="rId31" ref="B36"/>
    <hyperlink r:id="rId32" ref="B37"/>
    <hyperlink r:id="rId33" ref="B39"/>
    <hyperlink r:id="rId34" ref="B40"/>
    <hyperlink r:id="rId35" ref="B42"/>
    <hyperlink r:id="rId36" ref="B43"/>
    <hyperlink r:id="rId37" ref="B44"/>
    <hyperlink r:id="rId38" ref="B46"/>
    <hyperlink r:id="rId39" ref="B47"/>
    <hyperlink r:id="rId40" ref="B48"/>
    <hyperlink r:id="rId41" ref="B49"/>
    <hyperlink r:id="rId42" ref="B50"/>
    <hyperlink r:id="rId43" ref="B51"/>
    <hyperlink r:id="rId44" ref="B53"/>
    <hyperlink r:id="rId45" ref="B54"/>
    <hyperlink r:id="rId46" ref="B55"/>
    <hyperlink r:id="rId47" ref="B56"/>
    <hyperlink r:id="rId48" ref="B58"/>
    <hyperlink r:id="rId49" ref="B59"/>
    <hyperlink r:id="rId50" ref="B60"/>
    <hyperlink r:id="rId51" ref="B62"/>
    <hyperlink r:id="rId52" ref="B63"/>
    <hyperlink r:id="rId53" ref="B64"/>
    <hyperlink r:id="rId54" ref="B66"/>
    <hyperlink r:id="rId55" ref="B67"/>
    <hyperlink r:id="rId56" ref="B68"/>
    <hyperlink r:id="rId57" ref="B69"/>
    <hyperlink r:id="rId58" ref="B70"/>
    <hyperlink r:id="rId59" ref="B71"/>
    <hyperlink r:id="rId60" ref="B72"/>
    <hyperlink r:id="rId61" ref="B73"/>
    <hyperlink r:id="rId62" ref="B75"/>
    <hyperlink r:id="rId63" ref="B76"/>
    <hyperlink r:id="rId64" ref="B77"/>
    <hyperlink r:id="rId65" ref="B78"/>
    <hyperlink r:id="rId66" ref="B80"/>
    <hyperlink r:id="rId67" ref="B81"/>
    <hyperlink r:id="rId68" ref="B83"/>
    <hyperlink r:id="rId69" ref="B84"/>
    <hyperlink r:id="rId70" ref="B85"/>
    <hyperlink r:id="rId71" ref="B86"/>
    <hyperlink r:id="rId72" ref="B87"/>
    <hyperlink r:id="rId73" ref="B88"/>
    <hyperlink r:id="rId74" ref="B89"/>
    <hyperlink r:id="rId75" ref="B90"/>
    <hyperlink r:id="rId76" ref="B91"/>
    <hyperlink r:id="rId77" ref="B92"/>
    <hyperlink r:id="rId78" ref="B93"/>
    <hyperlink r:id="rId79" ref="B94"/>
    <hyperlink r:id="rId80" ref="B95"/>
    <hyperlink r:id="rId81" ref="B96"/>
    <hyperlink r:id="rId82" ref="B97"/>
    <hyperlink r:id="rId83" ref="B100"/>
    <hyperlink r:id="rId84" ref="B101"/>
    <hyperlink r:id="rId85" ref="B102"/>
    <hyperlink r:id="rId86" ref="B103"/>
    <hyperlink r:id="rId87" ref="B104"/>
    <hyperlink r:id="rId88" ref="B105"/>
    <hyperlink r:id="rId89" ref="B106"/>
    <hyperlink r:id="rId90" ref="B107"/>
    <hyperlink r:id="rId91" ref="B109"/>
    <hyperlink r:id="rId92" ref="B110"/>
    <hyperlink r:id="rId93" ref="B112"/>
    <hyperlink r:id="rId94" ref="B113"/>
    <hyperlink r:id="rId95" ref="B114"/>
    <hyperlink r:id="rId96" ref="B115"/>
    <hyperlink r:id="rId97" ref="B117"/>
    <hyperlink r:id="rId98" ref="B118"/>
    <hyperlink r:id="rId99" ref="B119"/>
    <hyperlink r:id="rId100" ref="B120"/>
    <hyperlink r:id="rId101" ref="B121"/>
    <hyperlink r:id="rId102" ref="B122"/>
    <hyperlink r:id="rId103" ref="B123"/>
    <hyperlink r:id="rId104" ref="B125"/>
    <hyperlink r:id="rId105" ref="B126"/>
    <hyperlink r:id="rId106" ref="B128"/>
    <hyperlink r:id="rId107" ref="B129"/>
    <hyperlink r:id="rId108" ref="B130"/>
    <hyperlink r:id="rId109" ref="B131"/>
    <hyperlink r:id="rId110" ref="B132"/>
    <hyperlink r:id="rId111" ref="B133"/>
    <hyperlink r:id="rId112" ref="B134"/>
    <hyperlink r:id="rId113" ref="B135"/>
    <hyperlink r:id="rId114" ref="B137"/>
    <hyperlink r:id="rId115" ref="B138"/>
    <hyperlink r:id="rId116" ref="B139"/>
    <hyperlink r:id="rId117" ref="B140"/>
    <hyperlink r:id="rId118" ref="B141"/>
    <hyperlink r:id="rId119" ref="B142"/>
    <hyperlink r:id="rId120" ref="B143"/>
    <hyperlink r:id="rId121" ref="B144"/>
    <hyperlink r:id="rId122" ref="B145"/>
    <hyperlink r:id="rId123" ref="B146"/>
    <hyperlink r:id="rId124" ref="B147"/>
    <hyperlink r:id="rId125" ref="B148"/>
    <hyperlink r:id="rId126" ref="B149"/>
    <hyperlink r:id="rId127" ref="B150"/>
    <hyperlink r:id="rId128" ref="B153"/>
    <hyperlink r:id="rId129" ref="B154"/>
    <hyperlink r:id="rId130" ref="B155"/>
    <hyperlink r:id="rId131" ref="B156"/>
    <hyperlink r:id="rId132" ref="B157"/>
    <hyperlink r:id="rId133" ref="B158"/>
    <hyperlink r:id="rId134" ref="B159"/>
    <hyperlink r:id="rId135" ref="B160"/>
    <hyperlink r:id="rId136" ref="B161"/>
    <hyperlink r:id="rId137" ref="B163"/>
    <hyperlink r:id="rId138" ref="B164"/>
    <hyperlink r:id="rId139" ref="B166"/>
    <hyperlink r:id="rId140" ref="B167"/>
    <hyperlink r:id="rId141" ref="B169"/>
    <hyperlink r:id="rId142" ref="B170"/>
    <hyperlink r:id="rId143" ref="B171"/>
    <hyperlink r:id="rId144" ref="B173"/>
    <hyperlink r:id="rId145" ref="B175"/>
    <hyperlink r:id="rId146" ref="B176"/>
    <hyperlink r:id="rId147" ref="B179"/>
    <hyperlink r:id="rId148" ref="B181"/>
    <hyperlink r:id="rId149" ref="B182"/>
    <hyperlink r:id="rId150" ref="B183"/>
    <hyperlink r:id="rId151" ref="B184"/>
    <hyperlink r:id="rId152" ref="B185"/>
    <hyperlink r:id="rId153" ref="B187"/>
    <hyperlink r:id="rId154" ref="B188"/>
    <hyperlink r:id="rId155" ref="B189"/>
    <hyperlink r:id="rId156" ref="B190"/>
    <hyperlink r:id="rId157" ref="B191"/>
    <hyperlink r:id="rId158" ref="B192"/>
    <hyperlink r:id="rId159" ref="B193"/>
    <hyperlink r:id="rId160" ref="B195"/>
    <hyperlink r:id="rId161" ref="B196"/>
    <hyperlink r:id="rId162" ref="B197"/>
    <hyperlink r:id="rId163" ref="B198"/>
    <hyperlink r:id="rId164" ref="B200"/>
    <hyperlink r:id="rId165" ref="B204"/>
    <hyperlink r:id="rId166" ref="B205"/>
    <hyperlink r:id="rId167" ref="B206"/>
    <hyperlink r:id="rId168" ref="B207"/>
    <hyperlink r:id="rId169" ref="B208"/>
    <hyperlink r:id="rId170" ref="B209"/>
    <hyperlink r:id="rId171" ref="B210"/>
    <hyperlink r:id="rId172" ref="B211"/>
    <hyperlink r:id="rId173" ref="B212"/>
    <hyperlink r:id="rId174" ref="B213"/>
    <hyperlink r:id="rId175" ref="B214"/>
    <hyperlink r:id="rId176" ref="B215"/>
    <hyperlink r:id="rId177" ref="B216"/>
    <hyperlink r:id="rId178" ref="B218"/>
    <hyperlink r:id="rId179" ref="B220"/>
    <hyperlink r:id="rId180" ref="B221"/>
    <hyperlink r:id="rId181" ref="B223"/>
    <hyperlink r:id="rId182" ref="B224"/>
    <hyperlink r:id="rId183" ref="B225"/>
    <hyperlink r:id="rId184" ref="B226"/>
    <hyperlink r:id="rId185" ref="B227"/>
    <hyperlink r:id="rId186" ref="B228"/>
    <hyperlink r:id="rId187" ref="B229"/>
    <hyperlink r:id="rId188" ref="B231"/>
    <hyperlink r:id="rId189" ref="B233"/>
    <hyperlink r:id="rId190" ref="B234"/>
    <hyperlink r:id="rId191" ref="B235"/>
    <hyperlink r:id="rId192" ref="B236"/>
    <hyperlink r:id="rId193" ref="B238"/>
    <hyperlink r:id="rId194" ref="B239"/>
    <hyperlink r:id="rId195" ref="B240"/>
    <hyperlink r:id="rId196" ref="B241"/>
    <hyperlink r:id="rId197" ref="B242"/>
    <hyperlink r:id="rId198" ref="B243"/>
    <hyperlink r:id="rId199" ref="B244"/>
    <hyperlink r:id="rId200" ref="B245"/>
    <hyperlink r:id="rId201" ref="B247"/>
    <hyperlink r:id="rId202" ref="B248"/>
    <hyperlink r:id="rId203" ref="B249"/>
    <hyperlink r:id="rId204" ref="B250"/>
    <hyperlink r:id="rId205" ref="B252"/>
    <hyperlink r:id="rId206" ref="B253"/>
    <hyperlink r:id="rId207" ref="B254"/>
    <hyperlink r:id="rId208" ref="B256"/>
    <hyperlink r:id="rId209" ref="B257"/>
    <hyperlink r:id="rId210" ref="B259"/>
    <hyperlink r:id="rId211" ref="B260"/>
    <hyperlink r:id="rId212" ref="B262"/>
    <hyperlink r:id="rId213" ref="B263"/>
    <hyperlink r:id="rId214" ref="B264"/>
    <hyperlink r:id="rId215" ref="B265"/>
    <hyperlink r:id="rId216" ref="B267"/>
    <hyperlink r:id="rId217" ref="B268"/>
    <hyperlink r:id="rId218" ref="B270"/>
    <hyperlink r:id="rId219" ref="B271"/>
    <hyperlink r:id="rId220" ref="B272"/>
    <hyperlink r:id="rId221" ref="B273"/>
    <hyperlink r:id="rId222" ref="B274"/>
    <hyperlink r:id="rId223" ref="B275"/>
    <hyperlink r:id="rId224" ref="B276"/>
    <hyperlink r:id="rId225" ref="B277"/>
    <hyperlink r:id="rId226" ref="B279"/>
    <hyperlink r:id="rId227" ref="B280"/>
    <hyperlink r:id="rId228" ref="B281"/>
    <hyperlink r:id="rId229" ref="B282"/>
    <hyperlink r:id="rId230" ref="B283"/>
    <hyperlink r:id="rId231" ref="B284"/>
    <hyperlink r:id="rId232" ref="B288"/>
    <hyperlink r:id="rId233" ref="B290"/>
    <hyperlink r:id="rId234" ref="B291"/>
    <hyperlink r:id="rId235" ref="B295"/>
    <hyperlink r:id="rId236" ref="B296"/>
  </hyperlinks>
  <printOptions/>
  <pageMargins bottom="0.75" footer="0.0" header="0.0" left="0.7" right="0.7" top="0.75"/>
  <pageSetup orientation="landscape"/>
  <drawing r:id="rId237"/>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D77B7"/>
    <outlinePr summaryBelow="0" summaryRight="0"/>
    <pageSetUpPr/>
  </sheetPr>
  <sheetViews>
    <sheetView workbookViewId="0"/>
  </sheetViews>
  <sheetFormatPr customHeight="1" defaultColWidth="12.63" defaultRowHeight="15.0"/>
  <cols>
    <col customWidth="1" min="1" max="1" width="13.25"/>
    <col customWidth="1" min="2" max="2" width="21.5"/>
    <col customWidth="1" min="3" max="3" width="74.0"/>
    <col customWidth="1" min="4" max="4" width="15.0"/>
    <col customWidth="1" min="5" max="5" width="14.25"/>
    <col customWidth="1" min="6" max="7" width="9.25"/>
  </cols>
  <sheetData>
    <row r="1" ht="15.75" customHeight="1">
      <c r="A1" s="8" t="s">
        <v>23</v>
      </c>
      <c r="B1" s="8" t="s">
        <v>24</v>
      </c>
      <c r="C1" s="8" t="s">
        <v>25</v>
      </c>
      <c r="D1" s="119" t="s">
        <v>26</v>
      </c>
      <c r="E1" s="26" t="s">
        <v>27</v>
      </c>
      <c r="F1" s="84" t="s">
        <v>28</v>
      </c>
      <c r="G1" s="8" t="s">
        <v>29</v>
      </c>
    </row>
    <row r="2" ht="15.75" customHeight="1">
      <c r="A2" s="28" t="s">
        <v>5611</v>
      </c>
      <c r="B2" s="29"/>
      <c r="C2" s="29"/>
      <c r="D2" s="51"/>
      <c r="E2" s="51"/>
      <c r="F2" s="121"/>
      <c r="G2" s="29"/>
    </row>
    <row r="3" ht="15.75" customHeight="1">
      <c r="A3" s="40" t="s">
        <v>5612</v>
      </c>
      <c r="B3" s="52" t="s">
        <v>5613</v>
      </c>
      <c r="C3" s="67" t="s">
        <v>5614</v>
      </c>
      <c r="D3" s="96" t="s">
        <v>5615</v>
      </c>
      <c r="E3" s="96" t="s">
        <v>5616</v>
      </c>
      <c r="F3" s="142">
        <v>0.105</v>
      </c>
      <c r="G3" s="46" t="str">
        <f t="shared" ref="G3:G4" si="1">IFERROR(VLOOKUP("SIN STOCK",#REF!,3,FALSE),"SIN STOCK")</f>
        <v>SIN STOCK</v>
      </c>
    </row>
    <row r="4" ht="15.75" customHeight="1">
      <c r="A4" s="33" t="s">
        <v>5612</v>
      </c>
      <c r="B4" s="45" t="s">
        <v>5617</v>
      </c>
      <c r="C4" s="68" t="s">
        <v>5618</v>
      </c>
      <c r="D4" s="101" t="s">
        <v>5619</v>
      </c>
      <c r="E4" s="101" t="s">
        <v>5620</v>
      </c>
      <c r="F4" s="290">
        <v>0.105</v>
      </c>
      <c r="G4" s="46" t="str">
        <f t="shared" si="1"/>
        <v>SIN STOCK</v>
      </c>
    </row>
    <row r="5" ht="15.75" customHeight="1">
      <c r="A5" s="40" t="s">
        <v>5612</v>
      </c>
      <c r="B5" s="41" t="s">
        <v>5621</v>
      </c>
      <c r="C5" s="67" t="s">
        <v>5622</v>
      </c>
      <c r="D5" s="96" t="s">
        <v>5623</v>
      </c>
      <c r="E5" s="96" t="s">
        <v>5624</v>
      </c>
      <c r="F5" s="142">
        <v>0.21</v>
      </c>
      <c r="G5" s="49" t="str">
        <f>IFERROR(VLOOKUP("USBDUALPRE",STOCK!$B$2:$Q$3677,3,FALSE),"")</f>
        <v>Mayor a 5</v>
      </c>
    </row>
    <row r="6" ht="15.75" customHeight="1">
      <c r="A6" s="33" t="s">
        <v>5612</v>
      </c>
      <c r="B6" s="45" t="s">
        <v>5625</v>
      </c>
      <c r="C6" s="68" t="s">
        <v>5626</v>
      </c>
      <c r="D6" s="101" t="s">
        <v>5627</v>
      </c>
      <c r="E6" s="101" t="s">
        <v>5628</v>
      </c>
      <c r="F6" s="290">
        <v>0.105</v>
      </c>
      <c r="G6" s="46" t="str">
        <f>IFERROR(VLOOKUP("USBPhonoPlus",STOCK!$B$2:$Q$3677,3,FALSE),"")</f>
        <v>Menor a 5</v>
      </c>
    </row>
    <row r="7" ht="15.75" customHeight="1">
      <c r="A7" s="40" t="s">
        <v>5612</v>
      </c>
      <c r="B7" s="41" t="s">
        <v>5629</v>
      </c>
      <c r="C7" s="67" t="s">
        <v>5630</v>
      </c>
      <c r="D7" s="96" t="s">
        <v>5631</v>
      </c>
      <c r="E7" s="96" t="s">
        <v>5632</v>
      </c>
      <c r="F7" s="142">
        <v>0.105</v>
      </c>
      <c r="G7" s="46" t="str">
        <f>IFERROR(VLOOKUP("TUBEMIX",STOCK!$B$2:$Q$3677,3,FALSE),"SIN STOCK")</f>
        <v>SIN STOCK</v>
      </c>
    </row>
    <row r="8" ht="15.75" customHeight="1">
      <c r="A8" s="33" t="s">
        <v>5612</v>
      </c>
      <c r="B8" s="45" t="s">
        <v>5633</v>
      </c>
      <c r="C8" s="68" t="s">
        <v>5634</v>
      </c>
      <c r="D8" s="101" t="s">
        <v>5627</v>
      </c>
      <c r="E8" s="101" t="s">
        <v>5628</v>
      </c>
      <c r="F8" s="290">
        <v>0.105</v>
      </c>
      <c r="G8" s="38" t="str">
        <f>IFERROR(VLOOKUP("USBMIX",STOCK!$B$2:$Q$3677,3,FALSE),"")</f>
        <v>Mayor a 5</v>
      </c>
    </row>
    <row r="9" ht="15.75" customHeight="1">
      <c r="A9" s="40" t="s">
        <v>5612</v>
      </c>
      <c r="B9" s="41" t="s">
        <v>5635</v>
      </c>
      <c r="C9" s="67" t="s">
        <v>5636</v>
      </c>
      <c r="D9" s="96" t="s">
        <v>5637</v>
      </c>
      <c r="E9" s="96" t="s">
        <v>5638</v>
      </c>
      <c r="F9" s="142">
        <v>0.105</v>
      </c>
      <c r="G9" s="38" t="str">
        <f>IFERROR(VLOOKUP("USBMIX4",STOCK!$B$2:$Q$3677,3,FALSE),"")</f>
        <v>Mayor a 5</v>
      </c>
    </row>
    <row r="10" ht="15.75" customHeight="1">
      <c r="A10" s="33" t="s">
        <v>5612</v>
      </c>
      <c r="B10" s="45" t="s">
        <v>5639</v>
      </c>
      <c r="C10" s="68" t="s">
        <v>5640</v>
      </c>
      <c r="D10" s="101" t="s">
        <v>5641</v>
      </c>
      <c r="E10" s="101" t="s">
        <v>5642</v>
      </c>
      <c r="F10" s="290">
        <v>0.105</v>
      </c>
      <c r="G10" s="49" t="str">
        <f>IFERROR(VLOOKUP("USBMIX6",STOCK!$B$2:$Q$3677,3,FALSE),"")</f>
        <v>Mayor a 5</v>
      </c>
    </row>
    <row r="11" ht="15.75" customHeight="1">
      <c r="A11" s="40" t="s">
        <v>5612</v>
      </c>
      <c r="B11" s="41" t="s">
        <v>5643</v>
      </c>
      <c r="C11" s="67" t="s">
        <v>5644</v>
      </c>
      <c r="D11" s="96" t="s">
        <v>5645</v>
      </c>
      <c r="E11" s="96" t="s">
        <v>5646</v>
      </c>
      <c r="F11" s="142">
        <v>0.105</v>
      </c>
      <c r="G11" s="46" t="str">
        <f>IFERROR(VLOOKUP("Tube MP Project Series",STOCK!$B$2:$Q$3677,3,FALSE),"")</f>
        <v>Menor a 5</v>
      </c>
    </row>
    <row r="12" ht="15.75" customHeight="1">
      <c r="A12" s="33" t="s">
        <v>5612</v>
      </c>
      <c r="B12" s="45" t="s">
        <v>5647</v>
      </c>
      <c r="C12" s="68" t="s">
        <v>5648</v>
      </c>
      <c r="D12" s="101" t="s">
        <v>5649</v>
      </c>
      <c r="E12" s="101" t="s">
        <v>5650</v>
      </c>
      <c r="F12" s="290">
        <v>0.105</v>
      </c>
      <c r="G12" s="46" t="str">
        <f>IFERROR(VLOOKUP("USBII",STOCK!$B$2:$Q$3677,3,FALSE),"SIN STOCK")</f>
        <v>SIN STOCK</v>
      </c>
    </row>
    <row r="13" ht="15.75" customHeight="1">
      <c r="A13" s="40" t="s">
        <v>5612</v>
      </c>
      <c r="B13" s="41" t="s">
        <v>5651</v>
      </c>
      <c r="C13" s="67" t="s">
        <v>5652</v>
      </c>
      <c r="D13" s="96" t="s">
        <v>4058</v>
      </c>
      <c r="E13" s="96" t="s">
        <v>5653</v>
      </c>
      <c r="F13" s="142">
        <v>0.105</v>
      </c>
      <c r="G13" s="46" t="str">
        <f>IFERROR(VLOOKUP("USBIV",STOCK!$B$2:$Q$3677,3,FALSE),"SIN STOCK")</f>
        <v>SIN STOCK</v>
      </c>
    </row>
    <row r="14" ht="15.75" customHeight="1">
      <c r="A14" s="33" t="s">
        <v>5612</v>
      </c>
      <c r="B14" s="45" t="s">
        <v>5654</v>
      </c>
      <c r="C14" s="68" t="s">
        <v>5655</v>
      </c>
      <c r="D14" s="101" t="s">
        <v>5656</v>
      </c>
      <c r="E14" s="101" t="s">
        <v>5657</v>
      </c>
      <c r="F14" s="290">
        <v>0.105</v>
      </c>
      <c r="G14" s="46" t="str">
        <f>IFERROR(VLOOKUP("DMPAII",STOCK!$B$2:$Q$3677,3,FALSE),"SIN STOCK")</f>
        <v>SIN STOCK</v>
      </c>
    </row>
    <row r="15" ht="15.75" customHeight="1">
      <c r="A15" s="40" t="s">
        <v>5612</v>
      </c>
      <c r="B15" s="41" t="s">
        <v>5658</v>
      </c>
      <c r="C15" s="67" t="s">
        <v>5659</v>
      </c>
      <c r="D15" s="96" t="s">
        <v>5660</v>
      </c>
      <c r="E15" s="96" t="s">
        <v>5661</v>
      </c>
      <c r="F15" s="142">
        <v>0.105</v>
      </c>
      <c r="G15" s="46" t="str">
        <f>IFERROR(VLOOKUP("VOICECHANNEL",STOCK!$B$2:$Q$3677,3,FALSE),"SIN STOCK")</f>
        <v>Menor a 5</v>
      </c>
    </row>
    <row r="16" ht="15.75" customHeight="1">
      <c r="A16" s="33" t="s">
        <v>5612</v>
      </c>
      <c r="B16" s="45" t="s">
        <v>5662</v>
      </c>
      <c r="C16" s="68" t="s">
        <v>5663</v>
      </c>
      <c r="D16" s="101" t="s">
        <v>5664</v>
      </c>
      <c r="E16" s="101" t="s">
        <v>5665</v>
      </c>
      <c r="F16" s="290">
        <v>0.105</v>
      </c>
      <c r="G16" s="46" t="str">
        <f>IFERROR(VLOOKUP("MCONNECT",STOCK!$B$2:$Q$3677,3,FALSE),"SIN STOCK")</f>
        <v>SIN STOCK</v>
      </c>
    </row>
    <row r="17" ht="15.75" customHeight="1">
      <c r="A17" s="40" t="s">
        <v>5612</v>
      </c>
      <c r="B17" s="41" t="s">
        <v>5666</v>
      </c>
      <c r="C17" s="67" t="s">
        <v>5667</v>
      </c>
      <c r="D17" s="96" t="s">
        <v>5668</v>
      </c>
      <c r="E17" s="96" t="s">
        <v>5669</v>
      </c>
      <c r="F17" s="142">
        <v>0.105</v>
      </c>
      <c r="G17" s="46" t="str">
        <f>IFERROR(VLOOKUP("XCONNECT",STOCK!$B$2:$Q$3677,3,FALSE),"SIN STOCK")</f>
        <v>SIN STOCK</v>
      </c>
    </row>
    <row r="18" ht="15.75" customHeight="1">
      <c r="A18" s="28" t="s">
        <v>5670</v>
      </c>
      <c r="B18" s="29"/>
      <c r="C18" s="29"/>
      <c r="D18" s="51"/>
      <c r="E18" s="51"/>
      <c r="F18" s="31"/>
      <c r="G18" s="29"/>
    </row>
    <row r="19" ht="15.75" customHeight="1">
      <c r="A19" s="40" t="s">
        <v>5612</v>
      </c>
      <c r="B19" s="41" t="s">
        <v>5671</v>
      </c>
      <c r="C19" s="67" t="s">
        <v>5672</v>
      </c>
      <c r="D19" s="96" t="s">
        <v>5673</v>
      </c>
      <c r="E19" s="96" t="s">
        <v>5674</v>
      </c>
      <c r="F19" s="142">
        <v>0.105</v>
      </c>
      <c r="G19" s="283" t="str">
        <f>IFERROR(VLOOKUP("TUBE MP",STOCK!$B$2:$Q$3677,3,FALSE),"")</f>
        <v>Menor a 5</v>
      </c>
    </row>
    <row r="20" ht="15.75" customHeight="1">
      <c r="A20" s="33" t="s">
        <v>5612</v>
      </c>
      <c r="B20" s="45" t="s">
        <v>5675</v>
      </c>
      <c r="C20" s="68" t="s">
        <v>5676</v>
      </c>
      <c r="D20" s="101" t="s">
        <v>5677</v>
      </c>
      <c r="E20" s="101" t="s">
        <v>5678</v>
      </c>
      <c r="F20" s="290">
        <v>0.105</v>
      </c>
      <c r="G20" s="46" t="str">
        <f>IFERROR(VLOOKUP("TUBE-MP-S-V3",STOCK!$B$2:$Q$3677,3,FALSE),"SIN STOCK")</f>
        <v>SIN STOCK</v>
      </c>
    </row>
    <row r="21" ht="15.75" customHeight="1">
      <c r="A21" s="40" t="s">
        <v>5612</v>
      </c>
      <c r="B21" s="41" t="s">
        <v>5679</v>
      </c>
      <c r="C21" s="67" t="s">
        <v>5644</v>
      </c>
      <c r="D21" s="96" t="s">
        <v>5677</v>
      </c>
      <c r="E21" s="96" t="s">
        <v>5678</v>
      </c>
      <c r="F21" s="142">
        <v>0.105</v>
      </c>
      <c r="G21" s="46" t="str">
        <f>IFERROR(VLOOKUP("Tube MP Studio V3",STOCK!$B$2:$Q$3677,3,FALSE),"")</f>
        <v>Menor a 5</v>
      </c>
    </row>
    <row r="22" ht="15.75" customHeight="1">
      <c r="A22" s="33" t="s">
        <v>5612</v>
      </c>
      <c r="B22" s="45" t="s">
        <v>5680</v>
      </c>
      <c r="C22" s="68" t="s">
        <v>5681</v>
      </c>
      <c r="D22" s="101" t="s">
        <v>5682</v>
      </c>
      <c r="E22" s="101" t="s">
        <v>5683</v>
      </c>
      <c r="F22" s="290">
        <v>0.105</v>
      </c>
      <c r="G22" s="46" t="str">
        <f>IFERROR(VLOOKUP("RP1",STOCK!$B$2:$Q$3677,3,FALSE),"SIN STOCK")</f>
        <v>SIN STOCK</v>
      </c>
    </row>
    <row r="23" ht="15.75" customHeight="1">
      <c r="A23" s="28" t="s">
        <v>5684</v>
      </c>
      <c r="B23" s="29"/>
      <c r="C23" s="29"/>
      <c r="D23" s="51"/>
      <c r="E23" s="51"/>
      <c r="F23" s="31"/>
      <c r="G23" s="29"/>
    </row>
    <row r="24" ht="15.75" customHeight="1">
      <c r="A24" s="40" t="s">
        <v>5612</v>
      </c>
      <c r="B24" s="52" t="s">
        <v>5685</v>
      </c>
      <c r="C24" s="67" t="s">
        <v>5686</v>
      </c>
      <c r="D24" s="96" t="s">
        <v>5687</v>
      </c>
      <c r="E24" s="96" t="s">
        <v>5688</v>
      </c>
      <c r="F24" s="142">
        <v>0.105</v>
      </c>
      <c r="G24" s="46" t="str">
        <f>IFERROR(VLOOKUP("TPS II",STOCK!$B$2:$Q$3677,3,FALSE),"SIN STOCK")</f>
        <v>Menor a 5</v>
      </c>
    </row>
    <row r="25" ht="15.75" customHeight="1">
      <c r="A25" s="33" t="s">
        <v>5612</v>
      </c>
      <c r="B25" s="45" t="s">
        <v>5689</v>
      </c>
      <c r="C25" s="68" t="s">
        <v>5690</v>
      </c>
      <c r="D25" s="101" t="s">
        <v>5691</v>
      </c>
      <c r="E25" s="101" t="s">
        <v>5692</v>
      </c>
      <c r="F25" s="290">
        <v>0.105</v>
      </c>
      <c r="G25" s="46" t="str">
        <f>IFERROR(VLOOKUP("Pro MPA II",STOCK!$B$2:$Q$3677,3,FALSE),"")</f>
        <v>Menor a 5</v>
      </c>
    </row>
    <row r="26" ht="15.75" customHeight="1">
      <c r="A26" s="40" t="s">
        <v>5612</v>
      </c>
      <c r="B26" s="41" t="s">
        <v>5693</v>
      </c>
      <c r="C26" s="67" t="s">
        <v>5694</v>
      </c>
      <c r="D26" s="96" t="s">
        <v>5695</v>
      </c>
      <c r="E26" s="96" t="s">
        <v>5696</v>
      </c>
      <c r="F26" s="142">
        <v>0.105</v>
      </c>
      <c r="G26" s="46" t="str">
        <f>IFERROR(VLOOKUP("TRANSXCE",STOCK!$B$2:$Q$3677,3,FALSE),"SIN STOCK")</f>
        <v>SIN STOCK</v>
      </c>
    </row>
    <row r="27" ht="15.75" customHeight="1">
      <c r="A27" s="33" t="s">
        <v>5612</v>
      </c>
      <c r="B27" s="45" t="s">
        <v>5697</v>
      </c>
      <c r="C27" s="68" t="s">
        <v>5698</v>
      </c>
      <c r="D27" s="101" t="s">
        <v>5699</v>
      </c>
      <c r="E27" s="101" t="s">
        <v>5700</v>
      </c>
      <c r="F27" s="290">
        <v>0.105</v>
      </c>
      <c r="G27" s="46" t="str">
        <f>IFERROR(VLOOKUP("DRP",STOCK!$B$2:$Q$3677,3,FALSE),"SIN STOCK")</f>
        <v>Mayor a 5</v>
      </c>
    </row>
    <row r="28" ht="15.75" customHeight="1">
      <c r="A28" s="40" t="s">
        <v>5612</v>
      </c>
      <c r="B28" s="41" t="s">
        <v>5701</v>
      </c>
      <c r="C28" s="67" t="s">
        <v>5702</v>
      </c>
      <c r="D28" s="96" t="s">
        <v>5682</v>
      </c>
      <c r="E28" s="96" t="s">
        <v>5683</v>
      </c>
      <c r="F28" s="142">
        <v>0.105</v>
      </c>
      <c r="G28" s="46" t="str">
        <f>IFERROR(VLOOKUP("DJPRE-2CE",STOCK!$B$2:$Q$3677,3,FALSE),"SIN STOCK")</f>
        <v>Mayor a 5</v>
      </c>
    </row>
    <row r="29" ht="15.75" customHeight="1">
      <c r="A29" s="33" t="s">
        <v>5612</v>
      </c>
      <c r="B29" s="45" t="s">
        <v>5703</v>
      </c>
      <c r="C29" s="68" t="s">
        <v>5704</v>
      </c>
      <c r="D29" s="101" t="s">
        <v>5705</v>
      </c>
      <c r="E29" s="101" t="s">
        <v>5706</v>
      </c>
      <c r="F29" s="290">
        <v>0.105</v>
      </c>
      <c r="G29" s="46" t="str">
        <f>IFERROR(VLOOKUP("PRECISIONPHONO",STOCK!$B$2:$Q$3677,3,FALSE),"SIN STOCK")</f>
        <v>SIN STOCK</v>
      </c>
    </row>
    <row r="30" ht="15.75" customHeight="1">
      <c r="A30" s="28" t="s">
        <v>5707</v>
      </c>
      <c r="B30" s="29"/>
      <c r="C30" s="29"/>
      <c r="D30" s="51"/>
      <c r="E30" s="51"/>
      <c r="F30" s="31"/>
      <c r="G30" s="29"/>
    </row>
    <row r="31" ht="15.75" customHeight="1">
      <c r="A31" s="40" t="s">
        <v>5612</v>
      </c>
      <c r="B31" s="41" t="s">
        <v>5708</v>
      </c>
      <c r="C31" s="67" t="s">
        <v>5709</v>
      </c>
      <c r="D31" s="96" t="s">
        <v>5649</v>
      </c>
      <c r="E31" s="96" t="s">
        <v>5650</v>
      </c>
      <c r="F31" s="142">
        <v>0.105</v>
      </c>
      <c r="G31" s="46" t="str">
        <f>IFERROR(VLOOKUP("DUALLIMITERCE",STOCK!$B$2:$Q$3677,3,FALSE),"SIN STOCK")</f>
        <v>SIN STOCK</v>
      </c>
    </row>
    <row r="32" ht="15.75" customHeight="1">
      <c r="A32" s="33" t="s">
        <v>5612</v>
      </c>
      <c r="B32" s="45" t="s">
        <v>5710</v>
      </c>
      <c r="C32" s="68" t="s">
        <v>5711</v>
      </c>
      <c r="D32" s="101" t="s">
        <v>5712</v>
      </c>
      <c r="E32" s="101" t="s">
        <v>5713</v>
      </c>
      <c r="F32" s="290">
        <v>0.105</v>
      </c>
      <c r="G32" s="46" t="str">
        <f>IFERROR(VLOOKUP("Pro VLA II",STOCK!$B$2:$Q$3677,3,FALSE),"SIN STOCK")</f>
        <v>Menor a 5</v>
      </c>
    </row>
    <row r="33" ht="15.75" customHeight="1">
      <c r="A33" s="40" t="s">
        <v>5612</v>
      </c>
      <c r="B33" s="41" t="s">
        <v>5714</v>
      </c>
      <c r="C33" s="67" t="s">
        <v>5715</v>
      </c>
      <c r="D33" s="96" t="s">
        <v>5712</v>
      </c>
      <c r="E33" s="96" t="s">
        <v>5713</v>
      </c>
      <c r="F33" s="142">
        <v>0.105</v>
      </c>
      <c r="G33" s="46" t="str">
        <f>IFERROR(VLOOKUP("Pro Channel II",STOCK!$B$2:$Q$3677,3,FALSE),"SIN STOCK")</f>
        <v>Menor a 5</v>
      </c>
    </row>
    <row r="34" ht="15.75" customHeight="1">
      <c r="A34" s="33" t="s">
        <v>5612</v>
      </c>
      <c r="B34" s="45" t="s">
        <v>5716</v>
      </c>
      <c r="C34" s="68" t="s">
        <v>5717</v>
      </c>
      <c r="D34" s="101" t="s">
        <v>5718</v>
      </c>
      <c r="E34" s="101" t="s">
        <v>5719</v>
      </c>
      <c r="F34" s="290">
        <v>0.105</v>
      </c>
      <c r="G34" s="46" t="str">
        <f>IFERROR(VLOOKUP("SL2CE",STOCK!$B$2:$Q$3677,3,FALSE),"SIN STOCK")</f>
        <v>SIN STOCK</v>
      </c>
    </row>
    <row r="35" ht="15.75" customHeight="1">
      <c r="A35" s="40" t="s">
        <v>5612</v>
      </c>
      <c r="B35" s="41" t="s">
        <v>5720</v>
      </c>
      <c r="C35" s="67" t="s">
        <v>5721</v>
      </c>
      <c r="D35" s="96" t="s">
        <v>5691</v>
      </c>
      <c r="E35" s="96" t="s">
        <v>5692</v>
      </c>
      <c r="F35" s="142">
        <v>0.105</v>
      </c>
      <c r="G35" s="46" t="str">
        <f>IFERROR(VLOOKUP("TRANSYCE",STOCK!$B$2:$Q$3677,3,FALSE),"SIN STOCK")</f>
        <v>SIN STOCK</v>
      </c>
    </row>
    <row r="36" ht="15.75" customHeight="1">
      <c r="A36" s="33" t="s">
        <v>5612</v>
      </c>
      <c r="B36" s="45" t="s">
        <v>5722</v>
      </c>
      <c r="C36" s="68" t="s">
        <v>5723</v>
      </c>
      <c r="D36" s="101" t="s">
        <v>5724</v>
      </c>
      <c r="E36" s="101" t="s">
        <v>5725</v>
      </c>
      <c r="F36" s="290">
        <v>0.105</v>
      </c>
      <c r="G36" s="46" t="str">
        <f>IFERROR(VLOOKUP("TUBEMP/CCE",STOCK!$B$2:$Q$3677,3,FALSE),"SIN STOCK")</f>
        <v>SIN STOCK</v>
      </c>
    </row>
    <row r="37" ht="15.75" customHeight="1">
      <c r="A37" s="28" t="s">
        <v>5726</v>
      </c>
      <c r="B37" s="29"/>
      <c r="C37" s="29"/>
      <c r="D37" s="51"/>
      <c r="E37" s="51"/>
      <c r="F37" s="31"/>
      <c r="G37" s="29"/>
    </row>
    <row r="38" ht="15.75" customHeight="1">
      <c r="A38" s="40" t="s">
        <v>5612</v>
      </c>
      <c r="B38" s="41" t="s">
        <v>5727</v>
      </c>
      <c r="C38" s="67" t="s">
        <v>5728</v>
      </c>
      <c r="D38" s="96" t="s">
        <v>5729</v>
      </c>
      <c r="E38" s="96" t="s">
        <v>5683</v>
      </c>
      <c r="F38" s="142">
        <v>0.21</v>
      </c>
      <c r="G38" s="46" t="str">
        <f>IFERROR(VLOOKUP("HP-1",STOCK!$B$2:$Q$3677,3,FALSE),"SIN STOCK")</f>
        <v>Mayor a 5</v>
      </c>
    </row>
    <row r="39" ht="15.75" customHeight="1">
      <c r="A39" s="33" t="s">
        <v>5612</v>
      </c>
      <c r="B39" s="45" t="s">
        <v>5730</v>
      </c>
      <c r="C39" s="68" t="s">
        <v>5731</v>
      </c>
      <c r="D39" s="101" t="s">
        <v>5682</v>
      </c>
      <c r="E39" s="101" t="s">
        <v>5683</v>
      </c>
      <c r="F39" s="290">
        <v>0.105</v>
      </c>
      <c r="G39" s="38" t="str">
        <f>IFERROR(VLOOKUP("HEADTAP",STOCK!$B$2:$Q$3677,3,FALSE),"SIN STOCK")</f>
        <v>Mayor a 5</v>
      </c>
    </row>
    <row r="40" ht="15.75" customHeight="1">
      <c r="A40" s="40" t="s">
        <v>5612</v>
      </c>
      <c r="B40" s="41" t="s">
        <v>5732</v>
      </c>
      <c r="C40" s="67" t="s">
        <v>5733</v>
      </c>
      <c r="D40" s="96" t="s">
        <v>5734</v>
      </c>
      <c r="E40" s="96" t="s">
        <v>5735</v>
      </c>
      <c r="F40" s="142">
        <v>0.21</v>
      </c>
      <c r="G40" s="49" t="str">
        <f>IFERROR(VLOOKUP("HeadAmp4",STOCK!$B$2:$Q$3677,3,FALSE),"SIN STOCK")</f>
        <v>Mayor a 5</v>
      </c>
    </row>
    <row r="41" ht="15.75" customHeight="1">
      <c r="A41" s="33" t="s">
        <v>5612</v>
      </c>
      <c r="B41" s="33" t="s">
        <v>5736</v>
      </c>
      <c r="C41" s="68" t="s">
        <v>5737</v>
      </c>
      <c r="D41" s="101" t="s">
        <v>5738</v>
      </c>
      <c r="E41" s="101" t="s">
        <v>5616</v>
      </c>
      <c r="F41" s="290">
        <v>0.21</v>
      </c>
      <c r="G41" s="38" t="str">
        <f>IFERROR(VLOOKUP("HEADAMP4PRO",STOCK!$B$2:$Q$3677,3,FALSE),"SIN STOCK")</f>
        <v>Mayor a 5</v>
      </c>
    </row>
    <row r="42" ht="15.75" customHeight="1">
      <c r="A42" s="40" t="s">
        <v>5612</v>
      </c>
      <c r="B42" s="41" t="s">
        <v>5739</v>
      </c>
      <c r="C42" s="67" t="s">
        <v>5740</v>
      </c>
      <c r="D42" s="96" t="s">
        <v>5741</v>
      </c>
      <c r="E42" s="96" t="s">
        <v>5742</v>
      </c>
      <c r="F42" s="142">
        <v>0.105</v>
      </c>
      <c r="G42" s="46" t="str">
        <f>IFERROR(VLOOKUP("HEADAMP6",STOCK!$B$2:$Q$3677,3,FALSE),"SIN STOCK")</f>
        <v>SIN STOCK</v>
      </c>
    </row>
    <row r="43" ht="15.75" customHeight="1">
      <c r="A43" s="33" t="s">
        <v>5612</v>
      </c>
      <c r="B43" s="45" t="s">
        <v>5743</v>
      </c>
      <c r="C43" s="68" t="s">
        <v>5744</v>
      </c>
      <c r="D43" s="101" t="s">
        <v>5745</v>
      </c>
      <c r="E43" s="101" t="s">
        <v>5653</v>
      </c>
      <c r="F43" s="290">
        <v>0.21</v>
      </c>
      <c r="G43" s="46" t="str">
        <f>IFERROR(VLOOKUP("HEADAMP6 PRO",STOCK!$B$2:$Q$3677,3,FALSE),"SIN STOCK")</f>
        <v>Menor a 5</v>
      </c>
    </row>
    <row r="44" ht="15.75" customHeight="1">
      <c r="A44" s="40" t="s">
        <v>5612</v>
      </c>
      <c r="B44" s="41" t="s">
        <v>5746</v>
      </c>
      <c r="C44" s="67" t="s">
        <v>5747</v>
      </c>
      <c r="D44" s="96" t="s">
        <v>5748</v>
      </c>
      <c r="E44" s="96" t="s">
        <v>5749</v>
      </c>
      <c r="F44" s="142">
        <v>0.105</v>
      </c>
      <c r="G44" s="46" t="str">
        <f>IFERROR(VLOOKUP("MyMonitor",STOCK!$B$2:$Q$3677,3,FALSE),"SIN STOCK")</f>
        <v>Menor a 5</v>
      </c>
    </row>
    <row r="45" ht="15.75" customHeight="1">
      <c r="A45" s="28" t="s">
        <v>5750</v>
      </c>
      <c r="B45" s="29"/>
      <c r="C45" s="29"/>
      <c r="D45" s="51"/>
      <c r="E45" s="51"/>
      <c r="F45" s="31"/>
      <c r="G45" s="29"/>
    </row>
    <row r="46" ht="15.75" customHeight="1">
      <c r="A46" s="40" t="s">
        <v>5612</v>
      </c>
      <c r="B46" s="41" t="s">
        <v>5751</v>
      </c>
      <c r="C46" s="67" t="s">
        <v>5752</v>
      </c>
      <c r="D46" s="96" t="s">
        <v>5753</v>
      </c>
      <c r="E46" s="96" t="e">
        <v>#VALUE!</v>
      </c>
      <c r="F46" s="142">
        <v>0.105</v>
      </c>
      <c r="G46" s="46" t="str">
        <f>IFERROR(VLOOKUP("RM5ART",STOCK!$B$2:$Q$3677,3,FALSE),"SIN STOCK")</f>
        <v>SIN STOCK</v>
      </c>
    </row>
    <row r="47" ht="15.75" customHeight="1">
      <c r="A47" s="33" t="s">
        <v>5612</v>
      </c>
      <c r="B47" s="45" t="s">
        <v>5754</v>
      </c>
      <c r="C47" s="68" t="s">
        <v>5755</v>
      </c>
      <c r="D47" s="101" t="s">
        <v>5756</v>
      </c>
      <c r="E47" s="101" t="s">
        <v>5757</v>
      </c>
      <c r="F47" s="290">
        <v>0.21</v>
      </c>
      <c r="G47" s="46" t="str">
        <f>IFERROR(VLOOKUP("SDA1CE",STOCK!$B$2:$Q$3677,3,FALSE),"SIN STOCK")</f>
        <v>Mayor a 5</v>
      </c>
    </row>
    <row r="48" ht="15.75" customHeight="1">
      <c r="A48" s="40" t="s">
        <v>5612</v>
      </c>
      <c r="B48" s="41" t="s">
        <v>5758</v>
      </c>
      <c r="C48" s="67" t="s">
        <v>5759</v>
      </c>
      <c r="D48" s="96" t="s">
        <v>5760</v>
      </c>
      <c r="E48" s="96" t="s">
        <v>5761</v>
      </c>
      <c r="F48" s="142">
        <v>0.21</v>
      </c>
      <c r="G48" s="46" t="str">
        <f>IFERROR(VLOOKUP("SLA1CE",STOCK!$B$2:$Q$3677,3,FALSE),"SIN STOCK")</f>
        <v>Mayor a 5</v>
      </c>
    </row>
    <row r="49" ht="15.75" customHeight="1">
      <c r="A49" s="33" t="s">
        <v>5612</v>
      </c>
      <c r="B49" s="45" t="s">
        <v>5762</v>
      </c>
      <c r="C49" s="68" t="s">
        <v>5763</v>
      </c>
      <c r="D49" s="101" t="s">
        <v>5764</v>
      </c>
      <c r="E49" s="101" t="s">
        <v>5765</v>
      </c>
      <c r="F49" s="290">
        <v>0.105</v>
      </c>
      <c r="G49" s="46" t="str">
        <f>IFERROR(VLOOKUP("SLA2CE",STOCK!$B$2:$Q$3677,3,FALSE),"SIN STOCK")</f>
        <v>Menor a 5</v>
      </c>
    </row>
    <row r="50" ht="15.75" customHeight="1">
      <c r="A50" s="40" t="s">
        <v>5612</v>
      </c>
      <c r="B50" s="41" t="s">
        <v>5766</v>
      </c>
      <c r="C50" s="67" t="s">
        <v>5767</v>
      </c>
      <c r="D50" s="96" t="s">
        <v>5768</v>
      </c>
      <c r="E50" s="96" t="s">
        <v>5769</v>
      </c>
      <c r="F50" s="142">
        <v>0.21</v>
      </c>
      <c r="G50" s="46" t="str">
        <f>IFERROR(VLOOKUP("SLA4CE",STOCK!$B$2:$Q$3677,3,FALSE),"SIN STOCK")</f>
        <v>Mayor a 5</v>
      </c>
    </row>
    <row r="51" ht="15.75" customHeight="1">
      <c r="A51" s="33" t="s">
        <v>5612</v>
      </c>
      <c r="B51" s="45" t="s">
        <v>5770</v>
      </c>
      <c r="C51" s="68" t="s">
        <v>5771</v>
      </c>
      <c r="D51" s="101" t="s">
        <v>5772</v>
      </c>
      <c r="E51" s="101" t="s">
        <v>5765</v>
      </c>
      <c r="F51" s="290">
        <v>0.21</v>
      </c>
      <c r="G51" s="46" t="str">
        <f>IFERROR(VLOOKUP("HVA1CE",STOCK!$B$2:$Q$3677,3,FALSE),"SIN STOCK")</f>
        <v>Menor a 5</v>
      </c>
    </row>
    <row r="52" ht="15.75" customHeight="1">
      <c r="A52" s="40" t="s">
        <v>5612</v>
      </c>
      <c r="B52" s="52" t="s">
        <v>5773</v>
      </c>
      <c r="C52" s="67" t="s">
        <v>5774</v>
      </c>
      <c r="D52" s="96" t="s">
        <v>5775</v>
      </c>
      <c r="E52" s="96" t="s">
        <v>5776</v>
      </c>
      <c r="F52" s="142">
        <v>0.21</v>
      </c>
      <c r="G52" s="46" t="str">
        <f>IFERROR(VLOOKUP("HVA4CE",STOCK!$B$2:$Q$3677,3,FALSE),"SIN STOCK")</f>
        <v>Menor a 5</v>
      </c>
    </row>
    <row r="53" ht="15.75" customHeight="1">
      <c r="A53" s="28" t="s">
        <v>5777</v>
      </c>
      <c r="B53" s="29"/>
      <c r="C53" s="29"/>
      <c r="D53" s="51"/>
      <c r="E53" s="51"/>
      <c r="F53" s="31"/>
      <c r="G53" s="29"/>
    </row>
    <row r="54" ht="15.75" customHeight="1">
      <c r="A54" s="40" t="s">
        <v>5612</v>
      </c>
      <c r="B54" s="41" t="s">
        <v>5778</v>
      </c>
      <c r="C54" s="67" t="s">
        <v>5779</v>
      </c>
      <c r="D54" s="96" t="s">
        <v>5780</v>
      </c>
      <c r="E54" s="96" t="s">
        <v>5781</v>
      </c>
      <c r="F54" s="142">
        <v>0.105</v>
      </c>
      <c r="G54" s="46" t="str">
        <f>IFERROR(VLOOKUP("CX310",STOCK!$B$2:$Q$3677,3,FALSE),"SIN STOCK")</f>
        <v>SIN STOCK</v>
      </c>
    </row>
    <row r="55" ht="15.75" customHeight="1">
      <c r="A55" s="33" t="s">
        <v>5612</v>
      </c>
      <c r="B55" s="45" t="s">
        <v>5782</v>
      </c>
      <c r="C55" s="68" t="s">
        <v>5783</v>
      </c>
      <c r="D55" s="101" t="s">
        <v>5784</v>
      </c>
      <c r="E55" s="101" t="s">
        <v>5785</v>
      </c>
      <c r="F55" s="290">
        <v>0.105</v>
      </c>
      <c r="G55" s="46" t="str">
        <f>IFERROR(VLOOKUP("CX311",STOCK!$B$2:$Q$3677,3,FALSE),"SIN STOCK")</f>
        <v>SIN STOCK</v>
      </c>
    </row>
    <row r="56" ht="15.75" customHeight="1">
      <c r="A56" s="40" t="s">
        <v>5612</v>
      </c>
      <c r="B56" s="41" t="s">
        <v>5786</v>
      </c>
      <c r="C56" s="67" t="s">
        <v>5787</v>
      </c>
      <c r="D56" s="96" t="s">
        <v>5784</v>
      </c>
      <c r="E56" s="96" t="s">
        <v>5785</v>
      </c>
      <c r="F56" s="142">
        <v>0.105</v>
      </c>
      <c r="G56" s="46" t="str">
        <f>IFERROR(VLOOKUP("EQ-341",STOCK!$B$2:$Q$3677,3,FALSE),"SIN STOCK")</f>
        <v>SIN STOCK</v>
      </c>
    </row>
    <row r="57" ht="15.75" customHeight="1">
      <c r="A57" s="33" t="s">
        <v>5612</v>
      </c>
      <c r="B57" s="45" t="s">
        <v>5788</v>
      </c>
      <c r="C57" s="68" t="s">
        <v>5789</v>
      </c>
      <c r="D57" s="101" t="s">
        <v>5784</v>
      </c>
      <c r="E57" s="101" t="s">
        <v>5785</v>
      </c>
      <c r="F57" s="290">
        <v>0.105</v>
      </c>
      <c r="G57" s="46" t="str">
        <f>IFERROR(VLOOKUP("EQ-351",STOCK!$B$2:$Q$3677,3,FALSE),"SIN STOCK")</f>
        <v>SIN STOCK</v>
      </c>
    </row>
    <row r="58" ht="15.75" customHeight="1">
      <c r="A58" s="40" t="s">
        <v>5612</v>
      </c>
      <c r="B58" s="41" t="s">
        <v>5790</v>
      </c>
      <c r="C58" s="67" t="s">
        <v>5791</v>
      </c>
      <c r="D58" s="96" t="s">
        <v>5792</v>
      </c>
      <c r="E58" s="96" t="s">
        <v>5793</v>
      </c>
      <c r="F58" s="142">
        <v>0.105</v>
      </c>
      <c r="G58" s="46" t="str">
        <f>IFERROR(VLOOKUP("EQ-355",STOCK!$B$2:$Q$3677,3,FALSE),"SIN STOCK")</f>
        <v>SIN STOCK</v>
      </c>
    </row>
    <row r="59" ht="15.75" customHeight="1">
      <c r="A59" s="28" t="s">
        <v>5794</v>
      </c>
      <c r="B59" s="29"/>
      <c r="C59" s="29"/>
      <c r="D59" s="51"/>
      <c r="E59" s="51"/>
      <c r="F59" s="31"/>
      <c r="G59" s="29"/>
    </row>
    <row r="60" ht="15.75" customHeight="1">
      <c r="A60" s="40" t="s">
        <v>5612</v>
      </c>
      <c r="B60" s="41" t="s">
        <v>5795</v>
      </c>
      <c r="C60" s="67" t="s">
        <v>5796</v>
      </c>
      <c r="D60" s="96" t="s">
        <v>5797</v>
      </c>
      <c r="E60" s="96" t="s">
        <v>5735</v>
      </c>
      <c r="F60" s="142">
        <v>0.105</v>
      </c>
      <c r="G60" s="46" t="str">
        <f>IFERROR(VLOOKUP("PB 4 x 4",STOCK!$B$2:$Q$3677,3,FALSE),"SIN STOCK")</f>
        <v>SIN STOCK</v>
      </c>
    </row>
    <row r="61" ht="15.75" customHeight="1">
      <c r="A61" s="33" t="s">
        <v>5612</v>
      </c>
      <c r="B61" s="45" t="s">
        <v>5798</v>
      </c>
      <c r="C61" s="68" t="s">
        <v>5799</v>
      </c>
      <c r="D61" s="101" t="s">
        <v>5800</v>
      </c>
      <c r="E61" s="101" t="s">
        <v>5801</v>
      </c>
      <c r="F61" s="290">
        <v>0.105</v>
      </c>
      <c r="G61" s="46" t="str">
        <f>IFERROR(VLOOKUP("SP 4 x 4",STOCK!$B$2:$Q$3677,3,FALSE),"SIN STOCK")</f>
        <v>SIN STOCK</v>
      </c>
    </row>
    <row r="62" ht="15.75" customHeight="1">
      <c r="A62" s="40" t="s">
        <v>5612</v>
      </c>
      <c r="B62" s="41" t="s">
        <v>5802</v>
      </c>
      <c r="C62" s="67" t="s">
        <v>5803</v>
      </c>
      <c r="D62" s="96" t="s">
        <v>5804</v>
      </c>
      <c r="E62" s="96" t="s">
        <v>5805</v>
      </c>
      <c r="F62" s="142">
        <v>0.105</v>
      </c>
      <c r="G62" s="46" t="str">
        <f>IFERROR(VLOOKUP("PS 4 x 4",STOCK!$B$2:$Q$3677,3,FALSE),"SIN STOCK")</f>
        <v>SIN STOCK</v>
      </c>
    </row>
    <row r="63" ht="15.75" customHeight="1">
      <c r="A63" s="33" t="s">
        <v>5612</v>
      </c>
      <c r="B63" s="45" t="s">
        <v>5806</v>
      </c>
      <c r="C63" s="68" t="s">
        <v>5807</v>
      </c>
      <c r="D63" s="101" t="s">
        <v>5808</v>
      </c>
      <c r="E63" s="101" t="s">
        <v>5809</v>
      </c>
      <c r="F63" s="290">
        <v>0.105</v>
      </c>
      <c r="G63" s="46" t="str">
        <f>IFERROR(VLOOKUP("PB4x4PROUSB",STOCK!$B$2:$Q$3677,3,FALSE),"SIN STOCK")</f>
        <v>SIN STOCK</v>
      </c>
    </row>
    <row r="64" ht="15.75" customHeight="1">
      <c r="A64" s="40" t="s">
        <v>5612</v>
      </c>
      <c r="B64" s="41" t="s">
        <v>5810</v>
      </c>
      <c r="C64" s="67" t="s">
        <v>5811</v>
      </c>
      <c r="D64" s="96" t="s">
        <v>5812</v>
      </c>
      <c r="E64" s="96" t="s">
        <v>5813</v>
      </c>
      <c r="F64" s="142">
        <v>0.105</v>
      </c>
      <c r="G64" s="46" t="str">
        <f>IFERROR(VLOOKUP("SP4x4PROUSB",STOCK!$B$2:$Q$3677,3,FALSE),"SIN STOCK")</f>
        <v>SIN STOCK</v>
      </c>
    </row>
    <row r="65" ht="15.75" customHeight="1">
      <c r="A65" s="33" t="s">
        <v>5612</v>
      </c>
      <c r="B65" s="45" t="s">
        <v>5814</v>
      </c>
      <c r="C65" s="68" t="s">
        <v>5815</v>
      </c>
      <c r="D65" s="101" t="s">
        <v>5816</v>
      </c>
      <c r="E65" s="101" t="s">
        <v>5817</v>
      </c>
      <c r="F65" s="290">
        <v>0.105</v>
      </c>
      <c r="G65" s="46" t="str">
        <f>IFERROR(VLOOKUP("PS4x4PROUSB",STOCK!$B$2:$Q$3677,3,FALSE),"SIN STOCK")</f>
        <v>SIN STOCK</v>
      </c>
    </row>
    <row r="66" ht="15.75" customHeight="1">
      <c r="A66" s="40" t="s">
        <v>5612</v>
      </c>
      <c r="B66" s="40" t="s">
        <v>5818</v>
      </c>
      <c r="C66" s="67" t="s">
        <v>5819</v>
      </c>
      <c r="D66" s="96" t="s">
        <v>5816</v>
      </c>
      <c r="E66" s="96" t="s">
        <v>5817</v>
      </c>
      <c r="F66" s="142">
        <v>0.105</v>
      </c>
      <c r="G66" s="46" t="str">
        <f>IFERROR(VLOOKUP("PS8-II -110v only",STOCK!$B$2:$Q$3677,3,FALSE),"SIN STOCK")</f>
        <v>SIN STOCK</v>
      </c>
    </row>
    <row r="67" ht="15.75" customHeight="1">
      <c r="A67" s="33" t="s">
        <v>5612</v>
      </c>
      <c r="B67" s="33" t="s">
        <v>5820</v>
      </c>
      <c r="C67" s="68" t="s">
        <v>5821</v>
      </c>
      <c r="D67" s="101" t="s">
        <v>5822</v>
      </c>
      <c r="E67" s="101" t="s">
        <v>5823</v>
      </c>
      <c r="F67" s="290">
        <v>0.105</v>
      </c>
      <c r="G67" s="46" t="str">
        <f>IFERROR(VLOOKUP("PDS8U - 110v Only",STOCK!$B$2:$Q$3677,3,FALSE),"SIN STOCK")</f>
        <v>SIN STOCK</v>
      </c>
    </row>
    <row r="68" ht="15.75" customHeight="1">
      <c r="A68" s="40" t="s">
        <v>5612</v>
      </c>
      <c r="B68" s="41" t="s">
        <v>5824</v>
      </c>
      <c r="C68" s="67" t="s">
        <v>5825</v>
      </c>
      <c r="D68" s="96" t="s">
        <v>5826</v>
      </c>
      <c r="E68" s="96" t="s">
        <v>5827</v>
      </c>
      <c r="F68" s="142">
        <v>0.105</v>
      </c>
      <c r="G68" s="46" t="str">
        <f>IFERROR(VLOOKUP("IS0-8U",STOCK!$B$2:$Q$3677,3,FALSE),"SIN STOCK")</f>
        <v>SIN STOCK</v>
      </c>
    </row>
    <row r="69" ht="15.75" customHeight="1">
      <c r="A69" s="28" t="s">
        <v>5828</v>
      </c>
      <c r="B69" s="29"/>
      <c r="C69" s="29"/>
      <c r="D69" s="51"/>
      <c r="E69" s="51"/>
      <c r="F69" s="31"/>
      <c r="G69" s="29"/>
    </row>
    <row r="70" ht="15.75" customHeight="1">
      <c r="A70" s="40" t="s">
        <v>5612</v>
      </c>
      <c r="B70" s="41" t="s">
        <v>5829</v>
      </c>
      <c r="C70" s="67" t="s">
        <v>5830</v>
      </c>
      <c r="D70" s="96" t="s">
        <v>5831</v>
      </c>
      <c r="E70" s="96" t="s">
        <v>5832</v>
      </c>
      <c r="F70" s="142">
        <v>0.105</v>
      </c>
      <c r="G70" s="46" t="str">
        <f>IFERROR(VLOOKUP("MX225",STOCK!$B$2:$Q$3677,3,FALSE),"SIN STOCK")</f>
        <v>Mayor a 5</v>
      </c>
    </row>
    <row r="71" ht="15.75" customHeight="1">
      <c r="A71" s="33" t="s">
        <v>5612</v>
      </c>
      <c r="B71" s="45" t="s">
        <v>5833</v>
      </c>
      <c r="C71" s="68" t="s">
        <v>5834</v>
      </c>
      <c r="D71" s="101" t="s">
        <v>5835</v>
      </c>
      <c r="E71" s="101" t="s">
        <v>5761</v>
      </c>
      <c r="F71" s="290">
        <v>0.105</v>
      </c>
      <c r="G71" s="46" t="str">
        <f>IFERROR(VLOOKUP("MX524",STOCK!$B$2:$Q$3677,3,FALSE),"SIN STOCK")</f>
        <v>SIN STOCK</v>
      </c>
    </row>
    <row r="72" ht="15.75" customHeight="1">
      <c r="A72" s="40" t="s">
        <v>5612</v>
      </c>
      <c r="B72" s="41" t="s">
        <v>5836</v>
      </c>
      <c r="C72" s="67" t="s">
        <v>5837</v>
      </c>
      <c r="D72" s="96" t="s">
        <v>5641</v>
      </c>
      <c r="E72" s="96" t="s">
        <v>5642</v>
      </c>
      <c r="F72" s="142">
        <v>0.105</v>
      </c>
      <c r="G72" s="46" t="str">
        <f>IFERROR(VLOOKUP("MX622",STOCK!$B$2:$Q$3677,3,FALSE),"SIN STOCK")</f>
        <v>Menor a 5</v>
      </c>
    </row>
    <row r="73" ht="15.75" customHeight="1">
      <c r="A73" s="33" t="s">
        <v>5612</v>
      </c>
      <c r="B73" s="33" t="s">
        <v>5838</v>
      </c>
      <c r="C73" s="68" t="s">
        <v>5839</v>
      </c>
      <c r="D73" s="101" t="s">
        <v>5831</v>
      </c>
      <c r="E73" s="101" t="s">
        <v>5832</v>
      </c>
      <c r="F73" s="290">
        <v>0.105</v>
      </c>
      <c r="G73" s="46" t="str">
        <f>IFERROR(VLOOKUP("MX622BT",STOCK!$B$2:$Q$3677,3,FALSE),"SIN STOCK")</f>
        <v>Mayor a 5</v>
      </c>
    </row>
    <row r="74" ht="15.75" customHeight="1">
      <c r="A74" s="40" t="s">
        <v>5612</v>
      </c>
      <c r="B74" s="41" t="s">
        <v>5840</v>
      </c>
      <c r="C74" s="67" t="s">
        <v>5841</v>
      </c>
      <c r="D74" s="96" t="s">
        <v>5641</v>
      </c>
      <c r="E74" s="96" t="s">
        <v>5642</v>
      </c>
      <c r="F74" s="142">
        <v>0.105</v>
      </c>
      <c r="G74" s="46" t="str">
        <f>IFERROR(VLOOKUP("MX624",STOCK!$B$2:$Q$3677,3,FALSE),"SIN STOCK")</f>
        <v>SIN STOCK</v>
      </c>
    </row>
    <row r="75" ht="15.75" customHeight="1">
      <c r="A75" s="33" t="s">
        <v>5612</v>
      </c>
      <c r="B75" s="45" t="s">
        <v>5842</v>
      </c>
      <c r="C75" s="68" t="s">
        <v>5843</v>
      </c>
      <c r="D75" s="101" t="s">
        <v>5649</v>
      </c>
      <c r="E75" s="101" t="s">
        <v>5650</v>
      </c>
      <c r="F75" s="290">
        <v>0.105</v>
      </c>
      <c r="G75" s="46" t="str">
        <f>IFERROR(VLOOKUP("MX821S",STOCK!$B$2:$Q$3677,3,FALSE),"SIN STOCK")</f>
        <v>SIN STOCK</v>
      </c>
    </row>
    <row r="76" ht="15.75" customHeight="1">
      <c r="A76" s="40" t="s">
        <v>5612</v>
      </c>
      <c r="B76" s="41" t="s">
        <v>5844</v>
      </c>
      <c r="C76" s="67" t="s">
        <v>5845</v>
      </c>
      <c r="D76" s="96" t="s">
        <v>5846</v>
      </c>
      <c r="E76" s="96" t="s">
        <v>5847</v>
      </c>
      <c r="F76" s="142">
        <v>0.105</v>
      </c>
      <c r="G76" s="46" t="str">
        <f>IFERROR(VLOOKUP("MX822",STOCK!$B$2:$Q$3677,3,FALSE),"SIN STOCK")</f>
        <v>SIN STOCK</v>
      </c>
    </row>
    <row r="77" ht="15.75" customHeight="1">
      <c r="A77" s="33" t="s">
        <v>5612</v>
      </c>
      <c r="B77" s="45" t="s">
        <v>5848</v>
      </c>
      <c r="C77" s="68" t="s">
        <v>5849</v>
      </c>
      <c r="D77" s="101" t="s">
        <v>5850</v>
      </c>
      <c r="E77" s="101" t="s">
        <v>5851</v>
      </c>
      <c r="F77" s="290">
        <v>0.105</v>
      </c>
      <c r="G77" s="46" t="str">
        <f>IFERROR(VLOOKUP("MacroMix",STOCK!$B$2:$Q$3677,3,FALSE),"SIN STOCK")</f>
        <v>SIN STOCK</v>
      </c>
    </row>
    <row r="78" ht="15.75" customHeight="1">
      <c r="A78" s="40" t="s">
        <v>5612</v>
      </c>
      <c r="B78" s="41" t="s">
        <v>5852</v>
      </c>
      <c r="C78" s="67" t="s">
        <v>5853</v>
      </c>
      <c r="D78" s="96" t="s">
        <v>5854</v>
      </c>
      <c r="E78" s="96" t="s">
        <v>5855</v>
      </c>
      <c r="F78" s="142">
        <v>0.105</v>
      </c>
      <c r="G78" s="46" t="str">
        <f>IFERROR(VLOOKUP("PowerMix III",STOCK!$B$2:$Q$3677,3,FALSE),"SIN STOCK")</f>
        <v>Menor a 5</v>
      </c>
    </row>
    <row r="79" ht="15.75" customHeight="1">
      <c r="A79" s="33" t="s">
        <v>5612</v>
      </c>
      <c r="B79" s="45" t="s">
        <v>5856</v>
      </c>
      <c r="C79" s="68" t="s">
        <v>5857</v>
      </c>
      <c r="D79" s="101" t="s">
        <v>5822</v>
      </c>
      <c r="E79" s="101" t="s">
        <v>5823</v>
      </c>
      <c r="F79" s="290">
        <v>0.105</v>
      </c>
      <c r="G79" s="46" t="str">
        <f>IFERROR(VLOOKUP("PROMIX",STOCK!$B$2:$Q$3677,3,FALSE),"SIN STOCK")</f>
        <v>Mayor a 5</v>
      </c>
    </row>
    <row r="80" ht="15.75" customHeight="1">
      <c r="A80" s="40" t="s">
        <v>5612</v>
      </c>
      <c r="B80" s="41" t="s">
        <v>5858</v>
      </c>
      <c r="C80" s="67" t="s">
        <v>5859</v>
      </c>
      <c r="D80" s="96" t="s">
        <v>5860</v>
      </c>
      <c r="E80" s="96" t="s">
        <v>5861</v>
      </c>
      <c r="F80" s="142">
        <v>0.105</v>
      </c>
      <c r="G80" s="46" t="str">
        <f>IFERROR(VLOOKUP("SLA4",STOCK!$B$2:$Q$3677,3,FALSE),"SIN STOCK")</f>
        <v>SIN STOCK</v>
      </c>
    </row>
    <row r="81" ht="15.75" customHeight="1">
      <c r="A81" s="28" t="s">
        <v>5862</v>
      </c>
      <c r="B81" s="29"/>
      <c r="C81" s="29"/>
      <c r="D81" s="51"/>
      <c r="E81" s="51"/>
      <c r="F81" s="31"/>
      <c r="G81" s="29"/>
    </row>
    <row r="82" ht="15.75" customHeight="1">
      <c r="A82" s="40" t="s">
        <v>5612</v>
      </c>
      <c r="B82" s="41" t="s">
        <v>5863</v>
      </c>
      <c r="C82" s="67" t="s">
        <v>5864</v>
      </c>
      <c r="D82" s="96" t="s">
        <v>5865</v>
      </c>
      <c r="E82" s="96" t="s">
        <v>5866</v>
      </c>
      <c r="F82" s="142">
        <v>0.105</v>
      </c>
      <c r="G82" s="46" t="str">
        <f>IFERROR(VLOOKUP("AVDirect",STOCK!$B$2:$Q$3677,3,FALSE),"SIN STOCK")</f>
        <v>SIN STOCK</v>
      </c>
    </row>
    <row r="83" ht="15.75" customHeight="1">
      <c r="A83" s="33" t="s">
        <v>5612</v>
      </c>
      <c r="B83" s="45" t="s">
        <v>5867</v>
      </c>
      <c r="C83" s="68" t="s">
        <v>5868</v>
      </c>
      <c r="D83" s="101" t="s">
        <v>5668</v>
      </c>
      <c r="E83" s="101" t="s">
        <v>5669</v>
      </c>
      <c r="F83" s="290">
        <v>0.105</v>
      </c>
      <c r="G83" s="46" t="str">
        <f>IFERROR(VLOOKUP("PDB",STOCK!$B$2:$Q$3677,3,FALSE),"SIN STOCK")</f>
        <v>SIN STOCK</v>
      </c>
    </row>
    <row r="84" ht="15.75" customHeight="1">
      <c r="A84" s="40" t="s">
        <v>5612</v>
      </c>
      <c r="B84" s="41" t="s">
        <v>5869</v>
      </c>
      <c r="C84" s="67" t="s">
        <v>5870</v>
      </c>
      <c r="D84" s="96" t="s">
        <v>5673</v>
      </c>
      <c r="E84" s="96" t="s">
        <v>5674</v>
      </c>
      <c r="F84" s="142">
        <v>0.105</v>
      </c>
      <c r="G84" s="46" t="str">
        <f>IFERROR(VLOOKUP("PDB4",STOCK!$B$2:$Q$3677,3,FALSE),"SIN STOCK")</f>
        <v>Menor a 5</v>
      </c>
    </row>
    <row r="85" ht="15.75" customHeight="1">
      <c r="A85" s="33" t="s">
        <v>5612</v>
      </c>
      <c r="B85" s="45" t="s">
        <v>5871</v>
      </c>
      <c r="C85" s="68" t="s">
        <v>5872</v>
      </c>
      <c r="D85" s="101" t="s">
        <v>5705</v>
      </c>
      <c r="E85" s="101" t="s">
        <v>5706</v>
      </c>
      <c r="F85" s="290">
        <v>0.105</v>
      </c>
      <c r="G85" s="46" t="str">
        <f>IFERROR(VLOOKUP("dADB",STOCK!$B$2:$Q$3677,3,FALSE),"SIN STOCK")</f>
        <v>SIN STOCK</v>
      </c>
    </row>
    <row r="86" ht="15.75" customHeight="1">
      <c r="A86" s="40" t="s">
        <v>5612</v>
      </c>
      <c r="B86" s="41" t="s">
        <v>5873</v>
      </c>
      <c r="C86" s="67" t="s">
        <v>5874</v>
      </c>
      <c r="D86" s="96" t="s">
        <v>5682</v>
      </c>
      <c r="E86" s="96" t="s">
        <v>5683</v>
      </c>
      <c r="F86" s="142">
        <v>0.105</v>
      </c>
      <c r="G86" s="46" t="str">
        <f>IFERROR(VLOOKUP("dPDB",STOCK!$B$2:$Q$3677,3,FALSE),"SIN STOCK")</f>
        <v>SIN STOCK</v>
      </c>
    </row>
    <row r="87" ht="15.75" customHeight="1">
      <c r="A87" s="33" t="s">
        <v>5612</v>
      </c>
      <c r="B87" s="45" t="s">
        <v>5875</v>
      </c>
      <c r="C87" s="68" t="s">
        <v>5876</v>
      </c>
      <c r="D87" s="101" t="s">
        <v>5877</v>
      </c>
      <c r="E87" s="101" t="s">
        <v>5878</v>
      </c>
      <c r="F87" s="290">
        <v>0.105</v>
      </c>
      <c r="G87" s="38" t="str">
        <f>IFERROR(VLOOKUP("XDIRECT",STOCK!$B$2:$Q$3677,3,FALSE),"SIN STOCK")</f>
        <v>Mayor a 5</v>
      </c>
    </row>
    <row r="88" ht="15.75" customHeight="1">
      <c r="A88" s="40" t="s">
        <v>5612</v>
      </c>
      <c r="B88" s="41" t="s">
        <v>5879</v>
      </c>
      <c r="C88" s="67" t="s">
        <v>5880</v>
      </c>
      <c r="D88" s="96" t="s">
        <v>5881</v>
      </c>
      <c r="E88" s="96" t="s">
        <v>5882</v>
      </c>
      <c r="F88" s="142">
        <v>0.105</v>
      </c>
      <c r="G88" s="46" t="str">
        <f>IFERROR(VLOOKUP("ZDIRECT",STOCK!$B$2:$Q$3677,3,FALSE),"SIN STOCK")</f>
        <v>Mayor a 5</v>
      </c>
    </row>
    <row r="89" ht="15.75" customHeight="1">
      <c r="A89" s="33" t="s">
        <v>5612</v>
      </c>
      <c r="B89" s="45" t="s">
        <v>5883</v>
      </c>
      <c r="C89" s="68" t="s">
        <v>5884</v>
      </c>
      <c r="D89" s="101" t="s">
        <v>5860</v>
      </c>
      <c r="E89" s="101" t="s">
        <v>5861</v>
      </c>
      <c r="F89" s="290">
        <v>0.105</v>
      </c>
      <c r="G89" s="49" t="str">
        <f>IFERROR(VLOOKUP("DUALXDIRECT",STOCK!$B$2:$Q$3677,3,FALSE),"SIN STOCK")</f>
        <v>Mayor a 5</v>
      </c>
    </row>
    <row r="90" ht="15.75" customHeight="1">
      <c r="A90" s="40" t="s">
        <v>5612</v>
      </c>
      <c r="B90" s="41" t="s">
        <v>5885</v>
      </c>
      <c r="C90" s="67" t="s">
        <v>5886</v>
      </c>
      <c r="D90" s="96" t="s">
        <v>5887</v>
      </c>
      <c r="E90" s="96" t="s">
        <v>5888</v>
      </c>
      <c r="F90" s="142">
        <v>0.105</v>
      </c>
      <c r="G90" s="46" t="str">
        <f>IFERROR(VLOOKUP("DUALZDIRECT",STOCK!$B$2:$Q$3677,3,FALSE),"SIN STOCK")</f>
        <v>Menor a 5</v>
      </c>
    </row>
    <row r="91" ht="15.75" customHeight="1">
      <c r="A91" s="33" t="s">
        <v>5612</v>
      </c>
      <c r="B91" s="45" t="s">
        <v>5889</v>
      </c>
      <c r="C91" s="68" t="s">
        <v>5890</v>
      </c>
      <c r="D91" s="101" t="s">
        <v>5850</v>
      </c>
      <c r="E91" s="101" t="s">
        <v>5851</v>
      </c>
      <c r="F91" s="290">
        <v>0.105</v>
      </c>
      <c r="G91" s="46" t="str">
        <f>IFERROR(VLOOKUP("DualRDB",STOCK!$B$2:$Q$3677,3,FALSE),"SIN STOCK")</f>
        <v>SIN STOCK</v>
      </c>
    </row>
    <row r="92" ht="15.75" customHeight="1">
      <c r="A92" s="28" t="s">
        <v>5891</v>
      </c>
      <c r="B92" s="29"/>
      <c r="C92" s="29"/>
      <c r="D92" s="51"/>
      <c r="E92" s="51"/>
      <c r="F92" s="31"/>
      <c r="G92" s="29"/>
    </row>
    <row r="93" ht="15.75" customHeight="1">
      <c r="A93" s="40" t="s">
        <v>5612</v>
      </c>
      <c r="B93" s="41" t="s">
        <v>5892</v>
      </c>
      <c r="C93" s="67" t="s">
        <v>5893</v>
      </c>
      <c r="D93" s="96" t="s">
        <v>5627</v>
      </c>
      <c r="E93" s="96" t="s">
        <v>5628</v>
      </c>
      <c r="F93" s="142">
        <v>0.105</v>
      </c>
      <c r="G93" s="46" t="str">
        <f>IFERROR(VLOOKUP("P16",STOCK!$B$2:$Q$3677,3,FALSE),"SIN STOCK")</f>
        <v>SIN STOCK</v>
      </c>
    </row>
    <row r="94" ht="15.75" customHeight="1">
      <c r="A94" s="33" t="s">
        <v>5612</v>
      </c>
      <c r="B94" s="45" t="s">
        <v>5894</v>
      </c>
      <c r="C94" s="68" t="s">
        <v>5895</v>
      </c>
      <c r="D94" s="101" t="s">
        <v>5677</v>
      </c>
      <c r="E94" s="101" t="s">
        <v>5678</v>
      </c>
      <c r="F94" s="290">
        <v>0.105</v>
      </c>
      <c r="G94" s="46" t="str">
        <f>IFERROR(VLOOKUP("P48",STOCK!$B$2:$Q$3677,3,FALSE),"SIN STOCK")</f>
        <v>SIN STOCK</v>
      </c>
    </row>
    <row r="95" ht="15.75" customHeight="1">
      <c r="A95" s="40" t="s">
        <v>5612</v>
      </c>
      <c r="B95" s="41" t="s">
        <v>5896</v>
      </c>
      <c r="C95" s="67" t="s">
        <v>5897</v>
      </c>
      <c r="D95" s="96" t="s">
        <v>5898</v>
      </c>
      <c r="E95" s="96" t="s">
        <v>5899</v>
      </c>
      <c r="F95" s="142">
        <v>0.105</v>
      </c>
      <c r="G95" s="46" t="str">
        <f>IFERROR(VLOOKUP("ARTS8",STOCK!$B$2:$Q$3677,3,FALSE),"SIN STOCK")</f>
        <v>SIN STOCK</v>
      </c>
    </row>
    <row r="96" ht="15.75" customHeight="1">
      <c r="A96" s="33" t="s">
        <v>5612</v>
      </c>
      <c r="B96" s="45" t="s">
        <v>5900</v>
      </c>
      <c r="C96" s="68" t="s">
        <v>5901</v>
      </c>
      <c r="D96" s="101" t="s">
        <v>5902</v>
      </c>
      <c r="E96" s="101" t="s">
        <v>5903</v>
      </c>
      <c r="F96" s="290">
        <v>0.105</v>
      </c>
      <c r="G96" s="46" t="str">
        <f>IFERROR(VLOOKUP("ARTS8-3WAY",STOCK!$B$2:$Q$3677,3,FALSE),"SIN STOCK")</f>
        <v>Mayor a 5</v>
      </c>
    </row>
    <row r="97" ht="15.75" customHeight="1">
      <c r="A97" s="40" t="s">
        <v>5612</v>
      </c>
      <c r="B97" s="41" t="s">
        <v>5904</v>
      </c>
      <c r="C97" s="67" t="s">
        <v>5905</v>
      </c>
      <c r="D97" s="96" t="s">
        <v>5906</v>
      </c>
      <c r="E97" s="96" t="s">
        <v>5907</v>
      </c>
      <c r="F97" s="142">
        <v>0.105</v>
      </c>
      <c r="G97" s="46" t="str">
        <f>IFERROR(VLOOKUP("ProSplit",STOCK!$B$2:$Q$3677,3,FALSE),"SIN STOCK")</f>
        <v>SIN STOCK</v>
      </c>
    </row>
    <row r="98" ht="15.75" customHeight="1">
      <c r="A98" s="33" t="s">
        <v>5612</v>
      </c>
      <c r="B98" s="45" t="s">
        <v>5908</v>
      </c>
      <c r="C98" s="68" t="s">
        <v>5909</v>
      </c>
      <c r="D98" s="101" t="s">
        <v>5910</v>
      </c>
      <c r="E98" s="101" t="s">
        <v>5911</v>
      </c>
      <c r="F98" s="290">
        <v>0.105</v>
      </c>
      <c r="G98" s="46" t="str">
        <f>IFERROR(VLOOKUP("SPLITCOMPRO",STOCK!$B$2:$Q$3677,3,FALSE),"SIN STOCK")</f>
        <v>Menor a 5</v>
      </c>
    </row>
    <row r="99" ht="15.75" customHeight="1">
      <c r="A99" s="40" t="s">
        <v>5612</v>
      </c>
      <c r="B99" s="41" t="s">
        <v>5912</v>
      </c>
      <c r="C99" s="67" t="s">
        <v>5913</v>
      </c>
      <c r="D99" s="96" t="s">
        <v>5877</v>
      </c>
      <c r="E99" s="96" t="s">
        <v>5878</v>
      </c>
      <c r="F99" s="142">
        <v>0.105</v>
      </c>
      <c r="G99" s="46" t="str">
        <f>IFERROR(VLOOKUP("TPatch",STOCK!$B$2:$Q$3677,3,FALSE),"SIN STOCK")</f>
        <v>SIN STOCK</v>
      </c>
    </row>
    <row r="100" ht="15.75" customHeight="1">
      <c r="A100" s="33" t="s">
        <v>5612</v>
      </c>
      <c r="B100" s="45" t="s">
        <v>5914</v>
      </c>
      <c r="C100" s="68" t="s">
        <v>5915</v>
      </c>
      <c r="D100" s="101" t="s">
        <v>5916</v>
      </c>
      <c r="E100" s="101" t="s">
        <v>5917</v>
      </c>
      <c r="F100" s="290">
        <v>0.105</v>
      </c>
      <c r="G100" s="46" t="str">
        <f>IFERROR(VLOOKUP("XPatch",STOCK!$B$2:$Q$3677,3,FALSE),"SIN STOCK")</f>
        <v>SIN STOCK</v>
      </c>
    </row>
    <row r="101" ht="15.75" customHeight="1">
      <c r="A101" s="28" t="s">
        <v>5918</v>
      </c>
      <c r="B101" s="29"/>
      <c r="C101" s="29"/>
      <c r="D101" s="51"/>
      <c r="E101" s="51"/>
      <c r="F101" s="31"/>
      <c r="G101" s="29"/>
    </row>
    <row r="102" ht="15.75" customHeight="1">
      <c r="A102" s="40" t="s">
        <v>5612</v>
      </c>
      <c r="B102" s="41" t="s">
        <v>5919</v>
      </c>
      <c r="C102" s="67" t="s">
        <v>5920</v>
      </c>
      <c r="D102" s="96" t="s">
        <v>5877</v>
      </c>
      <c r="E102" s="96" t="s">
        <v>5878</v>
      </c>
      <c r="F102" s="142">
        <v>0.105</v>
      </c>
      <c r="G102" s="38" t="str">
        <f>IFERROR(VLOOKUP("COOLSWITCH",STOCK!$B$2:$Q$3677,3,FALSE),"SIN STOCK")</f>
        <v>Mayor a 5</v>
      </c>
    </row>
    <row r="103" ht="15.75" customHeight="1">
      <c r="A103" s="33" t="s">
        <v>5612</v>
      </c>
      <c r="B103" s="45" t="s">
        <v>5921</v>
      </c>
      <c r="C103" s="68" t="s">
        <v>5922</v>
      </c>
      <c r="D103" s="101" t="s">
        <v>5705</v>
      </c>
      <c r="E103" s="101" t="s">
        <v>5706</v>
      </c>
      <c r="F103" s="290">
        <v>0.105</v>
      </c>
      <c r="G103" s="46" t="str">
        <f>IFERROR(VLOOKUP("COOLSWITCHPro",STOCK!$B$2:$Q$3677,3,FALSE),"SIN STOCK")</f>
        <v>SIN STOCK</v>
      </c>
    </row>
    <row r="104" ht="15.75" customHeight="1">
      <c r="A104" s="40" t="s">
        <v>5612</v>
      </c>
      <c r="B104" s="41" t="s">
        <v>5923</v>
      </c>
      <c r="C104" s="67" t="s">
        <v>5924</v>
      </c>
      <c r="D104" s="96" t="s">
        <v>5925</v>
      </c>
      <c r="E104" s="96" t="s">
        <v>5926</v>
      </c>
      <c r="F104" s="142">
        <v>0.105</v>
      </c>
      <c r="G104" s="46" t="str">
        <f>IFERROR(VLOOKUP("LOOPSWITCH",STOCK!$B$2:$Q$3677,3,FALSE),"SIN STOCK")</f>
        <v>SIN STOCK</v>
      </c>
    </row>
    <row r="105" ht="15.75" customHeight="1">
      <c r="A105" s="33" t="s">
        <v>5612</v>
      </c>
      <c r="B105" s="45" t="s">
        <v>5927</v>
      </c>
      <c r="C105" s="68" t="s">
        <v>5928</v>
      </c>
      <c r="D105" s="101" t="s">
        <v>5925</v>
      </c>
      <c r="E105" s="101" t="s">
        <v>5926</v>
      </c>
      <c r="F105" s="290">
        <v>0.105</v>
      </c>
      <c r="G105" s="46" t="str">
        <f>IFERROR(VLOOKUP("LSWITCH",STOCK!$B$2:$Q$3677,3,FALSE),"SIN STOCK")</f>
        <v>SIN STOCK</v>
      </c>
    </row>
    <row r="106" ht="15.75" customHeight="1">
      <c r="A106" s="40" t="s">
        <v>5612</v>
      </c>
      <c r="B106" s="41" t="s">
        <v>5929</v>
      </c>
      <c r="C106" s="67" t="s">
        <v>5930</v>
      </c>
      <c r="D106" s="96" t="s">
        <v>5925</v>
      </c>
      <c r="E106" s="96" t="s">
        <v>5926</v>
      </c>
      <c r="F106" s="142">
        <v>0.105</v>
      </c>
      <c r="G106" s="46" t="str">
        <f>IFERROR(VLOOKUP("Patchin",STOCK!$B$2:$Q$3677,3,FALSE),"SIN STOCK")</f>
        <v>SIN STOCK</v>
      </c>
    </row>
    <row r="107" ht="15.75" customHeight="1">
      <c r="A107" s="28" t="s">
        <v>5931</v>
      </c>
      <c r="B107" s="29"/>
      <c r="C107" s="29"/>
      <c r="D107" s="51"/>
      <c r="E107" s="51"/>
      <c r="F107" s="31"/>
      <c r="G107" s="29"/>
    </row>
    <row r="108" ht="15.75" customHeight="1">
      <c r="A108" s="40" t="s">
        <v>5612</v>
      </c>
      <c r="B108" s="41" t="s">
        <v>5932</v>
      </c>
      <c r="C108" s="67" t="s">
        <v>5933</v>
      </c>
      <c r="D108" s="96" t="s">
        <v>5705</v>
      </c>
      <c r="E108" s="96" t="s">
        <v>5706</v>
      </c>
      <c r="F108" s="142">
        <v>0.105</v>
      </c>
      <c r="G108" s="46" t="str">
        <f>IFERROR(VLOOKUP("CLEANBOXPRO",STOCK!$B$2:$Q$3677,3,FALSE),"SIN STOCK")</f>
        <v>Menor a 5</v>
      </c>
    </row>
    <row r="109" ht="15.75" customHeight="1">
      <c r="A109" s="33" t="s">
        <v>5612</v>
      </c>
      <c r="B109" s="45" t="s">
        <v>5934</v>
      </c>
      <c r="C109" s="68" t="s">
        <v>5935</v>
      </c>
      <c r="D109" s="101" t="s">
        <v>5682</v>
      </c>
      <c r="E109" s="101" t="s">
        <v>5683</v>
      </c>
      <c r="F109" s="290">
        <v>0.105</v>
      </c>
      <c r="G109" s="46" t="str">
        <f>IFERROR(VLOOKUP("CLEANBOXPRO II",STOCK!$B$2:$Q$3677,3,FALSE),"SIN STOCK")</f>
        <v>SIN STOCK</v>
      </c>
    </row>
    <row r="110" ht="15.75" customHeight="1">
      <c r="A110" s="40" t="s">
        <v>5612</v>
      </c>
      <c r="B110" s="41" t="s">
        <v>5936</v>
      </c>
      <c r="C110" s="67" t="s">
        <v>5937</v>
      </c>
      <c r="D110" s="96" t="s">
        <v>5865</v>
      </c>
      <c r="E110" s="96" t="s">
        <v>5866</v>
      </c>
      <c r="F110" s="142">
        <v>0.105</v>
      </c>
      <c r="G110" s="46" t="str">
        <f>IFERROR(VLOOKUP("DTI",STOCK!$B$2:$Q$3677,3,FALSE),"SIN STOCK")</f>
        <v>Menor a 5</v>
      </c>
    </row>
    <row r="111" ht="15.75" customHeight="1">
      <c r="A111" s="33" t="s">
        <v>5612</v>
      </c>
      <c r="B111" s="45" t="s">
        <v>5938</v>
      </c>
      <c r="C111" s="68" t="s">
        <v>5939</v>
      </c>
      <c r="D111" s="101" t="s">
        <v>5645</v>
      </c>
      <c r="E111" s="101" t="s">
        <v>5646</v>
      </c>
      <c r="F111" s="290">
        <v>0.105</v>
      </c>
      <c r="G111" s="46" t="str">
        <f>IFERROR(VLOOKUP("SyncGen",STOCK!$B$2:$Q$3677,3,FALSE),"SIN STOCK")</f>
        <v>Mayor a 5</v>
      </c>
    </row>
    <row r="112" ht="15.75" customHeight="1">
      <c r="A112" s="40" t="s">
        <v>5612</v>
      </c>
      <c r="B112" s="41" t="s">
        <v>5940</v>
      </c>
      <c r="C112" s="67" t="s">
        <v>5941</v>
      </c>
      <c r="D112" s="96" t="s">
        <v>5724</v>
      </c>
      <c r="E112" s="96" t="s">
        <v>5725</v>
      </c>
      <c r="F112" s="142">
        <v>0.105</v>
      </c>
      <c r="G112" s="46" t="str">
        <f>IFERROR(VLOOKUP("ARTT8",STOCK!$B$2:$Q$3677,3,FALSE),"SIN STOCK")</f>
        <v>Menor a 5</v>
      </c>
    </row>
    <row r="113" ht="15.75" customHeight="1">
      <c r="A113" s="28" t="s">
        <v>5942</v>
      </c>
      <c r="B113" s="29"/>
      <c r="C113" s="29"/>
      <c r="D113" s="149"/>
      <c r="E113" s="149"/>
      <c r="F113" s="31"/>
      <c r="G113" s="29"/>
    </row>
    <row r="114" ht="15.75" customHeight="1">
      <c r="A114" s="40" t="s">
        <v>5612</v>
      </c>
      <c r="B114" s="41" t="s">
        <v>5943</v>
      </c>
      <c r="C114" s="67" t="s">
        <v>5944</v>
      </c>
      <c r="D114" s="96" t="s">
        <v>5945</v>
      </c>
      <c r="E114" s="96" t="s">
        <v>5946</v>
      </c>
      <c r="F114" s="44">
        <v>0.21</v>
      </c>
      <c r="G114" s="38" t="str">
        <f>IFERROR(VLOOKUP("AR 5",STOCK!$B$2:$Q$3677,3,FALSE),"SIN STOCK")</f>
        <v>SIN STOCK</v>
      </c>
    </row>
    <row r="115" ht="15.75" customHeight="1">
      <c r="A115" s="33" t="s">
        <v>5612</v>
      </c>
      <c r="B115" s="45" t="s">
        <v>5947</v>
      </c>
      <c r="C115" s="68" t="s">
        <v>5948</v>
      </c>
      <c r="D115" s="101" t="s">
        <v>5945</v>
      </c>
      <c r="E115" s="101" t="s">
        <v>5946</v>
      </c>
      <c r="F115" s="291">
        <v>0.21</v>
      </c>
      <c r="G115" s="38" t="str">
        <f>IFERROR(VLOOKUP("C1",STOCK!$B$2:$Q$3677,3,FALSE),"SIN STOCK")</f>
        <v>Mayor a 5</v>
      </c>
    </row>
    <row r="116" ht="15.75" customHeight="1">
      <c r="A116" s="40" t="s">
        <v>5612</v>
      </c>
      <c r="B116" s="41" t="s">
        <v>5949</v>
      </c>
      <c r="C116" s="67" t="s">
        <v>5950</v>
      </c>
      <c r="D116" s="96" t="s">
        <v>5951</v>
      </c>
      <c r="E116" s="96" t="s">
        <v>5650</v>
      </c>
      <c r="F116" s="44">
        <v>0.21</v>
      </c>
      <c r="G116" s="38" t="str">
        <f>IFERROR(VLOOKUP("C1USB",STOCK!$B$2:$Q$3677,3,FALSE),"SIN STOCK")</f>
        <v>Mayor a 5</v>
      </c>
    </row>
    <row r="117" ht="15.75" customHeight="1">
      <c r="A117" s="33" t="s">
        <v>5612</v>
      </c>
      <c r="B117" s="45" t="s">
        <v>5952</v>
      </c>
      <c r="C117" s="68" t="s">
        <v>5953</v>
      </c>
      <c r="D117" s="101" t="s">
        <v>5954</v>
      </c>
      <c r="E117" s="101" t="s">
        <v>5955</v>
      </c>
      <c r="F117" s="291">
        <v>0.21</v>
      </c>
      <c r="G117" s="38" t="str">
        <f>IFERROR(VLOOKUP("C2",STOCK!$B$2:$Q$3677,3,FALSE),"SIN STOCK")</f>
        <v>Mayor a 5</v>
      </c>
    </row>
    <row r="118" ht="15.75" customHeight="1">
      <c r="A118" s="40" t="s">
        <v>5612</v>
      </c>
      <c r="B118" s="41" t="s">
        <v>5956</v>
      </c>
      <c r="C118" s="67" t="s">
        <v>5957</v>
      </c>
      <c r="D118" s="96" t="s">
        <v>5745</v>
      </c>
      <c r="E118" s="96" t="s">
        <v>5653</v>
      </c>
      <c r="F118" s="44">
        <v>0.21</v>
      </c>
      <c r="G118" s="38" t="str">
        <f>IFERROR(VLOOKUP("C3",STOCK!$B$2:$Q$3677,3,FALSE),"SIN STOCK")</f>
        <v>Menor a 5</v>
      </c>
    </row>
    <row r="119" ht="15.75" customHeight="1">
      <c r="A119" s="33" t="s">
        <v>5612</v>
      </c>
      <c r="B119" s="45" t="s">
        <v>5958</v>
      </c>
      <c r="C119" s="68" t="s">
        <v>5959</v>
      </c>
      <c r="D119" s="101" t="s">
        <v>5960</v>
      </c>
      <c r="E119" s="101" t="s">
        <v>5832</v>
      </c>
      <c r="F119" s="291">
        <v>0.21</v>
      </c>
      <c r="G119" s="49" t="str">
        <f>IFERROR(VLOOKUP("D7",STOCK!$B$2:$Q$3677,3,FALSE),"SIN STOCK")</f>
        <v>Menor a 5</v>
      </c>
    </row>
    <row r="120" ht="15.75" customHeight="1">
      <c r="A120" s="40" t="s">
        <v>5612</v>
      </c>
      <c r="B120" s="41" t="s">
        <v>5961</v>
      </c>
      <c r="C120" s="67" t="s">
        <v>5962</v>
      </c>
      <c r="D120" s="96" t="s">
        <v>5963</v>
      </c>
      <c r="E120" s="96" t="s">
        <v>5964</v>
      </c>
      <c r="F120" s="44">
        <v>0.21</v>
      </c>
      <c r="G120" s="38" t="str">
        <f>IFERROR(VLOOKUP("M-ONEU",STOCK!$B$2:$Q$3677,3,FALSE),"SIN STOCK")</f>
        <v>Mayor a 5</v>
      </c>
    </row>
    <row r="121" ht="15.75" customHeight="1">
      <c r="A121" s="33" t="s">
        <v>5612</v>
      </c>
      <c r="B121" s="45" t="s">
        <v>5965</v>
      </c>
      <c r="C121" s="68" t="s">
        <v>5966</v>
      </c>
      <c r="D121" s="101" t="s">
        <v>5967</v>
      </c>
      <c r="E121" s="101" t="s">
        <v>5642</v>
      </c>
      <c r="F121" s="291">
        <v>0.21</v>
      </c>
      <c r="G121" s="46" t="str">
        <f>IFERROR(VLOOKUP("M-SIXSTEREO",STOCK!$B$2:$Q$3677,3,FALSE),"SIN STOCK")</f>
        <v>Menor a 5</v>
      </c>
    </row>
    <row r="122" ht="15.75" customHeight="1">
      <c r="A122" s="40" t="s">
        <v>5612</v>
      </c>
      <c r="B122" s="41" t="s">
        <v>5968</v>
      </c>
      <c r="C122" s="67" t="s">
        <v>5969</v>
      </c>
      <c r="D122" s="96" t="s">
        <v>5970</v>
      </c>
      <c r="E122" s="96" t="s">
        <v>5971</v>
      </c>
      <c r="F122" s="44">
        <v>0.21</v>
      </c>
      <c r="G122" s="49" t="str">
        <f>IFERROR(VLOOKUP("T4CE",STOCK!$B$2:$Q$3677,3,FALSE),"SIN STOCK")</f>
        <v>Menor a 5</v>
      </c>
    </row>
    <row r="123" ht="15.75" customHeight="1">
      <c r="A123" s="33" t="s">
        <v>5612</v>
      </c>
      <c r="B123" s="45" t="s">
        <v>5972</v>
      </c>
      <c r="C123" s="68" t="s">
        <v>5973</v>
      </c>
      <c r="D123" s="101" t="s">
        <v>5974</v>
      </c>
      <c r="E123" s="101" t="s">
        <v>5975</v>
      </c>
      <c r="F123" s="290">
        <v>0.105</v>
      </c>
      <c r="G123" s="49" t="str">
        <f>IFERROR(VLOOKUP("ARTT8",STOCK!$B$2:$Q$3677,3,FALSE),"SIN STOCK")</f>
        <v>Menor a 5</v>
      </c>
    </row>
    <row r="124" ht="15.75" customHeight="1">
      <c r="A124" s="40" t="s">
        <v>5612</v>
      </c>
      <c r="B124" s="41" t="s">
        <v>5976</v>
      </c>
      <c r="C124" s="67" t="s">
        <v>5977</v>
      </c>
      <c r="D124" s="96" t="s">
        <v>5906</v>
      </c>
      <c r="E124" s="96" t="s">
        <v>5907</v>
      </c>
      <c r="F124" s="142">
        <v>0.105</v>
      </c>
      <c r="G124" s="46" t="str">
        <f>IFERROR(VLOOKUP("PHANTOM-I",STOCK!$B$2:$Q$3677,3,FALSE),"SIN STOCK")</f>
        <v>SIN STOCK</v>
      </c>
    </row>
    <row r="125" ht="15.75" customHeight="1">
      <c r="A125" s="33" t="s">
        <v>5612</v>
      </c>
      <c r="B125" s="45" t="s">
        <v>5978</v>
      </c>
      <c r="C125" s="70"/>
      <c r="D125" s="101" t="s">
        <v>5979</v>
      </c>
      <c r="E125" s="101" t="s">
        <v>5980</v>
      </c>
      <c r="F125" s="290">
        <v>0.105</v>
      </c>
      <c r="G125" s="46" t="str">
        <f>IFERROR(VLOOKUP("PHANTOM-I",STOCK!$B$2:$Q$3677,3,FALSE),"SIN STOCK")</f>
        <v>SIN STOCK</v>
      </c>
    </row>
    <row r="126" ht="15.75" customHeight="1">
      <c r="A126" s="40" t="s">
        <v>5612</v>
      </c>
      <c r="B126" s="41" t="s">
        <v>5981</v>
      </c>
      <c r="C126" s="67" t="s">
        <v>5982</v>
      </c>
      <c r="D126" s="96" t="s">
        <v>5705</v>
      </c>
      <c r="E126" s="96" t="s">
        <v>5706</v>
      </c>
      <c r="F126" s="142">
        <v>0.105</v>
      </c>
      <c r="G126" s="46" t="str">
        <f>IFERROR(VLOOKUP("PHANTOM-II-PRO",STOCK!$B$2:$Q$3677,3,FALSE),"SIN STOCK")</f>
        <v>SIN STOCK</v>
      </c>
    </row>
    <row r="127" ht="15.75" customHeight="1">
      <c r="A127" s="40"/>
      <c r="B127" s="41"/>
      <c r="C127" s="67"/>
      <c r="D127" s="96" t="s">
        <v>5983</v>
      </c>
      <c r="E127" s="96" t="s">
        <v>5813</v>
      </c>
      <c r="F127" s="142">
        <v>0.21</v>
      </c>
      <c r="G127" s="46"/>
    </row>
    <row r="128" ht="15.75" customHeight="1">
      <c r="A128" s="40"/>
      <c r="B128" s="41"/>
      <c r="C128" s="67"/>
      <c r="D128" s="96" t="s">
        <v>2068</v>
      </c>
      <c r="E128" s="225"/>
      <c r="F128" s="292"/>
      <c r="G128" s="46"/>
    </row>
    <row r="129" ht="15.75" customHeight="1">
      <c r="A129" s="40"/>
      <c r="B129" s="41"/>
      <c r="C129" s="67"/>
      <c r="D129" s="225"/>
      <c r="E129" s="225"/>
      <c r="F129" s="292"/>
      <c r="G129" s="46"/>
    </row>
    <row r="130" ht="15.75" customHeight="1">
      <c r="A130" s="40"/>
      <c r="B130" s="41"/>
      <c r="C130" s="67"/>
      <c r="D130" s="225"/>
      <c r="E130" s="225"/>
      <c r="F130" s="292"/>
      <c r="G130" s="46"/>
    </row>
    <row r="131" ht="15.75" customHeight="1">
      <c r="A131" s="40"/>
      <c r="B131" s="41"/>
      <c r="C131" s="67"/>
      <c r="D131" s="225"/>
      <c r="E131" s="225"/>
      <c r="F131" s="292"/>
      <c r="G131" s="46"/>
    </row>
    <row r="132" ht="15.75" customHeight="1">
      <c r="A132" s="40"/>
      <c r="B132" s="41"/>
      <c r="C132" s="67"/>
      <c r="D132" s="225"/>
      <c r="E132" s="225"/>
      <c r="F132" s="292"/>
      <c r="G132" s="46"/>
    </row>
    <row r="133" ht="15.75" customHeight="1">
      <c r="A133" s="40"/>
      <c r="B133" s="41"/>
      <c r="C133" s="67"/>
      <c r="D133" s="225"/>
      <c r="E133" s="225"/>
      <c r="F133" s="292"/>
      <c r="G133" s="46"/>
    </row>
    <row r="134" ht="15.75" customHeight="1">
      <c r="A134" s="40"/>
      <c r="B134" s="41"/>
      <c r="C134" s="67"/>
      <c r="D134" s="225"/>
      <c r="E134" s="225"/>
      <c r="F134" s="292"/>
      <c r="G134" s="46"/>
    </row>
    <row r="135" ht="15.75" customHeight="1">
      <c r="A135" s="40"/>
      <c r="B135" s="41"/>
      <c r="C135" s="67"/>
      <c r="D135" s="225"/>
      <c r="E135" s="225"/>
      <c r="F135" s="292"/>
      <c r="G135" s="46"/>
    </row>
    <row r="136" ht="15.75" customHeight="1">
      <c r="A136" s="40"/>
      <c r="B136" s="41"/>
      <c r="C136" s="67"/>
      <c r="D136" s="225"/>
      <c r="E136" s="225"/>
      <c r="F136" s="292"/>
      <c r="G136" s="46"/>
    </row>
    <row r="137" ht="15.75" customHeight="1">
      <c r="A137" s="40"/>
      <c r="B137" s="41"/>
      <c r="C137" s="67"/>
      <c r="D137" s="225"/>
      <c r="E137" s="225"/>
      <c r="F137" s="292"/>
      <c r="G137" s="46"/>
    </row>
    <row r="138" ht="15.75" customHeight="1">
      <c r="A138" s="40"/>
      <c r="B138" s="41"/>
      <c r="C138" s="67"/>
      <c r="D138" s="225"/>
      <c r="E138" s="225"/>
      <c r="F138" s="292"/>
      <c r="G138" s="46"/>
    </row>
    <row r="139" ht="15.75" customHeight="1">
      <c r="A139" s="40"/>
      <c r="B139" s="41"/>
      <c r="C139" s="67"/>
      <c r="D139" s="225"/>
      <c r="E139" s="225"/>
      <c r="F139" s="292"/>
      <c r="G139" s="46"/>
    </row>
    <row r="140" ht="15.75" customHeight="1">
      <c r="A140" s="40"/>
      <c r="B140" s="41"/>
      <c r="C140" s="67"/>
      <c r="D140" s="225"/>
      <c r="E140" s="225"/>
      <c r="F140" s="292"/>
      <c r="G140" s="46"/>
    </row>
    <row r="141" ht="15.75" customHeight="1">
      <c r="A141" s="40"/>
      <c r="B141" s="41"/>
      <c r="C141" s="67"/>
      <c r="D141" s="225"/>
      <c r="E141" s="225"/>
      <c r="F141" s="292"/>
      <c r="G141" s="46"/>
    </row>
    <row r="142" ht="15.75" customHeight="1">
      <c r="A142" s="40"/>
      <c r="B142" s="41"/>
      <c r="C142" s="67"/>
      <c r="D142" s="225"/>
      <c r="E142" s="225"/>
      <c r="F142" s="292"/>
      <c r="G142" s="46"/>
    </row>
    <row r="143" ht="15.75" customHeight="1">
      <c r="A143" s="40"/>
      <c r="B143" s="41"/>
      <c r="C143" s="67"/>
      <c r="D143" s="225"/>
      <c r="E143" s="225"/>
      <c r="F143" s="292"/>
      <c r="G143" s="46"/>
    </row>
    <row r="144" ht="15.75" customHeight="1">
      <c r="A144" s="40"/>
      <c r="B144" s="41"/>
      <c r="C144" s="67"/>
      <c r="D144" s="225"/>
      <c r="E144" s="225"/>
      <c r="F144" s="292"/>
      <c r="G144" s="46"/>
    </row>
    <row r="145" ht="15.75" customHeight="1">
      <c r="A145" s="40"/>
      <c r="B145" s="41"/>
      <c r="C145" s="67"/>
      <c r="D145" s="225"/>
      <c r="E145" s="225"/>
      <c r="F145" s="292"/>
      <c r="G145" s="46"/>
    </row>
    <row r="146" ht="15.75" customHeight="1">
      <c r="A146" s="40"/>
      <c r="B146" s="41"/>
      <c r="C146" s="67"/>
      <c r="D146" s="225"/>
      <c r="E146" s="225"/>
      <c r="F146" s="292"/>
      <c r="G146" s="46"/>
    </row>
    <row r="147" ht="15.75" customHeight="1">
      <c r="A147" s="40"/>
      <c r="B147" s="41"/>
      <c r="C147" s="67"/>
      <c r="D147" s="225"/>
      <c r="E147" s="225"/>
      <c r="F147" s="292"/>
      <c r="G147" s="46"/>
    </row>
    <row r="148" ht="15.75" customHeight="1">
      <c r="A148" s="40"/>
      <c r="B148" s="41"/>
      <c r="C148" s="67"/>
      <c r="D148" s="225"/>
      <c r="E148" s="225"/>
      <c r="F148" s="292"/>
      <c r="G148" s="46"/>
    </row>
    <row r="149" ht="15.75" customHeight="1">
      <c r="A149" s="40"/>
      <c r="B149" s="41"/>
      <c r="C149" s="67"/>
      <c r="D149" s="225"/>
      <c r="E149" s="225"/>
      <c r="F149" s="292"/>
      <c r="G149" s="46"/>
    </row>
    <row r="150" ht="15.75" customHeight="1">
      <c r="A150" s="40"/>
      <c r="B150" s="41"/>
      <c r="C150" s="67"/>
      <c r="D150" s="225"/>
      <c r="E150" s="225"/>
      <c r="F150" s="292"/>
      <c r="G150" s="46"/>
    </row>
    <row r="151" ht="15.75" customHeight="1">
      <c r="A151" s="40"/>
      <c r="B151" s="41"/>
      <c r="C151" s="67"/>
      <c r="D151" s="225"/>
      <c r="E151" s="225"/>
      <c r="F151" s="292"/>
      <c r="G151" s="46"/>
    </row>
    <row r="152" ht="15.75" customHeight="1">
      <c r="A152" s="40"/>
      <c r="B152" s="41"/>
      <c r="C152" s="67"/>
      <c r="D152" s="225"/>
      <c r="E152" s="225"/>
      <c r="F152" s="292"/>
      <c r="G152" s="46"/>
    </row>
    <row r="153" ht="15.75" customHeight="1">
      <c r="A153" s="40"/>
      <c r="B153" s="41"/>
      <c r="C153" s="67"/>
      <c r="D153" s="225"/>
      <c r="E153" s="225"/>
      <c r="F153" s="292"/>
      <c r="G153" s="46"/>
    </row>
    <row r="154" ht="15.75" customHeight="1">
      <c r="A154" s="40"/>
      <c r="B154" s="41"/>
      <c r="C154" s="67"/>
      <c r="D154" s="225"/>
      <c r="E154" s="225"/>
      <c r="F154" s="292"/>
      <c r="G154" s="46"/>
    </row>
    <row r="155" ht="15.75" customHeight="1">
      <c r="A155" s="40"/>
      <c r="B155" s="41"/>
      <c r="C155" s="67"/>
      <c r="D155" s="225"/>
      <c r="E155" s="225"/>
      <c r="F155" s="292"/>
      <c r="G155" s="46"/>
    </row>
    <row r="156" ht="15.75" customHeight="1">
      <c r="A156" s="40"/>
      <c r="B156" s="41"/>
      <c r="C156" s="67"/>
      <c r="D156" s="225"/>
      <c r="E156" s="225"/>
      <c r="F156" s="292"/>
      <c r="G156" s="46"/>
    </row>
    <row r="157" ht="15.75" customHeight="1">
      <c r="A157" s="40"/>
      <c r="B157" s="41"/>
      <c r="C157" s="67"/>
      <c r="D157" s="225"/>
      <c r="E157" s="225"/>
      <c r="F157" s="292"/>
      <c r="G157" s="46"/>
    </row>
    <row r="158" ht="15.75" customHeight="1">
      <c r="A158" s="40"/>
      <c r="B158" s="41"/>
      <c r="C158" s="67"/>
      <c r="D158" s="225"/>
      <c r="E158" s="225"/>
      <c r="F158" s="292"/>
      <c r="G158" s="46"/>
    </row>
    <row r="159" ht="15.75" customHeight="1">
      <c r="A159" s="40"/>
      <c r="B159" s="41"/>
      <c r="C159" s="67"/>
      <c r="D159" s="225"/>
      <c r="E159" s="225"/>
      <c r="F159" s="292"/>
      <c r="G159" s="46"/>
    </row>
    <row r="160" ht="15.75" customHeight="1">
      <c r="A160" s="40"/>
      <c r="B160" s="41"/>
      <c r="C160" s="67"/>
      <c r="D160" s="225"/>
      <c r="E160" s="225"/>
      <c r="F160" s="292"/>
      <c r="G160" s="46"/>
    </row>
    <row r="161" ht="15.75" customHeight="1">
      <c r="A161" s="40"/>
      <c r="B161" s="41"/>
      <c r="C161" s="67"/>
      <c r="D161" s="225"/>
      <c r="E161" s="225"/>
      <c r="F161" s="292"/>
      <c r="G161" s="46"/>
    </row>
    <row r="162" ht="15.75" customHeight="1">
      <c r="A162" s="40"/>
      <c r="B162" s="41"/>
      <c r="C162" s="67"/>
      <c r="D162" s="225"/>
      <c r="E162" s="225"/>
      <c r="F162" s="292"/>
      <c r="G162" s="46"/>
    </row>
    <row r="163" ht="15.75" customHeight="1">
      <c r="A163" s="40"/>
      <c r="B163" s="41"/>
      <c r="C163" s="67"/>
      <c r="D163" s="225"/>
      <c r="E163" s="225"/>
      <c r="F163" s="292"/>
      <c r="G163" s="46"/>
    </row>
    <row r="164" ht="15.75" customHeight="1">
      <c r="A164" s="40"/>
      <c r="B164" s="41"/>
      <c r="C164" s="67"/>
      <c r="D164" s="225"/>
      <c r="E164" s="225"/>
      <c r="F164" s="292"/>
      <c r="G164" s="46"/>
    </row>
    <row r="165" ht="15.75" customHeight="1">
      <c r="A165" s="40"/>
      <c r="B165" s="41"/>
      <c r="C165" s="67"/>
      <c r="D165" s="225"/>
      <c r="E165" s="225"/>
      <c r="F165" s="292"/>
      <c r="G165" s="46"/>
    </row>
    <row r="166" ht="15.75" customHeight="1">
      <c r="A166" s="40"/>
      <c r="B166" s="41"/>
      <c r="C166" s="67"/>
      <c r="D166" s="225"/>
      <c r="E166" s="225"/>
      <c r="F166" s="292"/>
      <c r="G166" s="46"/>
    </row>
    <row r="167" ht="15.75" customHeight="1">
      <c r="A167" s="40"/>
      <c r="B167" s="41"/>
      <c r="C167" s="67"/>
      <c r="D167" s="225"/>
      <c r="E167" s="225"/>
      <c r="F167" s="292"/>
      <c r="G167" s="46"/>
    </row>
    <row r="168" ht="15.75" customHeight="1">
      <c r="A168" s="40"/>
      <c r="B168" s="41"/>
      <c r="C168" s="67"/>
      <c r="D168" s="225"/>
      <c r="E168" s="225"/>
      <c r="F168" s="292"/>
      <c r="G168" s="46"/>
    </row>
    <row r="169" ht="15.75" customHeight="1">
      <c r="A169" s="40"/>
      <c r="B169" s="41"/>
      <c r="C169" s="67"/>
      <c r="D169" s="225"/>
      <c r="E169" s="225"/>
      <c r="F169" s="292"/>
      <c r="G169" s="46"/>
    </row>
    <row r="170" ht="15.75" customHeight="1">
      <c r="A170" s="40"/>
      <c r="B170" s="41"/>
      <c r="C170" s="67"/>
      <c r="D170" s="225"/>
      <c r="E170" s="225"/>
      <c r="F170" s="292"/>
      <c r="G170" s="46"/>
    </row>
    <row r="171" ht="15.75" customHeight="1">
      <c r="A171" s="40"/>
      <c r="B171" s="41"/>
      <c r="C171" s="67"/>
      <c r="D171" s="225"/>
      <c r="E171" s="225"/>
      <c r="F171" s="292"/>
      <c r="G171" s="46"/>
    </row>
    <row r="172" ht="15.75" customHeight="1">
      <c r="A172" s="40"/>
      <c r="B172" s="41"/>
      <c r="C172" s="67"/>
      <c r="D172" s="225"/>
      <c r="E172" s="225"/>
      <c r="F172" s="292"/>
      <c r="G172" s="46"/>
    </row>
    <row r="173" ht="15.75" customHeight="1">
      <c r="A173" s="40"/>
      <c r="B173" s="41"/>
      <c r="C173" s="67"/>
      <c r="D173" s="225"/>
      <c r="E173" s="225"/>
      <c r="F173" s="292"/>
      <c r="G173" s="46"/>
    </row>
    <row r="174" ht="15.75" customHeight="1">
      <c r="A174" s="40"/>
      <c r="B174" s="41"/>
      <c r="C174" s="67"/>
      <c r="D174" s="225"/>
      <c r="E174" s="225"/>
      <c r="F174" s="292"/>
      <c r="G174" s="46"/>
    </row>
    <row r="175" ht="15.75" customHeight="1">
      <c r="A175" s="40"/>
      <c r="B175" s="41"/>
      <c r="C175" s="67"/>
      <c r="D175" s="225"/>
      <c r="E175" s="225"/>
      <c r="F175" s="292"/>
      <c r="G175" s="46"/>
    </row>
    <row r="176" ht="15.75" customHeight="1">
      <c r="A176" s="40"/>
      <c r="B176" s="41"/>
      <c r="C176" s="67"/>
      <c r="D176" s="225"/>
      <c r="E176" s="225"/>
      <c r="F176" s="292"/>
      <c r="G176" s="46"/>
    </row>
    <row r="177" ht="15.75" customHeight="1">
      <c r="A177" s="40"/>
      <c r="B177" s="41"/>
      <c r="C177" s="67"/>
      <c r="D177" s="225"/>
      <c r="E177" s="225"/>
      <c r="F177" s="292"/>
      <c r="G177" s="46"/>
    </row>
    <row r="178" ht="15.75" customHeight="1">
      <c r="A178" s="40"/>
      <c r="B178" s="41"/>
      <c r="C178" s="67"/>
      <c r="D178" s="225"/>
      <c r="E178" s="225"/>
      <c r="F178" s="292"/>
      <c r="G178" s="46"/>
    </row>
    <row r="179" ht="15.75" customHeight="1">
      <c r="A179" s="40"/>
      <c r="B179" s="41"/>
      <c r="C179" s="67"/>
      <c r="D179" s="225"/>
      <c r="E179" s="225"/>
      <c r="F179" s="292"/>
      <c r="G179" s="46"/>
    </row>
    <row r="180" ht="15.75" customHeight="1">
      <c r="A180" s="40"/>
      <c r="B180" s="41"/>
      <c r="C180" s="67"/>
      <c r="D180" s="225"/>
      <c r="E180" s="225"/>
      <c r="F180" s="292"/>
      <c r="G180" s="46"/>
    </row>
    <row r="181" ht="15.75" customHeight="1">
      <c r="A181" s="40"/>
      <c r="B181" s="41"/>
      <c r="C181" s="67"/>
      <c r="D181" s="225"/>
      <c r="E181" s="225"/>
      <c r="F181" s="292"/>
      <c r="G181" s="46"/>
    </row>
    <row r="182" ht="15.75" customHeight="1">
      <c r="A182" s="40"/>
      <c r="B182" s="41"/>
      <c r="C182" s="67"/>
      <c r="D182" s="225"/>
      <c r="E182" s="225"/>
      <c r="F182" s="292"/>
      <c r="G182" s="46"/>
    </row>
    <row r="183" ht="15.75" customHeight="1">
      <c r="A183" s="40"/>
      <c r="B183" s="41"/>
      <c r="C183" s="67"/>
      <c r="D183" s="225"/>
      <c r="E183" s="225"/>
      <c r="F183" s="292"/>
      <c r="G183" s="46"/>
    </row>
    <row r="184" ht="15.75" customHeight="1">
      <c r="A184" s="40"/>
      <c r="B184" s="41"/>
      <c r="C184" s="67"/>
      <c r="D184" s="225"/>
      <c r="E184" s="225"/>
      <c r="F184" s="292"/>
      <c r="G184" s="46"/>
    </row>
    <row r="185" ht="15.75" customHeight="1">
      <c r="A185" s="40"/>
      <c r="B185" s="41"/>
      <c r="C185" s="67"/>
      <c r="D185" s="225"/>
      <c r="E185" s="225"/>
      <c r="F185" s="292"/>
      <c r="G185" s="46"/>
    </row>
    <row r="186" ht="15.75" customHeight="1">
      <c r="A186" s="40"/>
      <c r="B186" s="41"/>
      <c r="C186" s="67"/>
      <c r="D186" s="225"/>
      <c r="E186" s="225"/>
      <c r="F186" s="292"/>
      <c r="G186" s="46"/>
    </row>
    <row r="187" ht="15.75" customHeight="1">
      <c r="A187" s="40"/>
      <c r="B187" s="41"/>
      <c r="C187" s="67"/>
      <c r="D187" s="225"/>
      <c r="E187" s="225"/>
      <c r="F187" s="292"/>
      <c r="G187" s="46"/>
    </row>
    <row r="188" ht="15.75" customHeight="1">
      <c r="A188" s="40"/>
      <c r="B188" s="41"/>
      <c r="C188" s="67"/>
      <c r="D188" s="225"/>
      <c r="E188" s="225"/>
      <c r="F188" s="292"/>
      <c r="G188" s="46"/>
    </row>
    <row r="189" ht="15.75" customHeight="1">
      <c r="A189" s="40"/>
      <c r="B189" s="41"/>
      <c r="C189" s="67"/>
      <c r="D189" s="225"/>
      <c r="E189" s="225"/>
      <c r="F189" s="292"/>
      <c r="G189" s="46"/>
    </row>
    <row r="190" ht="15.75" customHeight="1">
      <c r="A190" s="40"/>
      <c r="B190" s="41"/>
      <c r="C190" s="67"/>
      <c r="D190" s="225"/>
      <c r="E190" s="225"/>
      <c r="F190" s="292"/>
      <c r="G190" s="46"/>
    </row>
    <row r="191" ht="15.75" customHeight="1">
      <c r="A191" s="40"/>
      <c r="B191" s="41"/>
      <c r="C191" s="67"/>
      <c r="D191" s="225"/>
      <c r="E191" s="225"/>
      <c r="F191" s="292"/>
      <c r="G191" s="46"/>
    </row>
    <row r="192" ht="15.75" customHeight="1">
      <c r="A192" s="40"/>
      <c r="B192" s="41"/>
      <c r="C192" s="67"/>
      <c r="D192" s="225"/>
      <c r="E192" s="225"/>
      <c r="F192" s="292"/>
      <c r="G192" s="46"/>
    </row>
    <row r="193" ht="15.75" customHeight="1">
      <c r="A193" s="40"/>
      <c r="B193" s="41"/>
      <c r="C193" s="67"/>
      <c r="D193" s="225"/>
      <c r="E193" s="225"/>
      <c r="F193" s="292"/>
      <c r="G193" s="46"/>
    </row>
    <row r="194" ht="15.75" customHeight="1">
      <c r="A194" s="40"/>
      <c r="B194" s="41"/>
      <c r="C194" s="67"/>
      <c r="D194" s="225"/>
      <c r="E194" s="225"/>
      <c r="F194" s="292"/>
      <c r="G194" s="46"/>
    </row>
    <row r="195" ht="15.75" customHeight="1">
      <c r="A195" s="40"/>
      <c r="B195" s="41"/>
      <c r="C195" s="67"/>
      <c r="D195" s="225"/>
      <c r="E195" s="225"/>
      <c r="F195" s="292"/>
      <c r="G195" s="46"/>
    </row>
    <row r="196" ht="15.75" customHeight="1">
      <c r="A196" s="40"/>
      <c r="B196" s="41"/>
      <c r="C196" s="67"/>
      <c r="D196" s="225"/>
      <c r="E196" s="225"/>
      <c r="F196" s="292"/>
      <c r="G196" s="46"/>
    </row>
    <row r="197" ht="15.75" customHeight="1">
      <c r="A197" s="40"/>
      <c r="B197" s="41"/>
      <c r="C197" s="67"/>
      <c r="D197" s="225"/>
      <c r="E197" s="225"/>
      <c r="F197" s="292"/>
      <c r="G197" s="46"/>
    </row>
    <row r="198" ht="15.75" customHeight="1">
      <c r="A198" s="40"/>
      <c r="B198" s="41"/>
      <c r="C198" s="67"/>
      <c r="D198" s="225"/>
      <c r="E198" s="225"/>
      <c r="F198" s="292"/>
      <c r="G198" s="46"/>
    </row>
    <row r="199" ht="15.75" customHeight="1">
      <c r="A199" s="40"/>
      <c r="B199" s="41"/>
      <c r="C199" s="67"/>
      <c r="D199" s="225"/>
      <c r="E199" s="225"/>
      <c r="F199" s="292"/>
      <c r="G199" s="46"/>
    </row>
    <row r="200" ht="15.75" customHeight="1">
      <c r="A200" s="40"/>
      <c r="B200" s="41"/>
      <c r="C200" s="67"/>
      <c r="D200" s="225"/>
      <c r="E200" s="225"/>
      <c r="F200" s="292"/>
      <c r="G200" s="46"/>
    </row>
    <row r="201" ht="15.75" customHeight="1">
      <c r="A201" s="40"/>
      <c r="B201" s="41"/>
      <c r="C201" s="67"/>
      <c r="D201" s="225"/>
      <c r="E201" s="225"/>
      <c r="F201" s="292"/>
      <c r="G201" s="46"/>
    </row>
    <row r="202" ht="15.75" customHeight="1">
      <c r="A202" s="40"/>
      <c r="B202" s="41"/>
      <c r="C202" s="67"/>
      <c r="D202" s="225"/>
      <c r="E202" s="225"/>
      <c r="F202" s="292"/>
      <c r="G202" s="46"/>
    </row>
    <row r="203" ht="15.75" customHeight="1">
      <c r="A203" s="40"/>
      <c r="B203" s="41"/>
      <c r="C203" s="67"/>
      <c r="D203" s="225"/>
      <c r="E203" s="225"/>
      <c r="F203" s="292"/>
      <c r="G203" s="46"/>
    </row>
    <row r="204" ht="15.75" customHeight="1">
      <c r="A204" s="40"/>
      <c r="B204" s="41"/>
      <c r="C204" s="67"/>
      <c r="D204" s="225"/>
      <c r="E204" s="225"/>
      <c r="F204" s="292"/>
      <c r="G204" s="46"/>
    </row>
    <row r="205" ht="15.75" customHeight="1">
      <c r="A205" s="40"/>
      <c r="B205" s="41"/>
      <c r="C205" s="67"/>
      <c r="D205" s="225"/>
      <c r="E205" s="225"/>
      <c r="F205" s="292"/>
      <c r="G205" s="46"/>
    </row>
    <row r="206" ht="15.75" customHeight="1">
      <c r="A206" s="40"/>
      <c r="B206" s="41"/>
      <c r="C206" s="67"/>
      <c r="D206" s="225"/>
      <c r="E206" s="225"/>
      <c r="F206" s="292"/>
      <c r="G206" s="46"/>
    </row>
    <row r="207" ht="15.75" customHeight="1">
      <c r="A207" s="40"/>
      <c r="B207" s="41"/>
      <c r="C207" s="67"/>
      <c r="D207" s="225"/>
      <c r="E207" s="225"/>
      <c r="F207" s="292"/>
      <c r="G207" s="46"/>
    </row>
    <row r="208" ht="15.75" customHeight="1">
      <c r="A208" s="40"/>
      <c r="B208" s="41"/>
      <c r="C208" s="67"/>
      <c r="D208" s="225"/>
      <c r="E208" s="225"/>
      <c r="F208" s="292"/>
      <c r="G208" s="46"/>
    </row>
    <row r="209" ht="15.75" customHeight="1">
      <c r="A209" s="40"/>
      <c r="B209" s="41"/>
      <c r="C209" s="67"/>
      <c r="D209" s="225"/>
      <c r="E209" s="225"/>
      <c r="F209" s="292"/>
      <c r="G209" s="46"/>
    </row>
    <row r="210" ht="15.75" customHeight="1">
      <c r="A210" s="40"/>
      <c r="B210" s="41"/>
      <c r="C210" s="67"/>
      <c r="D210" s="225"/>
      <c r="E210" s="225"/>
      <c r="F210" s="292"/>
      <c r="G210" s="46"/>
    </row>
    <row r="211" ht="15.75" customHeight="1">
      <c r="A211" s="40"/>
      <c r="B211" s="41"/>
      <c r="C211" s="67"/>
      <c r="D211" s="225"/>
      <c r="E211" s="225"/>
      <c r="F211" s="292"/>
      <c r="G211" s="46"/>
    </row>
    <row r="212" ht="15.75" customHeight="1">
      <c r="A212" s="40"/>
      <c r="B212" s="41"/>
      <c r="C212" s="67"/>
      <c r="D212" s="225"/>
      <c r="E212" s="225"/>
      <c r="F212" s="292"/>
      <c r="G212" s="46"/>
    </row>
    <row r="213" ht="15.75" customHeight="1">
      <c r="A213" s="40"/>
      <c r="B213" s="41"/>
      <c r="C213" s="67"/>
      <c r="D213" s="225"/>
      <c r="E213" s="225"/>
      <c r="F213" s="292"/>
      <c r="G213" s="46"/>
    </row>
    <row r="214" ht="15.75" customHeight="1">
      <c r="A214" s="40"/>
      <c r="B214" s="41"/>
      <c r="C214" s="67"/>
      <c r="D214" s="225"/>
      <c r="E214" s="225"/>
      <c r="F214" s="292"/>
      <c r="G214" s="46"/>
    </row>
    <row r="215" ht="15.75" customHeight="1">
      <c r="A215" s="40"/>
      <c r="B215" s="41"/>
      <c r="C215" s="67"/>
      <c r="D215" s="225"/>
      <c r="E215" s="225"/>
      <c r="F215" s="292"/>
      <c r="G215" s="46"/>
    </row>
    <row r="216" ht="15.75" customHeight="1">
      <c r="A216" s="40"/>
      <c r="B216" s="41"/>
      <c r="C216" s="67"/>
      <c r="D216" s="225"/>
      <c r="E216" s="225"/>
      <c r="F216" s="292"/>
      <c r="G216" s="46"/>
    </row>
    <row r="217" ht="15.75" customHeight="1">
      <c r="A217" s="40"/>
      <c r="B217" s="41"/>
      <c r="C217" s="67"/>
      <c r="D217" s="225"/>
      <c r="E217" s="225"/>
      <c r="F217" s="292"/>
      <c r="G217" s="46"/>
    </row>
    <row r="218" ht="15.75" customHeight="1">
      <c r="A218" s="40"/>
      <c r="B218" s="41"/>
      <c r="C218" s="67"/>
      <c r="D218" s="225"/>
      <c r="E218" s="225"/>
      <c r="F218" s="292"/>
      <c r="G218" s="46"/>
    </row>
    <row r="219" ht="15.75" customHeight="1">
      <c r="A219" s="40"/>
      <c r="B219" s="41"/>
      <c r="C219" s="67"/>
      <c r="D219" s="225"/>
      <c r="E219" s="225"/>
      <c r="F219" s="292"/>
      <c r="G219" s="46"/>
    </row>
    <row r="220" ht="15.75" customHeight="1">
      <c r="A220" s="40"/>
      <c r="B220" s="41"/>
      <c r="C220" s="67"/>
      <c r="D220" s="225"/>
      <c r="E220" s="225"/>
      <c r="F220" s="292"/>
      <c r="G220" s="46"/>
    </row>
    <row r="221" ht="15.75" customHeight="1">
      <c r="A221" s="40"/>
      <c r="B221" s="41"/>
      <c r="C221" s="67"/>
      <c r="D221" s="225"/>
      <c r="E221" s="225"/>
      <c r="F221" s="292"/>
      <c r="G221" s="46"/>
    </row>
    <row r="222" ht="15.75" customHeight="1">
      <c r="A222" s="40"/>
      <c r="B222" s="41"/>
      <c r="C222" s="67"/>
      <c r="D222" s="225"/>
      <c r="E222" s="225"/>
      <c r="F222" s="292"/>
      <c r="G222" s="46"/>
    </row>
    <row r="223" ht="15.75" customHeight="1">
      <c r="A223" s="40"/>
      <c r="B223" s="41"/>
      <c r="C223" s="67"/>
      <c r="D223" s="225"/>
      <c r="E223" s="225"/>
      <c r="F223" s="292"/>
      <c r="G223" s="46"/>
    </row>
    <row r="224" ht="15.75" customHeight="1">
      <c r="A224" s="40"/>
      <c r="B224" s="41"/>
      <c r="C224" s="67"/>
      <c r="D224" s="225"/>
      <c r="E224" s="225"/>
      <c r="F224" s="292"/>
      <c r="G224" s="46"/>
    </row>
    <row r="225" ht="15.75" customHeight="1">
      <c r="A225" s="40"/>
      <c r="B225" s="41"/>
      <c r="C225" s="67"/>
      <c r="D225" s="225"/>
      <c r="E225" s="225"/>
      <c r="F225" s="292"/>
      <c r="G225" s="46"/>
    </row>
    <row r="226" ht="15.75" customHeight="1">
      <c r="A226" s="40"/>
      <c r="B226" s="41"/>
      <c r="C226" s="67"/>
      <c r="D226" s="225"/>
      <c r="E226" s="225"/>
      <c r="F226" s="292"/>
      <c r="G226" s="46"/>
    </row>
    <row r="227" ht="15.75" customHeight="1">
      <c r="A227" s="40"/>
      <c r="B227" s="41"/>
      <c r="C227" s="67"/>
      <c r="D227" s="225"/>
      <c r="E227" s="225"/>
      <c r="F227" s="292"/>
      <c r="G227" s="46"/>
    </row>
    <row r="228" ht="15.75" customHeight="1">
      <c r="A228" s="40"/>
      <c r="B228" s="41"/>
      <c r="C228" s="67"/>
      <c r="D228" s="225"/>
      <c r="E228" s="225"/>
      <c r="F228" s="292"/>
      <c r="G228" s="46"/>
    </row>
    <row r="229" ht="15.75" customHeight="1">
      <c r="A229" s="40"/>
      <c r="B229" s="41"/>
      <c r="C229" s="67"/>
      <c r="D229" s="225"/>
      <c r="E229" s="225"/>
      <c r="F229" s="292"/>
      <c r="G229" s="46"/>
    </row>
    <row r="230" ht="15.75" customHeight="1">
      <c r="A230" s="40"/>
      <c r="B230" s="41"/>
      <c r="C230" s="67"/>
      <c r="D230" s="225"/>
      <c r="E230" s="225"/>
      <c r="F230" s="292"/>
      <c r="G230" s="46"/>
    </row>
    <row r="231" ht="15.75" customHeight="1">
      <c r="A231" s="40"/>
      <c r="B231" s="41"/>
      <c r="C231" s="67"/>
      <c r="D231" s="225"/>
      <c r="E231" s="225"/>
      <c r="F231" s="292"/>
      <c r="G231" s="46"/>
    </row>
    <row r="232" ht="15.75" customHeight="1">
      <c r="A232" s="40"/>
      <c r="B232" s="41"/>
      <c r="C232" s="67"/>
      <c r="D232" s="225"/>
      <c r="E232" s="225"/>
      <c r="F232" s="292"/>
      <c r="G232" s="46"/>
    </row>
    <row r="233" ht="15.75" customHeight="1">
      <c r="A233" s="40"/>
      <c r="B233" s="41"/>
      <c r="C233" s="67"/>
      <c r="D233" s="225"/>
      <c r="E233" s="225"/>
      <c r="F233" s="292"/>
      <c r="G233" s="46"/>
    </row>
    <row r="234" ht="15.75" customHeight="1">
      <c r="A234" s="40"/>
      <c r="B234" s="41"/>
      <c r="C234" s="67"/>
      <c r="D234" s="225"/>
      <c r="E234" s="225"/>
      <c r="F234" s="292"/>
      <c r="G234" s="46"/>
    </row>
    <row r="235" ht="15.75" customHeight="1">
      <c r="A235" s="40"/>
      <c r="B235" s="41"/>
      <c r="C235" s="67"/>
      <c r="D235" s="225"/>
      <c r="E235" s="225"/>
      <c r="F235" s="292"/>
      <c r="G235" s="46"/>
    </row>
    <row r="236" ht="15.75" customHeight="1">
      <c r="A236" s="40"/>
      <c r="B236" s="41"/>
      <c r="C236" s="67"/>
      <c r="D236" s="225"/>
      <c r="E236" s="225"/>
      <c r="F236" s="292"/>
      <c r="G236" s="46"/>
    </row>
    <row r="237" ht="15.75" customHeight="1">
      <c r="A237" s="40"/>
      <c r="B237" s="41"/>
      <c r="C237" s="67"/>
      <c r="D237" s="225"/>
      <c r="E237" s="225"/>
      <c r="F237" s="292"/>
      <c r="G237" s="46"/>
    </row>
    <row r="238" ht="15.75" customHeight="1">
      <c r="A238" s="40"/>
      <c r="B238" s="41"/>
      <c r="C238" s="67"/>
      <c r="D238" s="225"/>
      <c r="E238" s="225"/>
      <c r="F238" s="292"/>
      <c r="G238" s="46"/>
    </row>
    <row r="239" ht="15.75" customHeight="1">
      <c r="A239" s="40"/>
      <c r="B239" s="41"/>
      <c r="C239" s="67"/>
      <c r="D239" s="225"/>
      <c r="E239" s="225"/>
      <c r="F239" s="292"/>
      <c r="G239" s="46"/>
    </row>
    <row r="240" ht="15.75" customHeight="1">
      <c r="A240" s="40"/>
      <c r="B240" s="41"/>
      <c r="C240" s="67"/>
      <c r="D240" s="225"/>
      <c r="E240" s="225"/>
      <c r="F240" s="292"/>
      <c r="G240" s="46"/>
    </row>
    <row r="241" ht="15.75" customHeight="1">
      <c r="A241" s="40"/>
      <c r="B241" s="41"/>
      <c r="C241" s="67"/>
      <c r="D241" s="225"/>
      <c r="E241" s="225"/>
      <c r="F241" s="292"/>
      <c r="G241" s="46"/>
    </row>
    <row r="242" ht="15.75" customHeight="1">
      <c r="A242" s="40"/>
      <c r="B242" s="41"/>
      <c r="C242" s="67"/>
      <c r="D242" s="225"/>
      <c r="E242" s="225"/>
      <c r="F242" s="292"/>
      <c r="G242" s="46"/>
    </row>
    <row r="243" ht="15.75" customHeight="1">
      <c r="A243" s="40"/>
      <c r="B243" s="41"/>
      <c r="C243" s="67"/>
      <c r="D243" s="225"/>
      <c r="E243" s="225"/>
      <c r="F243" s="292"/>
      <c r="G243" s="46"/>
    </row>
    <row r="244" ht="15.75" customHeight="1">
      <c r="A244" s="40"/>
      <c r="B244" s="41"/>
      <c r="C244" s="67"/>
      <c r="D244" s="225"/>
      <c r="E244" s="225"/>
      <c r="F244" s="292"/>
      <c r="G244" s="46"/>
    </row>
    <row r="245" ht="15.75" customHeight="1">
      <c r="A245" s="40"/>
      <c r="B245" s="41"/>
      <c r="C245" s="67"/>
      <c r="D245" s="225"/>
      <c r="E245" s="225"/>
      <c r="F245" s="292"/>
      <c r="G245" s="46"/>
    </row>
    <row r="246" ht="15.75" customHeight="1">
      <c r="A246" s="40"/>
      <c r="B246" s="41"/>
      <c r="C246" s="67"/>
      <c r="D246" s="225"/>
      <c r="E246" s="225"/>
      <c r="F246" s="292"/>
      <c r="G246" s="46"/>
    </row>
    <row r="247" ht="15.75" customHeight="1">
      <c r="A247" s="40"/>
      <c r="B247" s="41"/>
      <c r="C247" s="67"/>
      <c r="D247" s="225"/>
      <c r="E247" s="225"/>
      <c r="F247" s="292"/>
      <c r="G247" s="46"/>
    </row>
    <row r="248" ht="15.75" customHeight="1">
      <c r="A248" s="40"/>
      <c r="B248" s="41"/>
      <c r="C248" s="67"/>
      <c r="D248" s="225"/>
      <c r="E248" s="225"/>
      <c r="F248" s="292"/>
      <c r="G248" s="46"/>
    </row>
    <row r="249" ht="15.75" customHeight="1">
      <c r="A249" s="40"/>
      <c r="B249" s="41"/>
      <c r="C249" s="67"/>
      <c r="D249" s="225"/>
      <c r="E249" s="225"/>
      <c r="F249" s="292"/>
      <c r="G249" s="46"/>
    </row>
    <row r="250" ht="15.75" customHeight="1">
      <c r="A250" s="40"/>
      <c r="B250" s="41"/>
      <c r="C250" s="67"/>
      <c r="D250" s="225"/>
      <c r="E250" s="225"/>
      <c r="F250" s="292"/>
      <c r="G250" s="46"/>
    </row>
    <row r="251" ht="15.75" customHeight="1">
      <c r="A251" s="40"/>
      <c r="B251" s="41"/>
      <c r="C251" s="67"/>
      <c r="D251" s="225"/>
      <c r="E251" s="225"/>
      <c r="F251" s="292"/>
      <c r="G251" s="46"/>
    </row>
    <row r="252" ht="15.75" customHeight="1">
      <c r="A252" s="40"/>
      <c r="B252" s="41"/>
      <c r="C252" s="67"/>
      <c r="D252" s="225"/>
      <c r="E252" s="225"/>
      <c r="F252" s="292"/>
      <c r="G252" s="46"/>
    </row>
    <row r="253" ht="15.75" customHeight="1">
      <c r="A253" s="40"/>
      <c r="B253" s="41"/>
      <c r="C253" s="67"/>
      <c r="D253" s="225"/>
      <c r="E253" s="225"/>
      <c r="F253" s="292"/>
      <c r="G253" s="46"/>
    </row>
    <row r="254" ht="15.75" customHeight="1">
      <c r="A254" s="40"/>
      <c r="B254" s="41"/>
      <c r="C254" s="67"/>
      <c r="D254" s="225"/>
      <c r="E254" s="225"/>
      <c r="F254" s="292"/>
      <c r="G254" s="46"/>
    </row>
    <row r="255" ht="15.75" customHeight="1">
      <c r="A255" s="40"/>
      <c r="B255" s="41"/>
      <c r="C255" s="67"/>
      <c r="D255" s="225"/>
      <c r="E255" s="225"/>
      <c r="F255" s="292"/>
      <c r="G255" s="46"/>
    </row>
    <row r="256" ht="15.75" customHeight="1">
      <c r="A256" s="40"/>
      <c r="B256" s="41"/>
      <c r="C256" s="67"/>
      <c r="D256" s="225"/>
      <c r="E256" s="225"/>
      <c r="F256" s="292"/>
      <c r="G256" s="46"/>
    </row>
    <row r="257" ht="15.75" customHeight="1">
      <c r="A257" s="40"/>
      <c r="B257" s="41"/>
      <c r="C257" s="67"/>
      <c r="D257" s="225"/>
      <c r="E257" s="225"/>
      <c r="F257" s="292"/>
      <c r="G257" s="46"/>
    </row>
    <row r="258" ht="15.75" customHeight="1">
      <c r="A258" s="40"/>
      <c r="B258" s="41"/>
      <c r="C258" s="67"/>
      <c r="D258" s="225"/>
      <c r="E258" s="225"/>
      <c r="F258" s="292"/>
      <c r="G258" s="46"/>
    </row>
    <row r="259" ht="15.75" customHeight="1">
      <c r="A259" s="40"/>
      <c r="B259" s="41"/>
      <c r="C259" s="67"/>
      <c r="D259" s="225"/>
      <c r="E259" s="225"/>
      <c r="F259" s="292"/>
      <c r="G259" s="46"/>
    </row>
    <row r="260" ht="15.75" customHeight="1">
      <c r="A260" s="40"/>
      <c r="B260" s="41"/>
      <c r="C260" s="67"/>
      <c r="D260" s="225"/>
      <c r="E260" s="225"/>
      <c r="F260" s="292"/>
      <c r="G260" s="46"/>
    </row>
    <row r="261" ht="15.75" customHeight="1">
      <c r="A261" s="40"/>
      <c r="B261" s="41"/>
      <c r="C261" s="67"/>
      <c r="D261" s="225"/>
      <c r="E261" s="225"/>
      <c r="F261" s="292"/>
      <c r="G261" s="46"/>
    </row>
    <row r="262" ht="15.75" customHeight="1">
      <c r="A262" s="40"/>
      <c r="B262" s="41"/>
      <c r="C262" s="67"/>
      <c r="D262" s="225"/>
      <c r="E262" s="225"/>
      <c r="F262" s="292"/>
      <c r="G262" s="46"/>
    </row>
    <row r="263" ht="15.75" customHeight="1">
      <c r="A263" s="40"/>
      <c r="B263" s="41"/>
      <c r="C263" s="67"/>
      <c r="D263" s="225"/>
      <c r="E263" s="225"/>
      <c r="F263" s="292"/>
      <c r="G263" s="46"/>
    </row>
    <row r="264" ht="15.75" customHeight="1">
      <c r="A264" s="40"/>
      <c r="B264" s="41"/>
      <c r="C264" s="67"/>
      <c r="D264" s="225"/>
      <c r="E264" s="225"/>
      <c r="F264" s="292"/>
      <c r="G264" s="46"/>
    </row>
    <row r="265" ht="15.75" customHeight="1">
      <c r="A265" s="40"/>
      <c r="B265" s="41"/>
      <c r="C265" s="67"/>
      <c r="D265" s="225"/>
      <c r="E265" s="225"/>
      <c r="F265" s="292"/>
      <c r="G265" s="46"/>
    </row>
    <row r="266" ht="15.75" customHeight="1">
      <c r="A266" s="40"/>
      <c r="B266" s="41"/>
      <c r="C266" s="67"/>
      <c r="D266" s="225"/>
      <c r="E266" s="225"/>
      <c r="F266" s="292"/>
      <c r="G266" s="46"/>
    </row>
    <row r="267" ht="15.75" customHeight="1">
      <c r="A267" s="40"/>
      <c r="B267" s="41"/>
      <c r="C267" s="67"/>
      <c r="D267" s="225"/>
      <c r="E267" s="225"/>
      <c r="F267" s="292"/>
      <c r="G267" s="46"/>
    </row>
    <row r="268" ht="15.75" customHeight="1">
      <c r="A268" s="40"/>
      <c r="B268" s="41"/>
      <c r="C268" s="67"/>
      <c r="D268" s="225"/>
      <c r="E268" s="225"/>
      <c r="F268" s="292"/>
      <c r="G268" s="46"/>
    </row>
    <row r="269" ht="15.75" customHeight="1">
      <c r="A269" s="40"/>
      <c r="B269" s="41"/>
      <c r="C269" s="67"/>
      <c r="D269" s="225"/>
      <c r="E269" s="225"/>
      <c r="F269" s="292"/>
      <c r="G269" s="46"/>
    </row>
    <row r="270" ht="15.75" customHeight="1">
      <c r="A270" s="40"/>
      <c r="B270" s="41"/>
      <c r="C270" s="67"/>
      <c r="D270" s="225"/>
      <c r="E270" s="225"/>
      <c r="F270" s="292"/>
      <c r="G270" s="46"/>
    </row>
    <row r="271" ht="15.75" customHeight="1">
      <c r="A271" s="40"/>
      <c r="B271" s="41"/>
      <c r="C271" s="67"/>
      <c r="D271" s="225"/>
      <c r="E271" s="225"/>
      <c r="F271" s="292"/>
      <c r="G271" s="46"/>
    </row>
    <row r="272" ht="15.75" customHeight="1">
      <c r="A272" s="40"/>
      <c r="B272" s="41"/>
      <c r="C272" s="67"/>
      <c r="D272" s="225"/>
      <c r="E272" s="225"/>
      <c r="F272" s="292"/>
      <c r="G272" s="46"/>
    </row>
    <row r="273" ht="15.75" customHeight="1">
      <c r="A273" s="40"/>
      <c r="B273" s="41"/>
      <c r="C273" s="67"/>
      <c r="D273" s="225"/>
      <c r="E273" s="225"/>
      <c r="F273" s="292"/>
      <c r="G273" s="46"/>
    </row>
    <row r="274" ht="15.75" customHeight="1">
      <c r="A274" s="40"/>
      <c r="B274" s="41"/>
      <c r="C274" s="67"/>
      <c r="D274" s="225"/>
      <c r="E274" s="225"/>
      <c r="F274" s="292"/>
      <c r="G274" s="46"/>
    </row>
    <row r="275" ht="15.75" customHeight="1">
      <c r="A275" s="40"/>
      <c r="B275" s="41"/>
      <c r="C275" s="67"/>
      <c r="D275" s="225"/>
      <c r="E275" s="225"/>
      <c r="F275" s="292"/>
      <c r="G275" s="46"/>
    </row>
    <row r="276" ht="15.75" customHeight="1">
      <c r="A276" s="40"/>
      <c r="B276" s="41"/>
      <c r="C276" s="67"/>
      <c r="D276" s="225"/>
      <c r="E276" s="225"/>
      <c r="F276" s="292"/>
      <c r="G276" s="46"/>
    </row>
    <row r="277" ht="15.75" customHeight="1">
      <c r="A277" s="40"/>
      <c r="B277" s="41"/>
      <c r="C277" s="67"/>
      <c r="D277" s="225"/>
      <c r="E277" s="225"/>
      <c r="F277" s="292"/>
      <c r="G277" s="46"/>
    </row>
    <row r="278" ht="15.75" customHeight="1">
      <c r="A278" s="40"/>
      <c r="B278" s="41"/>
      <c r="C278" s="67"/>
      <c r="D278" s="225"/>
      <c r="E278" s="225"/>
      <c r="F278" s="292"/>
      <c r="G278" s="46"/>
    </row>
    <row r="279" ht="15.75" customHeight="1">
      <c r="A279" s="40"/>
      <c r="B279" s="41"/>
      <c r="C279" s="67"/>
      <c r="D279" s="225"/>
      <c r="E279" s="225"/>
      <c r="F279" s="292"/>
      <c r="G279" s="46"/>
    </row>
    <row r="280" ht="15.75" customHeight="1">
      <c r="A280" s="40"/>
      <c r="B280" s="41"/>
      <c r="C280" s="67"/>
      <c r="D280" s="225"/>
      <c r="E280" s="225"/>
      <c r="F280" s="292"/>
      <c r="G280" s="46"/>
    </row>
    <row r="281" ht="15.75" customHeight="1">
      <c r="A281" s="40"/>
      <c r="B281" s="41"/>
      <c r="C281" s="67"/>
      <c r="D281" s="225"/>
      <c r="E281" s="225"/>
      <c r="F281" s="292"/>
      <c r="G281" s="46"/>
    </row>
    <row r="282" ht="15.75" customHeight="1">
      <c r="A282" s="40"/>
      <c r="B282" s="41"/>
      <c r="C282" s="67"/>
      <c r="D282" s="225"/>
      <c r="E282" s="225"/>
      <c r="F282" s="292"/>
      <c r="G282" s="46"/>
    </row>
    <row r="283" ht="15.75" customHeight="1">
      <c r="A283" s="40"/>
      <c r="B283" s="41"/>
      <c r="C283" s="67"/>
      <c r="D283" s="225"/>
      <c r="E283" s="225"/>
      <c r="F283" s="292"/>
      <c r="G283" s="46"/>
    </row>
    <row r="284" ht="15.75" customHeight="1">
      <c r="A284" s="40"/>
      <c r="B284" s="41"/>
      <c r="C284" s="67"/>
      <c r="D284" s="225"/>
      <c r="E284" s="225"/>
      <c r="F284" s="292"/>
      <c r="G284" s="46"/>
    </row>
    <row r="285" ht="15.75" customHeight="1">
      <c r="A285" s="40"/>
      <c r="B285" s="41"/>
      <c r="C285" s="67"/>
      <c r="D285" s="225"/>
      <c r="E285" s="225"/>
      <c r="F285" s="292"/>
      <c r="G285" s="46"/>
    </row>
    <row r="286" ht="15.75" customHeight="1">
      <c r="A286" s="40"/>
      <c r="B286" s="41"/>
      <c r="C286" s="67"/>
      <c r="D286" s="225"/>
      <c r="E286" s="225"/>
      <c r="F286" s="292"/>
      <c r="G286" s="46"/>
    </row>
    <row r="287" ht="15.75" customHeight="1">
      <c r="A287" s="40"/>
      <c r="B287" s="41"/>
      <c r="C287" s="67"/>
      <c r="D287" s="225"/>
      <c r="E287" s="225"/>
      <c r="F287" s="292"/>
      <c r="G287" s="46"/>
    </row>
    <row r="288" ht="15.75" customHeight="1">
      <c r="A288" s="40"/>
      <c r="B288" s="41"/>
      <c r="C288" s="67"/>
      <c r="D288" s="225"/>
      <c r="E288" s="225"/>
      <c r="F288" s="292"/>
      <c r="G288" s="46"/>
    </row>
    <row r="289" ht="15.75" customHeight="1">
      <c r="A289" s="40"/>
      <c r="B289" s="41"/>
      <c r="C289" s="67"/>
      <c r="D289" s="225"/>
      <c r="E289" s="225"/>
      <c r="F289" s="292"/>
      <c r="G289" s="46"/>
    </row>
    <row r="290" ht="15.75" customHeight="1">
      <c r="A290" s="40"/>
      <c r="B290" s="41"/>
      <c r="C290" s="67"/>
      <c r="D290" s="225"/>
      <c r="E290" s="225"/>
      <c r="F290" s="292"/>
      <c r="G290" s="46"/>
    </row>
    <row r="291" ht="15.75" customHeight="1">
      <c r="A291" s="40"/>
      <c r="B291" s="41"/>
      <c r="C291" s="67"/>
      <c r="D291" s="225"/>
      <c r="E291" s="225"/>
      <c r="F291" s="292"/>
      <c r="G291" s="46"/>
    </row>
    <row r="292" ht="15.75" customHeight="1">
      <c r="A292" s="40"/>
      <c r="B292" s="41"/>
      <c r="C292" s="67"/>
      <c r="D292" s="225"/>
      <c r="E292" s="225"/>
      <c r="F292" s="292"/>
      <c r="G292" s="46"/>
    </row>
    <row r="293" ht="15.75" customHeight="1">
      <c r="A293" s="40"/>
      <c r="B293" s="41"/>
      <c r="C293" s="67"/>
      <c r="D293" s="225"/>
      <c r="E293" s="225"/>
      <c r="F293" s="292"/>
      <c r="G293" s="46"/>
    </row>
    <row r="294" ht="15.75" customHeight="1">
      <c r="A294" s="40"/>
      <c r="B294" s="41"/>
      <c r="C294" s="67"/>
      <c r="D294" s="225"/>
      <c r="E294" s="225"/>
      <c r="F294" s="292"/>
      <c r="G294" s="46"/>
    </row>
    <row r="295" ht="15.75" customHeight="1">
      <c r="A295" s="40"/>
      <c r="B295" s="41"/>
      <c r="C295" s="67"/>
      <c r="D295" s="225"/>
      <c r="E295" s="225"/>
      <c r="F295" s="292"/>
      <c r="G295" s="46"/>
    </row>
    <row r="296" ht="15.75" customHeight="1">
      <c r="A296" s="40"/>
      <c r="B296" s="41"/>
      <c r="C296" s="67"/>
      <c r="D296" s="225"/>
      <c r="E296" s="225"/>
      <c r="F296" s="292"/>
      <c r="G296" s="46"/>
    </row>
    <row r="297" ht="15.75" customHeight="1">
      <c r="A297" s="40"/>
      <c r="B297" s="41"/>
      <c r="C297" s="67"/>
      <c r="D297" s="225"/>
      <c r="E297" s="225"/>
      <c r="F297" s="292"/>
      <c r="G297" s="46"/>
    </row>
    <row r="298" ht="15.75" customHeight="1">
      <c r="A298" s="40"/>
      <c r="B298" s="41"/>
      <c r="C298" s="67"/>
      <c r="D298" s="225"/>
      <c r="E298" s="225"/>
      <c r="F298" s="292"/>
      <c r="G298" s="46"/>
    </row>
    <row r="299" ht="15.75" customHeight="1">
      <c r="A299" s="40"/>
      <c r="B299" s="41"/>
      <c r="C299" s="67"/>
      <c r="D299" s="225"/>
      <c r="E299" s="225"/>
      <c r="F299" s="292"/>
      <c r="G299" s="46"/>
    </row>
    <row r="300" ht="15.75" customHeight="1">
      <c r="A300" s="40"/>
      <c r="B300" s="41"/>
      <c r="C300" s="67"/>
      <c r="D300" s="225"/>
      <c r="E300" s="225"/>
      <c r="F300" s="292"/>
      <c r="G300" s="46"/>
    </row>
    <row r="301" ht="15.75" customHeight="1">
      <c r="A301" s="40"/>
      <c r="B301" s="41"/>
      <c r="C301" s="67"/>
      <c r="D301" s="225"/>
      <c r="E301" s="225"/>
      <c r="F301" s="292"/>
      <c r="G301" s="46"/>
    </row>
    <row r="302" ht="15.75" customHeight="1">
      <c r="A302" s="40"/>
      <c r="B302" s="41"/>
      <c r="C302" s="67"/>
      <c r="D302" s="225"/>
      <c r="E302" s="225"/>
      <c r="F302" s="292"/>
      <c r="G302" s="46"/>
    </row>
    <row r="303" ht="15.75" customHeight="1">
      <c r="A303" s="40"/>
      <c r="B303" s="41"/>
      <c r="C303" s="67"/>
      <c r="D303" s="225"/>
      <c r="E303" s="225"/>
      <c r="F303" s="292"/>
      <c r="G303" s="46"/>
    </row>
    <row r="304" ht="15.75" customHeight="1">
      <c r="A304" s="40"/>
      <c r="B304" s="41"/>
      <c r="C304" s="67"/>
      <c r="D304" s="225"/>
      <c r="E304" s="225"/>
      <c r="F304" s="292"/>
      <c r="G304" s="46"/>
    </row>
    <row r="305" ht="15.75" customHeight="1">
      <c r="A305" s="40"/>
      <c r="B305" s="41"/>
      <c r="C305" s="67"/>
      <c r="D305" s="225"/>
      <c r="E305" s="225"/>
      <c r="F305" s="292"/>
      <c r="G305" s="46"/>
    </row>
    <row r="306" ht="15.75" customHeight="1">
      <c r="A306" s="40"/>
      <c r="B306" s="41"/>
      <c r="C306" s="67"/>
      <c r="D306" s="225"/>
      <c r="E306" s="225"/>
      <c r="F306" s="292"/>
      <c r="G306" s="46"/>
    </row>
    <row r="307" ht="15.75" customHeight="1">
      <c r="A307" s="40"/>
      <c r="B307" s="41"/>
      <c r="C307" s="67"/>
      <c r="D307" s="225"/>
      <c r="E307" s="225"/>
      <c r="F307" s="292"/>
      <c r="G307" s="46"/>
    </row>
    <row r="308" ht="15.75" customHeight="1">
      <c r="A308" s="40"/>
      <c r="B308" s="41"/>
      <c r="C308" s="67"/>
      <c r="D308" s="225"/>
      <c r="E308" s="225"/>
      <c r="F308" s="292"/>
      <c r="G308" s="46"/>
    </row>
    <row r="309" ht="15.75" customHeight="1">
      <c r="A309" s="40"/>
      <c r="B309" s="41"/>
      <c r="C309" s="67"/>
      <c r="D309" s="225"/>
      <c r="E309" s="225"/>
      <c r="F309" s="292"/>
      <c r="G309" s="46"/>
    </row>
    <row r="310" ht="15.75" customHeight="1">
      <c r="A310" s="40"/>
      <c r="B310" s="41"/>
      <c r="C310" s="67"/>
      <c r="D310" s="225"/>
      <c r="E310" s="225"/>
      <c r="F310" s="292"/>
      <c r="G310" s="46"/>
    </row>
    <row r="311" ht="15.75" customHeight="1">
      <c r="A311" s="40"/>
      <c r="B311" s="41"/>
      <c r="C311" s="67"/>
      <c r="D311" s="225"/>
      <c r="E311" s="225"/>
      <c r="F311" s="292"/>
      <c r="G311" s="46"/>
    </row>
    <row r="312" ht="15.75" customHeight="1">
      <c r="A312" s="40"/>
      <c r="B312" s="41"/>
      <c r="C312" s="67"/>
      <c r="D312" s="225"/>
      <c r="E312" s="225"/>
      <c r="F312" s="292"/>
      <c r="G312" s="46"/>
    </row>
    <row r="313" ht="15.75" customHeight="1">
      <c r="A313" s="40"/>
      <c r="B313" s="41"/>
      <c r="C313" s="67"/>
      <c r="D313" s="225"/>
      <c r="E313" s="225"/>
      <c r="F313" s="292"/>
      <c r="G313" s="46"/>
    </row>
    <row r="314" ht="15.75" customHeight="1">
      <c r="A314" s="40"/>
      <c r="B314" s="41"/>
      <c r="C314" s="67"/>
      <c r="D314" s="225"/>
      <c r="E314" s="225"/>
      <c r="F314" s="292"/>
      <c r="G314" s="46"/>
    </row>
    <row r="315" ht="15.75" customHeight="1">
      <c r="A315" s="40"/>
      <c r="B315" s="41"/>
      <c r="C315" s="67"/>
      <c r="D315" s="225"/>
      <c r="E315" s="225"/>
      <c r="F315" s="292"/>
      <c r="G315" s="46"/>
    </row>
    <row r="316" ht="15.75" customHeight="1">
      <c r="A316" s="40"/>
      <c r="B316" s="41"/>
      <c r="C316" s="67"/>
      <c r="D316" s="225"/>
      <c r="E316" s="225"/>
      <c r="F316" s="292"/>
      <c r="G316" s="46"/>
    </row>
    <row r="317" ht="15.75" customHeight="1">
      <c r="A317" s="40"/>
      <c r="B317" s="41"/>
      <c r="C317" s="67"/>
      <c r="D317" s="225"/>
      <c r="E317" s="225"/>
      <c r="F317" s="292"/>
      <c r="G317" s="46"/>
    </row>
    <row r="318" ht="15.75" customHeight="1">
      <c r="A318" s="40"/>
      <c r="B318" s="41"/>
      <c r="C318" s="67"/>
      <c r="D318" s="225"/>
      <c r="E318" s="225"/>
      <c r="F318" s="292"/>
      <c r="G318" s="46"/>
    </row>
    <row r="319" ht="15.75" customHeight="1">
      <c r="A319" s="40"/>
      <c r="B319" s="41"/>
      <c r="C319" s="67"/>
      <c r="D319" s="225"/>
      <c r="E319" s="225"/>
      <c r="F319" s="292"/>
      <c r="G319" s="46"/>
    </row>
    <row r="320" ht="15.75" customHeight="1">
      <c r="A320" s="40"/>
      <c r="B320" s="41"/>
      <c r="C320" s="67"/>
      <c r="D320" s="225"/>
      <c r="E320" s="225"/>
      <c r="F320" s="292"/>
      <c r="G320" s="46"/>
    </row>
    <row r="321" ht="15.75" customHeight="1">
      <c r="A321" s="40"/>
      <c r="B321" s="41"/>
      <c r="C321" s="67"/>
      <c r="D321" s="225"/>
      <c r="E321" s="225"/>
      <c r="F321" s="292"/>
      <c r="G321" s="46"/>
    </row>
    <row r="322" ht="15.75" customHeight="1">
      <c r="A322" s="40"/>
      <c r="B322" s="41"/>
      <c r="C322" s="67"/>
      <c r="D322" s="225"/>
      <c r="E322" s="225"/>
      <c r="F322" s="292"/>
      <c r="G322" s="46"/>
    </row>
    <row r="323" ht="15.75" customHeight="1">
      <c r="A323" s="40"/>
      <c r="B323" s="41"/>
      <c r="C323" s="67"/>
      <c r="D323" s="225"/>
      <c r="E323" s="225"/>
      <c r="F323" s="292"/>
      <c r="G323" s="46"/>
    </row>
    <row r="324" ht="15.75" customHeight="1">
      <c r="A324" s="40"/>
      <c r="B324" s="41"/>
      <c r="C324" s="67"/>
      <c r="D324" s="225"/>
      <c r="E324" s="225"/>
      <c r="F324" s="292"/>
      <c r="G324" s="46"/>
    </row>
    <row r="325" ht="15.75" customHeight="1">
      <c r="A325" s="40"/>
      <c r="B325" s="41"/>
      <c r="C325" s="67"/>
      <c r="D325" s="225"/>
      <c r="E325" s="225"/>
      <c r="F325" s="292"/>
      <c r="G325" s="46"/>
    </row>
    <row r="326" ht="15.75" customHeight="1">
      <c r="A326" s="40"/>
      <c r="B326" s="41"/>
      <c r="C326" s="67"/>
      <c r="D326" s="225"/>
      <c r="E326" s="225"/>
      <c r="F326" s="292"/>
      <c r="G326" s="46"/>
    </row>
    <row r="327" ht="15.75" customHeight="1">
      <c r="A327" s="40"/>
      <c r="B327" s="41"/>
      <c r="C327" s="67"/>
      <c r="D327" s="225"/>
      <c r="E327" s="225"/>
      <c r="F327" s="292"/>
      <c r="G327" s="46"/>
    </row>
    <row r="328" ht="15.75" customHeight="1">
      <c r="A328" s="40"/>
      <c r="B328" s="41"/>
      <c r="C328" s="67"/>
      <c r="D328" s="225"/>
      <c r="E328" s="225"/>
      <c r="F328" s="292"/>
      <c r="G328" s="46"/>
    </row>
    <row r="329" ht="15.75" customHeight="1">
      <c r="A329" s="40"/>
      <c r="B329" s="41"/>
      <c r="C329" s="67"/>
      <c r="D329" s="225"/>
      <c r="E329" s="225"/>
      <c r="F329" s="292"/>
      <c r="G329" s="46"/>
    </row>
    <row r="330" ht="15.75" customHeight="1">
      <c r="A330" s="40"/>
      <c r="B330" s="41"/>
      <c r="C330" s="67"/>
      <c r="D330" s="225"/>
      <c r="E330" s="225"/>
      <c r="F330" s="292"/>
      <c r="G330" s="46"/>
    </row>
    <row r="331" ht="15.75" customHeight="1">
      <c r="A331" s="40"/>
      <c r="B331" s="41"/>
      <c r="C331" s="67"/>
      <c r="D331" s="225"/>
      <c r="E331" s="225"/>
      <c r="F331" s="292"/>
      <c r="G331" s="46"/>
    </row>
    <row r="332" ht="15.75" customHeight="1">
      <c r="A332" s="40"/>
      <c r="B332" s="41"/>
      <c r="C332" s="67"/>
      <c r="D332" s="225"/>
      <c r="E332" s="225"/>
      <c r="F332" s="292"/>
      <c r="G332" s="46"/>
    </row>
    <row r="333" ht="15.75" customHeight="1">
      <c r="A333" s="40"/>
      <c r="B333" s="41"/>
      <c r="C333" s="67"/>
      <c r="D333" s="225"/>
      <c r="E333" s="225"/>
      <c r="F333" s="292"/>
      <c r="G333" s="46"/>
    </row>
    <row r="334" ht="15.75" customHeight="1">
      <c r="A334" s="40"/>
      <c r="B334" s="41"/>
      <c r="C334" s="67"/>
      <c r="D334" s="225"/>
      <c r="E334" s="225"/>
      <c r="F334" s="292"/>
      <c r="G334" s="46"/>
    </row>
    <row r="335" ht="15.75" customHeight="1">
      <c r="A335" s="40"/>
      <c r="B335" s="41"/>
      <c r="C335" s="67"/>
      <c r="D335" s="225"/>
      <c r="E335" s="225"/>
      <c r="F335" s="292"/>
      <c r="G335" s="46"/>
    </row>
    <row r="336" ht="15.75" customHeight="1">
      <c r="A336" s="40"/>
      <c r="B336" s="41"/>
      <c r="C336" s="67"/>
      <c r="D336" s="225"/>
      <c r="E336" s="225"/>
      <c r="F336" s="292"/>
      <c r="G336" s="46"/>
    </row>
    <row r="337" ht="15.75" customHeight="1">
      <c r="A337" s="40"/>
      <c r="B337" s="41"/>
      <c r="C337" s="67"/>
      <c r="D337" s="225"/>
      <c r="E337" s="225"/>
      <c r="F337" s="292"/>
      <c r="G337" s="46"/>
    </row>
    <row r="338" ht="15.75" customHeight="1">
      <c r="A338" s="40"/>
      <c r="B338" s="41"/>
      <c r="C338" s="67"/>
      <c r="D338" s="225"/>
      <c r="E338" s="225"/>
      <c r="F338" s="292"/>
      <c r="G338" s="46"/>
    </row>
    <row r="339" ht="15.75" customHeight="1">
      <c r="A339" s="40"/>
      <c r="B339" s="41"/>
      <c r="C339" s="67"/>
      <c r="D339" s="225"/>
      <c r="E339" s="225"/>
      <c r="F339" s="292"/>
      <c r="G339" s="46"/>
    </row>
    <row r="340" ht="15.75" customHeight="1">
      <c r="A340" s="40"/>
      <c r="B340" s="41"/>
      <c r="C340" s="67"/>
      <c r="D340" s="225"/>
      <c r="E340" s="225"/>
      <c r="F340" s="292"/>
      <c r="G340" s="46"/>
    </row>
    <row r="341" ht="15.75" customHeight="1">
      <c r="A341" s="40"/>
      <c r="B341" s="41"/>
      <c r="C341" s="67"/>
      <c r="D341" s="225"/>
      <c r="E341" s="225"/>
      <c r="F341" s="292"/>
      <c r="G341" s="46"/>
    </row>
    <row r="342" ht="15.75" customHeight="1">
      <c r="A342" s="40"/>
      <c r="B342" s="41"/>
      <c r="C342" s="67"/>
      <c r="D342" s="225"/>
      <c r="E342" s="225"/>
      <c r="F342" s="292"/>
      <c r="G342" s="46"/>
    </row>
    <row r="343" ht="15.75" customHeight="1">
      <c r="A343" s="40"/>
      <c r="B343" s="41"/>
      <c r="C343" s="67"/>
      <c r="D343" s="225"/>
      <c r="E343" s="225"/>
      <c r="F343" s="292"/>
      <c r="G343" s="46"/>
    </row>
    <row r="344" ht="15.75" customHeight="1">
      <c r="A344" s="40"/>
      <c r="B344" s="41"/>
      <c r="C344" s="67"/>
      <c r="D344" s="225"/>
      <c r="E344" s="225"/>
      <c r="F344" s="292"/>
      <c r="G344" s="46"/>
    </row>
    <row r="345" ht="15.75" customHeight="1">
      <c r="A345" s="40"/>
      <c r="B345" s="41"/>
      <c r="C345" s="67"/>
      <c r="D345" s="225"/>
      <c r="E345" s="225"/>
      <c r="F345" s="292"/>
      <c r="G345" s="46"/>
    </row>
    <row r="346" ht="15.75" customHeight="1">
      <c r="A346" s="40"/>
      <c r="B346" s="41"/>
      <c r="C346" s="67"/>
      <c r="D346" s="225"/>
      <c r="E346" s="225"/>
      <c r="F346" s="292"/>
      <c r="G346" s="46"/>
    </row>
    <row r="347" ht="15.75" customHeight="1">
      <c r="A347" s="40"/>
      <c r="B347" s="41"/>
      <c r="C347" s="67"/>
      <c r="D347" s="225"/>
      <c r="E347" s="225"/>
      <c r="F347" s="292"/>
      <c r="G347" s="46"/>
    </row>
    <row r="348" ht="15.75" customHeight="1">
      <c r="A348" s="40"/>
      <c r="B348" s="41"/>
      <c r="C348" s="67"/>
      <c r="D348" s="225"/>
      <c r="E348" s="225"/>
      <c r="F348" s="292"/>
      <c r="G348" s="46"/>
    </row>
    <row r="349" ht="15.75" customHeight="1">
      <c r="A349" s="40"/>
      <c r="B349" s="41"/>
      <c r="C349" s="67"/>
      <c r="D349" s="225"/>
      <c r="E349" s="225"/>
      <c r="F349" s="292"/>
      <c r="G349" s="46"/>
    </row>
    <row r="350" ht="15.75" customHeight="1">
      <c r="A350" s="40"/>
      <c r="B350" s="41"/>
      <c r="C350" s="67"/>
      <c r="D350" s="225"/>
      <c r="E350" s="225"/>
      <c r="F350" s="292"/>
      <c r="G350" s="46"/>
    </row>
    <row r="351" ht="15.75" customHeight="1">
      <c r="A351" s="40"/>
      <c r="B351" s="41"/>
      <c r="C351" s="67"/>
      <c r="D351" s="225"/>
      <c r="E351" s="225"/>
      <c r="F351" s="292"/>
      <c r="G351" s="46"/>
    </row>
    <row r="352" ht="15.75" customHeight="1">
      <c r="A352" s="40"/>
      <c r="B352" s="41"/>
      <c r="C352" s="67"/>
      <c r="D352" s="225"/>
      <c r="E352" s="225"/>
      <c r="F352" s="292"/>
      <c r="G352" s="46"/>
    </row>
    <row r="353" ht="15.75" customHeight="1">
      <c r="A353" s="40"/>
      <c r="B353" s="41"/>
      <c r="C353" s="67"/>
      <c r="D353" s="225"/>
      <c r="E353" s="225"/>
      <c r="F353" s="292"/>
      <c r="G353" s="46"/>
    </row>
    <row r="354" ht="15.75" customHeight="1">
      <c r="A354" s="40"/>
      <c r="B354" s="41"/>
      <c r="C354" s="67"/>
      <c r="D354" s="225"/>
      <c r="E354" s="225"/>
      <c r="F354" s="292"/>
      <c r="G354" s="46"/>
    </row>
    <row r="355" ht="15.75" customHeight="1">
      <c r="A355" s="40"/>
      <c r="B355" s="41"/>
      <c r="C355" s="67"/>
      <c r="D355" s="225"/>
      <c r="E355" s="225"/>
      <c r="F355" s="292"/>
      <c r="G355" s="46"/>
    </row>
    <row r="356" ht="15.75" customHeight="1">
      <c r="A356" s="40"/>
      <c r="B356" s="41"/>
      <c r="C356" s="67"/>
      <c r="D356" s="225"/>
      <c r="E356" s="225"/>
      <c r="F356" s="292"/>
      <c r="G356" s="46"/>
    </row>
    <row r="357" ht="15.75" customHeight="1">
      <c r="A357" s="40"/>
      <c r="B357" s="41"/>
      <c r="C357" s="67"/>
      <c r="D357" s="225"/>
      <c r="E357" s="225"/>
      <c r="F357" s="292"/>
      <c r="G357" s="46"/>
    </row>
    <row r="358" ht="15.75" customHeight="1">
      <c r="A358" s="40"/>
      <c r="B358" s="41"/>
      <c r="C358" s="67"/>
      <c r="D358" s="225"/>
      <c r="E358" s="225"/>
      <c r="F358" s="292"/>
      <c r="G358" s="46"/>
    </row>
    <row r="359" ht="15.75" customHeight="1">
      <c r="A359" s="40"/>
      <c r="B359" s="41"/>
      <c r="C359" s="67"/>
      <c r="D359" s="225"/>
      <c r="E359" s="225"/>
      <c r="F359" s="292"/>
      <c r="G359" s="46"/>
    </row>
    <row r="360" ht="15.75" customHeight="1">
      <c r="A360" s="40"/>
      <c r="B360" s="41"/>
      <c r="C360" s="67"/>
      <c r="D360" s="225"/>
      <c r="E360" s="225"/>
      <c r="F360" s="292"/>
      <c r="G360" s="46"/>
    </row>
    <row r="361" ht="15.75" customHeight="1">
      <c r="A361" s="40"/>
      <c r="B361" s="41"/>
      <c r="C361" s="67"/>
      <c r="D361" s="225"/>
      <c r="E361" s="225"/>
      <c r="F361" s="292"/>
      <c r="G361" s="46"/>
    </row>
    <row r="362" ht="15.75" customHeight="1">
      <c r="A362" s="40"/>
      <c r="B362" s="41"/>
      <c r="C362" s="67"/>
      <c r="D362" s="225"/>
      <c r="E362" s="225"/>
      <c r="F362" s="292"/>
      <c r="G362" s="46"/>
    </row>
    <row r="363" ht="15.75" customHeight="1">
      <c r="A363" s="40"/>
      <c r="B363" s="41"/>
      <c r="C363" s="67"/>
      <c r="D363" s="225"/>
      <c r="E363" s="225"/>
      <c r="F363" s="292"/>
      <c r="G363" s="46"/>
    </row>
    <row r="364" ht="15.75" customHeight="1">
      <c r="A364" s="40"/>
      <c r="B364" s="41"/>
      <c r="C364" s="67"/>
      <c r="D364" s="225"/>
      <c r="E364" s="225"/>
      <c r="F364" s="292"/>
      <c r="G364" s="46"/>
    </row>
    <row r="365" ht="15.75" customHeight="1">
      <c r="A365" s="40"/>
      <c r="B365" s="41"/>
      <c r="C365" s="67"/>
      <c r="D365" s="225"/>
      <c r="E365" s="225"/>
      <c r="F365" s="292"/>
      <c r="G365" s="46"/>
    </row>
    <row r="366" ht="15.75" customHeight="1">
      <c r="A366" s="40"/>
      <c r="B366" s="41"/>
      <c r="C366" s="67"/>
      <c r="D366" s="225"/>
      <c r="E366" s="225"/>
      <c r="F366" s="292"/>
      <c r="G366" s="46"/>
    </row>
    <row r="367" ht="15.75" customHeight="1">
      <c r="A367" s="40"/>
      <c r="B367" s="41"/>
      <c r="C367" s="67"/>
      <c r="D367" s="225"/>
      <c r="E367" s="225"/>
      <c r="F367" s="292"/>
      <c r="G367" s="46"/>
    </row>
    <row r="368" ht="15.75" customHeight="1">
      <c r="A368" s="40"/>
      <c r="B368" s="41"/>
      <c r="C368" s="67"/>
      <c r="D368" s="225"/>
      <c r="E368" s="225"/>
      <c r="F368" s="292"/>
      <c r="G368" s="46"/>
    </row>
    <row r="369" ht="15.75" customHeight="1">
      <c r="A369" s="40"/>
      <c r="B369" s="41"/>
      <c r="C369" s="67"/>
      <c r="D369" s="225"/>
      <c r="E369" s="225"/>
      <c r="F369" s="292"/>
      <c r="G369" s="46"/>
    </row>
    <row r="370" ht="15.75" customHeight="1">
      <c r="A370" s="40"/>
      <c r="B370" s="41"/>
      <c r="C370" s="67"/>
      <c r="D370" s="225"/>
      <c r="E370" s="225"/>
      <c r="F370" s="292"/>
      <c r="G370" s="46"/>
    </row>
    <row r="371" ht="15.75" customHeight="1">
      <c r="A371" s="40"/>
      <c r="B371" s="41"/>
      <c r="C371" s="67"/>
      <c r="D371" s="225"/>
      <c r="E371" s="225"/>
      <c r="F371" s="292"/>
      <c r="G371" s="46"/>
    </row>
    <row r="372" ht="15.75" customHeight="1">
      <c r="A372" s="40"/>
      <c r="B372" s="41"/>
      <c r="C372" s="67"/>
      <c r="D372" s="225"/>
      <c r="E372" s="225"/>
      <c r="F372" s="292"/>
      <c r="G372" s="46"/>
    </row>
    <row r="373" ht="15.75" customHeight="1">
      <c r="A373" s="40"/>
      <c r="B373" s="41"/>
      <c r="C373" s="67"/>
      <c r="D373" s="225"/>
      <c r="E373" s="225"/>
      <c r="F373" s="292"/>
      <c r="G373" s="46"/>
    </row>
    <row r="374" ht="15.75" customHeight="1">
      <c r="A374" s="40"/>
      <c r="B374" s="41"/>
      <c r="C374" s="67"/>
      <c r="D374" s="225"/>
      <c r="E374" s="225"/>
      <c r="F374" s="292"/>
      <c r="G374" s="46"/>
    </row>
    <row r="375" ht="15.75" customHeight="1">
      <c r="A375" s="40"/>
      <c r="B375" s="41"/>
      <c r="C375" s="67"/>
      <c r="D375" s="225"/>
      <c r="E375" s="225"/>
      <c r="F375" s="292"/>
      <c r="G375" s="46"/>
    </row>
    <row r="376" ht="15.75" customHeight="1">
      <c r="A376" s="40"/>
      <c r="B376" s="41"/>
      <c r="C376" s="67"/>
      <c r="D376" s="225"/>
      <c r="E376" s="225"/>
      <c r="F376" s="292"/>
      <c r="G376" s="46"/>
    </row>
    <row r="377" ht="15.75" customHeight="1">
      <c r="A377" s="40"/>
      <c r="B377" s="41"/>
      <c r="C377" s="67"/>
      <c r="D377" s="225"/>
      <c r="E377" s="225"/>
      <c r="F377" s="292"/>
      <c r="G377" s="46"/>
    </row>
    <row r="378" ht="15.75" customHeight="1">
      <c r="A378" s="40"/>
      <c r="B378" s="41"/>
      <c r="C378" s="67"/>
      <c r="D378" s="225"/>
      <c r="E378" s="225"/>
      <c r="F378" s="292"/>
      <c r="G378" s="46"/>
    </row>
    <row r="379" ht="15.75" customHeight="1">
      <c r="A379" s="40"/>
      <c r="B379" s="41"/>
      <c r="C379" s="67"/>
      <c r="D379" s="225"/>
      <c r="E379" s="225"/>
      <c r="F379" s="292"/>
      <c r="G379" s="46"/>
    </row>
    <row r="380" ht="15.75" customHeight="1">
      <c r="A380" s="40"/>
      <c r="B380" s="41"/>
      <c r="C380" s="67"/>
      <c r="D380" s="225"/>
      <c r="E380" s="225"/>
      <c r="F380" s="292"/>
      <c r="G380" s="46"/>
    </row>
    <row r="381" ht="15.75" customHeight="1">
      <c r="A381" s="40"/>
      <c r="B381" s="41"/>
      <c r="C381" s="67"/>
      <c r="D381" s="225"/>
      <c r="E381" s="225"/>
      <c r="F381" s="292"/>
      <c r="G381" s="46"/>
    </row>
    <row r="382" ht="15.75" customHeight="1">
      <c r="A382" s="40"/>
      <c r="B382" s="41"/>
      <c r="C382" s="67"/>
      <c r="D382" s="225"/>
      <c r="E382" s="225"/>
      <c r="F382" s="292"/>
      <c r="G382" s="46"/>
    </row>
    <row r="383" ht="15.75" customHeight="1">
      <c r="A383" s="40"/>
      <c r="B383" s="41"/>
      <c r="C383" s="67"/>
      <c r="D383" s="225"/>
      <c r="E383" s="225"/>
      <c r="F383" s="292"/>
      <c r="G383" s="46"/>
    </row>
    <row r="384" ht="15.75" customHeight="1">
      <c r="A384" s="40"/>
      <c r="B384" s="41"/>
      <c r="C384" s="67"/>
      <c r="D384" s="225"/>
      <c r="E384" s="225"/>
      <c r="F384" s="292"/>
      <c r="G384" s="46"/>
    </row>
    <row r="385" ht="15.75" customHeight="1">
      <c r="A385" s="40"/>
      <c r="B385" s="41"/>
      <c r="C385" s="67"/>
      <c r="D385" s="225"/>
      <c r="E385" s="225"/>
      <c r="F385" s="292"/>
      <c r="G385" s="46"/>
    </row>
    <row r="386" ht="15.75" customHeight="1">
      <c r="A386" s="40"/>
      <c r="B386" s="41"/>
      <c r="C386" s="67"/>
      <c r="D386" s="225"/>
      <c r="E386" s="225"/>
      <c r="F386" s="292"/>
      <c r="G386" s="46"/>
    </row>
    <row r="387" ht="15.75" customHeight="1">
      <c r="A387" s="40"/>
      <c r="B387" s="41"/>
      <c r="C387" s="67"/>
      <c r="D387" s="225"/>
      <c r="E387" s="225"/>
      <c r="F387" s="292"/>
      <c r="G387" s="46"/>
    </row>
    <row r="388" ht="15.75" customHeight="1">
      <c r="A388" s="40"/>
      <c r="B388" s="41"/>
      <c r="C388" s="67"/>
      <c r="D388" s="225"/>
      <c r="E388" s="225"/>
      <c r="F388" s="292"/>
      <c r="G388" s="46"/>
    </row>
    <row r="389" ht="15.75" customHeight="1">
      <c r="A389" s="40"/>
      <c r="B389" s="41"/>
      <c r="C389" s="67"/>
      <c r="D389" s="225"/>
      <c r="E389" s="225"/>
      <c r="F389" s="292"/>
      <c r="G389" s="46"/>
    </row>
    <row r="390" ht="15.75" customHeight="1">
      <c r="A390" s="40"/>
      <c r="B390" s="41"/>
      <c r="C390" s="67"/>
      <c r="D390" s="225"/>
      <c r="E390" s="225"/>
      <c r="F390" s="292"/>
      <c r="G390" s="46"/>
    </row>
    <row r="391" ht="15.75" customHeight="1">
      <c r="A391" s="40"/>
      <c r="B391" s="41"/>
      <c r="C391" s="67"/>
      <c r="D391" s="225"/>
      <c r="E391" s="225"/>
      <c r="F391" s="292"/>
      <c r="G391" s="46"/>
    </row>
    <row r="392" ht="15.75" customHeight="1">
      <c r="A392" s="40"/>
      <c r="B392" s="41"/>
      <c r="C392" s="67"/>
      <c r="D392" s="225"/>
      <c r="E392" s="225"/>
      <c r="F392" s="292"/>
      <c r="G392" s="46"/>
    </row>
    <row r="393" ht="15.75" customHeight="1">
      <c r="A393" s="40"/>
      <c r="B393" s="41"/>
      <c r="C393" s="67"/>
      <c r="D393" s="225"/>
      <c r="E393" s="225"/>
      <c r="F393" s="292"/>
      <c r="G393" s="46"/>
    </row>
    <row r="394" ht="15.75" customHeight="1">
      <c r="A394" s="40"/>
      <c r="B394" s="41"/>
      <c r="C394" s="67"/>
      <c r="D394" s="225"/>
      <c r="E394" s="225"/>
      <c r="F394" s="292"/>
      <c r="G394" s="46"/>
    </row>
    <row r="395" ht="15.75" customHeight="1">
      <c r="A395" s="40"/>
      <c r="B395" s="41"/>
      <c r="C395" s="67"/>
      <c r="D395" s="225"/>
      <c r="E395" s="225"/>
      <c r="F395" s="292"/>
      <c r="G395" s="46"/>
    </row>
    <row r="396" ht="15.75" customHeight="1">
      <c r="A396" s="40"/>
      <c r="B396" s="41"/>
      <c r="C396" s="67"/>
      <c r="D396" s="225"/>
      <c r="E396" s="225"/>
      <c r="F396" s="292"/>
      <c r="G396" s="46"/>
    </row>
    <row r="397" ht="15.75" customHeight="1">
      <c r="A397" s="40"/>
      <c r="B397" s="41"/>
      <c r="C397" s="67"/>
      <c r="D397" s="225"/>
      <c r="E397" s="225"/>
      <c r="F397" s="292"/>
      <c r="G397" s="46"/>
    </row>
    <row r="398" ht="15.75" customHeight="1">
      <c r="A398" s="40"/>
      <c r="B398" s="41"/>
      <c r="C398" s="67"/>
      <c r="D398" s="225"/>
      <c r="E398" s="225"/>
      <c r="F398" s="292"/>
      <c r="G398" s="46"/>
    </row>
    <row r="399" ht="15.75" customHeight="1">
      <c r="A399" s="40"/>
      <c r="B399" s="41"/>
      <c r="C399" s="67"/>
      <c r="D399" s="225"/>
      <c r="E399" s="225"/>
      <c r="F399" s="292"/>
      <c r="G399" s="46"/>
    </row>
    <row r="400" ht="15.75" customHeight="1">
      <c r="A400" s="40"/>
      <c r="B400" s="41"/>
      <c r="C400" s="67"/>
      <c r="D400" s="225"/>
      <c r="E400" s="225"/>
      <c r="F400" s="292"/>
      <c r="G400" s="46"/>
    </row>
    <row r="401" ht="15.75" customHeight="1">
      <c r="A401" s="40"/>
      <c r="B401" s="41"/>
      <c r="C401" s="67"/>
      <c r="D401" s="225"/>
      <c r="E401" s="225"/>
      <c r="F401" s="292"/>
      <c r="G401" s="46"/>
    </row>
    <row r="402" ht="15.75" customHeight="1">
      <c r="A402" s="40"/>
      <c r="B402" s="41"/>
      <c r="C402" s="67"/>
      <c r="D402" s="225"/>
      <c r="E402" s="225"/>
      <c r="F402" s="292"/>
      <c r="G402" s="46"/>
    </row>
    <row r="403" ht="15.75" customHeight="1">
      <c r="A403" s="40"/>
      <c r="B403" s="41"/>
      <c r="C403" s="67"/>
      <c r="D403" s="225"/>
      <c r="E403" s="225"/>
      <c r="F403" s="292"/>
      <c r="G403" s="46"/>
    </row>
    <row r="404" ht="15.75" customHeight="1">
      <c r="A404" s="40"/>
      <c r="B404" s="41"/>
      <c r="C404" s="67"/>
      <c r="D404" s="225"/>
      <c r="E404" s="225"/>
      <c r="F404" s="292"/>
      <c r="G404" s="46"/>
    </row>
    <row r="405" ht="15.75" customHeight="1">
      <c r="A405" s="40"/>
      <c r="B405" s="41"/>
      <c r="C405" s="67"/>
      <c r="D405" s="225"/>
      <c r="E405" s="225"/>
      <c r="F405" s="292"/>
      <c r="G405" s="46"/>
    </row>
    <row r="406" ht="15.75" customHeight="1">
      <c r="A406" s="40"/>
      <c r="B406" s="41"/>
      <c r="C406" s="67"/>
      <c r="D406" s="225"/>
      <c r="E406" s="225"/>
      <c r="F406" s="292"/>
      <c r="G406" s="46"/>
    </row>
    <row r="407" ht="15.75" customHeight="1">
      <c r="A407" s="40"/>
      <c r="B407" s="41"/>
      <c r="C407" s="67"/>
      <c r="D407" s="225"/>
      <c r="E407" s="225"/>
      <c r="F407" s="292"/>
      <c r="G407" s="46"/>
    </row>
    <row r="408" ht="15.75" customHeight="1">
      <c r="A408" s="40"/>
      <c r="B408" s="41"/>
      <c r="C408" s="67"/>
      <c r="D408" s="225"/>
      <c r="E408" s="225"/>
      <c r="F408" s="292"/>
      <c r="G408" s="46"/>
    </row>
    <row r="409" ht="15.75" customHeight="1">
      <c r="A409" s="40"/>
      <c r="B409" s="41"/>
      <c r="C409" s="67"/>
      <c r="D409" s="225"/>
      <c r="E409" s="225"/>
      <c r="F409" s="292"/>
      <c r="G409" s="46"/>
    </row>
    <row r="410" ht="15.75" customHeight="1">
      <c r="A410" s="40"/>
      <c r="B410" s="41"/>
      <c r="C410" s="67"/>
      <c r="D410" s="225"/>
      <c r="E410" s="225"/>
      <c r="F410" s="292"/>
      <c r="G410" s="46"/>
    </row>
    <row r="411" ht="15.75" customHeight="1">
      <c r="A411" s="40"/>
      <c r="B411" s="41"/>
      <c r="C411" s="67"/>
      <c r="D411" s="225"/>
      <c r="E411" s="225"/>
      <c r="F411" s="292"/>
      <c r="G411" s="46"/>
    </row>
    <row r="412" ht="15.75" customHeight="1">
      <c r="A412" s="40"/>
      <c r="B412" s="41"/>
      <c r="C412" s="67"/>
      <c r="D412" s="225"/>
      <c r="E412" s="225"/>
      <c r="F412" s="292"/>
      <c r="G412" s="46"/>
    </row>
    <row r="413" ht="15.75" customHeight="1">
      <c r="A413" s="40"/>
      <c r="B413" s="41"/>
      <c r="C413" s="67"/>
      <c r="D413" s="225"/>
      <c r="E413" s="225"/>
      <c r="F413" s="292"/>
      <c r="G413" s="46"/>
    </row>
    <row r="414" ht="15.75" customHeight="1">
      <c r="A414" s="40"/>
      <c r="B414" s="41"/>
      <c r="C414" s="67"/>
      <c r="D414" s="225"/>
      <c r="E414" s="225"/>
      <c r="F414" s="292"/>
      <c r="G414" s="46"/>
    </row>
    <row r="415" ht="15.75" customHeight="1">
      <c r="A415" s="40"/>
      <c r="B415" s="41"/>
      <c r="C415" s="67"/>
      <c r="D415" s="225"/>
      <c r="E415" s="225"/>
      <c r="F415" s="292"/>
      <c r="G415" s="46"/>
    </row>
    <row r="416" ht="15.75" customHeight="1">
      <c r="A416" s="40"/>
      <c r="B416" s="41"/>
      <c r="C416" s="67"/>
      <c r="D416" s="225"/>
      <c r="E416" s="225"/>
      <c r="F416" s="292"/>
      <c r="G416" s="46"/>
    </row>
    <row r="417" ht="15.75" customHeight="1">
      <c r="A417" s="40"/>
      <c r="B417" s="41"/>
      <c r="C417" s="67"/>
      <c r="D417" s="225"/>
      <c r="E417" s="225"/>
      <c r="F417" s="292"/>
      <c r="G417" s="46"/>
    </row>
    <row r="418" ht="15.75" customHeight="1">
      <c r="A418" s="40"/>
      <c r="B418" s="41"/>
      <c r="C418" s="67"/>
      <c r="D418" s="225"/>
      <c r="E418" s="225"/>
      <c r="F418" s="292"/>
      <c r="G418" s="46"/>
    </row>
    <row r="419" ht="15.75" customHeight="1">
      <c r="A419" s="40"/>
      <c r="B419" s="41"/>
      <c r="C419" s="67"/>
      <c r="D419" s="225"/>
      <c r="E419" s="225"/>
      <c r="F419" s="292"/>
      <c r="G419" s="46"/>
    </row>
    <row r="420" ht="15.75" customHeight="1">
      <c r="A420" s="40"/>
      <c r="B420" s="41"/>
      <c r="C420" s="67"/>
      <c r="D420" s="225"/>
      <c r="E420" s="225"/>
      <c r="F420" s="292"/>
      <c r="G420" s="46"/>
    </row>
    <row r="421" ht="15.75" customHeight="1">
      <c r="A421" s="40"/>
      <c r="B421" s="41"/>
      <c r="C421" s="67"/>
      <c r="D421" s="225"/>
      <c r="E421" s="225"/>
      <c r="F421" s="292"/>
      <c r="G421" s="46"/>
    </row>
    <row r="422" ht="15.75" customHeight="1">
      <c r="A422" s="40"/>
      <c r="B422" s="41"/>
      <c r="C422" s="67"/>
      <c r="D422" s="225"/>
      <c r="E422" s="225"/>
      <c r="F422" s="292"/>
      <c r="G422" s="46"/>
    </row>
    <row r="423" ht="15.75" customHeight="1">
      <c r="A423" s="40"/>
      <c r="B423" s="41"/>
      <c r="C423" s="67"/>
      <c r="D423" s="225"/>
      <c r="E423" s="225"/>
      <c r="F423" s="292"/>
      <c r="G423" s="46"/>
    </row>
    <row r="424" ht="15.75" customHeight="1">
      <c r="A424" s="40"/>
      <c r="B424" s="41"/>
      <c r="C424" s="67"/>
      <c r="D424" s="225"/>
      <c r="E424" s="225"/>
      <c r="F424" s="292"/>
      <c r="G424" s="46"/>
    </row>
    <row r="425" ht="15.75" customHeight="1">
      <c r="A425" s="40"/>
      <c r="B425" s="41"/>
      <c r="C425" s="67"/>
      <c r="D425" s="225"/>
      <c r="E425" s="225"/>
      <c r="F425" s="292"/>
      <c r="G425" s="46"/>
    </row>
    <row r="426" ht="15.75" customHeight="1">
      <c r="A426" s="40"/>
      <c r="B426" s="41"/>
      <c r="C426" s="67"/>
      <c r="D426" s="225"/>
      <c r="E426" s="225"/>
      <c r="F426" s="292"/>
      <c r="G426" s="46"/>
    </row>
    <row r="427" ht="15.75" customHeight="1">
      <c r="A427" s="40"/>
      <c r="B427" s="41"/>
      <c r="C427" s="67"/>
      <c r="D427" s="225"/>
      <c r="E427" s="225"/>
      <c r="F427" s="292"/>
      <c r="G427" s="46"/>
    </row>
    <row r="428" ht="15.75" customHeight="1">
      <c r="A428" s="40"/>
      <c r="B428" s="41"/>
      <c r="C428" s="67"/>
      <c r="D428" s="225"/>
      <c r="E428" s="225"/>
      <c r="F428" s="292"/>
      <c r="G428" s="46"/>
    </row>
    <row r="429" ht="15.75" customHeight="1">
      <c r="A429" s="40"/>
      <c r="B429" s="41"/>
      <c r="C429" s="67"/>
      <c r="D429" s="225"/>
      <c r="E429" s="225"/>
      <c r="F429" s="292"/>
      <c r="G429" s="46"/>
    </row>
    <row r="430" ht="15.75" customHeight="1">
      <c r="A430" s="40"/>
      <c r="B430" s="41"/>
      <c r="C430" s="67"/>
      <c r="D430" s="225"/>
      <c r="E430" s="225"/>
      <c r="F430" s="292"/>
      <c r="G430" s="46"/>
    </row>
    <row r="431" ht="15.75" customHeight="1">
      <c r="A431" s="40"/>
      <c r="B431" s="41"/>
      <c r="C431" s="67"/>
      <c r="D431" s="225"/>
      <c r="E431" s="225"/>
      <c r="F431" s="292"/>
      <c r="G431" s="46"/>
    </row>
    <row r="432" ht="15.75" customHeight="1">
      <c r="A432" s="40"/>
      <c r="B432" s="41"/>
      <c r="C432" s="67"/>
      <c r="D432" s="225"/>
      <c r="E432" s="225"/>
      <c r="F432" s="292"/>
      <c r="G432" s="46"/>
    </row>
    <row r="433" ht="15.75" customHeight="1">
      <c r="A433" s="40"/>
      <c r="B433" s="41"/>
      <c r="C433" s="67"/>
      <c r="D433" s="225"/>
      <c r="E433" s="225"/>
      <c r="F433" s="292"/>
      <c r="G433" s="46"/>
    </row>
    <row r="434" ht="15.75" customHeight="1">
      <c r="A434" s="40"/>
      <c r="B434" s="41"/>
      <c r="C434" s="67"/>
      <c r="D434" s="225"/>
      <c r="E434" s="225"/>
      <c r="F434" s="292"/>
      <c r="G434" s="46"/>
    </row>
    <row r="435" ht="15.75" customHeight="1">
      <c r="A435" s="40"/>
      <c r="B435" s="41"/>
      <c r="C435" s="67"/>
      <c r="D435" s="225"/>
      <c r="E435" s="225"/>
      <c r="F435" s="292"/>
      <c r="G435" s="46"/>
    </row>
    <row r="436" ht="15.75" customHeight="1">
      <c r="A436" s="40"/>
      <c r="B436" s="41"/>
      <c r="C436" s="67"/>
      <c r="D436" s="225"/>
      <c r="E436" s="225"/>
      <c r="F436" s="292"/>
      <c r="G436" s="46"/>
    </row>
    <row r="437" ht="15.75" customHeight="1">
      <c r="A437" s="40"/>
      <c r="B437" s="41"/>
      <c r="C437" s="67"/>
      <c r="D437" s="225"/>
      <c r="E437" s="225"/>
      <c r="F437" s="292"/>
      <c r="G437" s="46"/>
    </row>
    <row r="438" ht="15.75" customHeight="1">
      <c r="A438" s="40"/>
      <c r="B438" s="41"/>
      <c r="C438" s="67"/>
      <c r="D438" s="225"/>
      <c r="E438" s="225"/>
      <c r="F438" s="292"/>
      <c r="G438" s="46"/>
    </row>
    <row r="439" ht="15.75" customHeight="1">
      <c r="A439" s="40"/>
      <c r="B439" s="41"/>
      <c r="C439" s="67"/>
      <c r="D439" s="225"/>
      <c r="E439" s="225"/>
      <c r="F439" s="292"/>
      <c r="G439" s="46"/>
    </row>
    <row r="440" ht="15.75" customHeight="1">
      <c r="A440" s="40"/>
      <c r="B440" s="41"/>
      <c r="C440" s="67"/>
      <c r="D440" s="225"/>
      <c r="E440" s="225"/>
      <c r="F440" s="292"/>
      <c r="G440" s="46"/>
    </row>
    <row r="441" ht="15.75" customHeight="1">
      <c r="A441" s="40"/>
      <c r="B441" s="41"/>
      <c r="C441" s="67"/>
      <c r="D441" s="225"/>
      <c r="E441" s="225"/>
      <c r="F441" s="292"/>
      <c r="G441" s="46"/>
    </row>
    <row r="442" ht="15.75" customHeight="1">
      <c r="A442" s="40"/>
      <c r="B442" s="41"/>
      <c r="C442" s="67"/>
      <c r="D442" s="225"/>
      <c r="E442" s="225"/>
      <c r="F442" s="292"/>
      <c r="G442" s="46"/>
    </row>
    <row r="443" ht="15.75" customHeight="1">
      <c r="A443" s="40"/>
      <c r="B443" s="41"/>
      <c r="C443" s="67"/>
      <c r="D443" s="225"/>
      <c r="E443" s="225"/>
      <c r="F443" s="292"/>
      <c r="G443" s="46"/>
    </row>
    <row r="444" ht="15.75" customHeight="1">
      <c r="A444" s="40"/>
      <c r="B444" s="41"/>
      <c r="C444" s="67"/>
      <c r="D444" s="225"/>
      <c r="E444" s="225"/>
      <c r="F444" s="292"/>
      <c r="G444" s="46"/>
    </row>
    <row r="445" ht="15.75" customHeight="1">
      <c r="A445" s="40"/>
      <c r="B445" s="41"/>
      <c r="C445" s="67"/>
      <c r="D445" s="225"/>
      <c r="E445" s="225"/>
      <c r="F445" s="292"/>
      <c r="G445" s="46"/>
    </row>
    <row r="446" ht="15.75" customHeight="1">
      <c r="A446" s="40"/>
      <c r="B446" s="41"/>
      <c r="C446" s="67"/>
      <c r="D446" s="225"/>
      <c r="E446" s="225"/>
      <c r="F446" s="292"/>
      <c r="G446" s="46"/>
    </row>
    <row r="447" ht="15.75" customHeight="1">
      <c r="A447" s="40"/>
      <c r="B447" s="41"/>
      <c r="C447" s="67"/>
      <c r="D447" s="225"/>
      <c r="E447" s="225"/>
      <c r="F447" s="292"/>
      <c r="G447" s="46"/>
    </row>
    <row r="448" ht="15.75" customHeight="1">
      <c r="A448" s="40"/>
      <c r="B448" s="41"/>
      <c r="C448" s="67"/>
      <c r="D448" s="225"/>
      <c r="E448" s="225"/>
      <c r="F448" s="292"/>
      <c r="G448" s="46"/>
    </row>
    <row r="449" ht="15.75" customHeight="1">
      <c r="A449" s="40"/>
      <c r="B449" s="41"/>
      <c r="C449" s="67"/>
      <c r="D449" s="225"/>
      <c r="E449" s="225"/>
      <c r="F449" s="292"/>
      <c r="G449" s="46"/>
    </row>
    <row r="450" ht="15.75" customHeight="1">
      <c r="A450" s="40"/>
      <c r="B450" s="41"/>
      <c r="C450" s="67"/>
      <c r="D450" s="225"/>
      <c r="E450" s="225"/>
      <c r="F450" s="292"/>
      <c r="G450" s="46"/>
    </row>
    <row r="451" ht="15.75" customHeight="1">
      <c r="A451" s="40"/>
      <c r="B451" s="41"/>
      <c r="C451" s="67"/>
      <c r="D451" s="225"/>
      <c r="E451" s="225"/>
      <c r="F451" s="292"/>
      <c r="G451" s="46"/>
    </row>
    <row r="452" ht="15.75" customHeight="1">
      <c r="A452" s="40"/>
      <c r="B452" s="41"/>
      <c r="C452" s="67"/>
      <c r="D452" s="225"/>
      <c r="E452" s="225"/>
      <c r="F452" s="292"/>
      <c r="G452" s="46"/>
    </row>
    <row r="453" ht="15.75" customHeight="1">
      <c r="A453" s="40"/>
      <c r="B453" s="41"/>
      <c r="C453" s="67"/>
      <c r="D453" s="225"/>
      <c r="E453" s="225"/>
      <c r="F453" s="292"/>
      <c r="G453" s="46"/>
    </row>
    <row r="454" ht="15.75" customHeight="1">
      <c r="A454" s="40"/>
      <c r="B454" s="41"/>
      <c r="C454" s="67"/>
      <c r="D454" s="225"/>
      <c r="E454" s="225"/>
      <c r="F454" s="292"/>
      <c r="G454" s="46"/>
    </row>
    <row r="455" ht="15.75" customHeight="1">
      <c r="A455" s="40"/>
      <c r="B455" s="41"/>
      <c r="C455" s="67"/>
      <c r="D455" s="225"/>
      <c r="E455" s="225"/>
      <c r="F455" s="292"/>
      <c r="G455" s="46"/>
    </row>
    <row r="456" ht="15.75" customHeight="1">
      <c r="A456" s="40"/>
      <c r="B456" s="41"/>
      <c r="C456" s="67"/>
      <c r="D456" s="225"/>
      <c r="E456" s="225"/>
      <c r="F456" s="292"/>
      <c r="G456" s="46"/>
    </row>
    <row r="457" ht="15.75" customHeight="1">
      <c r="A457" s="40"/>
      <c r="B457" s="41"/>
      <c r="C457" s="67"/>
      <c r="D457" s="225"/>
      <c r="E457" s="225"/>
      <c r="F457" s="292"/>
      <c r="G457" s="46"/>
    </row>
    <row r="458" ht="15.75" customHeight="1">
      <c r="A458" s="40"/>
      <c r="B458" s="41"/>
      <c r="C458" s="67"/>
      <c r="D458" s="225"/>
      <c r="E458" s="225"/>
      <c r="F458" s="292"/>
      <c r="G458" s="46"/>
    </row>
    <row r="459" ht="15.75" customHeight="1">
      <c r="A459" s="40"/>
      <c r="B459" s="41"/>
      <c r="C459" s="67"/>
      <c r="D459" s="225"/>
      <c r="E459" s="225"/>
      <c r="F459" s="292"/>
      <c r="G459" s="46"/>
    </row>
    <row r="460" ht="15.75" customHeight="1">
      <c r="A460" s="40"/>
      <c r="B460" s="41"/>
      <c r="C460" s="67"/>
      <c r="D460" s="225"/>
      <c r="E460" s="225"/>
      <c r="F460" s="292"/>
      <c r="G460" s="46"/>
    </row>
    <row r="461" ht="15.75" customHeight="1">
      <c r="A461" s="40"/>
      <c r="B461" s="41"/>
      <c r="C461" s="67"/>
      <c r="D461" s="225"/>
      <c r="E461" s="225"/>
      <c r="F461" s="292"/>
      <c r="G461" s="46"/>
    </row>
    <row r="462" ht="15.75" customHeight="1">
      <c r="A462" s="40"/>
      <c r="B462" s="41"/>
      <c r="C462" s="67"/>
      <c r="D462" s="225"/>
      <c r="E462" s="225"/>
      <c r="F462" s="292"/>
      <c r="G462" s="46"/>
    </row>
    <row r="463" ht="15.75" customHeight="1">
      <c r="A463" s="40"/>
      <c r="B463" s="41"/>
      <c r="C463" s="67"/>
      <c r="D463" s="225"/>
      <c r="E463" s="225"/>
      <c r="F463" s="292"/>
      <c r="G463" s="46"/>
    </row>
    <row r="464" ht="15.75" customHeight="1">
      <c r="A464" s="40"/>
      <c r="B464" s="41"/>
      <c r="C464" s="67"/>
      <c r="D464" s="225"/>
      <c r="E464" s="225"/>
      <c r="F464" s="292"/>
      <c r="G464" s="46"/>
    </row>
    <row r="465" ht="15.75" customHeight="1">
      <c r="A465" s="40"/>
      <c r="B465" s="41"/>
      <c r="C465" s="67"/>
      <c r="D465" s="225"/>
      <c r="E465" s="225"/>
      <c r="F465" s="292"/>
      <c r="G465" s="46"/>
    </row>
    <row r="466" ht="15.75" customHeight="1">
      <c r="A466" s="40"/>
      <c r="B466" s="41"/>
      <c r="C466" s="67"/>
      <c r="D466" s="225"/>
      <c r="E466" s="225"/>
      <c r="F466" s="292"/>
      <c r="G466" s="46"/>
    </row>
    <row r="467" ht="15.75" customHeight="1">
      <c r="A467" s="40"/>
      <c r="B467" s="41"/>
      <c r="C467" s="67"/>
      <c r="D467" s="225"/>
      <c r="E467" s="225"/>
      <c r="F467" s="292"/>
      <c r="G467" s="46"/>
    </row>
    <row r="468" ht="15.75" customHeight="1">
      <c r="A468" s="40"/>
      <c r="B468" s="41"/>
      <c r="C468" s="67"/>
      <c r="D468" s="225"/>
      <c r="E468" s="225"/>
      <c r="F468" s="292"/>
      <c r="G468" s="46"/>
    </row>
    <row r="469" ht="15.75" customHeight="1">
      <c r="A469" s="40"/>
      <c r="B469" s="41"/>
      <c r="C469" s="67"/>
      <c r="D469" s="225"/>
      <c r="E469" s="225"/>
      <c r="F469" s="292"/>
      <c r="G469" s="46"/>
    </row>
    <row r="470" ht="15.75" customHeight="1">
      <c r="A470" s="40"/>
      <c r="B470" s="41"/>
      <c r="C470" s="67"/>
      <c r="D470" s="225"/>
      <c r="E470" s="225"/>
      <c r="F470" s="292"/>
      <c r="G470" s="46"/>
    </row>
    <row r="471" ht="15.75" customHeight="1">
      <c r="A471" s="40"/>
      <c r="B471" s="41"/>
      <c r="C471" s="67"/>
      <c r="D471" s="225"/>
      <c r="E471" s="225"/>
      <c r="F471" s="292"/>
      <c r="G471" s="46"/>
    </row>
    <row r="472" ht="15.75" customHeight="1">
      <c r="A472" s="40"/>
      <c r="B472" s="41"/>
      <c r="C472" s="67"/>
      <c r="D472" s="225"/>
      <c r="E472" s="225"/>
      <c r="F472" s="292"/>
      <c r="G472" s="46"/>
    </row>
    <row r="473" ht="15.75" customHeight="1">
      <c r="A473" s="40"/>
      <c r="B473" s="41"/>
      <c r="C473" s="67"/>
      <c r="D473" s="225"/>
      <c r="E473" s="225"/>
      <c r="F473" s="292"/>
      <c r="G473" s="46"/>
    </row>
    <row r="474" ht="15.75" customHeight="1">
      <c r="A474" s="40"/>
      <c r="B474" s="41"/>
      <c r="C474" s="67"/>
      <c r="D474" s="225"/>
      <c r="E474" s="225"/>
      <c r="F474" s="292"/>
      <c r="G474" s="46"/>
    </row>
    <row r="475" ht="15.75" customHeight="1">
      <c r="A475" s="40"/>
      <c r="B475" s="41"/>
      <c r="C475" s="67"/>
      <c r="D475" s="225"/>
      <c r="E475" s="225"/>
      <c r="F475" s="292"/>
      <c r="G475" s="46"/>
    </row>
    <row r="476" ht="15.75" customHeight="1">
      <c r="A476" s="40"/>
      <c r="B476" s="41"/>
      <c r="C476" s="67"/>
      <c r="D476" s="225"/>
      <c r="E476" s="225"/>
      <c r="F476" s="292"/>
      <c r="G476" s="46"/>
    </row>
    <row r="477" ht="15.75" customHeight="1">
      <c r="A477" s="40"/>
      <c r="B477" s="41"/>
      <c r="C477" s="67"/>
      <c r="D477" s="225"/>
      <c r="E477" s="225"/>
      <c r="F477" s="292"/>
      <c r="G477" s="46"/>
    </row>
    <row r="478" ht="15.75" customHeight="1">
      <c r="A478" s="40"/>
      <c r="B478" s="41"/>
      <c r="C478" s="67"/>
      <c r="D478" s="225"/>
      <c r="E478" s="225"/>
      <c r="F478" s="292"/>
      <c r="G478" s="46"/>
    </row>
    <row r="479" ht="15.75" customHeight="1">
      <c r="A479" s="40"/>
      <c r="B479" s="41"/>
      <c r="C479" s="67"/>
      <c r="D479" s="225"/>
      <c r="E479" s="225"/>
      <c r="F479" s="292"/>
      <c r="G479" s="46"/>
    </row>
    <row r="480" ht="15.75" customHeight="1">
      <c r="A480" s="40"/>
      <c r="B480" s="41"/>
      <c r="C480" s="67"/>
      <c r="D480" s="225"/>
      <c r="E480" s="225"/>
      <c r="F480" s="292"/>
      <c r="G480" s="46"/>
    </row>
    <row r="481" ht="15.75" customHeight="1">
      <c r="A481" s="40"/>
      <c r="B481" s="41"/>
      <c r="C481" s="67"/>
      <c r="D481" s="225"/>
      <c r="E481" s="225"/>
      <c r="F481" s="292"/>
      <c r="G481" s="46"/>
    </row>
    <row r="482" ht="15.75" customHeight="1">
      <c r="A482" s="40"/>
      <c r="B482" s="41"/>
      <c r="C482" s="67"/>
      <c r="D482" s="225"/>
      <c r="E482" s="225"/>
      <c r="F482" s="292"/>
      <c r="G482" s="46"/>
    </row>
    <row r="483" ht="15.75" customHeight="1">
      <c r="A483" s="40"/>
      <c r="B483" s="41"/>
      <c r="C483" s="67"/>
      <c r="D483" s="225"/>
      <c r="E483" s="225"/>
      <c r="F483" s="292"/>
      <c r="G483" s="46"/>
    </row>
    <row r="484" ht="15.75" customHeight="1">
      <c r="A484" s="40"/>
      <c r="B484" s="41"/>
      <c r="C484" s="67"/>
      <c r="D484" s="225"/>
      <c r="E484" s="225"/>
      <c r="F484" s="292"/>
      <c r="G484" s="46"/>
    </row>
    <row r="485" ht="15.75" customHeight="1">
      <c r="A485" s="40"/>
      <c r="B485" s="41"/>
      <c r="C485" s="67"/>
      <c r="D485" s="225"/>
      <c r="E485" s="225"/>
      <c r="F485" s="292"/>
      <c r="G485" s="46"/>
    </row>
    <row r="486" ht="15.75" customHeight="1">
      <c r="A486" s="40"/>
      <c r="B486" s="41"/>
      <c r="C486" s="67"/>
      <c r="D486" s="225"/>
      <c r="E486" s="225"/>
      <c r="F486" s="292"/>
      <c r="G486" s="46"/>
    </row>
    <row r="487" ht="15.75" customHeight="1">
      <c r="A487" s="40"/>
      <c r="B487" s="41"/>
      <c r="C487" s="67"/>
      <c r="D487" s="225"/>
      <c r="E487" s="225"/>
      <c r="F487" s="292"/>
      <c r="G487" s="46"/>
    </row>
    <row r="488" ht="15.75" customHeight="1">
      <c r="A488" s="40"/>
      <c r="B488" s="41"/>
      <c r="C488" s="67"/>
      <c r="D488" s="225"/>
      <c r="E488" s="225"/>
      <c r="F488" s="292"/>
      <c r="G488" s="46"/>
    </row>
    <row r="489" ht="15.75" customHeight="1">
      <c r="A489" s="40"/>
      <c r="B489" s="41"/>
      <c r="C489" s="67"/>
      <c r="D489" s="225"/>
      <c r="E489" s="225"/>
      <c r="F489" s="292"/>
      <c r="G489" s="46"/>
    </row>
    <row r="490" ht="15.75" customHeight="1">
      <c r="A490" s="40"/>
      <c r="B490" s="41"/>
      <c r="C490" s="67"/>
      <c r="D490" s="225"/>
      <c r="E490" s="225"/>
      <c r="F490" s="292"/>
      <c r="G490" s="46"/>
    </row>
    <row r="491" ht="15.75" customHeight="1">
      <c r="A491" s="40"/>
      <c r="B491" s="41"/>
      <c r="C491" s="67"/>
      <c r="D491" s="225"/>
      <c r="E491" s="225"/>
      <c r="F491" s="292"/>
      <c r="G491" s="46"/>
    </row>
    <row r="492" ht="15.75" customHeight="1">
      <c r="A492" s="40"/>
      <c r="B492" s="41"/>
      <c r="C492" s="67"/>
      <c r="D492" s="225"/>
      <c r="E492" s="225"/>
      <c r="F492" s="292"/>
      <c r="G492" s="46"/>
    </row>
    <row r="493" ht="15.75" customHeight="1">
      <c r="A493" s="40"/>
      <c r="B493" s="41"/>
      <c r="C493" s="67"/>
      <c r="D493" s="225"/>
      <c r="E493" s="225"/>
      <c r="F493" s="292"/>
      <c r="G493" s="46"/>
    </row>
    <row r="494" ht="15.75" customHeight="1">
      <c r="A494" s="40"/>
      <c r="B494" s="41"/>
      <c r="C494" s="67"/>
      <c r="D494" s="225"/>
      <c r="E494" s="225"/>
      <c r="F494" s="292"/>
      <c r="G494" s="46"/>
    </row>
    <row r="495" ht="15.75" customHeight="1">
      <c r="A495" s="40"/>
      <c r="B495" s="41"/>
      <c r="C495" s="67"/>
      <c r="D495" s="225"/>
      <c r="E495" s="225"/>
      <c r="F495" s="292"/>
      <c r="G495" s="46"/>
    </row>
    <row r="496" ht="15.75" customHeight="1">
      <c r="A496" s="40"/>
      <c r="B496" s="41"/>
      <c r="C496" s="67"/>
      <c r="D496" s="225"/>
      <c r="E496" s="225"/>
      <c r="F496" s="292"/>
      <c r="G496" s="46"/>
    </row>
    <row r="497" ht="15.75" customHeight="1">
      <c r="A497" s="40"/>
      <c r="B497" s="41"/>
      <c r="C497" s="67"/>
      <c r="D497" s="225"/>
      <c r="E497" s="225"/>
      <c r="F497" s="292"/>
      <c r="G497" s="46"/>
    </row>
    <row r="498" ht="15.75" customHeight="1">
      <c r="A498" s="40"/>
      <c r="B498" s="41"/>
      <c r="C498" s="67"/>
      <c r="D498" s="225"/>
      <c r="E498" s="225"/>
      <c r="F498" s="292"/>
      <c r="G498" s="46"/>
    </row>
    <row r="499" ht="15.75" customHeight="1">
      <c r="A499" s="40"/>
      <c r="B499" s="41"/>
      <c r="C499" s="67"/>
      <c r="D499" s="225"/>
      <c r="E499" s="225"/>
      <c r="F499" s="292"/>
      <c r="G499" s="46"/>
    </row>
    <row r="500" ht="15.75" customHeight="1">
      <c r="A500" s="40"/>
      <c r="B500" s="41"/>
      <c r="C500" s="67"/>
      <c r="D500" s="225"/>
      <c r="E500" s="225"/>
      <c r="F500" s="292"/>
      <c r="G500" s="46"/>
    </row>
    <row r="501" ht="15.75" customHeight="1">
      <c r="A501" s="40"/>
      <c r="B501" s="41"/>
      <c r="C501" s="67"/>
      <c r="D501" s="225"/>
      <c r="E501" s="225"/>
      <c r="F501" s="292"/>
      <c r="G501" s="46"/>
    </row>
    <row r="502" ht="15.75" customHeight="1">
      <c r="A502" s="40"/>
      <c r="B502" s="41"/>
      <c r="C502" s="67"/>
      <c r="D502" s="225"/>
      <c r="E502" s="225"/>
      <c r="F502" s="292"/>
      <c r="G502" s="46"/>
    </row>
    <row r="503" ht="15.75" customHeight="1">
      <c r="A503" s="40"/>
      <c r="B503" s="41"/>
      <c r="C503" s="67"/>
      <c r="D503" s="225"/>
      <c r="E503" s="225"/>
      <c r="F503" s="292"/>
      <c r="G503" s="46"/>
    </row>
    <row r="504" ht="15.75" customHeight="1">
      <c r="A504" s="40"/>
      <c r="B504" s="41"/>
      <c r="C504" s="67"/>
      <c r="D504" s="225"/>
      <c r="E504" s="225"/>
      <c r="F504" s="292"/>
      <c r="G504" s="46"/>
    </row>
    <row r="505" ht="15.75" customHeight="1">
      <c r="A505" s="40"/>
      <c r="B505" s="41"/>
      <c r="C505" s="67"/>
      <c r="D505" s="225"/>
      <c r="E505" s="225"/>
      <c r="F505" s="292"/>
      <c r="G505" s="46"/>
    </row>
    <row r="506" ht="15.75" customHeight="1">
      <c r="A506" s="40"/>
      <c r="B506" s="41"/>
      <c r="C506" s="67"/>
      <c r="D506" s="225"/>
      <c r="E506" s="225"/>
      <c r="F506" s="292"/>
      <c r="G506" s="46"/>
    </row>
    <row r="507" ht="15.75" customHeight="1">
      <c r="A507" s="40"/>
      <c r="B507" s="41"/>
      <c r="C507" s="67"/>
      <c r="D507" s="225"/>
      <c r="E507" s="225"/>
      <c r="F507" s="292"/>
      <c r="G507" s="46"/>
    </row>
    <row r="508" ht="15.75" customHeight="1">
      <c r="A508" s="40"/>
      <c r="B508" s="41"/>
      <c r="C508" s="67"/>
      <c r="D508" s="225"/>
      <c r="E508" s="225"/>
      <c r="F508" s="292"/>
      <c r="G508" s="46"/>
    </row>
    <row r="509" ht="15.75" customHeight="1">
      <c r="A509" s="40"/>
      <c r="B509" s="41"/>
      <c r="C509" s="67"/>
      <c r="D509" s="225"/>
      <c r="E509" s="225"/>
      <c r="F509" s="292"/>
      <c r="G509" s="46"/>
    </row>
    <row r="510" ht="15.75" customHeight="1">
      <c r="A510" s="40"/>
      <c r="B510" s="41"/>
      <c r="C510" s="67"/>
      <c r="D510" s="225"/>
      <c r="E510" s="225"/>
      <c r="F510" s="292"/>
      <c r="G510" s="46"/>
    </row>
    <row r="511" ht="15.75" customHeight="1">
      <c r="A511" s="40"/>
      <c r="B511" s="41"/>
      <c r="C511" s="67"/>
      <c r="D511" s="225"/>
      <c r="E511" s="225"/>
      <c r="F511" s="292"/>
      <c r="G511" s="46"/>
    </row>
    <row r="512" ht="15.75" customHeight="1">
      <c r="A512" s="40"/>
      <c r="B512" s="41"/>
      <c r="C512" s="67"/>
      <c r="D512" s="225"/>
      <c r="E512" s="225"/>
      <c r="F512" s="292"/>
      <c r="G512" s="46"/>
    </row>
    <row r="513" ht="15.75" customHeight="1">
      <c r="A513" s="40"/>
      <c r="B513" s="41"/>
      <c r="C513" s="67"/>
      <c r="D513" s="225"/>
      <c r="E513" s="225"/>
      <c r="F513" s="292"/>
      <c r="G513" s="46"/>
    </row>
    <row r="514" ht="15.75" customHeight="1">
      <c r="A514" s="40"/>
      <c r="B514" s="41"/>
      <c r="C514" s="67"/>
      <c r="D514" s="225"/>
      <c r="E514" s="225"/>
      <c r="F514" s="292"/>
      <c r="G514" s="46"/>
    </row>
    <row r="515" ht="15.75" customHeight="1">
      <c r="A515" s="40"/>
      <c r="B515" s="41"/>
      <c r="C515" s="67"/>
      <c r="D515" s="225"/>
      <c r="E515" s="225"/>
      <c r="F515" s="292"/>
      <c r="G515" s="46"/>
    </row>
    <row r="516" ht="15.75" customHeight="1">
      <c r="A516" s="40"/>
      <c r="B516" s="41"/>
      <c r="C516" s="67"/>
      <c r="D516" s="225"/>
      <c r="E516" s="225"/>
      <c r="F516" s="292"/>
      <c r="G516" s="46"/>
    </row>
    <row r="517" ht="15.75" customHeight="1">
      <c r="A517" s="40"/>
      <c r="B517" s="41"/>
      <c r="C517" s="67"/>
      <c r="D517" s="225"/>
      <c r="E517" s="225"/>
      <c r="F517" s="292"/>
      <c r="G517" s="46"/>
    </row>
    <row r="518" ht="15.75" customHeight="1">
      <c r="A518" s="40"/>
      <c r="B518" s="41"/>
      <c r="C518" s="67"/>
      <c r="D518" s="225"/>
      <c r="E518" s="225"/>
      <c r="F518" s="292"/>
      <c r="G518" s="46"/>
    </row>
    <row r="519" ht="15.75" customHeight="1">
      <c r="A519" s="40"/>
      <c r="B519" s="41"/>
      <c r="C519" s="67"/>
      <c r="D519" s="225"/>
      <c r="E519" s="225"/>
      <c r="F519" s="292"/>
      <c r="G519" s="46"/>
    </row>
    <row r="520" ht="15.75" customHeight="1">
      <c r="A520" s="40"/>
      <c r="B520" s="41"/>
      <c r="C520" s="67"/>
      <c r="D520" s="225"/>
      <c r="E520" s="225"/>
      <c r="F520" s="292"/>
      <c r="G520" s="46"/>
    </row>
    <row r="521" ht="15.75" customHeight="1">
      <c r="A521" s="40"/>
      <c r="B521" s="41"/>
      <c r="C521" s="67"/>
      <c r="D521" s="225"/>
      <c r="E521" s="225"/>
      <c r="F521" s="292"/>
      <c r="G521" s="46"/>
    </row>
    <row r="522" ht="15.75" customHeight="1">
      <c r="A522" s="40"/>
      <c r="B522" s="41"/>
      <c r="C522" s="67"/>
      <c r="D522" s="225"/>
      <c r="E522" s="225"/>
      <c r="F522" s="292"/>
      <c r="G522" s="46"/>
    </row>
    <row r="523" ht="15.75" customHeight="1">
      <c r="A523" s="40"/>
      <c r="B523" s="41"/>
      <c r="C523" s="67"/>
      <c r="D523" s="225"/>
      <c r="E523" s="225"/>
      <c r="F523" s="292"/>
      <c r="G523" s="46"/>
    </row>
    <row r="524" ht="15.75" customHeight="1">
      <c r="A524" s="40"/>
      <c r="B524" s="41"/>
      <c r="C524" s="67"/>
      <c r="D524" s="225"/>
      <c r="E524" s="225"/>
      <c r="F524" s="292"/>
      <c r="G524" s="46"/>
    </row>
    <row r="525" ht="15.75" customHeight="1">
      <c r="A525" s="40"/>
      <c r="B525" s="41"/>
      <c r="C525" s="67"/>
      <c r="D525" s="225"/>
      <c r="E525" s="225"/>
      <c r="F525" s="292"/>
      <c r="G525" s="46"/>
    </row>
    <row r="526" ht="15.75" customHeight="1">
      <c r="A526" s="40"/>
      <c r="B526" s="41"/>
      <c r="C526" s="67"/>
      <c r="D526" s="225"/>
      <c r="E526" s="225"/>
      <c r="F526" s="292"/>
      <c r="G526" s="46"/>
    </row>
    <row r="527" ht="15.75" customHeight="1">
      <c r="A527" s="40"/>
      <c r="B527" s="41"/>
      <c r="C527" s="67"/>
      <c r="D527" s="225"/>
      <c r="E527" s="225"/>
      <c r="F527" s="292"/>
      <c r="G527" s="46"/>
    </row>
    <row r="528" ht="15.75" customHeight="1">
      <c r="A528" s="40"/>
      <c r="B528" s="41"/>
      <c r="C528" s="67"/>
      <c r="D528" s="225"/>
      <c r="E528" s="225"/>
      <c r="F528" s="292"/>
      <c r="G528" s="46"/>
    </row>
    <row r="529" ht="15.75" customHeight="1">
      <c r="A529" s="40"/>
      <c r="B529" s="41"/>
      <c r="C529" s="67"/>
      <c r="D529" s="225"/>
      <c r="E529" s="225"/>
      <c r="F529" s="292"/>
      <c r="G529" s="46"/>
    </row>
    <row r="530" ht="15.75" customHeight="1">
      <c r="A530" s="40"/>
      <c r="B530" s="41"/>
      <c r="C530" s="67"/>
      <c r="D530" s="225"/>
      <c r="E530" s="225"/>
      <c r="F530" s="292"/>
      <c r="G530" s="46"/>
    </row>
    <row r="531" ht="15.75" customHeight="1">
      <c r="A531" s="40"/>
      <c r="B531" s="41"/>
      <c r="C531" s="67"/>
      <c r="D531" s="225"/>
      <c r="E531" s="225"/>
      <c r="F531" s="292"/>
      <c r="G531" s="46"/>
    </row>
    <row r="532" ht="15.75" customHeight="1">
      <c r="A532" s="40"/>
      <c r="B532" s="41"/>
      <c r="C532" s="67"/>
      <c r="D532" s="225"/>
      <c r="E532" s="225"/>
      <c r="F532" s="292"/>
      <c r="G532" s="46"/>
    </row>
    <row r="533" ht="15.75" customHeight="1">
      <c r="A533" s="40"/>
      <c r="B533" s="41"/>
      <c r="C533" s="67"/>
      <c r="D533" s="225"/>
      <c r="E533" s="225"/>
      <c r="F533" s="292"/>
      <c r="G533" s="46"/>
    </row>
    <row r="534" ht="15.75" customHeight="1">
      <c r="A534" s="40"/>
      <c r="B534" s="41"/>
      <c r="C534" s="67"/>
      <c r="D534" s="225"/>
      <c r="E534" s="225"/>
      <c r="F534" s="292"/>
      <c r="G534" s="46"/>
    </row>
    <row r="535" ht="15.75" customHeight="1">
      <c r="A535" s="40"/>
      <c r="B535" s="41"/>
      <c r="C535" s="67"/>
      <c r="D535" s="225"/>
      <c r="E535" s="225"/>
      <c r="F535" s="292"/>
      <c r="G535" s="46"/>
    </row>
    <row r="536" ht="15.75" customHeight="1">
      <c r="A536" s="40"/>
      <c r="B536" s="41"/>
      <c r="C536" s="67"/>
      <c r="D536" s="225"/>
      <c r="E536" s="225"/>
      <c r="F536" s="292"/>
      <c r="G536" s="46"/>
    </row>
    <row r="537" ht="15.75" customHeight="1">
      <c r="A537" s="40"/>
      <c r="B537" s="41"/>
      <c r="C537" s="67"/>
      <c r="D537" s="225"/>
      <c r="E537" s="225"/>
      <c r="F537" s="292"/>
      <c r="G537" s="46"/>
    </row>
    <row r="538" ht="15.75" customHeight="1">
      <c r="A538" s="40"/>
      <c r="B538" s="41"/>
      <c r="C538" s="67"/>
      <c r="D538" s="225"/>
      <c r="E538" s="225"/>
      <c r="F538" s="292"/>
      <c r="G538" s="46"/>
    </row>
    <row r="539" ht="15.75" customHeight="1">
      <c r="A539" s="40"/>
      <c r="B539" s="41"/>
      <c r="C539" s="67"/>
      <c r="D539" s="225"/>
      <c r="E539" s="225"/>
      <c r="F539" s="292"/>
      <c r="G539" s="46"/>
    </row>
    <row r="540" ht="15.75" customHeight="1">
      <c r="A540" s="40"/>
      <c r="B540" s="41"/>
      <c r="C540" s="67"/>
      <c r="D540" s="225"/>
      <c r="E540" s="225"/>
      <c r="F540" s="292"/>
      <c r="G540" s="46"/>
    </row>
    <row r="541" ht="15.75" customHeight="1">
      <c r="A541" s="40"/>
      <c r="B541" s="41"/>
      <c r="C541" s="67"/>
      <c r="D541" s="225"/>
      <c r="E541" s="225"/>
      <c r="F541" s="292"/>
      <c r="G541" s="46"/>
    </row>
    <row r="542" ht="15.75" customHeight="1">
      <c r="A542" s="40"/>
      <c r="B542" s="41"/>
      <c r="C542" s="67"/>
      <c r="D542" s="225"/>
      <c r="E542" s="225"/>
      <c r="F542" s="292"/>
      <c r="G542" s="46"/>
    </row>
    <row r="543" ht="15.75" customHeight="1">
      <c r="A543" s="40"/>
      <c r="B543" s="41"/>
      <c r="C543" s="67"/>
      <c r="D543" s="225"/>
      <c r="E543" s="225"/>
      <c r="F543" s="292"/>
      <c r="G543" s="46"/>
    </row>
    <row r="544" ht="15.75" customHeight="1">
      <c r="A544" s="40"/>
      <c r="B544" s="41"/>
      <c r="C544" s="67"/>
      <c r="D544" s="225"/>
      <c r="E544" s="225"/>
      <c r="F544" s="292"/>
      <c r="G544" s="46"/>
    </row>
    <row r="545" ht="15.75" customHeight="1">
      <c r="A545" s="40"/>
      <c r="B545" s="41"/>
      <c r="C545" s="67"/>
      <c r="D545" s="225"/>
      <c r="E545" s="225"/>
      <c r="F545" s="292"/>
      <c r="G545" s="46"/>
    </row>
    <row r="546" ht="15.75" customHeight="1">
      <c r="A546" s="40"/>
      <c r="B546" s="41"/>
      <c r="C546" s="67"/>
      <c r="D546" s="225"/>
      <c r="E546" s="225"/>
      <c r="F546" s="292"/>
      <c r="G546" s="46"/>
    </row>
    <row r="547" ht="15.75" customHeight="1">
      <c r="A547" s="40"/>
      <c r="B547" s="41"/>
      <c r="C547" s="67"/>
      <c r="D547" s="225"/>
      <c r="E547" s="225"/>
      <c r="F547" s="292"/>
      <c r="G547" s="46"/>
    </row>
    <row r="548" ht="15.75" customHeight="1">
      <c r="A548" s="40"/>
      <c r="B548" s="41"/>
      <c r="C548" s="67"/>
      <c r="D548" s="225"/>
      <c r="E548" s="225"/>
      <c r="F548" s="292"/>
      <c r="G548" s="46"/>
    </row>
    <row r="549" ht="15.75" customHeight="1">
      <c r="A549" s="40"/>
      <c r="B549" s="41"/>
      <c r="C549" s="67"/>
      <c r="D549" s="225"/>
      <c r="E549" s="225"/>
      <c r="F549" s="292"/>
      <c r="G549" s="46"/>
    </row>
    <row r="550" ht="15.75" customHeight="1">
      <c r="A550" s="40"/>
      <c r="B550" s="41"/>
      <c r="C550" s="67"/>
      <c r="D550" s="225"/>
      <c r="E550" s="225"/>
      <c r="F550" s="292"/>
      <c r="G550" s="46"/>
    </row>
    <row r="551" ht="15.75" customHeight="1">
      <c r="A551" s="40"/>
      <c r="B551" s="41"/>
      <c r="C551" s="67"/>
      <c r="D551" s="225"/>
      <c r="E551" s="225"/>
      <c r="F551" s="292"/>
      <c r="G551" s="46"/>
    </row>
    <row r="552" ht="15.75" customHeight="1">
      <c r="A552" s="40"/>
      <c r="B552" s="41"/>
      <c r="C552" s="67"/>
      <c r="D552" s="225"/>
      <c r="E552" s="225"/>
      <c r="F552" s="292"/>
      <c r="G552" s="46"/>
    </row>
    <row r="553" ht="15.75" customHeight="1">
      <c r="A553" s="40"/>
      <c r="B553" s="41"/>
      <c r="C553" s="67"/>
      <c r="D553" s="225"/>
      <c r="E553" s="225"/>
      <c r="F553" s="292"/>
      <c r="G553" s="46"/>
    </row>
    <row r="554" ht="15.75" customHeight="1">
      <c r="A554" s="40"/>
      <c r="B554" s="41"/>
      <c r="C554" s="67"/>
      <c r="D554" s="225"/>
      <c r="E554" s="225"/>
      <c r="F554" s="292"/>
      <c r="G554" s="46"/>
    </row>
    <row r="555" ht="15.75" customHeight="1">
      <c r="A555" s="40"/>
      <c r="B555" s="41"/>
      <c r="C555" s="67"/>
      <c r="D555" s="225"/>
      <c r="E555" s="225"/>
      <c r="F555" s="292"/>
      <c r="G555" s="46"/>
    </row>
    <row r="556" ht="15.75" customHeight="1">
      <c r="A556" s="40"/>
      <c r="B556" s="41"/>
      <c r="C556" s="67"/>
      <c r="D556" s="225"/>
      <c r="E556" s="225"/>
      <c r="F556" s="292"/>
      <c r="G556" s="46"/>
    </row>
    <row r="557" ht="15.75" customHeight="1">
      <c r="A557" s="40"/>
      <c r="B557" s="41"/>
      <c r="C557" s="67"/>
      <c r="D557" s="225"/>
      <c r="E557" s="225"/>
      <c r="F557" s="292"/>
      <c r="G557" s="46"/>
    </row>
    <row r="558" ht="15.75" customHeight="1">
      <c r="A558" s="40"/>
      <c r="B558" s="41"/>
      <c r="C558" s="67"/>
      <c r="D558" s="225"/>
      <c r="E558" s="225"/>
      <c r="F558" s="292"/>
      <c r="G558" s="46"/>
    </row>
    <row r="559" ht="15.75" customHeight="1">
      <c r="A559" s="40"/>
      <c r="B559" s="41"/>
      <c r="C559" s="67"/>
      <c r="D559" s="225"/>
      <c r="E559" s="225"/>
      <c r="F559" s="292"/>
      <c r="G559" s="46"/>
    </row>
    <row r="560" ht="15.75" customHeight="1">
      <c r="A560" s="40"/>
      <c r="B560" s="41"/>
      <c r="C560" s="67"/>
      <c r="D560" s="225"/>
      <c r="E560" s="225"/>
      <c r="F560" s="292"/>
      <c r="G560" s="46"/>
    </row>
    <row r="561" ht="15.75" customHeight="1">
      <c r="A561" s="40"/>
      <c r="B561" s="41"/>
      <c r="C561" s="67"/>
      <c r="D561" s="225"/>
      <c r="E561" s="225"/>
      <c r="F561" s="292"/>
      <c r="G561" s="46"/>
    </row>
    <row r="562" ht="15.75" customHeight="1">
      <c r="A562" s="40"/>
      <c r="B562" s="41"/>
      <c r="C562" s="67"/>
      <c r="D562" s="225"/>
      <c r="E562" s="225"/>
      <c r="F562" s="292"/>
      <c r="G562" s="46"/>
    </row>
    <row r="563" ht="15.75" customHeight="1">
      <c r="A563" s="40"/>
      <c r="B563" s="41"/>
      <c r="C563" s="67"/>
      <c r="D563" s="225"/>
      <c r="E563" s="225"/>
      <c r="F563" s="292"/>
      <c r="G563" s="46"/>
    </row>
    <row r="564" ht="15.75" customHeight="1">
      <c r="A564" s="40"/>
      <c r="B564" s="41"/>
      <c r="C564" s="67"/>
      <c r="D564" s="225"/>
      <c r="E564" s="225"/>
      <c r="F564" s="292"/>
      <c r="G564" s="46"/>
    </row>
    <row r="565" ht="15.75" customHeight="1">
      <c r="A565" s="40"/>
      <c r="B565" s="41"/>
      <c r="C565" s="67"/>
      <c r="D565" s="225"/>
      <c r="E565" s="225"/>
      <c r="F565" s="292"/>
      <c r="G565" s="46"/>
    </row>
    <row r="566" ht="15.75" customHeight="1">
      <c r="A566" s="40"/>
      <c r="B566" s="41"/>
      <c r="C566" s="67"/>
      <c r="D566" s="225"/>
      <c r="E566" s="225"/>
      <c r="F566" s="292"/>
      <c r="G566" s="46"/>
    </row>
    <row r="567" ht="15.75" customHeight="1">
      <c r="A567" s="40"/>
      <c r="B567" s="41"/>
      <c r="C567" s="67"/>
      <c r="D567" s="225"/>
      <c r="E567" s="225"/>
      <c r="F567" s="292"/>
      <c r="G567" s="46"/>
    </row>
    <row r="568" ht="15.75" customHeight="1">
      <c r="A568" s="40"/>
      <c r="B568" s="41"/>
      <c r="C568" s="67"/>
      <c r="D568" s="225"/>
      <c r="E568" s="225"/>
      <c r="F568" s="292"/>
      <c r="G568" s="46"/>
    </row>
    <row r="569" ht="15.75" customHeight="1">
      <c r="A569" s="40"/>
      <c r="B569" s="41"/>
      <c r="C569" s="67"/>
      <c r="D569" s="225"/>
      <c r="E569" s="225"/>
      <c r="F569" s="292"/>
      <c r="G569" s="46"/>
    </row>
    <row r="570" ht="15.75" customHeight="1">
      <c r="A570" s="40"/>
      <c r="B570" s="41"/>
      <c r="C570" s="67"/>
      <c r="D570" s="225"/>
      <c r="E570" s="225"/>
      <c r="F570" s="292"/>
      <c r="G570" s="46"/>
    </row>
    <row r="571" ht="15.75" customHeight="1">
      <c r="A571" s="40"/>
      <c r="B571" s="41"/>
      <c r="C571" s="67"/>
      <c r="D571" s="225"/>
      <c r="E571" s="225"/>
      <c r="F571" s="292"/>
      <c r="G571" s="46"/>
    </row>
    <row r="572" ht="15.75" customHeight="1">
      <c r="A572" s="40"/>
      <c r="B572" s="41"/>
      <c r="C572" s="67"/>
      <c r="D572" s="225"/>
      <c r="E572" s="225"/>
      <c r="F572" s="292"/>
      <c r="G572" s="46"/>
    </row>
    <row r="573" ht="15.75" customHeight="1">
      <c r="A573" s="40"/>
      <c r="B573" s="41"/>
      <c r="C573" s="67"/>
      <c r="D573" s="225"/>
      <c r="E573" s="225"/>
      <c r="F573" s="292"/>
      <c r="G573" s="46"/>
    </row>
    <row r="574" ht="15.75" customHeight="1">
      <c r="A574" s="40"/>
      <c r="B574" s="41"/>
      <c r="C574" s="67"/>
      <c r="D574" s="225"/>
      <c r="E574" s="225"/>
      <c r="F574" s="292"/>
      <c r="G574" s="46"/>
    </row>
    <row r="575" ht="15.75" customHeight="1">
      <c r="A575" s="40"/>
      <c r="B575" s="41"/>
      <c r="C575" s="67"/>
      <c r="D575" s="225"/>
      <c r="E575" s="225"/>
      <c r="F575" s="292"/>
      <c r="G575" s="46"/>
    </row>
    <row r="576" ht="15.75" customHeight="1">
      <c r="A576" s="40"/>
      <c r="B576" s="41"/>
      <c r="C576" s="67"/>
      <c r="D576" s="225"/>
      <c r="E576" s="225"/>
      <c r="F576" s="292"/>
      <c r="G576" s="46"/>
    </row>
    <row r="577" ht="15.75" customHeight="1">
      <c r="A577" s="40"/>
      <c r="B577" s="41"/>
      <c r="C577" s="67"/>
      <c r="D577" s="225"/>
      <c r="E577" s="225"/>
      <c r="F577" s="292"/>
      <c r="G577" s="46"/>
    </row>
    <row r="578" ht="15.75" customHeight="1">
      <c r="A578" s="40"/>
      <c r="B578" s="41"/>
      <c r="C578" s="67"/>
      <c r="D578" s="225"/>
      <c r="E578" s="225"/>
      <c r="F578" s="292"/>
      <c r="G578" s="46"/>
    </row>
    <row r="579" ht="15.75" customHeight="1">
      <c r="A579" s="40"/>
      <c r="B579" s="41"/>
      <c r="C579" s="67"/>
      <c r="D579" s="225"/>
      <c r="E579" s="225"/>
      <c r="F579" s="292"/>
      <c r="G579" s="46"/>
    </row>
    <row r="580" ht="15.75" customHeight="1">
      <c r="A580" s="40"/>
      <c r="B580" s="41"/>
      <c r="C580" s="67"/>
      <c r="D580" s="225"/>
      <c r="E580" s="225"/>
      <c r="F580" s="292"/>
      <c r="G580" s="46"/>
    </row>
    <row r="581" ht="15.75" customHeight="1">
      <c r="A581" s="40"/>
      <c r="B581" s="41"/>
      <c r="C581" s="67"/>
      <c r="D581" s="225"/>
      <c r="E581" s="225"/>
      <c r="F581" s="292"/>
      <c r="G581" s="46"/>
    </row>
    <row r="582" ht="15.75" customHeight="1">
      <c r="A582" s="40"/>
      <c r="B582" s="41"/>
      <c r="C582" s="67"/>
      <c r="D582" s="225"/>
      <c r="E582" s="225"/>
      <c r="F582" s="292"/>
      <c r="G582" s="46"/>
    </row>
    <row r="583" ht="15.75" customHeight="1">
      <c r="A583" s="40"/>
      <c r="B583" s="41"/>
      <c r="C583" s="67"/>
      <c r="D583" s="225"/>
      <c r="E583" s="225"/>
      <c r="F583" s="292"/>
      <c r="G583" s="46"/>
    </row>
    <row r="584" ht="15.75" customHeight="1">
      <c r="A584" s="40"/>
      <c r="B584" s="41"/>
      <c r="C584" s="67"/>
      <c r="D584" s="225"/>
      <c r="E584" s="225"/>
      <c r="F584" s="292"/>
      <c r="G584" s="46"/>
    </row>
    <row r="585" ht="15.75" customHeight="1">
      <c r="A585" s="40"/>
      <c r="B585" s="41"/>
      <c r="C585" s="67"/>
      <c r="D585" s="225"/>
      <c r="E585" s="225"/>
      <c r="F585" s="292"/>
      <c r="G585" s="46"/>
    </row>
    <row r="586" ht="15.75" customHeight="1">
      <c r="A586" s="40"/>
      <c r="B586" s="41"/>
      <c r="C586" s="67"/>
      <c r="D586" s="225"/>
      <c r="E586" s="225"/>
      <c r="F586" s="292"/>
      <c r="G586" s="46"/>
    </row>
    <row r="587" ht="15.75" customHeight="1">
      <c r="A587" s="40"/>
      <c r="B587" s="41"/>
      <c r="C587" s="67"/>
      <c r="D587" s="225"/>
      <c r="E587" s="225"/>
      <c r="F587" s="292"/>
      <c r="G587" s="46"/>
    </row>
    <row r="588" ht="15.75" customHeight="1">
      <c r="A588" s="40"/>
      <c r="B588" s="41"/>
      <c r="C588" s="67"/>
      <c r="D588" s="225"/>
      <c r="E588" s="225"/>
      <c r="F588" s="292"/>
      <c r="G588" s="46"/>
    </row>
    <row r="589" ht="15.75" customHeight="1">
      <c r="A589" s="40"/>
      <c r="B589" s="41"/>
      <c r="C589" s="67"/>
      <c r="D589" s="225"/>
      <c r="E589" s="225"/>
      <c r="F589" s="292"/>
      <c r="G589" s="46"/>
    </row>
    <row r="590" ht="15.75" customHeight="1">
      <c r="A590" s="40"/>
      <c r="B590" s="41"/>
      <c r="C590" s="67"/>
      <c r="D590" s="225"/>
      <c r="E590" s="225"/>
      <c r="F590" s="292"/>
      <c r="G590" s="46"/>
    </row>
    <row r="591" ht="15.75" customHeight="1">
      <c r="A591" s="40"/>
      <c r="B591" s="41"/>
      <c r="C591" s="67"/>
      <c r="D591" s="225"/>
      <c r="E591" s="225"/>
      <c r="F591" s="292"/>
      <c r="G591" s="46"/>
    </row>
    <row r="592" ht="15.75" customHeight="1">
      <c r="A592" s="40"/>
      <c r="B592" s="41"/>
      <c r="C592" s="67"/>
      <c r="D592" s="225"/>
      <c r="E592" s="225"/>
      <c r="F592" s="292"/>
      <c r="G592" s="46"/>
    </row>
    <row r="593" ht="15.75" customHeight="1">
      <c r="A593" s="40"/>
      <c r="B593" s="41"/>
      <c r="C593" s="67"/>
      <c r="D593" s="225"/>
      <c r="E593" s="225"/>
      <c r="F593" s="292"/>
      <c r="G593" s="46"/>
    </row>
    <row r="594" ht="15.75" customHeight="1">
      <c r="A594" s="40"/>
      <c r="B594" s="41"/>
      <c r="C594" s="67"/>
      <c r="D594" s="225"/>
      <c r="E594" s="225"/>
      <c r="F594" s="292"/>
      <c r="G594" s="46"/>
    </row>
    <row r="595" ht="15.75" customHeight="1">
      <c r="A595" s="40"/>
      <c r="B595" s="41"/>
      <c r="C595" s="67"/>
      <c r="D595" s="225"/>
      <c r="E595" s="225"/>
      <c r="F595" s="292"/>
      <c r="G595" s="46"/>
    </row>
    <row r="596" ht="15.75" customHeight="1">
      <c r="A596" s="40"/>
      <c r="B596" s="41"/>
      <c r="C596" s="67"/>
      <c r="D596" s="225"/>
      <c r="E596" s="225"/>
      <c r="F596" s="292"/>
      <c r="G596" s="46"/>
    </row>
    <row r="597" ht="15.75" customHeight="1">
      <c r="A597" s="40"/>
      <c r="B597" s="41"/>
      <c r="C597" s="67"/>
      <c r="D597" s="225"/>
      <c r="E597" s="225"/>
      <c r="F597" s="292"/>
      <c r="G597" s="46"/>
    </row>
    <row r="598" ht="15.75" customHeight="1">
      <c r="A598" s="40"/>
      <c r="B598" s="41"/>
      <c r="C598" s="67"/>
      <c r="D598" s="225"/>
      <c r="E598" s="225"/>
      <c r="F598" s="292"/>
      <c r="G598" s="46"/>
    </row>
    <row r="599" ht="15.75" customHeight="1">
      <c r="A599" s="40"/>
      <c r="B599" s="41"/>
      <c r="C599" s="67"/>
      <c r="D599" s="225"/>
      <c r="E599" s="225"/>
      <c r="F599" s="292"/>
      <c r="G599" s="46"/>
    </row>
    <row r="600" ht="15.75" customHeight="1">
      <c r="A600" s="40"/>
      <c r="B600" s="41"/>
      <c r="C600" s="67"/>
      <c r="D600" s="225"/>
      <c r="E600" s="225"/>
      <c r="F600" s="292"/>
      <c r="G600" s="46"/>
    </row>
    <row r="601" ht="15.75" customHeight="1">
      <c r="A601" s="40"/>
      <c r="B601" s="41"/>
      <c r="C601" s="67"/>
      <c r="D601" s="225"/>
      <c r="E601" s="225"/>
      <c r="F601" s="292"/>
      <c r="G601" s="46"/>
    </row>
    <row r="602" ht="15.75" customHeight="1">
      <c r="A602" s="40"/>
      <c r="B602" s="41"/>
      <c r="C602" s="67"/>
      <c r="D602" s="225"/>
      <c r="E602" s="225"/>
      <c r="F602" s="292"/>
      <c r="G602" s="46"/>
    </row>
    <row r="603" ht="15.75" customHeight="1">
      <c r="A603" s="40"/>
      <c r="B603" s="41"/>
      <c r="C603" s="67"/>
      <c r="D603" s="225"/>
      <c r="E603" s="225"/>
      <c r="F603" s="292"/>
      <c r="G603" s="46"/>
    </row>
    <row r="604" ht="15.75" customHeight="1">
      <c r="A604" s="40"/>
      <c r="B604" s="41"/>
      <c r="C604" s="67"/>
      <c r="D604" s="225"/>
      <c r="E604" s="225"/>
      <c r="F604" s="292"/>
      <c r="G604" s="46"/>
    </row>
    <row r="605" ht="15.75" customHeight="1">
      <c r="A605" s="40"/>
      <c r="B605" s="41"/>
      <c r="C605" s="67"/>
      <c r="D605" s="225"/>
      <c r="E605" s="225"/>
      <c r="F605" s="292"/>
      <c r="G605" s="46"/>
    </row>
    <row r="606" ht="15.75" customHeight="1">
      <c r="A606" s="40"/>
      <c r="B606" s="41"/>
      <c r="C606" s="67"/>
      <c r="D606" s="225"/>
      <c r="E606" s="225"/>
      <c r="F606" s="292"/>
      <c r="G606" s="46"/>
    </row>
    <row r="607" ht="15.75" customHeight="1">
      <c r="A607" s="40"/>
      <c r="B607" s="41"/>
      <c r="C607" s="67"/>
      <c r="D607" s="225"/>
      <c r="E607" s="225"/>
      <c r="F607" s="292"/>
      <c r="G607" s="46"/>
    </row>
    <row r="608" ht="15.75" customHeight="1">
      <c r="A608" s="40"/>
      <c r="B608" s="41"/>
      <c r="C608" s="67"/>
      <c r="D608" s="225"/>
      <c r="E608" s="225"/>
      <c r="F608" s="292"/>
      <c r="G608" s="46"/>
    </row>
    <row r="609" ht="15.75" customHeight="1">
      <c r="A609" s="40"/>
      <c r="B609" s="41"/>
      <c r="C609" s="67"/>
      <c r="D609" s="225"/>
      <c r="E609" s="225"/>
      <c r="F609" s="292"/>
      <c r="G609" s="46"/>
    </row>
    <row r="610" ht="15.75" customHeight="1">
      <c r="A610" s="40"/>
      <c r="B610" s="41"/>
      <c r="C610" s="67"/>
      <c r="D610" s="225"/>
      <c r="E610" s="225"/>
      <c r="F610" s="292"/>
      <c r="G610" s="46"/>
    </row>
    <row r="611" ht="15.75" customHeight="1">
      <c r="A611" s="40"/>
      <c r="B611" s="41"/>
      <c r="C611" s="67"/>
      <c r="D611" s="225"/>
      <c r="E611" s="225"/>
      <c r="F611" s="292"/>
      <c r="G611" s="46"/>
    </row>
    <row r="612" ht="15.75" customHeight="1">
      <c r="A612" s="40"/>
      <c r="B612" s="41"/>
      <c r="C612" s="67"/>
      <c r="D612" s="225"/>
      <c r="E612" s="225"/>
      <c r="F612" s="292"/>
      <c r="G612" s="46"/>
    </row>
    <row r="613" ht="15.75" customHeight="1">
      <c r="A613" s="40"/>
      <c r="B613" s="41"/>
      <c r="C613" s="67"/>
      <c r="D613" s="225"/>
      <c r="E613" s="225"/>
      <c r="F613" s="292"/>
      <c r="G613" s="46"/>
    </row>
    <row r="614" ht="15.75" customHeight="1">
      <c r="A614" s="40"/>
      <c r="B614" s="41"/>
      <c r="C614" s="67"/>
      <c r="D614" s="225"/>
      <c r="E614" s="225"/>
      <c r="F614" s="292"/>
      <c r="G614" s="46"/>
    </row>
    <row r="615" ht="15.75" customHeight="1">
      <c r="A615" s="40"/>
      <c r="B615" s="41"/>
      <c r="C615" s="67"/>
      <c r="D615" s="225"/>
      <c r="E615" s="225"/>
      <c r="F615" s="292"/>
      <c r="G615" s="46"/>
    </row>
    <row r="616" ht="15.75" customHeight="1">
      <c r="A616" s="40"/>
      <c r="B616" s="41"/>
      <c r="C616" s="67"/>
      <c r="D616" s="225"/>
      <c r="E616" s="225"/>
      <c r="F616" s="292"/>
      <c r="G616" s="46"/>
    </row>
    <row r="617" ht="15.75" customHeight="1">
      <c r="A617" s="40"/>
      <c r="B617" s="41"/>
      <c r="C617" s="67"/>
      <c r="D617" s="225"/>
      <c r="E617" s="225"/>
      <c r="F617" s="292"/>
      <c r="G617" s="46"/>
    </row>
    <row r="618" ht="15.75" customHeight="1">
      <c r="A618" s="40"/>
      <c r="B618" s="41"/>
      <c r="C618" s="67"/>
      <c r="D618" s="225"/>
      <c r="E618" s="225"/>
      <c r="F618" s="292"/>
      <c r="G618" s="46"/>
    </row>
    <row r="619" ht="15.75" customHeight="1">
      <c r="A619" s="40"/>
      <c r="B619" s="41"/>
      <c r="C619" s="67"/>
      <c r="D619" s="225"/>
      <c r="E619" s="225"/>
      <c r="F619" s="292"/>
      <c r="G619" s="46"/>
    </row>
    <row r="620" ht="15.75" customHeight="1">
      <c r="A620" s="40"/>
      <c r="B620" s="41"/>
      <c r="C620" s="67"/>
      <c r="D620" s="225"/>
      <c r="E620" s="225"/>
      <c r="F620" s="292"/>
      <c r="G620" s="46"/>
    </row>
    <row r="621" ht="15.75" customHeight="1">
      <c r="A621" s="40"/>
      <c r="B621" s="41"/>
      <c r="C621" s="67"/>
      <c r="D621" s="225"/>
      <c r="E621" s="225"/>
      <c r="F621" s="292"/>
      <c r="G621" s="46"/>
    </row>
    <row r="622" ht="15.75" customHeight="1">
      <c r="A622" s="40"/>
      <c r="B622" s="41"/>
      <c r="C622" s="67"/>
      <c r="D622" s="225"/>
      <c r="E622" s="225"/>
      <c r="F622" s="292"/>
      <c r="G622" s="46"/>
    </row>
    <row r="623" ht="15.75" customHeight="1">
      <c r="A623" s="40"/>
      <c r="B623" s="41"/>
      <c r="C623" s="67"/>
      <c r="D623" s="225"/>
      <c r="E623" s="225"/>
      <c r="F623" s="292"/>
      <c r="G623" s="46"/>
    </row>
    <row r="624" ht="15.75" customHeight="1">
      <c r="A624" s="40"/>
      <c r="B624" s="41"/>
      <c r="C624" s="67"/>
      <c r="D624" s="225"/>
      <c r="E624" s="225"/>
      <c r="F624" s="292"/>
      <c r="G624" s="46"/>
    </row>
    <row r="625" ht="15.75" customHeight="1">
      <c r="A625" s="40"/>
      <c r="B625" s="41"/>
      <c r="C625" s="67"/>
      <c r="D625" s="225"/>
      <c r="E625" s="225"/>
      <c r="F625" s="292"/>
      <c r="G625" s="46"/>
    </row>
    <row r="626" ht="15.75" customHeight="1">
      <c r="A626" s="40"/>
      <c r="B626" s="41"/>
      <c r="C626" s="67"/>
      <c r="D626" s="225"/>
      <c r="E626" s="225"/>
      <c r="F626" s="292"/>
      <c r="G626" s="46"/>
    </row>
    <row r="627" ht="15.75" customHeight="1">
      <c r="A627" s="40"/>
      <c r="B627" s="41"/>
      <c r="C627" s="67"/>
      <c r="D627" s="225"/>
      <c r="E627" s="225"/>
      <c r="F627" s="292"/>
      <c r="G627" s="46"/>
    </row>
    <row r="628" ht="15.75" customHeight="1">
      <c r="A628" s="40"/>
      <c r="B628" s="41"/>
      <c r="C628" s="67"/>
      <c r="D628" s="225"/>
      <c r="E628" s="225"/>
      <c r="F628" s="292"/>
      <c r="G628" s="46"/>
    </row>
    <row r="629" ht="15.75" customHeight="1">
      <c r="A629" s="40"/>
      <c r="B629" s="41"/>
      <c r="C629" s="67"/>
      <c r="D629" s="225"/>
      <c r="E629" s="225"/>
      <c r="F629" s="292"/>
      <c r="G629" s="46"/>
    </row>
    <row r="630" ht="15.75" customHeight="1">
      <c r="A630" s="40"/>
      <c r="B630" s="41"/>
      <c r="C630" s="67"/>
      <c r="D630" s="225"/>
      <c r="E630" s="225"/>
      <c r="F630" s="292"/>
      <c r="G630" s="46"/>
    </row>
    <row r="631" ht="15.75" customHeight="1">
      <c r="A631" s="40"/>
      <c r="B631" s="41"/>
      <c r="C631" s="67"/>
      <c r="D631" s="225"/>
      <c r="E631" s="225"/>
      <c r="F631" s="292"/>
      <c r="G631" s="46"/>
    </row>
    <row r="632" ht="15.75" customHeight="1">
      <c r="A632" s="40"/>
      <c r="B632" s="41"/>
      <c r="C632" s="67"/>
      <c r="D632" s="225"/>
      <c r="E632" s="225"/>
      <c r="F632" s="292"/>
      <c r="G632" s="46"/>
    </row>
    <row r="633" ht="15.75" customHeight="1">
      <c r="A633" s="40"/>
      <c r="B633" s="41"/>
      <c r="C633" s="67"/>
      <c r="D633" s="225"/>
      <c r="E633" s="225"/>
      <c r="F633" s="292"/>
      <c r="G633" s="46"/>
    </row>
    <row r="634" ht="15.75" customHeight="1">
      <c r="A634" s="40"/>
      <c r="B634" s="41"/>
      <c r="C634" s="67"/>
      <c r="D634" s="225"/>
      <c r="E634" s="225"/>
      <c r="F634" s="292"/>
      <c r="G634" s="46"/>
    </row>
    <row r="635" ht="15.75" customHeight="1">
      <c r="A635" s="40"/>
      <c r="B635" s="41"/>
      <c r="C635" s="67"/>
      <c r="D635" s="225"/>
      <c r="E635" s="225"/>
      <c r="F635" s="292"/>
      <c r="G635" s="46"/>
    </row>
    <row r="636" ht="15.75" customHeight="1">
      <c r="A636" s="40"/>
      <c r="B636" s="41"/>
      <c r="C636" s="67"/>
      <c r="D636" s="225"/>
      <c r="E636" s="225"/>
      <c r="F636" s="292"/>
      <c r="G636" s="46"/>
    </row>
    <row r="637" ht="15.75" customHeight="1">
      <c r="A637" s="40"/>
      <c r="B637" s="41"/>
      <c r="C637" s="67"/>
      <c r="D637" s="225"/>
      <c r="E637" s="225"/>
      <c r="F637" s="292"/>
      <c r="G637" s="46"/>
    </row>
    <row r="638" ht="15.75" customHeight="1">
      <c r="A638" s="40"/>
      <c r="B638" s="41"/>
      <c r="C638" s="67"/>
      <c r="D638" s="225"/>
      <c r="E638" s="225"/>
      <c r="F638" s="292"/>
      <c r="G638" s="46"/>
    </row>
    <row r="639" ht="15.75" customHeight="1">
      <c r="A639" s="40"/>
      <c r="B639" s="41"/>
      <c r="C639" s="67"/>
      <c r="D639" s="225"/>
      <c r="E639" s="225"/>
      <c r="F639" s="292"/>
      <c r="G639" s="46"/>
    </row>
    <row r="640" ht="15.75" customHeight="1">
      <c r="A640" s="40"/>
      <c r="B640" s="41"/>
      <c r="C640" s="67"/>
      <c r="D640" s="225"/>
      <c r="E640" s="225"/>
      <c r="F640" s="292"/>
      <c r="G640" s="46"/>
    </row>
    <row r="641" ht="15.75" customHeight="1">
      <c r="A641" s="40"/>
      <c r="B641" s="41"/>
      <c r="C641" s="67"/>
      <c r="D641" s="225"/>
      <c r="E641" s="225"/>
      <c r="F641" s="292"/>
      <c r="G641" s="46"/>
    </row>
    <row r="642" ht="15.75" customHeight="1">
      <c r="A642" s="40"/>
      <c r="B642" s="41"/>
      <c r="C642" s="67"/>
      <c r="D642" s="225"/>
      <c r="E642" s="225"/>
      <c r="F642" s="292"/>
      <c r="G642" s="46"/>
    </row>
    <row r="643" ht="15.75" customHeight="1">
      <c r="A643" s="40"/>
      <c r="B643" s="41"/>
      <c r="C643" s="67"/>
      <c r="D643" s="225"/>
      <c r="E643" s="225"/>
      <c r="F643" s="292"/>
      <c r="G643" s="46"/>
    </row>
    <row r="644" ht="15.75" customHeight="1">
      <c r="A644" s="40"/>
      <c r="B644" s="41"/>
      <c r="C644" s="67"/>
      <c r="D644" s="225"/>
      <c r="E644" s="225"/>
      <c r="F644" s="292"/>
      <c r="G644" s="46"/>
    </row>
    <row r="645" ht="15.75" customHeight="1">
      <c r="A645" s="40"/>
      <c r="B645" s="41"/>
      <c r="C645" s="67"/>
      <c r="D645" s="225"/>
      <c r="E645" s="225"/>
      <c r="F645" s="292"/>
      <c r="G645" s="46"/>
    </row>
    <row r="646" ht="15.75" customHeight="1">
      <c r="A646" s="40"/>
      <c r="B646" s="41"/>
      <c r="C646" s="67"/>
      <c r="D646" s="225"/>
      <c r="E646" s="225"/>
      <c r="F646" s="292"/>
      <c r="G646" s="46"/>
    </row>
    <row r="647" ht="15.75" customHeight="1">
      <c r="A647" s="40"/>
      <c r="B647" s="41"/>
      <c r="C647" s="67"/>
      <c r="D647" s="225"/>
      <c r="E647" s="225"/>
      <c r="F647" s="292"/>
      <c r="G647" s="46"/>
    </row>
    <row r="648" ht="15.75" customHeight="1">
      <c r="A648" s="40"/>
      <c r="B648" s="41"/>
      <c r="C648" s="67"/>
      <c r="D648" s="225"/>
      <c r="E648" s="225"/>
      <c r="F648" s="292"/>
      <c r="G648" s="46"/>
    </row>
    <row r="649" ht="15.75" customHeight="1">
      <c r="A649" s="40"/>
      <c r="B649" s="41"/>
      <c r="C649" s="67"/>
      <c r="D649" s="225"/>
      <c r="E649" s="225"/>
      <c r="F649" s="292"/>
      <c r="G649" s="46"/>
    </row>
    <row r="650" ht="15.75" customHeight="1">
      <c r="A650" s="40"/>
      <c r="B650" s="41"/>
      <c r="C650" s="67"/>
      <c r="D650" s="225"/>
      <c r="E650" s="225"/>
      <c r="F650" s="292"/>
      <c r="G650" s="46"/>
    </row>
    <row r="651" ht="15.75" customHeight="1">
      <c r="A651" s="40"/>
      <c r="B651" s="41"/>
      <c r="C651" s="67"/>
      <c r="D651" s="225"/>
      <c r="E651" s="225"/>
      <c r="F651" s="292"/>
      <c r="G651" s="46"/>
    </row>
    <row r="652" ht="15.75" customHeight="1">
      <c r="A652" s="40"/>
      <c r="B652" s="41"/>
      <c r="C652" s="67"/>
      <c r="D652" s="225"/>
      <c r="E652" s="225"/>
      <c r="F652" s="292"/>
      <c r="G652" s="46"/>
    </row>
    <row r="653" ht="15.75" customHeight="1">
      <c r="A653" s="40"/>
      <c r="B653" s="41"/>
      <c r="C653" s="67"/>
      <c r="D653" s="225"/>
      <c r="E653" s="225"/>
      <c r="F653" s="292"/>
      <c r="G653" s="46"/>
    </row>
    <row r="654" ht="15.75" customHeight="1">
      <c r="A654" s="40"/>
      <c r="B654" s="41"/>
      <c r="C654" s="67"/>
      <c r="D654" s="225"/>
      <c r="E654" s="225"/>
      <c r="F654" s="292"/>
      <c r="G654" s="46"/>
    </row>
    <row r="655" ht="15.75" customHeight="1">
      <c r="A655" s="40"/>
      <c r="B655" s="41"/>
      <c r="C655" s="67"/>
      <c r="D655" s="225"/>
      <c r="E655" s="225"/>
      <c r="F655" s="292"/>
      <c r="G655" s="46"/>
    </row>
    <row r="656" ht="15.75" customHeight="1">
      <c r="A656" s="40"/>
      <c r="B656" s="41"/>
      <c r="C656" s="67"/>
      <c r="D656" s="225"/>
      <c r="E656" s="225"/>
      <c r="F656" s="292"/>
      <c r="G656" s="46"/>
    </row>
    <row r="657" ht="15.75" customHeight="1">
      <c r="A657" s="40"/>
      <c r="B657" s="41"/>
      <c r="C657" s="67"/>
      <c r="D657" s="225"/>
      <c r="E657" s="225"/>
      <c r="F657" s="292"/>
      <c r="G657" s="46"/>
    </row>
    <row r="658" ht="15.75" customHeight="1">
      <c r="A658" s="40"/>
      <c r="B658" s="41"/>
      <c r="C658" s="67"/>
      <c r="D658" s="225"/>
      <c r="E658" s="225"/>
      <c r="F658" s="292"/>
      <c r="G658" s="46"/>
    </row>
    <row r="659" ht="15.75" customHeight="1">
      <c r="A659" s="40"/>
      <c r="B659" s="41"/>
      <c r="C659" s="67"/>
      <c r="D659" s="225"/>
      <c r="E659" s="225"/>
      <c r="F659" s="292"/>
      <c r="G659" s="46"/>
    </row>
    <row r="660" ht="15.75" customHeight="1">
      <c r="A660" s="40"/>
      <c r="B660" s="41"/>
      <c r="C660" s="67"/>
      <c r="D660" s="225"/>
      <c r="E660" s="225"/>
      <c r="F660" s="292"/>
      <c r="G660" s="46"/>
    </row>
    <row r="661" ht="15.75" customHeight="1">
      <c r="A661" s="40"/>
      <c r="B661" s="41"/>
      <c r="C661" s="67"/>
      <c r="D661" s="225"/>
      <c r="E661" s="225"/>
      <c r="F661" s="292"/>
      <c r="G661" s="46"/>
    </row>
    <row r="662" ht="15.75" customHeight="1">
      <c r="A662" s="40"/>
      <c r="B662" s="41"/>
      <c r="C662" s="67"/>
      <c r="D662" s="225"/>
      <c r="E662" s="225"/>
      <c r="F662" s="292"/>
      <c r="G662" s="46"/>
    </row>
    <row r="663" ht="15.75" customHeight="1">
      <c r="A663" s="40"/>
      <c r="B663" s="41"/>
      <c r="C663" s="67"/>
      <c r="D663" s="225"/>
      <c r="E663" s="225"/>
      <c r="F663" s="292"/>
      <c r="G663" s="46"/>
    </row>
    <row r="664" ht="15.75" customHeight="1">
      <c r="A664" s="40"/>
      <c r="B664" s="41"/>
      <c r="C664" s="67"/>
      <c r="D664" s="225"/>
      <c r="E664" s="225"/>
      <c r="F664" s="292"/>
      <c r="G664" s="46"/>
    </row>
    <row r="665" ht="15.75" customHeight="1">
      <c r="A665" s="40"/>
      <c r="B665" s="41"/>
      <c r="C665" s="67"/>
      <c r="D665" s="225"/>
      <c r="E665" s="225"/>
      <c r="F665" s="292"/>
      <c r="G665" s="46"/>
    </row>
    <row r="666" ht="15.75" customHeight="1">
      <c r="A666" s="40"/>
      <c r="B666" s="41"/>
      <c r="C666" s="67"/>
      <c r="D666" s="225"/>
      <c r="E666" s="225"/>
      <c r="F666" s="292"/>
      <c r="G666" s="46"/>
    </row>
    <row r="667" ht="15.75" customHeight="1">
      <c r="A667" s="40"/>
      <c r="B667" s="41"/>
      <c r="C667" s="67"/>
      <c r="D667" s="225"/>
      <c r="E667" s="225"/>
      <c r="F667" s="292"/>
      <c r="G667" s="46"/>
    </row>
    <row r="668" ht="15.75" customHeight="1">
      <c r="A668" s="40"/>
      <c r="B668" s="41"/>
      <c r="C668" s="67"/>
      <c r="D668" s="225"/>
      <c r="E668" s="225"/>
      <c r="F668" s="292"/>
      <c r="G668" s="46"/>
    </row>
    <row r="669" ht="15.75" customHeight="1">
      <c r="A669" s="40"/>
      <c r="B669" s="41"/>
      <c r="C669" s="67"/>
      <c r="D669" s="225"/>
      <c r="E669" s="225"/>
      <c r="F669" s="292"/>
      <c r="G669" s="46"/>
    </row>
    <row r="670" ht="15.75" customHeight="1">
      <c r="A670" s="40"/>
      <c r="B670" s="41"/>
      <c r="C670" s="67"/>
      <c r="D670" s="225"/>
      <c r="E670" s="225"/>
      <c r="F670" s="292"/>
      <c r="G670" s="46"/>
    </row>
    <row r="671" ht="15.75" customHeight="1">
      <c r="A671" s="40"/>
      <c r="B671" s="41"/>
      <c r="C671" s="67"/>
      <c r="D671" s="225"/>
      <c r="E671" s="225"/>
      <c r="F671" s="292"/>
      <c r="G671" s="46"/>
    </row>
    <row r="672" ht="15.75" customHeight="1">
      <c r="A672" s="40"/>
      <c r="B672" s="41"/>
      <c r="C672" s="67"/>
      <c r="D672" s="225"/>
      <c r="E672" s="225"/>
      <c r="F672" s="292"/>
      <c r="G672" s="46"/>
    </row>
    <row r="673" ht="15.75" customHeight="1">
      <c r="A673" s="40"/>
      <c r="B673" s="41"/>
      <c r="C673" s="67"/>
      <c r="D673" s="225"/>
      <c r="E673" s="225"/>
      <c r="F673" s="292"/>
      <c r="G673" s="46"/>
    </row>
    <row r="674" ht="15.75" customHeight="1">
      <c r="A674" s="40"/>
      <c r="B674" s="41"/>
      <c r="C674" s="67"/>
      <c r="D674" s="225"/>
      <c r="E674" s="225"/>
      <c r="F674" s="292"/>
      <c r="G674" s="46"/>
    </row>
    <row r="675" ht="15.75" customHeight="1">
      <c r="A675" s="40"/>
      <c r="B675" s="41"/>
      <c r="C675" s="67"/>
      <c r="D675" s="225"/>
      <c r="E675" s="225"/>
      <c r="F675" s="292"/>
      <c r="G675" s="46"/>
    </row>
    <row r="676" ht="15.75" customHeight="1">
      <c r="A676" s="40"/>
      <c r="B676" s="41"/>
      <c r="C676" s="67"/>
      <c r="D676" s="225"/>
      <c r="E676" s="225"/>
      <c r="F676" s="292"/>
      <c r="G676" s="46"/>
    </row>
    <row r="677" ht="15.75" customHeight="1">
      <c r="A677" s="40"/>
      <c r="B677" s="41"/>
      <c r="C677" s="67"/>
      <c r="D677" s="225"/>
      <c r="E677" s="225"/>
      <c r="F677" s="292"/>
      <c r="G677" s="46"/>
    </row>
    <row r="678" ht="15.75" customHeight="1">
      <c r="A678" s="40"/>
      <c r="B678" s="41"/>
      <c r="C678" s="67"/>
      <c r="D678" s="225"/>
      <c r="E678" s="225"/>
      <c r="F678" s="292"/>
      <c r="G678" s="46"/>
    </row>
    <row r="679" ht="15.75" customHeight="1">
      <c r="A679" s="40"/>
      <c r="B679" s="41"/>
      <c r="C679" s="67"/>
      <c r="D679" s="225"/>
      <c r="E679" s="225"/>
      <c r="F679" s="292"/>
      <c r="G679" s="46"/>
    </row>
    <row r="680" ht="15.75" customHeight="1">
      <c r="A680" s="40"/>
      <c r="B680" s="41"/>
      <c r="C680" s="67"/>
      <c r="D680" s="225"/>
      <c r="E680" s="225"/>
      <c r="F680" s="292"/>
      <c r="G680" s="46"/>
    </row>
    <row r="681" ht="15.75" customHeight="1">
      <c r="A681" s="40"/>
      <c r="B681" s="41"/>
      <c r="C681" s="67"/>
      <c r="D681" s="225"/>
      <c r="E681" s="225"/>
      <c r="F681" s="292"/>
      <c r="G681" s="46"/>
    </row>
    <row r="682" ht="15.75" customHeight="1">
      <c r="A682" s="40"/>
      <c r="B682" s="41"/>
      <c r="C682" s="67"/>
      <c r="D682" s="225"/>
      <c r="E682" s="225"/>
      <c r="F682" s="292"/>
      <c r="G682" s="46"/>
    </row>
    <row r="683" ht="15.75" customHeight="1">
      <c r="A683" s="40"/>
      <c r="B683" s="41"/>
      <c r="C683" s="67"/>
      <c r="D683" s="225"/>
      <c r="E683" s="225"/>
      <c r="F683" s="292"/>
      <c r="G683" s="46"/>
    </row>
    <row r="684" ht="15.75" customHeight="1">
      <c r="A684" s="40"/>
      <c r="B684" s="41"/>
      <c r="C684" s="67"/>
      <c r="D684" s="225"/>
      <c r="E684" s="225"/>
      <c r="F684" s="292"/>
      <c r="G684" s="46"/>
    </row>
    <row r="685" ht="15.75" customHeight="1">
      <c r="A685" s="40"/>
      <c r="B685" s="41"/>
      <c r="C685" s="67"/>
      <c r="D685" s="225"/>
      <c r="E685" s="225"/>
      <c r="F685" s="292"/>
      <c r="G685" s="46"/>
    </row>
    <row r="686" ht="15.75" customHeight="1">
      <c r="A686" s="40"/>
      <c r="B686" s="41"/>
      <c r="C686" s="67"/>
      <c r="D686" s="225"/>
      <c r="E686" s="225"/>
      <c r="F686" s="292"/>
      <c r="G686" s="46"/>
    </row>
    <row r="687" ht="15.75" customHeight="1">
      <c r="A687" s="40"/>
      <c r="B687" s="41"/>
      <c r="C687" s="67"/>
      <c r="D687" s="225"/>
      <c r="E687" s="225"/>
      <c r="F687" s="292"/>
      <c r="G687" s="46"/>
    </row>
    <row r="688" ht="15.75" customHeight="1">
      <c r="A688" s="40"/>
      <c r="B688" s="41"/>
      <c r="C688" s="67"/>
      <c r="D688" s="225"/>
      <c r="E688" s="225"/>
      <c r="F688" s="292"/>
      <c r="G688" s="46"/>
    </row>
    <row r="689" ht="15.75" customHeight="1">
      <c r="A689" s="40"/>
      <c r="B689" s="41"/>
      <c r="C689" s="67"/>
      <c r="D689" s="225"/>
      <c r="E689" s="225"/>
      <c r="F689" s="292"/>
      <c r="G689" s="46"/>
    </row>
    <row r="690" ht="15.75" customHeight="1">
      <c r="A690" s="40"/>
      <c r="B690" s="41"/>
      <c r="C690" s="67"/>
      <c r="D690" s="225"/>
      <c r="E690" s="225"/>
      <c r="F690" s="292"/>
      <c r="G690" s="46"/>
    </row>
    <row r="691" ht="15.75" customHeight="1">
      <c r="A691" s="40"/>
      <c r="B691" s="41"/>
      <c r="C691" s="67"/>
      <c r="D691" s="225"/>
      <c r="E691" s="225"/>
      <c r="F691" s="292"/>
      <c r="G691" s="46"/>
    </row>
    <row r="692" ht="15.75" customHeight="1">
      <c r="A692" s="40"/>
      <c r="B692" s="41"/>
      <c r="C692" s="67"/>
      <c r="D692" s="225"/>
      <c r="E692" s="225"/>
      <c r="F692" s="292"/>
      <c r="G692" s="46"/>
    </row>
    <row r="693" ht="15.75" customHeight="1">
      <c r="A693" s="40"/>
      <c r="B693" s="41"/>
      <c r="C693" s="67"/>
      <c r="D693" s="225"/>
      <c r="E693" s="225"/>
      <c r="F693" s="292"/>
      <c r="G693" s="46"/>
    </row>
    <row r="694" ht="15.75" customHeight="1">
      <c r="A694" s="40"/>
      <c r="B694" s="41"/>
      <c r="C694" s="67"/>
      <c r="D694" s="225"/>
      <c r="E694" s="225"/>
      <c r="F694" s="292"/>
      <c r="G694" s="46"/>
    </row>
    <row r="695" ht="15.75" customHeight="1">
      <c r="A695" s="40"/>
      <c r="B695" s="41"/>
      <c r="C695" s="67"/>
      <c r="D695" s="225"/>
      <c r="E695" s="225"/>
      <c r="F695" s="292"/>
      <c r="G695" s="46"/>
    </row>
    <row r="696" ht="15.75" customHeight="1">
      <c r="A696" s="40"/>
      <c r="B696" s="41"/>
      <c r="C696" s="67"/>
      <c r="D696" s="225"/>
      <c r="E696" s="225"/>
      <c r="F696" s="292"/>
      <c r="G696" s="46"/>
    </row>
    <row r="697" ht="15.75" customHeight="1">
      <c r="A697" s="40"/>
      <c r="B697" s="41"/>
      <c r="C697" s="67"/>
      <c r="D697" s="225"/>
      <c r="E697" s="225"/>
      <c r="F697" s="292"/>
      <c r="G697" s="46"/>
    </row>
    <row r="698" ht="15.75" customHeight="1">
      <c r="A698" s="40"/>
      <c r="B698" s="41"/>
      <c r="C698" s="67"/>
      <c r="D698" s="225"/>
      <c r="E698" s="225"/>
      <c r="F698" s="292"/>
      <c r="G698" s="46"/>
    </row>
    <row r="699" ht="15.75" customHeight="1">
      <c r="A699" s="40"/>
      <c r="B699" s="41"/>
      <c r="C699" s="67"/>
      <c r="D699" s="225"/>
      <c r="E699" s="225"/>
      <c r="F699" s="292"/>
      <c r="G699" s="46"/>
    </row>
    <row r="700" ht="15.75" customHeight="1">
      <c r="A700" s="40"/>
      <c r="B700" s="41"/>
      <c r="C700" s="67"/>
      <c r="D700" s="225"/>
      <c r="E700" s="225"/>
      <c r="F700" s="292"/>
      <c r="G700" s="46"/>
    </row>
    <row r="701" ht="15.75" customHeight="1">
      <c r="A701" s="40"/>
      <c r="B701" s="41"/>
      <c r="C701" s="67"/>
      <c r="D701" s="225"/>
      <c r="E701" s="225"/>
      <c r="F701" s="292"/>
      <c r="G701" s="46"/>
    </row>
    <row r="702" ht="15.75" customHeight="1">
      <c r="A702" s="40"/>
      <c r="B702" s="41"/>
      <c r="C702" s="67"/>
      <c r="D702" s="225"/>
      <c r="E702" s="225"/>
      <c r="F702" s="292"/>
      <c r="G702" s="46"/>
    </row>
    <row r="703" ht="15.75" customHeight="1">
      <c r="A703" s="40"/>
      <c r="B703" s="41"/>
      <c r="C703" s="67"/>
      <c r="D703" s="225"/>
      <c r="E703" s="225"/>
      <c r="F703" s="292"/>
      <c r="G703" s="46"/>
    </row>
    <row r="704" ht="15.75" customHeight="1">
      <c r="A704" s="40"/>
      <c r="B704" s="41"/>
      <c r="C704" s="67"/>
      <c r="D704" s="225"/>
      <c r="E704" s="225"/>
      <c r="F704" s="292"/>
      <c r="G704" s="46"/>
    </row>
    <row r="705" ht="15.75" customHeight="1">
      <c r="A705" s="40"/>
      <c r="B705" s="41"/>
      <c r="C705" s="67"/>
      <c r="D705" s="225"/>
      <c r="E705" s="225"/>
      <c r="F705" s="292"/>
      <c r="G705" s="46"/>
    </row>
    <row r="706" ht="15.75" customHeight="1">
      <c r="A706" s="40"/>
      <c r="B706" s="41"/>
      <c r="C706" s="67"/>
      <c r="D706" s="225"/>
      <c r="E706" s="225"/>
      <c r="F706" s="292"/>
      <c r="G706" s="46"/>
    </row>
    <row r="707" ht="15.75" customHeight="1">
      <c r="A707" s="40"/>
      <c r="B707" s="41"/>
      <c r="C707" s="67"/>
      <c r="D707" s="225"/>
      <c r="E707" s="225"/>
      <c r="F707" s="292"/>
      <c r="G707" s="46"/>
    </row>
    <row r="708" ht="15.75" customHeight="1">
      <c r="A708" s="40"/>
      <c r="B708" s="41"/>
      <c r="C708" s="67"/>
      <c r="D708" s="225"/>
      <c r="E708" s="225"/>
      <c r="F708" s="292"/>
      <c r="G708" s="46"/>
    </row>
    <row r="709" ht="15.75" customHeight="1">
      <c r="A709" s="40"/>
      <c r="B709" s="41"/>
      <c r="C709" s="67"/>
      <c r="D709" s="225"/>
      <c r="E709" s="225"/>
      <c r="F709" s="292"/>
      <c r="G709" s="46"/>
    </row>
    <row r="710" ht="15.75" customHeight="1">
      <c r="A710" s="40"/>
      <c r="B710" s="41"/>
      <c r="C710" s="67"/>
      <c r="D710" s="225"/>
      <c r="E710" s="225"/>
      <c r="F710" s="292"/>
      <c r="G710" s="46"/>
    </row>
    <row r="711" ht="15.75" customHeight="1">
      <c r="A711" s="40"/>
      <c r="B711" s="41"/>
      <c r="C711" s="67"/>
      <c r="D711" s="225"/>
      <c r="E711" s="225"/>
      <c r="F711" s="292"/>
      <c r="G711" s="46"/>
    </row>
    <row r="712" ht="15.75" customHeight="1">
      <c r="A712" s="40"/>
      <c r="B712" s="41"/>
      <c r="C712" s="67"/>
      <c r="D712" s="225"/>
      <c r="E712" s="225"/>
      <c r="F712" s="292"/>
      <c r="G712" s="46"/>
    </row>
    <row r="713" ht="15.75" customHeight="1">
      <c r="A713" s="40"/>
      <c r="B713" s="41"/>
      <c r="C713" s="67"/>
      <c r="D713" s="225"/>
      <c r="E713" s="225"/>
      <c r="F713" s="292"/>
      <c r="G713" s="46"/>
    </row>
    <row r="714" ht="15.75" customHeight="1">
      <c r="A714" s="40"/>
      <c r="B714" s="41"/>
      <c r="C714" s="67"/>
      <c r="D714" s="225"/>
      <c r="E714" s="225"/>
      <c r="F714" s="292"/>
      <c r="G714" s="46"/>
    </row>
    <row r="715" ht="15.75" customHeight="1">
      <c r="A715" s="40"/>
      <c r="B715" s="41"/>
      <c r="C715" s="67"/>
      <c r="D715" s="225"/>
      <c r="E715" s="225"/>
      <c r="F715" s="292"/>
      <c r="G715" s="46"/>
    </row>
    <row r="716" ht="15.75" customHeight="1">
      <c r="A716" s="40"/>
      <c r="B716" s="41"/>
      <c r="C716" s="67"/>
      <c r="D716" s="225"/>
      <c r="E716" s="225"/>
      <c r="F716" s="292"/>
      <c r="G716" s="46"/>
    </row>
    <row r="717" ht="15.75" customHeight="1">
      <c r="A717" s="40"/>
      <c r="B717" s="41"/>
      <c r="C717" s="67"/>
      <c r="D717" s="225"/>
      <c r="E717" s="225"/>
      <c r="F717" s="292"/>
      <c r="G717" s="46"/>
    </row>
    <row r="718" ht="15.75" customHeight="1">
      <c r="A718" s="40"/>
      <c r="B718" s="41"/>
      <c r="C718" s="67"/>
      <c r="D718" s="225"/>
      <c r="E718" s="225"/>
      <c r="F718" s="292"/>
      <c r="G718" s="46"/>
    </row>
    <row r="719" ht="15.75" customHeight="1">
      <c r="A719" s="40"/>
      <c r="B719" s="41"/>
      <c r="C719" s="67"/>
      <c r="D719" s="225"/>
      <c r="E719" s="225"/>
      <c r="F719" s="292"/>
      <c r="G719" s="46"/>
    </row>
    <row r="720" ht="15.75" customHeight="1">
      <c r="A720" s="40"/>
      <c r="B720" s="41"/>
      <c r="C720" s="67"/>
      <c r="D720" s="225"/>
      <c r="E720" s="225"/>
      <c r="F720" s="292"/>
      <c r="G720" s="46"/>
    </row>
    <row r="721" ht="15.75" customHeight="1">
      <c r="A721" s="40"/>
      <c r="B721" s="41"/>
      <c r="C721" s="67"/>
      <c r="D721" s="225"/>
      <c r="E721" s="225"/>
      <c r="F721" s="292"/>
      <c r="G721" s="46"/>
    </row>
    <row r="722" ht="15.75" customHeight="1">
      <c r="A722" s="40"/>
      <c r="B722" s="41"/>
      <c r="C722" s="67"/>
      <c r="D722" s="225"/>
      <c r="E722" s="225"/>
      <c r="F722" s="292"/>
      <c r="G722" s="46"/>
    </row>
    <row r="723" ht="15.75" customHeight="1">
      <c r="A723" s="40"/>
      <c r="B723" s="41"/>
      <c r="C723" s="67"/>
      <c r="D723" s="225"/>
      <c r="E723" s="225"/>
      <c r="F723" s="292"/>
      <c r="G723" s="46"/>
    </row>
    <row r="724" ht="15.75" customHeight="1">
      <c r="A724" s="40"/>
      <c r="B724" s="41"/>
      <c r="C724" s="67"/>
      <c r="D724" s="225"/>
      <c r="E724" s="225"/>
      <c r="F724" s="292"/>
      <c r="G724" s="46"/>
    </row>
    <row r="725" ht="15.75" customHeight="1">
      <c r="A725" s="40"/>
      <c r="B725" s="41"/>
      <c r="C725" s="67"/>
      <c r="D725" s="225"/>
      <c r="E725" s="225"/>
      <c r="F725" s="292"/>
      <c r="G725" s="46"/>
    </row>
    <row r="726" ht="15.75" customHeight="1">
      <c r="A726" s="40"/>
      <c r="B726" s="41"/>
      <c r="C726" s="67"/>
      <c r="D726" s="225"/>
      <c r="E726" s="225"/>
      <c r="F726" s="292"/>
      <c r="G726" s="46"/>
    </row>
    <row r="727" ht="15.75" customHeight="1">
      <c r="A727" s="40"/>
      <c r="B727" s="41"/>
      <c r="C727" s="67"/>
      <c r="D727" s="225"/>
      <c r="E727" s="225"/>
      <c r="F727" s="292"/>
      <c r="G727" s="46"/>
    </row>
    <row r="728" ht="15.75" customHeight="1">
      <c r="A728" s="40"/>
      <c r="B728" s="41"/>
      <c r="C728" s="67"/>
      <c r="D728" s="225"/>
      <c r="E728" s="225"/>
      <c r="F728" s="292"/>
      <c r="G728" s="46"/>
    </row>
    <row r="729" ht="15.75" customHeight="1">
      <c r="A729" s="40"/>
      <c r="B729" s="41"/>
      <c r="C729" s="67"/>
      <c r="D729" s="225"/>
      <c r="E729" s="225"/>
      <c r="F729" s="292"/>
      <c r="G729" s="46"/>
    </row>
    <row r="730" ht="15.75" customHeight="1">
      <c r="A730" s="40"/>
      <c r="B730" s="41"/>
      <c r="C730" s="67"/>
      <c r="D730" s="225"/>
      <c r="E730" s="225"/>
      <c r="F730" s="292"/>
      <c r="G730" s="46"/>
    </row>
    <row r="731" ht="15.75" customHeight="1">
      <c r="A731" s="40"/>
      <c r="B731" s="41"/>
      <c r="C731" s="67"/>
      <c r="D731" s="225"/>
      <c r="E731" s="225"/>
      <c r="F731" s="292"/>
      <c r="G731" s="46"/>
    </row>
    <row r="732" ht="15.75" customHeight="1">
      <c r="A732" s="40"/>
      <c r="B732" s="41"/>
      <c r="C732" s="67"/>
      <c r="D732" s="225"/>
      <c r="E732" s="225"/>
      <c r="F732" s="292"/>
      <c r="G732" s="46"/>
    </row>
    <row r="733" ht="15.75" customHeight="1">
      <c r="A733" s="40"/>
      <c r="B733" s="41"/>
      <c r="C733" s="67"/>
      <c r="D733" s="225"/>
      <c r="E733" s="225"/>
      <c r="F733" s="292"/>
      <c r="G733" s="46"/>
    </row>
    <row r="734" ht="15.75" customHeight="1">
      <c r="A734" s="40"/>
      <c r="B734" s="41"/>
      <c r="C734" s="67"/>
      <c r="D734" s="225"/>
      <c r="E734" s="225"/>
      <c r="F734" s="292"/>
      <c r="G734" s="46"/>
    </row>
    <row r="735" ht="15.75" customHeight="1">
      <c r="A735" s="40"/>
      <c r="B735" s="41"/>
      <c r="C735" s="67"/>
      <c r="D735" s="225"/>
      <c r="E735" s="225"/>
      <c r="F735" s="292"/>
      <c r="G735" s="46"/>
    </row>
    <row r="736" ht="15.75" customHeight="1">
      <c r="A736" s="40"/>
      <c r="B736" s="41"/>
      <c r="C736" s="67"/>
      <c r="D736" s="225"/>
      <c r="E736" s="225"/>
      <c r="F736" s="292"/>
      <c r="G736" s="46"/>
    </row>
    <row r="737" ht="15.75" customHeight="1">
      <c r="A737" s="40"/>
      <c r="B737" s="41"/>
      <c r="C737" s="67"/>
      <c r="D737" s="225"/>
      <c r="E737" s="225"/>
      <c r="F737" s="292"/>
      <c r="G737" s="46"/>
    </row>
    <row r="738" ht="15.75" customHeight="1">
      <c r="A738" s="40"/>
      <c r="B738" s="41"/>
      <c r="C738" s="67"/>
      <c r="D738" s="225"/>
      <c r="E738" s="225"/>
      <c r="F738" s="292"/>
      <c r="G738" s="46"/>
    </row>
    <row r="739" ht="15.75" customHeight="1">
      <c r="A739" s="40"/>
      <c r="B739" s="41"/>
      <c r="C739" s="67"/>
      <c r="D739" s="225"/>
      <c r="E739" s="225"/>
      <c r="F739" s="292"/>
      <c r="G739" s="46"/>
    </row>
    <row r="740" ht="15.75" customHeight="1">
      <c r="A740" s="40"/>
      <c r="B740" s="41"/>
      <c r="C740" s="67"/>
      <c r="D740" s="225"/>
      <c r="E740" s="225"/>
      <c r="F740" s="292"/>
      <c r="G740" s="46"/>
    </row>
    <row r="741" ht="15.75" customHeight="1">
      <c r="A741" s="40"/>
      <c r="B741" s="41"/>
      <c r="C741" s="67"/>
      <c r="D741" s="225"/>
      <c r="E741" s="225"/>
      <c r="F741" s="292"/>
      <c r="G741" s="46"/>
    </row>
    <row r="742" ht="15.75" customHeight="1">
      <c r="A742" s="40"/>
      <c r="B742" s="41"/>
      <c r="C742" s="67"/>
      <c r="D742" s="225"/>
      <c r="E742" s="225"/>
      <c r="F742" s="292"/>
      <c r="G742" s="46"/>
    </row>
    <row r="743" ht="15.75" customHeight="1">
      <c r="A743" s="40"/>
      <c r="B743" s="41"/>
      <c r="C743" s="67"/>
      <c r="D743" s="225"/>
      <c r="E743" s="225"/>
      <c r="F743" s="292"/>
      <c r="G743" s="46"/>
    </row>
    <row r="744" ht="15.75" customHeight="1">
      <c r="A744" s="40"/>
      <c r="B744" s="41"/>
      <c r="C744" s="67"/>
      <c r="D744" s="225"/>
      <c r="E744" s="225"/>
      <c r="F744" s="292"/>
      <c r="G744" s="46"/>
    </row>
    <row r="745" ht="15.75" customHeight="1">
      <c r="A745" s="40"/>
      <c r="B745" s="41"/>
      <c r="C745" s="67"/>
      <c r="D745" s="225"/>
      <c r="E745" s="225"/>
      <c r="F745" s="292"/>
      <c r="G745" s="46"/>
    </row>
    <row r="746" ht="15.75" customHeight="1">
      <c r="A746" s="40"/>
      <c r="B746" s="41"/>
      <c r="C746" s="67"/>
      <c r="D746" s="225"/>
      <c r="E746" s="225"/>
      <c r="F746" s="292"/>
      <c r="G746" s="46"/>
    </row>
    <row r="747" ht="15.75" customHeight="1">
      <c r="A747" s="40"/>
      <c r="B747" s="41"/>
      <c r="C747" s="67"/>
      <c r="D747" s="225"/>
      <c r="E747" s="225"/>
      <c r="F747" s="292"/>
      <c r="G747" s="46"/>
    </row>
    <row r="748" ht="15.75" customHeight="1">
      <c r="A748" s="40"/>
      <c r="B748" s="41"/>
      <c r="C748" s="67"/>
      <c r="D748" s="225"/>
      <c r="E748" s="225"/>
      <c r="F748" s="292"/>
      <c r="G748" s="46"/>
    </row>
    <row r="749" ht="15.75" customHeight="1">
      <c r="A749" s="40"/>
      <c r="B749" s="41"/>
      <c r="C749" s="67"/>
      <c r="D749" s="225"/>
      <c r="E749" s="225"/>
      <c r="F749" s="292"/>
      <c r="G749" s="46"/>
    </row>
    <row r="750" ht="15.75" customHeight="1">
      <c r="A750" s="40"/>
      <c r="B750" s="41"/>
      <c r="C750" s="67"/>
      <c r="D750" s="225"/>
      <c r="E750" s="225"/>
      <c r="F750" s="292"/>
      <c r="G750" s="46"/>
    </row>
    <row r="751" ht="15.75" customHeight="1">
      <c r="A751" s="40"/>
      <c r="B751" s="41"/>
      <c r="C751" s="67"/>
      <c r="D751" s="225"/>
      <c r="E751" s="225"/>
      <c r="F751" s="292"/>
      <c r="G751" s="46"/>
    </row>
    <row r="752" ht="15.75" customHeight="1">
      <c r="A752" s="40"/>
      <c r="B752" s="41"/>
      <c r="C752" s="67"/>
      <c r="D752" s="225"/>
      <c r="E752" s="225"/>
      <c r="F752" s="292"/>
      <c r="G752" s="46"/>
    </row>
    <row r="753" ht="15.75" customHeight="1">
      <c r="A753" s="40"/>
      <c r="B753" s="41"/>
      <c r="C753" s="67"/>
      <c r="D753" s="225"/>
      <c r="E753" s="225"/>
      <c r="F753" s="292"/>
      <c r="G753" s="46"/>
    </row>
    <row r="754" ht="15.75" customHeight="1">
      <c r="A754" s="40"/>
      <c r="B754" s="41"/>
      <c r="C754" s="67"/>
      <c r="D754" s="225"/>
      <c r="E754" s="225"/>
      <c r="F754" s="292"/>
      <c r="G754" s="46"/>
    </row>
    <row r="755" ht="15.75" customHeight="1">
      <c r="A755" s="40"/>
      <c r="B755" s="41"/>
      <c r="C755" s="67"/>
      <c r="D755" s="225"/>
      <c r="E755" s="225"/>
      <c r="F755" s="292"/>
      <c r="G755" s="46"/>
    </row>
    <row r="756" ht="15.75" customHeight="1">
      <c r="A756" s="40"/>
      <c r="B756" s="41"/>
      <c r="C756" s="67"/>
      <c r="D756" s="225"/>
      <c r="E756" s="225"/>
      <c r="F756" s="292"/>
      <c r="G756" s="46"/>
    </row>
    <row r="757" ht="15.75" customHeight="1">
      <c r="A757" s="40"/>
      <c r="B757" s="41"/>
      <c r="C757" s="67"/>
      <c r="D757" s="225"/>
      <c r="E757" s="225"/>
      <c r="F757" s="292"/>
      <c r="G757" s="46"/>
    </row>
    <row r="758" ht="15.75" customHeight="1">
      <c r="A758" s="40"/>
      <c r="B758" s="41"/>
      <c r="C758" s="67"/>
      <c r="D758" s="225"/>
      <c r="E758" s="225"/>
      <c r="F758" s="292"/>
      <c r="G758" s="46"/>
    </row>
    <row r="759" ht="15.75" customHeight="1">
      <c r="A759" s="40"/>
      <c r="B759" s="41"/>
      <c r="C759" s="67"/>
      <c r="D759" s="225"/>
      <c r="E759" s="225"/>
      <c r="F759" s="292"/>
      <c r="G759" s="46"/>
    </row>
    <row r="760" ht="15.75" customHeight="1">
      <c r="A760" s="40"/>
      <c r="B760" s="41"/>
      <c r="C760" s="67"/>
      <c r="D760" s="225"/>
      <c r="E760" s="225"/>
      <c r="F760" s="292"/>
      <c r="G760" s="46"/>
    </row>
    <row r="761" ht="15.75" customHeight="1">
      <c r="A761" s="40"/>
      <c r="B761" s="41"/>
      <c r="C761" s="67"/>
      <c r="D761" s="225"/>
      <c r="E761" s="225"/>
      <c r="F761" s="292"/>
      <c r="G761" s="46"/>
    </row>
    <row r="762" ht="15.75" customHeight="1">
      <c r="A762" s="40"/>
      <c r="B762" s="41"/>
      <c r="C762" s="67"/>
      <c r="D762" s="225"/>
      <c r="E762" s="225"/>
      <c r="F762" s="292"/>
      <c r="G762" s="46"/>
    </row>
    <row r="763" ht="15.75" customHeight="1">
      <c r="A763" s="40"/>
      <c r="B763" s="41"/>
      <c r="C763" s="67"/>
      <c r="D763" s="225"/>
      <c r="E763" s="225"/>
      <c r="F763" s="292"/>
      <c r="G763" s="46"/>
    </row>
    <row r="764" ht="15.75" customHeight="1">
      <c r="A764" s="40"/>
      <c r="B764" s="41"/>
      <c r="C764" s="67"/>
      <c r="D764" s="225"/>
      <c r="E764" s="225"/>
      <c r="F764" s="292"/>
      <c r="G764" s="46"/>
    </row>
    <row r="765" ht="15.75" customHeight="1">
      <c r="A765" s="40"/>
      <c r="B765" s="41"/>
      <c r="C765" s="67"/>
      <c r="D765" s="225"/>
      <c r="E765" s="225"/>
      <c r="F765" s="292"/>
      <c r="G765" s="46"/>
    </row>
    <row r="766" ht="15.75" customHeight="1">
      <c r="A766" s="40"/>
      <c r="B766" s="41"/>
      <c r="C766" s="67"/>
      <c r="D766" s="225"/>
      <c r="E766" s="225"/>
      <c r="F766" s="292"/>
      <c r="G766" s="46"/>
    </row>
    <row r="767" ht="15.75" customHeight="1">
      <c r="A767" s="40"/>
      <c r="B767" s="41"/>
      <c r="C767" s="67"/>
      <c r="D767" s="225"/>
      <c r="E767" s="225"/>
      <c r="F767" s="292"/>
      <c r="G767" s="46"/>
    </row>
    <row r="768" ht="15.75" customHeight="1">
      <c r="A768" s="40"/>
      <c r="B768" s="41"/>
      <c r="C768" s="67"/>
      <c r="D768" s="225"/>
      <c r="E768" s="225"/>
      <c r="F768" s="292"/>
      <c r="G768" s="46"/>
    </row>
    <row r="769" ht="15.75" customHeight="1">
      <c r="A769" s="40"/>
      <c r="B769" s="41"/>
      <c r="C769" s="67"/>
      <c r="D769" s="225"/>
      <c r="E769" s="225"/>
      <c r="F769" s="292"/>
      <c r="G769" s="46"/>
    </row>
    <row r="770" ht="15.75" customHeight="1">
      <c r="A770" s="40"/>
      <c r="B770" s="41"/>
      <c r="C770" s="67"/>
      <c r="D770" s="225"/>
      <c r="E770" s="225"/>
      <c r="F770" s="292"/>
      <c r="G770" s="46"/>
    </row>
    <row r="771" ht="15.75" customHeight="1">
      <c r="A771" s="40"/>
      <c r="B771" s="41"/>
      <c r="C771" s="67"/>
      <c r="D771" s="225"/>
      <c r="E771" s="225"/>
      <c r="F771" s="292"/>
      <c r="G771" s="46"/>
    </row>
    <row r="772" ht="15.75" customHeight="1">
      <c r="A772" s="40"/>
      <c r="B772" s="41"/>
      <c r="C772" s="67"/>
      <c r="D772" s="225"/>
      <c r="E772" s="225"/>
      <c r="F772" s="292"/>
      <c r="G772" s="46"/>
    </row>
    <row r="773" ht="15.75" customHeight="1">
      <c r="A773" s="40"/>
      <c r="B773" s="41"/>
      <c r="C773" s="67"/>
      <c r="D773" s="225"/>
      <c r="E773" s="225"/>
      <c r="F773" s="292"/>
      <c r="G773" s="46"/>
    </row>
    <row r="774" ht="15.75" customHeight="1">
      <c r="A774" s="40"/>
      <c r="B774" s="41"/>
      <c r="C774" s="67"/>
      <c r="D774" s="225"/>
      <c r="E774" s="225"/>
      <c r="F774" s="292"/>
      <c r="G774" s="46"/>
    </row>
    <row r="775" ht="15.75" customHeight="1">
      <c r="A775" s="40"/>
      <c r="B775" s="41"/>
      <c r="C775" s="67"/>
      <c r="D775" s="225"/>
      <c r="E775" s="225"/>
      <c r="F775" s="292"/>
      <c r="G775" s="46"/>
    </row>
    <row r="776" ht="15.75" customHeight="1">
      <c r="A776" s="40"/>
      <c r="B776" s="41"/>
      <c r="C776" s="67"/>
      <c r="D776" s="225"/>
      <c r="E776" s="225"/>
      <c r="F776" s="292"/>
      <c r="G776" s="46"/>
    </row>
    <row r="777" ht="15.75" customHeight="1">
      <c r="A777" s="40"/>
      <c r="B777" s="41"/>
      <c r="C777" s="67"/>
      <c r="D777" s="225"/>
      <c r="E777" s="225"/>
      <c r="F777" s="292"/>
      <c r="G777" s="46"/>
    </row>
    <row r="778" ht="15.75" customHeight="1">
      <c r="A778" s="40"/>
      <c r="B778" s="41"/>
      <c r="C778" s="67"/>
      <c r="D778" s="225"/>
      <c r="E778" s="225"/>
      <c r="F778" s="292"/>
      <c r="G778" s="46"/>
    </row>
    <row r="779" ht="15.75" customHeight="1">
      <c r="A779" s="40"/>
      <c r="B779" s="41"/>
      <c r="C779" s="67"/>
      <c r="D779" s="225"/>
      <c r="E779" s="225"/>
      <c r="F779" s="292"/>
      <c r="G779" s="46"/>
    </row>
    <row r="780" ht="15.75" customHeight="1">
      <c r="A780" s="40"/>
      <c r="B780" s="41"/>
      <c r="C780" s="67"/>
      <c r="D780" s="225"/>
      <c r="E780" s="225"/>
      <c r="F780" s="292"/>
      <c r="G780" s="46"/>
    </row>
    <row r="781" ht="15.75" customHeight="1">
      <c r="A781" s="40"/>
      <c r="B781" s="41"/>
      <c r="C781" s="67"/>
      <c r="D781" s="225"/>
      <c r="E781" s="225"/>
      <c r="F781" s="292"/>
      <c r="G781" s="46"/>
    </row>
    <row r="782" ht="15.75" customHeight="1">
      <c r="A782" s="40"/>
      <c r="B782" s="41"/>
      <c r="C782" s="67"/>
      <c r="D782" s="225"/>
      <c r="E782" s="225"/>
      <c r="F782" s="292"/>
      <c r="G782" s="46"/>
    </row>
    <row r="783" ht="15.75" customHeight="1">
      <c r="A783" s="40"/>
      <c r="B783" s="41"/>
      <c r="C783" s="67"/>
      <c r="D783" s="225"/>
      <c r="E783" s="225"/>
      <c r="F783" s="292"/>
      <c r="G783" s="46"/>
    </row>
    <row r="784" ht="15.75" customHeight="1">
      <c r="A784" s="40"/>
      <c r="B784" s="41"/>
      <c r="C784" s="67"/>
      <c r="D784" s="225"/>
      <c r="E784" s="225"/>
      <c r="F784" s="292"/>
      <c r="G784" s="46"/>
    </row>
    <row r="785" ht="15.75" customHeight="1">
      <c r="A785" s="40"/>
      <c r="B785" s="41"/>
      <c r="C785" s="67"/>
      <c r="D785" s="225"/>
      <c r="E785" s="225"/>
      <c r="F785" s="292"/>
      <c r="G785" s="46"/>
    </row>
    <row r="786" ht="15.75" customHeight="1">
      <c r="A786" s="40"/>
      <c r="B786" s="41"/>
      <c r="C786" s="67"/>
      <c r="D786" s="225"/>
      <c r="E786" s="225"/>
      <c r="F786" s="292"/>
      <c r="G786" s="46"/>
    </row>
    <row r="787" ht="15.75" customHeight="1">
      <c r="A787" s="40"/>
      <c r="B787" s="41"/>
      <c r="C787" s="67"/>
      <c r="D787" s="225"/>
      <c r="E787" s="225"/>
      <c r="F787" s="292"/>
      <c r="G787" s="46"/>
    </row>
    <row r="788" ht="15.75" customHeight="1">
      <c r="A788" s="40"/>
      <c r="B788" s="41"/>
      <c r="C788" s="67"/>
      <c r="D788" s="225"/>
      <c r="E788" s="225"/>
      <c r="F788" s="292"/>
      <c r="G788" s="46"/>
    </row>
    <row r="789" ht="15.75" customHeight="1">
      <c r="A789" s="40"/>
      <c r="B789" s="41"/>
      <c r="C789" s="67"/>
      <c r="D789" s="225"/>
      <c r="E789" s="225"/>
      <c r="F789" s="292"/>
      <c r="G789" s="46"/>
    </row>
    <row r="790" ht="15.75" customHeight="1">
      <c r="A790" s="40"/>
      <c r="B790" s="41"/>
      <c r="C790" s="67"/>
      <c r="D790" s="225"/>
      <c r="E790" s="225"/>
      <c r="F790" s="292"/>
      <c r="G790" s="46"/>
    </row>
    <row r="791" ht="15.75" customHeight="1">
      <c r="A791" s="40"/>
      <c r="B791" s="41"/>
      <c r="C791" s="67"/>
      <c r="D791" s="225"/>
      <c r="E791" s="225"/>
      <c r="F791" s="292"/>
      <c r="G791" s="46"/>
    </row>
    <row r="792" ht="15.75" customHeight="1">
      <c r="A792" s="40"/>
      <c r="B792" s="41"/>
      <c r="C792" s="67"/>
      <c r="D792" s="225"/>
      <c r="E792" s="225"/>
      <c r="F792" s="292"/>
      <c r="G792" s="46"/>
    </row>
    <row r="793" ht="15.75" customHeight="1">
      <c r="A793" s="40"/>
      <c r="B793" s="41"/>
      <c r="C793" s="67"/>
      <c r="D793" s="225"/>
      <c r="E793" s="225"/>
      <c r="F793" s="292"/>
      <c r="G793" s="46"/>
    </row>
    <row r="794" ht="15.75" customHeight="1">
      <c r="A794" s="40"/>
      <c r="B794" s="41"/>
      <c r="C794" s="67"/>
      <c r="D794" s="225"/>
      <c r="E794" s="225"/>
      <c r="F794" s="292"/>
      <c r="G794" s="46"/>
    </row>
    <row r="795" ht="15.75" customHeight="1">
      <c r="A795" s="40"/>
      <c r="B795" s="41"/>
      <c r="C795" s="67"/>
      <c r="D795" s="225"/>
      <c r="E795" s="225"/>
      <c r="F795" s="292"/>
      <c r="G795" s="46"/>
    </row>
    <row r="796" ht="15.75" customHeight="1">
      <c r="A796" s="40"/>
      <c r="B796" s="41"/>
      <c r="C796" s="67"/>
      <c r="D796" s="225"/>
      <c r="E796" s="225"/>
      <c r="F796" s="292"/>
      <c r="G796" s="46"/>
    </row>
    <row r="797" ht="15.75" customHeight="1">
      <c r="A797" s="40"/>
      <c r="B797" s="41"/>
      <c r="C797" s="67"/>
      <c r="D797" s="225"/>
      <c r="E797" s="225"/>
      <c r="F797" s="292"/>
      <c r="G797" s="46"/>
    </row>
    <row r="798" ht="15.75" customHeight="1">
      <c r="A798" s="40"/>
      <c r="B798" s="41"/>
      <c r="C798" s="67"/>
      <c r="D798" s="225"/>
      <c r="E798" s="225"/>
      <c r="F798" s="292"/>
      <c r="G798" s="46"/>
    </row>
    <row r="799" ht="15.75" customHeight="1">
      <c r="A799" s="40"/>
      <c r="B799" s="41"/>
      <c r="C799" s="67"/>
      <c r="D799" s="225"/>
      <c r="E799" s="225"/>
      <c r="F799" s="292"/>
      <c r="G799" s="46"/>
    </row>
    <row r="800" ht="15.75" customHeight="1">
      <c r="A800" s="40"/>
      <c r="B800" s="41"/>
      <c r="C800" s="67"/>
      <c r="D800" s="225"/>
      <c r="E800" s="225"/>
      <c r="F800" s="292"/>
      <c r="G800" s="46"/>
    </row>
    <row r="801" ht="15.75" customHeight="1">
      <c r="A801" s="40"/>
      <c r="B801" s="41"/>
      <c r="C801" s="67"/>
      <c r="D801" s="225"/>
      <c r="E801" s="225"/>
      <c r="F801" s="292"/>
      <c r="G801" s="46"/>
    </row>
    <row r="802" ht="15.75" customHeight="1">
      <c r="A802" s="40"/>
      <c r="B802" s="41"/>
      <c r="C802" s="67"/>
      <c r="D802" s="225"/>
      <c r="E802" s="225"/>
      <c r="F802" s="292"/>
      <c r="G802" s="46"/>
    </row>
    <row r="803" ht="15.75" customHeight="1">
      <c r="A803" s="40"/>
      <c r="B803" s="41"/>
      <c r="C803" s="67"/>
      <c r="D803" s="225"/>
      <c r="E803" s="225"/>
      <c r="F803" s="292"/>
      <c r="G803" s="46"/>
    </row>
    <row r="804" ht="15.75" customHeight="1">
      <c r="A804" s="40"/>
      <c r="B804" s="41"/>
      <c r="C804" s="67"/>
      <c r="D804" s="225"/>
      <c r="E804" s="225"/>
      <c r="F804" s="292"/>
      <c r="G804" s="46"/>
    </row>
    <row r="805" ht="15.75" customHeight="1">
      <c r="A805" s="40"/>
      <c r="B805" s="41"/>
      <c r="C805" s="67"/>
      <c r="D805" s="225"/>
      <c r="E805" s="225"/>
      <c r="F805" s="292"/>
      <c r="G805" s="46"/>
    </row>
    <row r="806" ht="15.75" customHeight="1">
      <c r="A806" s="40"/>
      <c r="B806" s="41"/>
      <c r="C806" s="67"/>
      <c r="D806" s="225"/>
      <c r="E806" s="225"/>
      <c r="F806" s="292"/>
      <c r="G806" s="46"/>
    </row>
    <row r="807" ht="15.75" customHeight="1">
      <c r="A807" s="40"/>
      <c r="B807" s="41"/>
      <c r="C807" s="67"/>
      <c r="D807" s="225"/>
      <c r="E807" s="225"/>
      <c r="F807" s="292"/>
      <c r="G807" s="46"/>
    </row>
    <row r="808" ht="15.75" customHeight="1">
      <c r="A808" s="40"/>
      <c r="B808" s="41"/>
      <c r="C808" s="67"/>
      <c r="D808" s="225"/>
      <c r="E808" s="225"/>
      <c r="F808" s="292"/>
      <c r="G808" s="46"/>
    </row>
    <row r="809" ht="15.75" customHeight="1">
      <c r="A809" s="40"/>
      <c r="B809" s="41"/>
      <c r="C809" s="67"/>
      <c r="D809" s="225"/>
      <c r="E809" s="225"/>
      <c r="F809" s="292"/>
      <c r="G809" s="46"/>
    </row>
    <row r="810" ht="15.75" customHeight="1">
      <c r="A810" s="40"/>
      <c r="B810" s="41"/>
      <c r="C810" s="67"/>
      <c r="D810" s="225"/>
      <c r="E810" s="225"/>
      <c r="F810" s="292"/>
      <c r="G810" s="46"/>
    </row>
    <row r="811" ht="15.75" customHeight="1">
      <c r="A811" s="40"/>
      <c r="B811" s="41"/>
      <c r="C811" s="67"/>
      <c r="D811" s="225"/>
      <c r="E811" s="225"/>
      <c r="F811" s="292"/>
      <c r="G811" s="46"/>
    </row>
    <row r="812" ht="15.75" customHeight="1">
      <c r="A812" s="40"/>
      <c r="B812" s="41"/>
      <c r="C812" s="67"/>
      <c r="D812" s="225"/>
      <c r="E812" s="225"/>
      <c r="F812" s="292"/>
      <c r="G812" s="46"/>
    </row>
    <row r="813" ht="15.75" customHeight="1">
      <c r="A813" s="40"/>
      <c r="B813" s="41"/>
      <c r="C813" s="67"/>
      <c r="D813" s="225"/>
      <c r="E813" s="225"/>
      <c r="F813" s="292"/>
      <c r="G813" s="46"/>
    </row>
    <row r="814" ht="15.75" customHeight="1">
      <c r="A814" s="40"/>
      <c r="B814" s="41"/>
      <c r="C814" s="67"/>
      <c r="D814" s="225"/>
      <c r="E814" s="225"/>
      <c r="F814" s="292"/>
      <c r="G814" s="46"/>
    </row>
    <row r="815" ht="15.75" customHeight="1">
      <c r="A815" s="40"/>
      <c r="B815" s="41"/>
      <c r="C815" s="67"/>
      <c r="D815" s="225"/>
      <c r="E815" s="225"/>
      <c r="F815" s="292"/>
      <c r="G815" s="46"/>
    </row>
    <row r="816" ht="15.75" customHeight="1">
      <c r="A816" s="40"/>
      <c r="B816" s="41"/>
      <c r="C816" s="67"/>
      <c r="D816" s="225"/>
      <c r="E816" s="225"/>
      <c r="F816" s="292"/>
      <c r="G816" s="46"/>
    </row>
    <row r="817" ht="15.75" customHeight="1">
      <c r="A817" s="40"/>
      <c r="B817" s="41"/>
      <c r="C817" s="67"/>
      <c r="D817" s="225"/>
      <c r="E817" s="225"/>
      <c r="F817" s="292"/>
      <c r="G817" s="46"/>
    </row>
    <row r="818" ht="15.75" customHeight="1">
      <c r="A818" s="40"/>
      <c r="B818" s="41"/>
      <c r="C818" s="67"/>
      <c r="D818" s="225"/>
      <c r="E818" s="225"/>
      <c r="F818" s="292"/>
      <c r="G818" s="46"/>
    </row>
    <row r="819" ht="15.75" customHeight="1">
      <c r="A819" s="40"/>
      <c r="B819" s="41"/>
      <c r="C819" s="67"/>
      <c r="D819" s="225"/>
      <c r="E819" s="225"/>
      <c r="F819" s="292"/>
      <c r="G819" s="46"/>
    </row>
    <row r="820" ht="15.75" customHeight="1">
      <c r="A820" s="40"/>
      <c r="B820" s="41"/>
      <c r="C820" s="67"/>
      <c r="D820" s="225"/>
      <c r="E820" s="225"/>
      <c r="F820" s="292"/>
      <c r="G820" s="46"/>
    </row>
    <row r="821" ht="15.75" customHeight="1">
      <c r="A821" s="40"/>
      <c r="B821" s="41"/>
      <c r="C821" s="67"/>
      <c r="D821" s="225"/>
      <c r="E821" s="225"/>
      <c r="F821" s="292"/>
      <c r="G821" s="46"/>
    </row>
    <row r="822" ht="15.75" customHeight="1">
      <c r="A822" s="40"/>
      <c r="B822" s="41"/>
      <c r="C822" s="67"/>
      <c r="D822" s="225"/>
      <c r="E822" s="225"/>
      <c r="F822" s="292"/>
      <c r="G822" s="46"/>
    </row>
    <row r="823" ht="15.75" customHeight="1">
      <c r="A823" s="40"/>
      <c r="B823" s="41"/>
      <c r="C823" s="67"/>
      <c r="D823" s="225"/>
      <c r="E823" s="225"/>
      <c r="F823" s="292"/>
      <c r="G823" s="46"/>
    </row>
    <row r="824" ht="15.75" customHeight="1">
      <c r="A824" s="40"/>
      <c r="B824" s="41"/>
      <c r="C824" s="67"/>
      <c r="D824" s="225"/>
      <c r="E824" s="225"/>
      <c r="F824" s="292"/>
      <c r="G824" s="46"/>
    </row>
    <row r="825" ht="15.75" customHeight="1">
      <c r="A825" s="40"/>
      <c r="B825" s="41"/>
      <c r="C825" s="67"/>
      <c r="D825" s="225"/>
      <c r="E825" s="225"/>
      <c r="F825" s="292"/>
      <c r="G825" s="46"/>
    </row>
    <row r="826" ht="15.75" customHeight="1">
      <c r="A826" s="40"/>
      <c r="B826" s="41"/>
      <c r="C826" s="67"/>
      <c r="D826" s="225"/>
      <c r="E826" s="225"/>
      <c r="F826" s="292"/>
      <c r="G826" s="46"/>
    </row>
    <row r="827" ht="15.75" customHeight="1">
      <c r="A827" s="40"/>
      <c r="B827" s="41"/>
      <c r="C827" s="67"/>
      <c r="D827" s="225"/>
      <c r="E827" s="225"/>
      <c r="F827" s="292"/>
      <c r="G827" s="46"/>
    </row>
    <row r="828" ht="15.75" customHeight="1">
      <c r="A828" s="40"/>
      <c r="B828" s="41"/>
      <c r="C828" s="67"/>
      <c r="D828" s="225"/>
      <c r="E828" s="225"/>
      <c r="F828" s="292"/>
      <c r="G828" s="46"/>
    </row>
    <row r="829" ht="15.75" customHeight="1">
      <c r="A829" s="40"/>
      <c r="B829" s="41"/>
      <c r="C829" s="67"/>
      <c r="D829" s="225"/>
      <c r="E829" s="225"/>
      <c r="F829" s="292"/>
      <c r="G829" s="46"/>
    </row>
    <row r="830" ht="15.75" customHeight="1">
      <c r="A830" s="40"/>
      <c r="B830" s="41"/>
      <c r="C830" s="67"/>
      <c r="D830" s="225"/>
      <c r="E830" s="225"/>
      <c r="F830" s="292"/>
      <c r="G830" s="46"/>
    </row>
    <row r="831" ht="15.75" customHeight="1">
      <c r="A831" s="40"/>
      <c r="B831" s="41"/>
      <c r="C831" s="67"/>
      <c r="D831" s="225"/>
      <c r="E831" s="225"/>
      <c r="F831" s="292"/>
      <c r="G831" s="46"/>
    </row>
    <row r="832" ht="15.75" customHeight="1">
      <c r="A832" s="40"/>
      <c r="B832" s="41"/>
      <c r="C832" s="67"/>
      <c r="D832" s="225"/>
      <c r="E832" s="225"/>
      <c r="F832" s="292"/>
      <c r="G832" s="46"/>
    </row>
    <row r="833" ht="15.75" customHeight="1">
      <c r="A833" s="40"/>
      <c r="B833" s="41"/>
      <c r="C833" s="67"/>
      <c r="D833" s="225"/>
      <c r="E833" s="225"/>
      <c r="F833" s="292"/>
      <c r="G833" s="46"/>
    </row>
    <row r="834" ht="15.75" customHeight="1">
      <c r="A834" s="40"/>
      <c r="B834" s="41"/>
      <c r="C834" s="67"/>
      <c r="D834" s="225"/>
      <c r="E834" s="225"/>
      <c r="F834" s="292"/>
      <c r="G834" s="46"/>
    </row>
    <row r="835" ht="15.75" customHeight="1">
      <c r="A835" s="40"/>
      <c r="B835" s="41"/>
      <c r="C835" s="67"/>
      <c r="D835" s="225"/>
      <c r="E835" s="225"/>
      <c r="F835" s="292"/>
      <c r="G835" s="46"/>
    </row>
    <row r="836" ht="15.75" customHeight="1">
      <c r="A836" s="40"/>
      <c r="B836" s="41"/>
      <c r="C836" s="67"/>
      <c r="D836" s="225"/>
      <c r="E836" s="225"/>
      <c r="F836" s="292"/>
      <c r="G836" s="46"/>
    </row>
    <row r="837" ht="15.75" customHeight="1">
      <c r="A837" s="40"/>
      <c r="B837" s="41"/>
      <c r="C837" s="67"/>
      <c r="D837" s="225"/>
      <c r="E837" s="225"/>
      <c r="F837" s="292"/>
      <c r="G837" s="46"/>
    </row>
    <row r="838" ht="15.75" customHeight="1">
      <c r="A838" s="40"/>
      <c r="B838" s="41"/>
      <c r="C838" s="67"/>
      <c r="D838" s="225"/>
      <c r="E838" s="225"/>
      <c r="F838" s="292"/>
      <c r="G838" s="46"/>
    </row>
    <row r="839" ht="15.75" customHeight="1">
      <c r="A839" s="40"/>
      <c r="B839" s="41"/>
      <c r="C839" s="67"/>
      <c r="D839" s="225"/>
      <c r="E839" s="225"/>
      <c r="F839" s="292"/>
      <c r="G839" s="46"/>
    </row>
    <row r="840" ht="15.75" customHeight="1">
      <c r="A840" s="40"/>
      <c r="B840" s="41"/>
      <c r="C840" s="67"/>
      <c r="D840" s="225"/>
      <c r="E840" s="225"/>
      <c r="F840" s="292"/>
      <c r="G840" s="46"/>
    </row>
    <row r="841" ht="15.75" customHeight="1">
      <c r="A841" s="40"/>
      <c r="B841" s="41"/>
      <c r="C841" s="67"/>
      <c r="D841" s="225"/>
      <c r="E841" s="225"/>
      <c r="F841" s="292"/>
      <c r="G841" s="46"/>
    </row>
    <row r="842" ht="15.75" customHeight="1">
      <c r="A842" s="40"/>
      <c r="B842" s="41"/>
      <c r="C842" s="67"/>
      <c r="D842" s="225"/>
      <c r="E842" s="225"/>
      <c r="F842" s="292"/>
      <c r="G842" s="46"/>
    </row>
    <row r="843" ht="15.75" customHeight="1">
      <c r="A843" s="40"/>
      <c r="B843" s="41"/>
      <c r="C843" s="67"/>
      <c r="D843" s="225"/>
      <c r="E843" s="225"/>
      <c r="F843" s="292"/>
      <c r="G843" s="46"/>
    </row>
    <row r="844" ht="15.75" customHeight="1">
      <c r="A844" s="40"/>
      <c r="B844" s="41"/>
      <c r="C844" s="67"/>
      <c r="D844" s="225"/>
      <c r="E844" s="225"/>
      <c r="F844" s="292"/>
      <c r="G844" s="46"/>
    </row>
    <row r="845" ht="15.75" customHeight="1">
      <c r="A845" s="40"/>
      <c r="B845" s="41"/>
      <c r="C845" s="67"/>
      <c r="D845" s="225"/>
      <c r="E845" s="225"/>
      <c r="F845" s="292"/>
      <c r="G845" s="46"/>
    </row>
    <row r="846" ht="15.75" customHeight="1">
      <c r="A846" s="40"/>
      <c r="B846" s="41"/>
      <c r="C846" s="67"/>
      <c r="D846" s="225"/>
      <c r="E846" s="225"/>
      <c r="F846" s="292"/>
      <c r="G846" s="46"/>
    </row>
    <row r="847" ht="15.75" customHeight="1">
      <c r="A847" s="40"/>
      <c r="B847" s="41"/>
      <c r="C847" s="67"/>
      <c r="D847" s="225"/>
      <c r="E847" s="225"/>
      <c r="F847" s="292"/>
      <c r="G847" s="46"/>
    </row>
    <row r="848" ht="15.75" customHeight="1">
      <c r="A848" s="40"/>
      <c r="B848" s="41"/>
      <c r="C848" s="67"/>
      <c r="D848" s="225"/>
      <c r="E848" s="225"/>
      <c r="F848" s="292"/>
      <c r="G848" s="46"/>
    </row>
    <row r="849" ht="15.75" customHeight="1">
      <c r="A849" s="40"/>
      <c r="B849" s="41"/>
      <c r="C849" s="67"/>
      <c r="D849" s="225"/>
      <c r="E849" s="225"/>
      <c r="F849" s="292"/>
      <c r="G849" s="46"/>
    </row>
    <row r="850" ht="15.75" customHeight="1">
      <c r="A850" s="40"/>
      <c r="B850" s="41"/>
      <c r="C850" s="67"/>
      <c r="D850" s="225"/>
      <c r="E850" s="225"/>
      <c r="F850" s="292"/>
      <c r="G850" s="46"/>
    </row>
    <row r="851" ht="15.75" customHeight="1">
      <c r="A851" s="40"/>
      <c r="B851" s="41"/>
      <c r="C851" s="67"/>
      <c r="D851" s="225"/>
      <c r="E851" s="225"/>
      <c r="F851" s="292"/>
      <c r="G851" s="46"/>
    </row>
    <row r="852" ht="15.75" customHeight="1">
      <c r="A852" s="40"/>
      <c r="B852" s="41"/>
      <c r="C852" s="67"/>
      <c r="D852" s="225"/>
      <c r="E852" s="225"/>
      <c r="F852" s="292"/>
      <c r="G852" s="46"/>
    </row>
    <row r="853" ht="15.75" customHeight="1">
      <c r="A853" s="40"/>
      <c r="B853" s="41"/>
      <c r="C853" s="67"/>
      <c r="D853" s="225"/>
      <c r="E853" s="225"/>
      <c r="F853" s="292"/>
      <c r="G853" s="46"/>
    </row>
    <row r="854" ht="15.75" customHeight="1">
      <c r="A854" s="40"/>
      <c r="B854" s="41"/>
      <c r="C854" s="67"/>
      <c r="D854" s="225"/>
      <c r="E854" s="225"/>
      <c r="F854" s="292"/>
      <c r="G854" s="46"/>
    </row>
    <row r="855" ht="15.75" customHeight="1">
      <c r="A855" s="40"/>
      <c r="B855" s="41"/>
      <c r="C855" s="67"/>
      <c r="D855" s="225"/>
      <c r="E855" s="225"/>
      <c r="F855" s="292"/>
      <c r="G855" s="46"/>
    </row>
    <row r="856" ht="15.75" customHeight="1">
      <c r="A856" s="40"/>
      <c r="B856" s="41"/>
      <c r="C856" s="67"/>
      <c r="D856" s="225"/>
      <c r="E856" s="225"/>
      <c r="F856" s="292"/>
      <c r="G856" s="46"/>
    </row>
    <row r="857" ht="15.75" customHeight="1">
      <c r="A857" s="40"/>
      <c r="B857" s="41"/>
      <c r="C857" s="67"/>
      <c r="D857" s="225"/>
      <c r="E857" s="225"/>
      <c r="F857" s="292"/>
      <c r="G857" s="46"/>
    </row>
    <row r="858" ht="15.75" customHeight="1">
      <c r="A858" s="40"/>
      <c r="B858" s="41"/>
      <c r="C858" s="67"/>
      <c r="D858" s="225"/>
      <c r="E858" s="225"/>
      <c r="F858" s="292"/>
      <c r="G858" s="46"/>
    </row>
    <row r="859" ht="15.75" customHeight="1">
      <c r="A859" s="40"/>
      <c r="B859" s="41"/>
      <c r="C859" s="67"/>
      <c r="D859" s="225"/>
      <c r="E859" s="225"/>
      <c r="F859" s="292"/>
      <c r="G859" s="46"/>
    </row>
    <row r="860" ht="15.75" customHeight="1">
      <c r="A860" s="40"/>
      <c r="B860" s="41"/>
      <c r="C860" s="67"/>
      <c r="D860" s="225"/>
      <c r="E860" s="225"/>
      <c r="F860" s="292"/>
      <c r="G860" s="46"/>
    </row>
    <row r="861" ht="15.75" customHeight="1">
      <c r="A861" s="40"/>
      <c r="B861" s="41"/>
      <c r="C861" s="67"/>
      <c r="D861" s="225"/>
      <c r="E861" s="225"/>
      <c r="F861" s="292"/>
      <c r="G861" s="46"/>
    </row>
    <row r="862" ht="15.75" customHeight="1">
      <c r="A862" s="40"/>
      <c r="B862" s="41"/>
      <c r="C862" s="67"/>
      <c r="D862" s="225"/>
      <c r="E862" s="225"/>
      <c r="F862" s="292"/>
      <c r="G862" s="46"/>
    </row>
    <row r="863" ht="15.75" customHeight="1">
      <c r="A863" s="40"/>
      <c r="B863" s="41"/>
      <c r="C863" s="67"/>
      <c r="D863" s="225"/>
      <c r="E863" s="225"/>
      <c r="F863" s="292"/>
      <c r="G863" s="46"/>
    </row>
    <row r="864" ht="15.75" customHeight="1">
      <c r="A864" s="40"/>
      <c r="B864" s="41"/>
      <c r="C864" s="67"/>
      <c r="D864" s="225"/>
      <c r="E864" s="225"/>
      <c r="F864" s="292"/>
      <c r="G864" s="46"/>
    </row>
    <row r="865" ht="15.75" customHeight="1">
      <c r="A865" s="40"/>
      <c r="B865" s="41"/>
      <c r="C865" s="67"/>
      <c r="D865" s="225"/>
      <c r="E865" s="225"/>
      <c r="F865" s="292"/>
      <c r="G865" s="46"/>
    </row>
    <row r="866" ht="15.75" customHeight="1">
      <c r="A866" s="40"/>
      <c r="B866" s="41"/>
      <c r="C866" s="67"/>
      <c r="D866" s="225"/>
      <c r="E866" s="225"/>
      <c r="F866" s="292"/>
      <c r="G866" s="46"/>
    </row>
    <row r="867" ht="15.75" customHeight="1">
      <c r="A867" s="40"/>
      <c r="B867" s="41"/>
      <c r="C867" s="67"/>
      <c r="D867" s="225"/>
      <c r="E867" s="225"/>
      <c r="F867" s="292"/>
      <c r="G867" s="46"/>
    </row>
    <row r="868" ht="15.75" customHeight="1">
      <c r="A868" s="40"/>
      <c r="B868" s="41"/>
      <c r="C868" s="67"/>
      <c r="D868" s="225"/>
      <c r="E868" s="225"/>
      <c r="F868" s="292"/>
      <c r="G868" s="46"/>
    </row>
    <row r="869" ht="15.75" customHeight="1">
      <c r="A869" s="40"/>
      <c r="B869" s="41"/>
      <c r="C869" s="67"/>
      <c r="D869" s="225"/>
      <c r="E869" s="225"/>
      <c r="F869" s="292"/>
      <c r="G869" s="46"/>
    </row>
    <row r="870" ht="15.75" customHeight="1">
      <c r="A870" s="40"/>
      <c r="B870" s="41"/>
      <c r="C870" s="67"/>
      <c r="D870" s="225"/>
      <c r="E870" s="225"/>
      <c r="F870" s="292"/>
      <c r="G870" s="46"/>
    </row>
    <row r="871" ht="15.75" customHeight="1">
      <c r="A871" s="40"/>
      <c r="B871" s="41"/>
      <c r="C871" s="67"/>
      <c r="D871" s="225"/>
      <c r="E871" s="225"/>
      <c r="F871" s="292"/>
      <c r="G871" s="46"/>
    </row>
    <row r="872" ht="15.75" customHeight="1">
      <c r="A872" s="40"/>
      <c r="B872" s="41"/>
      <c r="C872" s="67"/>
      <c r="D872" s="225"/>
      <c r="E872" s="225"/>
      <c r="F872" s="292"/>
      <c r="G872" s="46"/>
    </row>
    <row r="873" ht="15.75" customHeight="1">
      <c r="A873" s="40"/>
      <c r="B873" s="41"/>
      <c r="C873" s="67"/>
      <c r="D873" s="225"/>
      <c r="E873" s="225"/>
      <c r="F873" s="292"/>
      <c r="G873" s="46"/>
    </row>
    <row r="874" ht="15.75" customHeight="1">
      <c r="A874" s="40"/>
      <c r="B874" s="41"/>
      <c r="C874" s="67"/>
      <c r="D874" s="225"/>
      <c r="E874" s="225"/>
      <c r="F874" s="292"/>
      <c r="G874" s="46"/>
    </row>
    <row r="875" ht="15.75" customHeight="1">
      <c r="A875" s="40"/>
      <c r="B875" s="41"/>
      <c r="C875" s="67"/>
      <c r="D875" s="225"/>
      <c r="E875" s="225"/>
      <c r="F875" s="292"/>
      <c r="G875" s="46"/>
    </row>
    <row r="876" ht="15.75" customHeight="1">
      <c r="A876" s="40"/>
      <c r="B876" s="41"/>
      <c r="C876" s="67"/>
      <c r="D876" s="225"/>
      <c r="E876" s="225"/>
      <c r="F876" s="292"/>
      <c r="G876" s="46"/>
    </row>
    <row r="877" ht="15.75" customHeight="1">
      <c r="A877" s="40"/>
      <c r="B877" s="41"/>
      <c r="C877" s="67"/>
      <c r="D877" s="225"/>
      <c r="E877" s="225"/>
      <c r="F877" s="292"/>
      <c r="G877" s="46"/>
    </row>
    <row r="878" ht="15.75" customHeight="1">
      <c r="A878" s="40"/>
      <c r="B878" s="41"/>
      <c r="C878" s="67"/>
      <c r="D878" s="225"/>
      <c r="E878" s="225"/>
      <c r="F878" s="292"/>
      <c r="G878" s="46"/>
    </row>
    <row r="879" ht="15.75" customHeight="1">
      <c r="A879" s="40"/>
      <c r="B879" s="41"/>
      <c r="C879" s="67"/>
      <c r="D879" s="225"/>
      <c r="E879" s="225"/>
      <c r="F879" s="292"/>
      <c r="G879" s="46"/>
    </row>
    <row r="880" ht="15.75" customHeight="1">
      <c r="A880" s="40"/>
      <c r="B880" s="41"/>
      <c r="C880" s="67"/>
      <c r="D880" s="225"/>
      <c r="E880" s="225"/>
      <c r="F880" s="292"/>
      <c r="G880" s="46"/>
    </row>
    <row r="881" ht="15.75" customHeight="1">
      <c r="A881" s="40"/>
      <c r="B881" s="41"/>
      <c r="C881" s="67"/>
      <c r="D881" s="225"/>
      <c r="E881" s="225"/>
      <c r="F881" s="292"/>
      <c r="G881" s="46"/>
    </row>
    <row r="882" ht="15.75" customHeight="1">
      <c r="A882" s="40"/>
      <c r="B882" s="41"/>
      <c r="C882" s="67"/>
      <c r="D882" s="225"/>
      <c r="E882" s="225"/>
      <c r="F882" s="292"/>
      <c r="G882" s="46"/>
    </row>
    <row r="883" ht="15.75" customHeight="1">
      <c r="A883" s="40"/>
      <c r="B883" s="41"/>
      <c r="C883" s="67"/>
      <c r="D883" s="225"/>
      <c r="E883" s="225"/>
      <c r="F883" s="292"/>
      <c r="G883" s="46"/>
    </row>
    <row r="884" ht="15.75" customHeight="1">
      <c r="A884" s="40"/>
      <c r="B884" s="41"/>
      <c r="C884" s="67"/>
      <c r="D884" s="225"/>
      <c r="E884" s="225"/>
      <c r="F884" s="292"/>
      <c r="G884" s="46"/>
    </row>
    <row r="885" ht="15.75" customHeight="1">
      <c r="A885" s="40"/>
      <c r="B885" s="41"/>
      <c r="C885" s="67"/>
      <c r="D885" s="225"/>
      <c r="E885" s="225"/>
      <c r="F885" s="292"/>
      <c r="G885" s="46"/>
    </row>
    <row r="886" ht="15.75" customHeight="1">
      <c r="A886" s="40"/>
      <c r="B886" s="41"/>
      <c r="C886" s="67"/>
      <c r="D886" s="225"/>
      <c r="E886" s="225"/>
      <c r="F886" s="292"/>
      <c r="G886" s="46"/>
    </row>
    <row r="887" ht="15.75" customHeight="1">
      <c r="A887" s="40"/>
      <c r="B887" s="41"/>
      <c r="C887" s="67"/>
      <c r="D887" s="225"/>
      <c r="E887" s="225"/>
      <c r="F887" s="292"/>
      <c r="G887" s="46"/>
    </row>
    <row r="888" ht="15.75" customHeight="1">
      <c r="A888" s="40"/>
      <c r="B888" s="41"/>
      <c r="C888" s="67"/>
      <c r="D888" s="225"/>
      <c r="E888" s="225"/>
      <c r="F888" s="292"/>
      <c r="G888" s="46"/>
    </row>
    <row r="889" ht="15.75" customHeight="1">
      <c r="A889" s="40"/>
      <c r="B889" s="41"/>
      <c r="C889" s="67"/>
      <c r="D889" s="225"/>
      <c r="E889" s="225"/>
      <c r="F889" s="292"/>
      <c r="G889" s="46"/>
    </row>
    <row r="890" ht="15.75" customHeight="1">
      <c r="A890" s="40"/>
      <c r="B890" s="41"/>
      <c r="C890" s="67"/>
      <c r="D890" s="225"/>
      <c r="E890" s="225"/>
      <c r="F890" s="292"/>
      <c r="G890" s="46"/>
    </row>
    <row r="891" ht="15.75" customHeight="1">
      <c r="A891" s="40"/>
      <c r="B891" s="41"/>
      <c r="C891" s="67"/>
      <c r="D891" s="225"/>
      <c r="E891" s="225"/>
      <c r="F891" s="292"/>
      <c r="G891" s="46"/>
    </row>
    <row r="892" ht="15.75" customHeight="1">
      <c r="A892" s="40"/>
      <c r="B892" s="41"/>
      <c r="C892" s="67"/>
      <c r="D892" s="225"/>
      <c r="E892" s="225"/>
      <c r="F892" s="292"/>
      <c r="G892" s="46"/>
    </row>
    <row r="893" ht="15.75" customHeight="1">
      <c r="A893" s="40"/>
      <c r="B893" s="41"/>
      <c r="C893" s="67"/>
      <c r="D893" s="225"/>
      <c r="E893" s="225"/>
      <c r="F893" s="292"/>
      <c r="G893" s="46"/>
    </row>
    <row r="894" ht="15.75" customHeight="1">
      <c r="A894" s="40"/>
      <c r="B894" s="41"/>
      <c r="C894" s="67"/>
      <c r="D894" s="225"/>
      <c r="E894" s="225"/>
      <c r="F894" s="292"/>
      <c r="G894" s="46"/>
    </row>
    <row r="895" ht="15.75" customHeight="1">
      <c r="A895" s="40"/>
      <c r="B895" s="41"/>
      <c r="C895" s="67"/>
      <c r="D895" s="225"/>
      <c r="E895" s="225"/>
      <c r="F895" s="292"/>
      <c r="G895" s="46"/>
    </row>
    <row r="896" ht="15.75" customHeight="1">
      <c r="A896" s="40"/>
      <c r="B896" s="41"/>
      <c r="C896" s="67"/>
      <c r="D896" s="225"/>
      <c r="E896" s="225"/>
      <c r="F896" s="292"/>
      <c r="G896" s="46"/>
    </row>
    <row r="897" ht="15.75" customHeight="1">
      <c r="A897" s="40"/>
      <c r="B897" s="41"/>
      <c r="C897" s="67"/>
      <c r="D897" s="225"/>
      <c r="E897" s="225"/>
      <c r="F897" s="292"/>
      <c r="G897" s="46"/>
    </row>
    <row r="898" ht="15.75" customHeight="1">
      <c r="A898" s="40"/>
      <c r="B898" s="41"/>
      <c r="C898" s="67"/>
      <c r="D898" s="225"/>
      <c r="E898" s="225"/>
      <c r="F898" s="292"/>
      <c r="G898" s="46"/>
    </row>
    <row r="899" ht="15.75" customHeight="1">
      <c r="A899" s="40"/>
      <c r="B899" s="41"/>
      <c r="C899" s="67"/>
      <c r="D899" s="225"/>
      <c r="E899" s="225"/>
      <c r="F899" s="292"/>
      <c r="G899" s="46"/>
    </row>
    <row r="900" ht="15.75" customHeight="1">
      <c r="A900" s="40"/>
      <c r="B900" s="41"/>
      <c r="C900" s="67"/>
      <c r="D900" s="225"/>
      <c r="E900" s="225"/>
      <c r="F900" s="292"/>
      <c r="G900" s="46"/>
    </row>
    <row r="901" ht="15.75" customHeight="1">
      <c r="A901" s="40"/>
      <c r="B901" s="41"/>
      <c r="C901" s="67"/>
      <c r="D901" s="225"/>
      <c r="E901" s="225"/>
      <c r="F901" s="292"/>
      <c r="G901" s="46"/>
    </row>
    <row r="902" ht="15.75" customHeight="1">
      <c r="A902" s="40"/>
      <c r="B902" s="41"/>
      <c r="C902" s="67"/>
      <c r="D902" s="225"/>
      <c r="E902" s="225"/>
      <c r="F902" s="292"/>
      <c r="G902" s="46"/>
    </row>
    <row r="903" ht="15.75" customHeight="1">
      <c r="A903" s="40"/>
      <c r="B903" s="41"/>
      <c r="C903" s="67"/>
      <c r="D903" s="225"/>
      <c r="E903" s="225"/>
      <c r="F903" s="292"/>
      <c r="G903" s="46"/>
    </row>
    <row r="904" ht="15.75" customHeight="1">
      <c r="A904" s="40"/>
      <c r="B904" s="41"/>
      <c r="C904" s="67"/>
      <c r="D904" s="225"/>
      <c r="E904" s="225"/>
      <c r="F904" s="292"/>
      <c r="G904" s="46"/>
    </row>
    <row r="905" ht="15.75" customHeight="1">
      <c r="A905" s="40"/>
      <c r="B905" s="41"/>
      <c r="C905" s="67"/>
      <c r="D905" s="225"/>
      <c r="E905" s="225"/>
      <c r="F905" s="292"/>
      <c r="G905" s="46"/>
    </row>
    <row r="906" ht="15.75" customHeight="1">
      <c r="A906" s="40"/>
      <c r="B906" s="41"/>
      <c r="C906" s="67"/>
      <c r="D906" s="225"/>
      <c r="E906" s="225"/>
      <c r="F906" s="292"/>
      <c r="G906" s="46"/>
    </row>
    <row r="907" ht="15.75" customHeight="1">
      <c r="A907" s="40"/>
      <c r="B907" s="41"/>
      <c r="C907" s="67"/>
      <c r="D907" s="225"/>
      <c r="E907" s="225"/>
      <c r="F907" s="292"/>
      <c r="G907" s="46"/>
    </row>
    <row r="908" ht="15.75" customHeight="1">
      <c r="A908" s="40"/>
      <c r="B908" s="41"/>
      <c r="C908" s="67"/>
      <c r="D908" s="225"/>
      <c r="E908" s="225"/>
      <c r="F908" s="292"/>
      <c r="G908" s="46"/>
    </row>
    <row r="909" ht="15.75" customHeight="1">
      <c r="A909" s="40"/>
      <c r="B909" s="41"/>
      <c r="C909" s="67"/>
      <c r="D909" s="225"/>
      <c r="E909" s="225"/>
      <c r="F909" s="292"/>
      <c r="G909" s="46"/>
    </row>
    <row r="910" ht="15.75" customHeight="1">
      <c r="A910" s="40"/>
      <c r="B910" s="41"/>
      <c r="C910" s="67"/>
      <c r="D910" s="225"/>
      <c r="E910" s="225"/>
      <c r="F910" s="292"/>
      <c r="G910" s="46"/>
    </row>
    <row r="911" ht="15.75" customHeight="1">
      <c r="A911" s="40"/>
      <c r="B911" s="41"/>
      <c r="C911" s="67"/>
      <c r="D911" s="225"/>
      <c r="E911" s="225"/>
      <c r="F911" s="292"/>
      <c r="G911" s="46"/>
    </row>
    <row r="912" ht="15.75" customHeight="1">
      <c r="A912" s="40"/>
      <c r="B912" s="41"/>
      <c r="C912" s="67"/>
      <c r="D912" s="225"/>
      <c r="E912" s="225"/>
      <c r="F912" s="292"/>
      <c r="G912" s="46"/>
    </row>
    <row r="913" ht="15.75" customHeight="1">
      <c r="A913" s="40"/>
      <c r="B913" s="41"/>
      <c r="C913" s="67"/>
      <c r="D913" s="225"/>
      <c r="E913" s="225"/>
      <c r="F913" s="292"/>
      <c r="G913" s="46"/>
    </row>
    <row r="914" ht="15.75" customHeight="1">
      <c r="A914" s="40"/>
      <c r="B914" s="41"/>
      <c r="C914" s="67"/>
      <c r="D914" s="225"/>
      <c r="E914" s="225"/>
      <c r="F914" s="292"/>
      <c r="G914" s="46"/>
    </row>
    <row r="915" ht="15.75" customHeight="1">
      <c r="A915" s="40"/>
      <c r="B915" s="41"/>
      <c r="C915" s="67"/>
      <c r="D915" s="225"/>
      <c r="E915" s="225"/>
      <c r="F915" s="292"/>
      <c r="G915" s="46"/>
    </row>
    <row r="916" ht="15.75" customHeight="1">
      <c r="A916" s="40"/>
      <c r="B916" s="41"/>
      <c r="C916" s="67"/>
      <c r="D916" s="225"/>
      <c r="E916" s="225"/>
      <c r="F916" s="292"/>
      <c r="G916" s="46"/>
    </row>
    <row r="917" ht="15.75" customHeight="1">
      <c r="A917" s="40"/>
      <c r="B917" s="41"/>
      <c r="C917" s="67"/>
      <c r="D917" s="225"/>
      <c r="E917" s="225"/>
      <c r="F917" s="292"/>
      <c r="G917" s="46"/>
    </row>
    <row r="918" ht="15.75" customHeight="1">
      <c r="A918" s="40"/>
      <c r="B918" s="41"/>
      <c r="C918" s="67"/>
      <c r="D918" s="225"/>
      <c r="E918" s="225"/>
      <c r="F918" s="292"/>
      <c r="G918" s="46"/>
    </row>
    <row r="919" ht="15.75" customHeight="1">
      <c r="A919" s="40"/>
      <c r="B919" s="41"/>
      <c r="C919" s="67"/>
      <c r="D919" s="225"/>
      <c r="E919" s="225"/>
      <c r="F919" s="292"/>
      <c r="G919" s="46"/>
    </row>
    <row r="920" ht="15.75" customHeight="1">
      <c r="A920" s="40"/>
      <c r="B920" s="41"/>
      <c r="C920" s="67"/>
      <c r="D920" s="225"/>
      <c r="E920" s="225"/>
      <c r="F920" s="292"/>
      <c r="G920" s="46"/>
    </row>
    <row r="921" ht="15.75" customHeight="1">
      <c r="A921" s="40"/>
      <c r="B921" s="41"/>
      <c r="C921" s="67"/>
      <c r="D921" s="225"/>
      <c r="E921" s="225"/>
      <c r="F921" s="292"/>
      <c r="G921" s="46"/>
    </row>
    <row r="922" ht="15.75" customHeight="1">
      <c r="A922" s="40"/>
      <c r="B922" s="41"/>
      <c r="C922" s="67"/>
      <c r="D922" s="225"/>
      <c r="E922" s="225"/>
      <c r="F922" s="292"/>
      <c r="G922" s="46"/>
    </row>
    <row r="923" ht="15.75" customHeight="1">
      <c r="A923" s="40"/>
      <c r="B923" s="41"/>
      <c r="C923" s="67"/>
      <c r="D923" s="225"/>
      <c r="E923" s="225"/>
      <c r="F923" s="292"/>
      <c r="G923" s="46"/>
    </row>
    <row r="924" ht="15.75" customHeight="1">
      <c r="A924" s="40"/>
      <c r="B924" s="41"/>
      <c r="C924" s="67"/>
      <c r="D924" s="225"/>
      <c r="E924" s="225"/>
      <c r="F924" s="292"/>
      <c r="G924" s="46"/>
    </row>
    <row r="925" ht="15.75" customHeight="1">
      <c r="A925" s="40"/>
      <c r="B925" s="41"/>
      <c r="C925" s="67"/>
      <c r="D925" s="225"/>
      <c r="E925" s="225"/>
      <c r="F925" s="292"/>
      <c r="G925" s="46"/>
    </row>
    <row r="926" ht="15.75" customHeight="1">
      <c r="A926" s="40"/>
      <c r="B926" s="41"/>
      <c r="C926" s="67"/>
      <c r="D926" s="225"/>
      <c r="E926" s="225"/>
      <c r="F926" s="292"/>
      <c r="G926" s="46"/>
    </row>
    <row r="927" ht="15.75" customHeight="1">
      <c r="A927" s="40"/>
      <c r="B927" s="41"/>
      <c r="C927" s="67"/>
      <c r="D927" s="225"/>
      <c r="E927" s="225"/>
      <c r="F927" s="292"/>
      <c r="G927" s="46"/>
    </row>
    <row r="928" ht="15.75" customHeight="1">
      <c r="A928" s="40"/>
      <c r="B928" s="41"/>
      <c r="C928" s="67"/>
      <c r="D928" s="225"/>
      <c r="E928" s="225"/>
      <c r="F928" s="292"/>
      <c r="G928" s="46"/>
    </row>
    <row r="929" ht="15.75" customHeight="1">
      <c r="A929" s="40"/>
      <c r="B929" s="41"/>
      <c r="C929" s="67"/>
      <c r="D929" s="225"/>
      <c r="E929" s="225"/>
      <c r="F929" s="292"/>
      <c r="G929" s="46"/>
    </row>
    <row r="930" ht="15.75" customHeight="1">
      <c r="A930" s="40"/>
      <c r="B930" s="41"/>
      <c r="C930" s="67"/>
      <c r="D930" s="225"/>
      <c r="E930" s="225"/>
      <c r="F930" s="292"/>
      <c r="G930" s="46"/>
    </row>
    <row r="931" ht="15.75" customHeight="1">
      <c r="A931" s="40"/>
      <c r="B931" s="41"/>
      <c r="C931" s="67"/>
      <c r="D931" s="225"/>
      <c r="E931" s="225"/>
      <c r="F931" s="292"/>
      <c r="G931" s="46"/>
    </row>
    <row r="932" ht="15.75" customHeight="1">
      <c r="A932" s="40"/>
      <c r="B932" s="41"/>
      <c r="C932" s="67"/>
      <c r="D932" s="225"/>
      <c r="E932" s="225"/>
      <c r="F932" s="292"/>
      <c r="G932" s="46"/>
    </row>
    <row r="933" ht="15.75" customHeight="1">
      <c r="A933" s="40"/>
      <c r="B933" s="41"/>
      <c r="C933" s="67"/>
      <c r="D933" s="225"/>
      <c r="E933" s="225"/>
      <c r="F933" s="292"/>
      <c r="G933" s="46"/>
    </row>
    <row r="934" ht="15.75" customHeight="1">
      <c r="A934" s="40"/>
      <c r="B934" s="41"/>
      <c r="C934" s="67"/>
      <c r="D934" s="225"/>
      <c r="E934" s="225"/>
      <c r="F934" s="292"/>
      <c r="G934" s="46"/>
    </row>
    <row r="935" ht="15.75" customHeight="1">
      <c r="A935" s="40"/>
      <c r="B935" s="41"/>
      <c r="C935" s="67"/>
      <c r="D935" s="225"/>
      <c r="E935" s="225"/>
      <c r="F935" s="292"/>
      <c r="G935" s="46"/>
    </row>
    <row r="936" ht="15.75" customHeight="1">
      <c r="A936" s="40"/>
      <c r="B936" s="41"/>
      <c r="C936" s="67"/>
      <c r="D936" s="225"/>
      <c r="E936" s="225"/>
      <c r="F936" s="292"/>
      <c r="G936" s="46"/>
    </row>
    <row r="937" ht="15.75" customHeight="1">
      <c r="A937" s="40"/>
      <c r="B937" s="41"/>
      <c r="C937" s="67"/>
      <c r="D937" s="225"/>
      <c r="E937" s="225"/>
      <c r="F937" s="292"/>
      <c r="G937" s="46"/>
    </row>
    <row r="938" ht="15.75" customHeight="1">
      <c r="A938" s="40"/>
      <c r="B938" s="41"/>
      <c r="C938" s="67"/>
      <c r="D938" s="225"/>
      <c r="E938" s="225"/>
      <c r="F938" s="292"/>
      <c r="G938" s="46"/>
    </row>
    <row r="939" ht="15.75" customHeight="1">
      <c r="A939" s="40"/>
      <c r="B939" s="41"/>
      <c r="C939" s="67"/>
      <c r="D939" s="225"/>
      <c r="E939" s="225"/>
      <c r="F939" s="292"/>
      <c r="G939" s="46"/>
    </row>
    <row r="940" ht="15.75" customHeight="1">
      <c r="A940" s="40"/>
      <c r="B940" s="41"/>
      <c r="C940" s="67"/>
      <c r="D940" s="225"/>
      <c r="E940" s="225"/>
      <c r="F940" s="292"/>
      <c r="G940" s="46"/>
    </row>
    <row r="941" ht="15.75" customHeight="1">
      <c r="A941" s="40"/>
      <c r="B941" s="41"/>
      <c r="C941" s="67"/>
      <c r="D941" s="225"/>
      <c r="E941" s="225"/>
      <c r="F941" s="292"/>
      <c r="G941" s="46"/>
    </row>
    <row r="942" ht="15.75" customHeight="1">
      <c r="A942" s="40"/>
      <c r="B942" s="41"/>
      <c r="C942" s="67"/>
      <c r="D942" s="225"/>
      <c r="E942" s="225"/>
      <c r="F942" s="292"/>
      <c r="G942" s="46"/>
    </row>
    <row r="943" ht="15.75" customHeight="1">
      <c r="A943" s="40"/>
      <c r="B943" s="41"/>
      <c r="C943" s="67"/>
      <c r="D943" s="225"/>
      <c r="E943" s="225"/>
      <c r="F943" s="292"/>
      <c r="G943" s="46"/>
    </row>
    <row r="944" ht="15.75" customHeight="1">
      <c r="A944" s="40"/>
      <c r="B944" s="41"/>
      <c r="C944" s="67"/>
      <c r="D944" s="225"/>
      <c r="E944" s="225"/>
      <c r="F944" s="292"/>
      <c r="G944" s="46"/>
    </row>
    <row r="945" ht="15.75" customHeight="1">
      <c r="A945" s="40"/>
      <c r="B945" s="41"/>
      <c r="C945" s="67"/>
      <c r="D945" s="225"/>
      <c r="E945" s="225"/>
      <c r="F945" s="292"/>
      <c r="G945" s="46"/>
    </row>
    <row r="946" ht="15.75" customHeight="1">
      <c r="A946" s="40"/>
      <c r="B946" s="41"/>
      <c r="C946" s="67"/>
      <c r="D946" s="225"/>
      <c r="E946" s="225"/>
      <c r="F946" s="292"/>
      <c r="G946" s="46"/>
    </row>
    <row r="947" ht="15.75" customHeight="1">
      <c r="A947" s="40"/>
      <c r="B947" s="41"/>
      <c r="C947" s="67"/>
      <c r="D947" s="225"/>
      <c r="E947" s="225"/>
      <c r="F947" s="292"/>
      <c r="G947" s="46"/>
    </row>
    <row r="948" ht="15.75" customHeight="1">
      <c r="A948" s="40"/>
      <c r="B948" s="41"/>
      <c r="C948" s="67"/>
      <c r="D948" s="225"/>
      <c r="E948" s="225"/>
      <c r="F948" s="292"/>
      <c r="G948" s="46"/>
    </row>
    <row r="949" ht="15.75" customHeight="1">
      <c r="A949" s="40"/>
      <c r="B949" s="41"/>
      <c r="C949" s="67"/>
      <c r="D949" s="225"/>
      <c r="E949" s="225"/>
      <c r="F949" s="292"/>
      <c r="G949" s="46"/>
    </row>
    <row r="950" ht="15.75" customHeight="1">
      <c r="A950" s="40"/>
      <c r="B950" s="41"/>
      <c r="C950" s="67"/>
      <c r="D950" s="225"/>
      <c r="E950" s="225"/>
      <c r="F950" s="292"/>
      <c r="G950" s="46"/>
    </row>
    <row r="951" ht="15.75" customHeight="1">
      <c r="A951" s="40"/>
      <c r="B951" s="41"/>
      <c r="C951" s="67"/>
      <c r="D951" s="225"/>
      <c r="E951" s="225"/>
      <c r="F951" s="292"/>
      <c r="G951" s="46"/>
    </row>
    <row r="952" ht="15.75" customHeight="1">
      <c r="A952" s="40"/>
      <c r="B952" s="41"/>
      <c r="C952" s="67"/>
      <c r="D952" s="225"/>
      <c r="E952" s="225"/>
      <c r="F952" s="292"/>
      <c r="G952" s="46"/>
    </row>
    <row r="953" ht="15.75" customHeight="1">
      <c r="A953" s="40"/>
      <c r="B953" s="41"/>
      <c r="C953" s="67"/>
      <c r="D953" s="225"/>
      <c r="E953" s="225"/>
      <c r="F953" s="292"/>
      <c r="G953" s="46"/>
    </row>
    <row r="954" ht="15.75" customHeight="1">
      <c r="A954" s="40"/>
      <c r="B954" s="41"/>
      <c r="C954" s="67"/>
      <c r="D954" s="225"/>
      <c r="E954" s="225"/>
      <c r="F954" s="292"/>
      <c r="G954" s="46"/>
    </row>
    <row r="955" ht="15.75" customHeight="1">
      <c r="A955" s="40"/>
      <c r="B955" s="41"/>
      <c r="C955" s="67"/>
      <c r="D955" s="225"/>
      <c r="E955" s="225"/>
      <c r="F955" s="292"/>
      <c r="G955" s="46"/>
    </row>
    <row r="956" ht="15.75" customHeight="1">
      <c r="A956" s="40"/>
      <c r="B956" s="41"/>
      <c r="C956" s="67"/>
      <c r="D956" s="225"/>
      <c r="E956" s="225"/>
      <c r="F956" s="292"/>
      <c r="G956" s="46"/>
    </row>
    <row r="957" ht="15.75" customHeight="1">
      <c r="A957" s="40"/>
      <c r="B957" s="41"/>
      <c r="C957" s="67"/>
      <c r="D957" s="225"/>
      <c r="E957" s="225"/>
      <c r="F957" s="292"/>
      <c r="G957" s="46"/>
    </row>
    <row r="958" ht="15.75" customHeight="1">
      <c r="A958" s="40"/>
      <c r="B958" s="41"/>
      <c r="C958" s="67"/>
      <c r="D958" s="225"/>
      <c r="E958" s="225"/>
      <c r="F958" s="292"/>
      <c r="G958" s="46"/>
    </row>
    <row r="959" ht="15.75" customHeight="1">
      <c r="A959" s="40"/>
      <c r="B959" s="41"/>
      <c r="C959" s="67"/>
      <c r="D959" s="225"/>
      <c r="E959" s="225"/>
      <c r="F959" s="292"/>
      <c r="G959" s="46"/>
    </row>
    <row r="960" ht="15.75" customHeight="1">
      <c r="A960" s="40"/>
      <c r="B960" s="41"/>
      <c r="C960" s="67"/>
      <c r="D960" s="225"/>
      <c r="E960" s="225"/>
      <c r="F960" s="292"/>
      <c r="G960" s="46"/>
    </row>
    <row r="961" ht="15.75" customHeight="1">
      <c r="A961" s="40"/>
      <c r="B961" s="41"/>
      <c r="C961" s="67"/>
      <c r="D961" s="225"/>
      <c r="E961" s="225"/>
      <c r="F961" s="292"/>
      <c r="G961" s="46"/>
    </row>
    <row r="962" ht="15.75" customHeight="1">
      <c r="A962" s="40"/>
      <c r="B962" s="41"/>
      <c r="C962" s="67"/>
      <c r="D962" s="225"/>
      <c r="E962" s="225"/>
      <c r="F962" s="292"/>
      <c r="G962" s="46"/>
    </row>
    <row r="963" ht="15.75" customHeight="1">
      <c r="A963" s="40"/>
      <c r="B963" s="41"/>
      <c r="C963" s="67"/>
      <c r="D963" s="225"/>
      <c r="E963" s="225"/>
      <c r="F963" s="292"/>
      <c r="G963" s="46"/>
    </row>
    <row r="964" ht="15.75" customHeight="1">
      <c r="A964" s="40"/>
      <c r="B964" s="41"/>
      <c r="C964" s="67"/>
      <c r="D964" s="225"/>
      <c r="E964" s="225"/>
      <c r="F964" s="292"/>
      <c r="G964" s="46"/>
    </row>
    <row r="965" ht="15.75" customHeight="1">
      <c r="A965" s="40"/>
      <c r="B965" s="41"/>
      <c r="C965" s="67"/>
      <c r="D965" s="225"/>
      <c r="E965" s="225"/>
      <c r="F965" s="292"/>
      <c r="G965" s="46"/>
    </row>
    <row r="966" ht="15.75" customHeight="1">
      <c r="A966" s="40"/>
      <c r="B966" s="41"/>
      <c r="C966" s="67"/>
      <c r="D966" s="225"/>
      <c r="E966" s="225"/>
      <c r="F966" s="292"/>
      <c r="G966" s="46"/>
    </row>
    <row r="967" ht="15.75" customHeight="1">
      <c r="A967" s="40"/>
      <c r="B967" s="41"/>
      <c r="C967" s="67"/>
      <c r="D967" s="225"/>
      <c r="E967" s="225"/>
      <c r="F967" s="292"/>
      <c r="G967" s="46"/>
    </row>
    <row r="968" ht="15.75" customHeight="1">
      <c r="A968" s="40"/>
      <c r="B968" s="41"/>
      <c r="C968" s="67"/>
      <c r="D968" s="225"/>
      <c r="E968" s="225"/>
      <c r="F968" s="292"/>
      <c r="G968" s="46"/>
    </row>
    <row r="969" ht="15.75" customHeight="1">
      <c r="A969" s="40"/>
      <c r="B969" s="41"/>
      <c r="C969" s="67"/>
      <c r="D969" s="225"/>
      <c r="E969" s="225"/>
      <c r="F969" s="292"/>
      <c r="G969" s="46"/>
    </row>
    <row r="970" ht="15.75" customHeight="1">
      <c r="A970" s="40"/>
      <c r="B970" s="41"/>
      <c r="C970" s="67"/>
      <c r="D970" s="225"/>
      <c r="E970" s="225"/>
      <c r="F970" s="292"/>
      <c r="G970" s="46"/>
    </row>
    <row r="971" ht="15.75" customHeight="1">
      <c r="A971" s="40"/>
      <c r="B971" s="41"/>
      <c r="C971" s="67"/>
      <c r="D971" s="225"/>
      <c r="E971" s="225"/>
      <c r="F971" s="292"/>
      <c r="G971" s="46"/>
    </row>
    <row r="972" ht="15.75" customHeight="1">
      <c r="A972" s="40"/>
      <c r="B972" s="41"/>
      <c r="C972" s="67"/>
      <c r="D972" s="225"/>
      <c r="E972" s="225"/>
      <c r="F972" s="292"/>
      <c r="G972" s="46"/>
    </row>
    <row r="973" ht="15.75" customHeight="1">
      <c r="A973" s="40"/>
      <c r="B973" s="41"/>
      <c r="C973" s="67"/>
      <c r="D973" s="225"/>
      <c r="E973" s="225"/>
      <c r="F973" s="292"/>
      <c r="G973" s="46"/>
    </row>
    <row r="974" ht="15.75" customHeight="1">
      <c r="A974" s="40"/>
      <c r="B974" s="41"/>
      <c r="C974" s="67"/>
      <c r="D974" s="225"/>
      <c r="E974" s="225"/>
      <c r="F974" s="292"/>
      <c r="G974" s="46"/>
    </row>
    <row r="975" ht="15.75" customHeight="1">
      <c r="A975" s="40"/>
      <c r="B975" s="41"/>
      <c r="C975" s="67"/>
      <c r="D975" s="225"/>
      <c r="E975" s="225"/>
      <c r="F975" s="292"/>
      <c r="G975" s="46"/>
    </row>
    <row r="976" ht="15.75" customHeight="1">
      <c r="A976" s="40"/>
      <c r="B976" s="41"/>
      <c r="C976" s="67"/>
      <c r="D976" s="225"/>
      <c r="E976" s="225"/>
      <c r="F976" s="292"/>
      <c r="G976" s="46"/>
    </row>
    <row r="977" ht="15.75" customHeight="1">
      <c r="A977" s="40"/>
      <c r="B977" s="41"/>
      <c r="C977" s="67"/>
      <c r="D977" s="225"/>
      <c r="E977" s="225"/>
      <c r="F977" s="292"/>
      <c r="G977" s="46"/>
    </row>
    <row r="978" ht="15.75" customHeight="1">
      <c r="A978" s="40"/>
      <c r="B978" s="41"/>
      <c r="C978" s="67"/>
      <c r="D978" s="225"/>
      <c r="E978" s="225"/>
      <c r="F978" s="292"/>
      <c r="G978" s="46"/>
    </row>
    <row r="979" ht="15.75" customHeight="1">
      <c r="A979" s="40"/>
      <c r="B979" s="41"/>
      <c r="C979" s="67"/>
      <c r="D979" s="225"/>
      <c r="E979" s="225"/>
      <c r="F979" s="292"/>
      <c r="G979" s="46"/>
    </row>
    <row r="980" ht="15.75" customHeight="1">
      <c r="A980" s="40"/>
      <c r="B980" s="41"/>
      <c r="C980" s="67"/>
      <c r="D980" s="225"/>
      <c r="E980" s="225"/>
      <c r="F980" s="292"/>
      <c r="G980" s="46"/>
    </row>
    <row r="981" ht="15.75" customHeight="1">
      <c r="A981" s="40"/>
      <c r="B981" s="41"/>
      <c r="C981" s="67"/>
      <c r="D981" s="225"/>
      <c r="E981" s="225"/>
      <c r="F981" s="292"/>
      <c r="G981" s="46"/>
    </row>
    <row r="982" ht="15.75" customHeight="1">
      <c r="A982" s="40"/>
      <c r="B982" s="41"/>
      <c r="C982" s="67"/>
      <c r="D982" s="225"/>
      <c r="E982" s="225"/>
      <c r="F982" s="292"/>
      <c r="G982" s="46"/>
    </row>
    <row r="983" ht="15.75" customHeight="1">
      <c r="A983" s="40"/>
      <c r="B983" s="41"/>
      <c r="C983" s="67"/>
      <c r="D983" s="225"/>
      <c r="E983" s="225"/>
      <c r="F983" s="292"/>
      <c r="G983" s="46"/>
    </row>
    <row r="984" ht="15.75" customHeight="1">
      <c r="A984" s="40"/>
      <c r="B984" s="41"/>
      <c r="C984" s="67"/>
      <c r="D984" s="225"/>
      <c r="E984" s="225"/>
      <c r="F984" s="292"/>
      <c r="G984" s="46"/>
    </row>
    <row r="985" ht="15.75" customHeight="1">
      <c r="A985" s="40"/>
      <c r="B985" s="41"/>
      <c r="C985" s="67"/>
      <c r="D985" s="225"/>
      <c r="E985" s="225"/>
      <c r="F985" s="292"/>
      <c r="G985" s="46"/>
    </row>
    <row r="986" ht="15.75" customHeight="1">
      <c r="A986" s="40"/>
      <c r="B986" s="41"/>
      <c r="C986" s="67"/>
      <c r="D986" s="225"/>
      <c r="E986" s="225"/>
      <c r="F986" s="292"/>
      <c r="G986" s="46"/>
    </row>
    <row r="987" ht="15.75" customHeight="1">
      <c r="A987" s="40"/>
      <c r="B987" s="41"/>
      <c r="C987" s="67"/>
      <c r="D987" s="225"/>
      <c r="E987" s="225"/>
      <c r="F987" s="292"/>
      <c r="G987" s="46"/>
    </row>
    <row r="988" ht="15.75" customHeight="1">
      <c r="A988" s="40"/>
      <c r="B988" s="41"/>
      <c r="C988" s="67"/>
      <c r="D988" s="225"/>
      <c r="E988" s="225"/>
      <c r="F988" s="292"/>
      <c r="G988" s="46"/>
    </row>
    <row r="989" ht="15.75" customHeight="1">
      <c r="A989" s="40"/>
      <c r="B989" s="41"/>
      <c r="C989" s="67"/>
      <c r="D989" s="225"/>
      <c r="E989" s="225"/>
      <c r="F989" s="292"/>
      <c r="G989" s="46"/>
    </row>
    <row r="990" ht="15.75" customHeight="1">
      <c r="A990" s="40"/>
      <c r="B990" s="41"/>
      <c r="C990" s="67"/>
      <c r="D990" s="225"/>
      <c r="E990" s="225"/>
      <c r="F990" s="292"/>
      <c r="G990" s="46"/>
    </row>
    <row r="991" ht="15.75" customHeight="1">
      <c r="A991" s="40"/>
      <c r="B991" s="41"/>
      <c r="C991" s="67"/>
      <c r="D991" s="225"/>
      <c r="E991" s="225"/>
      <c r="F991" s="292"/>
      <c r="G991" s="46"/>
    </row>
    <row r="992" ht="15.75" customHeight="1">
      <c r="A992" s="40"/>
      <c r="B992" s="41"/>
      <c r="C992" s="67"/>
      <c r="D992" s="225"/>
      <c r="E992" s="225"/>
      <c r="F992" s="292"/>
      <c r="G992" s="46"/>
    </row>
    <row r="993" ht="15.75" customHeight="1">
      <c r="A993" s="40"/>
      <c r="B993" s="41"/>
      <c r="C993" s="67"/>
      <c r="D993" s="225"/>
      <c r="E993" s="225"/>
      <c r="F993" s="292"/>
      <c r="G993" s="46"/>
    </row>
    <row r="994" ht="15.75" customHeight="1">
      <c r="A994" s="40"/>
      <c r="B994" s="41"/>
      <c r="C994" s="67"/>
      <c r="D994" s="225"/>
      <c r="E994" s="225"/>
      <c r="F994" s="292"/>
      <c r="G994" s="46"/>
    </row>
    <row r="995" ht="15.75" customHeight="1">
      <c r="A995" s="40"/>
      <c r="B995" s="41"/>
      <c r="C995" s="67"/>
      <c r="D995" s="225"/>
      <c r="E995" s="225"/>
      <c r="F995" s="292"/>
      <c r="G995" s="46"/>
    </row>
    <row r="996" ht="15.75" customHeight="1">
      <c r="A996" s="40"/>
      <c r="B996" s="41"/>
      <c r="C996" s="67"/>
      <c r="D996" s="225"/>
      <c r="E996" s="225"/>
      <c r="F996" s="292"/>
      <c r="G996" s="46"/>
    </row>
    <row r="997" ht="15.75" customHeight="1">
      <c r="A997" s="40"/>
      <c r="B997" s="41"/>
      <c r="C997" s="67"/>
      <c r="D997" s="225"/>
      <c r="E997" s="225"/>
      <c r="F997" s="292"/>
      <c r="G997" s="46"/>
    </row>
    <row r="998" ht="15.75" customHeight="1">
      <c r="A998" s="40"/>
      <c r="B998" s="41"/>
      <c r="C998" s="67"/>
      <c r="D998" s="225"/>
      <c r="E998" s="225"/>
      <c r="F998" s="292"/>
      <c r="G998" s="46"/>
    </row>
    <row r="999" ht="15.75" customHeight="1">
      <c r="A999" s="40"/>
      <c r="B999" s="41"/>
      <c r="C999" s="67"/>
      <c r="D999" s="225"/>
      <c r="E999" s="225"/>
      <c r="F999" s="292"/>
      <c r="G999" s="46"/>
    </row>
    <row r="1000" ht="15.75" customHeight="1">
      <c r="A1000" s="40"/>
      <c r="B1000" s="41"/>
      <c r="C1000" s="67"/>
      <c r="D1000" s="225"/>
      <c r="E1000" s="225"/>
      <c r="F1000" s="292"/>
      <c r="G1000" s="46"/>
    </row>
    <row r="1001" ht="15.75" customHeight="1">
      <c r="A1001" s="40"/>
      <c r="B1001" s="41"/>
      <c r="C1001" s="67"/>
      <c r="D1001" s="225"/>
      <c r="E1001" s="225"/>
      <c r="F1001" s="292"/>
      <c r="G1001" s="46"/>
    </row>
  </sheetData>
  <conditionalFormatting sqref="C3:G17 C19:G22 C24:G29 C31:G36 G38:G44 C39:F44 C46:G52 G54:G58 G60:G68 C70:G80 G82:G91 C87:F90 G93:G100 C96:F96 C98:F98 C102:F102 G102:G106 C108:F108 G108:G112 C110:F110 C112:F112 C114:G1001">
    <cfRule type="containsText" dxfId="1" priority="1" operator="containsText" text="Mayor a 5">
      <formula>NOT(ISERROR(SEARCH(("Mayor a 5"),(C3))))</formula>
    </cfRule>
  </conditionalFormatting>
  <conditionalFormatting sqref="C3:G17 C19:G22 C24:G29 C31:G36 G38:G44 C39:F44 C46:G52 G54:G58 G60:G68 C70:G80 G82:G91 C87:F90 G93:G100 C96:F96 C98:F98 C102:F102 G102:G106 C108:F108 G108:G112 C110:F110 C112:F112 C114:G1001">
    <cfRule type="containsText" dxfId="2" priority="2" operator="containsText" text="Menor a 5">
      <formula>NOT(ISERROR(SEARCH(("Menor a 5"),(C3))))</formula>
    </cfRule>
  </conditionalFormatting>
  <conditionalFormatting sqref="C3:G17 C19:G22 C24:G29 C31:G36 G38:G44 C39:F44 C46:G52 G54:G58 G60:G68 C70:G80 G82:G91 C87:F90 G93:G100 C96:F96 C98:F98 C102:F102 G102:G106 C108:F108 G108:G112 C110:F110 C112:F112 C114:G1001">
    <cfRule type="containsText" dxfId="3" priority="3" operator="containsText" text="Sin stock">
      <formula>NOT(ISERROR(SEARCH(("Sin stock"),(C3))))</formula>
    </cfRule>
  </conditionalFormatting>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5"/>
    <hyperlink r:id="rId14" ref="B16"/>
    <hyperlink r:id="rId15" ref="B17"/>
    <hyperlink r:id="rId16" ref="B19"/>
    <hyperlink r:id="rId17" ref="B20"/>
    <hyperlink r:id="rId18" ref="B21"/>
    <hyperlink r:id="rId19" ref="B22"/>
    <hyperlink r:id="rId20" ref="B24"/>
    <hyperlink r:id="rId21" ref="B25"/>
    <hyperlink r:id="rId22" ref="B26"/>
    <hyperlink r:id="rId23" ref="B27"/>
    <hyperlink r:id="rId24" ref="B28"/>
    <hyperlink r:id="rId25" ref="B29"/>
    <hyperlink r:id="rId26" ref="B31"/>
    <hyperlink r:id="rId27" ref="B32"/>
    <hyperlink r:id="rId28" ref="B33"/>
    <hyperlink r:id="rId29" ref="B34"/>
    <hyperlink r:id="rId30" ref="B35"/>
    <hyperlink r:id="rId31" ref="B36"/>
    <hyperlink r:id="rId32" ref="B38"/>
    <hyperlink r:id="rId33" ref="B39"/>
    <hyperlink r:id="rId34" ref="B40"/>
    <hyperlink r:id="rId35" ref="B42"/>
    <hyperlink r:id="rId36" ref="B43"/>
    <hyperlink r:id="rId37" ref="B44"/>
    <hyperlink r:id="rId38" ref="B46"/>
    <hyperlink r:id="rId39" ref="B47"/>
    <hyperlink r:id="rId40" ref="B48"/>
    <hyperlink r:id="rId41" ref="B49"/>
    <hyperlink r:id="rId42" ref="B50"/>
    <hyperlink r:id="rId43" ref="B51"/>
    <hyperlink r:id="rId44" ref="B52"/>
    <hyperlink r:id="rId45" ref="B54"/>
    <hyperlink r:id="rId46" ref="B55"/>
    <hyperlink r:id="rId47" ref="B56"/>
    <hyperlink r:id="rId48" ref="B57"/>
    <hyperlink r:id="rId49" ref="B58"/>
    <hyperlink r:id="rId50" ref="B60"/>
    <hyperlink r:id="rId51" ref="B61"/>
    <hyperlink r:id="rId52" ref="B62"/>
    <hyperlink r:id="rId53" ref="B63"/>
    <hyperlink r:id="rId54" ref="B64"/>
    <hyperlink r:id="rId55" ref="B65"/>
    <hyperlink r:id="rId56" ref="B68"/>
    <hyperlink r:id="rId57" ref="B70"/>
    <hyperlink r:id="rId58" ref="B71"/>
    <hyperlink r:id="rId59" ref="B72"/>
    <hyperlink r:id="rId60" ref="B74"/>
    <hyperlink r:id="rId61" ref="B75"/>
    <hyperlink r:id="rId62" ref="B76"/>
    <hyperlink r:id="rId63" ref="B77"/>
    <hyperlink r:id="rId64" ref="B78"/>
    <hyperlink r:id="rId65" ref="B79"/>
    <hyperlink r:id="rId66" ref="B80"/>
    <hyperlink r:id="rId67" ref="B82"/>
    <hyperlink r:id="rId68" ref="B83"/>
    <hyperlink r:id="rId69" ref="B84"/>
    <hyperlink r:id="rId70" ref="B85"/>
    <hyperlink r:id="rId71" ref="B86"/>
    <hyperlink r:id="rId72" ref="B87"/>
    <hyperlink r:id="rId73" ref="B88"/>
    <hyperlink r:id="rId74" ref="B89"/>
    <hyperlink r:id="rId75" ref="B90"/>
    <hyperlink r:id="rId76" ref="B91"/>
    <hyperlink r:id="rId77" ref="B93"/>
    <hyperlink r:id="rId78" ref="B94"/>
    <hyperlink r:id="rId79" ref="B95"/>
    <hyperlink r:id="rId80" ref="B96"/>
    <hyperlink r:id="rId81" ref="B97"/>
    <hyperlink r:id="rId82" ref="B98"/>
    <hyperlink r:id="rId83" ref="B99"/>
    <hyperlink r:id="rId84" ref="B100"/>
    <hyperlink r:id="rId85" ref="B102"/>
    <hyperlink r:id="rId86" ref="B103"/>
    <hyperlink r:id="rId87" ref="B104"/>
    <hyperlink r:id="rId88" ref="B105"/>
    <hyperlink r:id="rId89" ref="B106"/>
    <hyperlink r:id="rId90" ref="B108"/>
    <hyperlink r:id="rId91" ref="B109"/>
    <hyperlink r:id="rId92" ref="B110"/>
    <hyperlink r:id="rId93" ref="B111"/>
    <hyperlink r:id="rId94" ref="B112"/>
    <hyperlink r:id="rId95" ref="B114"/>
    <hyperlink r:id="rId96" ref="B115"/>
    <hyperlink r:id="rId97" ref="B116"/>
    <hyperlink r:id="rId98" ref="B117"/>
    <hyperlink r:id="rId99" ref="B118"/>
    <hyperlink r:id="rId100" ref="B119"/>
    <hyperlink r:id="rId101" ref="B120"/>
    <hyperlink r:id="rId102" ref="B121"/>
    <hyperlink r:id="rId103" ref="B122"/>
    <hyperlink r:id="rId104" ref="B123"/>
    <hyperlink r:id="rId105" ref="B124"/>
    <hyperlink r:id="rId106" ref="B125"/>
    <hyperlink r:id="rId107" ref="B126"/>
  </hyperlinks>
  <printOptions/>
  <pageMargins bottom="0.75" footer="0.0" header="0.0" left="0.7" right="0.7" top="0.75"/>
  <pageSetup orientation="landscape"/>
  <drawing r:id="rId108"/>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0"/>
  <cols>
    <col customWidth="1" min="1" max="1" width="13.25"/>
    <col customWidth="1" min="2" max="2" width="21.5"/>
    <col customWidth="1" min="3" max="3" width="88.38"/>
    <col customWidth="1" min="4" max="4" width="15.0"/>
    <col customWidth="1" min="5" max="5" width="14.25"/>
    <col customWidth="1" min="6" max="7" width="9.25"/>
  </cols>
  <sheetData>
    <row r="1">
      <c r="A1" s="72" t="s">
        <v>23</v>
      </c>
      <c r="B1" s="72" t="s">
        <v>24</v>
      </c>
      <c r="C1" s="72" t="s">
        <v>25</v>
      </c>
      <c r="D1" s="119" t="s">
        <v>26</v>
      </c>
      <c r="E1" s="26" t="s">
        <v>27</v>
      </c>
      <c r="F1" s="83" t="s">
        <v>28</v>
      </c>
      <c r="G1" s="72" t="s">
        <v>29</v>
      </c>
      <c r="H1" s="131"/>
      <c r="I1" s="131"/>
      <c r="J1" s="131"/>
      <c r="K1" s="131"/>
      <c r="L1" s="131"/>
      <c r="M1" s="131"/>
      <c r="N1" s="131"/>
      <c r="O1" s="131"/>
      <c r="P1" s="131"/>
      <c r="Q1" s="131"/>
      <c r="R1" s="131"/>
      <c r="S1" s="131"/>
      <c r="T1" s="131"/>
      <c r="U1" s="131"/>
      <c r="V1" s="131"/>
      <c r="W1" s="131"/>
      <c r="X1" s="131"/>
      <c r="Y1" s="131"/>
    </row>
    <row r="2">
      <c r="A2" s="74" t="s">
        <v>5984</v>
      </c>
      <c r="B2" s="132"/>
      <c r="C2" s="132"/>
      <c r="D2" s="30"/>
      <c r="E2" s="75"/>
      <c r="F2" s="132"/>
      <c r="G2" s="132"/>
      <c r="H2" s="131"/>
      <c r="I2" s="131"/>
      <c r="J2" s="131"/>
      <c r="K2" s="131"/>
      <c r="L2" s="131"/>
      <c r="M2" s="131"/>
      <c r="N2" s="131"/>
      <c r="O2" s="131"/>
      <c r="P2" s="131"/>
      <c r="Q2" s="131"/>
      <c r="R2" s="131"/>
      <c r="S2" s="131"/>
      <c r="T2" s="131"/>
      <c r="U2" s="131"/>
      <c r="V2" s="131"/>
      <c r="W2" s="131"/>
      <c r="X2" s="131"/>
      <c r="Y2" s="131"/>
    </row>
    <row r="3">
      <c r="A3" s="76" t="s">
        <v>5985</v>
      </c>
      <c r="B3" s="76" t="s">
        <v>5986</v>
      </c>
      <c r="C3" s="293" t="s">
        <v>5987</v>
      </c>
      <c r="D3" s="43" t="s">
        <v>5988</v>
      </c>
      <c r="E3" s="43" t="s">
        <v>5989</v>
      </c>
      <c r="F3" s="122">
        <v>0.21</v>
      </c>
      <c r="G3" s="38" t="str">
        <f>IFERROR(VLOOKUP("MIC1.K",STOCK!B2:Q3677,3,FALSE),"SIN STOCK")</f>
        <v>Menor a 5</v>
      </c>
      <c r="H3" s="131"/>
      <c r="I3" s="131"/>
      <c r="J3" s="131"/>
      <c r="K3" s="131"/>
      <c r="L3" s="131"/>
      <c r="M3" s="131"/>
      <c r="N3" s="131"/>
      <c r="O3" s="131"/>
      <c r="P3" s="131"/>
      <c r="Q3" s="131"/>
      <c r="R3" s="131"/>
      <c r="S3" s="131"/>
      <c r="T3" s="131"/>
      <c r="U3" s="131"/>
      <c r="V3" s="131"/>
      <c r="W3" s="131"/>
      <c r="X3" s="131"/>
      <c r="Y3" s="131"/>
    </row>
    <row r="4">
      <c r="A4" s="79" t="s">
        <v>5985</v>
      </c>
      <c r="B4" s="79" t="s">
        <v>5990</v>
      </c>
      <c r="C4" s="294" t="s">
        <v>5991</v>
      </c>
      <c r="D4" s="36" t="s">
        <v>5992</v>
      </c>
      <c r="E4" s="36" t="s">
        <v>5993</v>
      </c>
      <c r="F4" s="37">
        <v>0.21</v>
      </c>
      <c r="G4" s="38" t="str">
        <f>IFERROR(VLOOKUP("MIC2.K",STOCK!B3:Q3678,3,FALSE),"SIN STOCK")</f>
        <v>Mayor a 5</v>
      </c>
      <c r="H4" s="131"/>
      <c r="I4" s="131"/>
      <c r="J4" s="131"/>
      <c r="K4" s="131"/>
      <c r="L4" s="131"/>
      <c r="M4" s="131"/>
      <c r="N4" s="131"/>
      <c r="O4" s="131"/>
      <c r="P4" s="131"/>
      <c r="Q4" s="131"/>
      <c r="R4" s="131"/>
      <c r="S4" s="131"/>
      <c r="T4" s="131"/>
      <c r="U4" s="131"/>
      <c r="V4" s="131"/>
      <c r="W4" s="131"/>
      <c r="X4" s="131"/>
      <c r="Y4" s="131"/>
    </row>
    <row r="5">
      <c r="A5" s="76" t="s">
        <v>5985</v>
      </c>
      <c r="B5" s="76" t="s">
        <v>5994</v>
      </c>
      <c r="C5" s="293" t="s">
        <v>5995</v>
      </c>
      <c r="D5" s="43" t="s">
        <v>5996</v>
      </c>
      <c r="E5" s="43" t="s">
        <v>5997</v>
      </c>
      <c r="F5" s="122">
        <v>0.21</v>
      </c>
      <c r="G5" s="38" t="str">
        <f>IFERROR(VLOOKUP("MIC4.K",STOCK!B4:Q3679,3,FALSE),"SIN STOCK")</f>
        <v>Menor a 5</v>
      </c>
      <c r="H5" s="131"/>
      <c r="I5" s="131"/>
      <c r="J5" s="131"/>
      <c r="K5" s="131"/>
      <c r="L5" s="131"/>
      <c r="M5" s="131"/>
      <c r="N5" s="131"/>
      <c r="O5" s="131"/>
      <c r="P5" s="131"/>
      <c r="Q5" s="131"/>
      <c r="R5" s="131"/>
      <c r="S5" s="131"/>
      <c r="T5" s="131"/>
      <c r="U5" s="131"/>
      <c r="V5" s="131"/>
      <c r="W5" s="131"/>
      <c r="X5" s="131"/>
      <c r="Y5" s="131"/>
    </row>
    <row r="6">
      <c r="A6" s="79" t="s">
        <v>5985</v>
      </c>
      <c r="B6" s="79" t="s">
        <v>5998</v>
      </c>
      <c r="C6" s="79" t="s">
        <v>5999</v>
      </c>
      <c r="D6" s="36" t="s">
        <v>2068</v>
      </c>
      <c r="E6" s="36" t="s">
        <v>2068</v>
      </c>
      <c r="F6" s="37">
        <v>0.21</v>
      </c>
      <c r="G6" s="38" t="str">
        <f>IFERROR(VLOOKUP("INST1.K",STOCK!B5:Q3680,3,FALSE),"SIN STOCK")</f>
        <v>Menor a 5</v>
      </c>
      <c r="H6" s="131"/>
      <c r="I6" s="131"/>
      <c r="J6" s="131"/>
      <c r="K6" s="131"/>
      <c r="L6" s="131"/>
      <c r="M6" s="131"/>
      <c r="N6" s="131"/>
      <c r="O6" s="131"/>
      <c r="P6" s="131"/>
      <c r="Q6" s="131"/>
      <c r="R6" s="131"/>
      <c r="S6" s="131"/>
      <c r="T6" s="131"/>
      <c r="U6" s="131"/>
      <c r="V6" s="131"/>
      <c r="W6" s="131"/>
      <c r="X6" s="131"/>
      <c r="Y6" s="131"/>
    </row>
    <row r="7">
      <c r="A7" s="74" t="s">
        <v>6000</v>
      </c>
      <c r="B7" s="132"/>
      <c r="C7" s="132"/>
      <c r="D7" s="30"/>
      <c r="E7" s="75"/>
      <c r="F7" s="132"/>
      <c r="G7" s="75"/>
      <c r="H7" s="131"/>
      <c r="I7" s="131"/>
      <c r="J7" s="131"/>
      <c r="K7" s="131"/>
      <c r="L7" s="131"/>
      <c r="M7" s="131"/>
      <c r="N7" s="131"/>
      <c r="O7" s="131"/>
      <c r="P7" s="131"/>
      <c r="Q7" s="131"/>
      <c r="R7" s="131"/>
      <c r="S7" s="131"/>
      <c r="T7" s="131"/>
      <c r="U7" s="131"/>
      <c r="V7" s="131"/>
      <c r="W7" s="131"/>
      <c r="X7" s="131"/>
      <c r="Y7" s="131"/>
    </row>
    <row r="8">
      <c r="A8" s="76" t="s">
        <v>5985</v>
      </c>
      <c r="B8" s="76" t="s">
        <v>6001</v>
      </c>
      <c r="C8" s="76" t="s">
        <v>6002</v>
      </c>
      <c r="D8" s="43" t="s">
        <v>6003</v>
      </c>
      <c r="E8" s="43" t="s">
        <v>6004</v>
      </c>
      <c r="F8" s="122">
        <v>0.21</v>
      </c>
      <c r="G8" s="38" t="str">
        <f>IFERROR(VLOOKUP("SN4-IJIS",STOCK!B7:Q3682,3,FALSE),"SIN STOCK")</f>
        <v>Menor a 5</v>
      </c>
      <c r="H8" s="131"/>
      <c r="I8" s="131"/>
      <c r="J8" s="131"/>
      <c r="K8" s="131"/>
      <c r="L8" s="131"/>
      <c r="M8" s="131"/>
      <c r="N8" s="131"/>
      <c r="O8" s="131"/>
      <c r="P8" s="131"/>
      <c r="Q8" s="131"/>
      <c r="R8" s="131"/>
      <c r="S8" s="131"/>
      <c r="T8" s="131"/>
      <c r="U8" s="131"/>
      <c r="V8" s="131"/>
      <c r="W8" s="131"/>
      <c r="X8" s="131"/>
      <c r="Y8" s="131"/>
    </row>
    <row r="9">
      <c r="A9" s="79" t="s">
        <v>5985</v>
      </c>
      <c r="B9" s="79" t="s">
        <v>6005</v>
      </c>
      <c r="C9" s="79" t="s">
        <v>6006</v>
      </c>
      <c r="D9" s="36" t="s">
        <v>6003</v>
      </c>
      <c r="E9" s="36" t="s">
        <v>6004</v>
      </c>
      <c r="F9" s="37">
        <v>0.21</v>
      </c>
      <c r="G9" s="38" t="str">
        <f>IFERROR(VLOOKUP("SN6-IJIS",STOCK!B8:Q3683,3,FALSE),"SIN STOCK")</f>
        <v>Menor a 5</v>
      </c>
      <c r="H9" s="131"/>
      <c r="I9" s="131"/>
      <c r="J9" s="131"/>
      <c r="K9" s="131"/>
      <c r="L9" s="131"/>
      <c r="M9" s="131"/>
      <c r="N9" s="131"/>
      <c r="O9" s="131"/>
      <c r="P9" s="131"/>
      <c r="Q9" s="131"/>
      <c r="R9" s="131"/>
      <c r="S9" s="131"/>
      <c r="T9" s="131"/>
      <c r="U9" s="131"/>
      <c r="V9" s="131"/>
      <c r="W9" s="131"/>
      <c r="X9" s="131"/>
      <c r="Y9" s="131"/>
    </row>
    <row r="10">
      <c r="A10" s="76" t="s">
        <v>5985</v>
      </c>
      <c r="B10" s="76" t="s">
        <v>6007</v>
      </c>
      <c r="C10" s="76" t="s">
        <v>6008</v>
      </c>
      <c r="D10" s="43" t="s">
        <v>6009</v>
      </c>
      <c r="E10" s="43" t="s">
        <v>6010</v>
      </c>
      <c r="F10" s="122">
        <v>0.21</v>
      </c>
      <c r="G10" s="38" t="str">
        <f>IFERROR(VLOOKUP("SN9-IJIS",STOCK!B9:Q3684,3,FALSE),"SIN STOCK")</f>
        <v>Mayor a 5</v>
      </c>
      <c r="H10" s="131"/>
      <c r="I10" s="131"/>
      <c r="J10" s="131"/>
      <c r="K10" s="131"/>
      <c r="L10" s="131"/>
      <c r="M10" s="131"/>
      <c r="N10" s="131"/>
      <c r="O10" s="131"/>
      <c r="P10" s="131"/>
      <c r="Q10" s="131"/>
      <c r="R10" s="131"/>
      <c r="S10" s="131"/>
      <c r="T10" s="131"/>
      <c r="U10" s="131"/>
      <c r="V10" s="131"/>
      <c r="W10" s="131"/>
      <c r="X10" s="131"/>
      <c r="Y10" s="131"/>
    </row>
    <row r="11">
      <c r="A11" s="79" t="s">
        <v>5985</v>
      </c>
      <c r="B11" s="79" t="s">
        <v>6011</v>
      </c>
      <c r="C11" s="79" t="s">
        <v>6012</v>
      </c>
      <c r="D11" s="36" t="s">
        <v>6013</v>
      </c>
      <c r="E11" s="36" t="s">
        <v>6014</v>
      </c>
      <c r="F11" s="37">
        <v>0.21</v>
      </c>
      <c r="G11" s="38" t="str">
        <f>IFERROR(VLOOKUP("SN12-IJIS",STOCK!B10:Q3685,3,FALSE),"SIN STOCK")</f>
        <v>Mayor a 5</v>
      </c>
      <c r="H11" s="131"/>
      <c r="I11" s="131"/>
      <c r="J11" s="131"/>
      <c r="K11" s="131"/>
      <c r="L11" s="131"/>
      <c r="M11" s="131"/>
      <c r="N11" s="131"/>
      <c r="O11" s="131"/>
      <c r="P11" s="131"/>
      <c r="Q11" s="131"/>
      <c r="R11" s="131"/>
      <c r="S11" s="131"/>
      <c r="T11" s="131"/>
      <c r="U11" s="131"/>
      <c r="V11" s="131"/>
      <c r="W11" s="131"/>
      <c r="X11" s="131"/>
      <c r="Y11" s="131"/>
    </row>
    <row r="12">
      <c r="A12" s="76" t="s">
        <v>5985</v>
      </c>
      <c r="B12" s="76" t="s">
        <v>6015</v>
      </c>
      <c r="C12" s="76" t="s">
        <v>6016</v>
      </c>
      <c r="D12" s="43" t="s">
        <v>5080</v>
      </c>
      <c r="E12" s="43" t="s">
        <v>6017</v>
      </c>
      <c r="F12" s="122">
        <v>0.21</v>
      </c>
      <c r="G12" s="38" t="str">
        <f>IFERROR(VLOOKUP("SN16-IJIS",STOCK!B11:Q3686,3,FALSE),"SIN STOCK")</f>
        <v>Menor a 5</v>
      </c>
      <c r="H12" s="131"/>
      <c r="I12" s="131"/>
      <c r="J12" s="131"/>
      <c r="K12" s="131"/>
      <c r="L12" s="131"/>
      <c r="M12" s="131"/>
      <c r="N12" s="131"/>
      <c r="O12" s="131"/>
      <c r="P12" s="131"/>
      <c r="Q12" s="131"/>
      <c r="R12" s="131"/>
      <c r="S12" s="131"/>
      <c r="T12" s="131"/>
      <c r="U12" s="131"/>
      <c r="V12" s="131"/>
      <c r="W12" s="131"/>
      <c r="X12" s="131"/>
      <c r="Y12" s="131"/>
    </row>
    <row r="13">
      <c r="A13" s="79" t="s">
        <v>5985</v>
      </c>
      <c r="B13" s="79" t="s">
        <v>6018</v>
      </c>
      <c r="C13" s="79" t="s">
        <v>6019</v>
      </c>
      <c r="D13" s="36" t="s">
        <v>2068</v>
      </c>
      <c r="E13" s="36" t="s">
        <v>2068</v>
      </c>
      <c r="F13" s="37">
        <v>0.21</v>
      </c>
      <c r="G13" s="38" t="str">
        <f>IFERROR(VLOOKUP("SN20-IJIS",STOCK!B12:Q3687,3,FALSE),"SIN STOCK")</f>
        <v>SIN STOCK</v>
      </c>
      <c r="H13" s="131"/>
      <c r="I13" s="131"/>
      <c r="J13" s="131"/>
      <c r="K13" s="131"/>
      <c r="L13" s="131"/>
      <c r="M13" s="131"/>
      <c r="N13" s="131"/>
      <c r="O13" s="131"/>
      <c r="P13" s="131"/>
      <c r="Q13" s="131"/>
      <c r="R13" s="131"/>
      <c r="S13" s="131"/>
      <c r="T13" s="131"/>
      <c r="U13" s="131"/>
      <c r="V13" s="131"/>
      <c r="W13" s="131"/>
      <c r="X13" s="131"/>
      <c r="Y13" s="131"/>
    </row>
    <row r="14">
      <c r="A14" s="76" t="s">
        <v>5985</v>
      </c>
      <c r="B14" s="76" t="s">
        <v>6020</v>
      </c>
      <c r="C14" s="76" t="s">
        <v>6021</v>
      </c>
      <c r="D14" s="43" t="s">
        <v>2068</v>
      </c>
      <c r="E14" s="43" t="s">
        <v>2068</v>
      </c>
      <c r="F14" s="122">
        <v>0.21</v>
      </c>
      <c r="G14" s="38" t="str">
        <f>IFERROR(VLOOKUP("SN28-IJIS",STOCK!B13:Q3688,3,FALSE),"SIN STOCK")</f>
        <v>SIN STOCK</v>
      </c>
      <c r="H14" s="131"/>
      <c r="I14" s="131"/>
      <c r="J14" s="131"/>
      <c r="K14" s="131"/>
      <c r="L14" s="131"/>
      <c r="M14" s="131"/>
      <c r="N14" s="131"/>
      <c r="O14" s="131"/>
      <c r="P14" s="131"/>
      <c r="Q14" s="131"/>
      <c r="R14" s="131"/>
      <c r="S14" s="131"/>
      <c r="T14" s="131"/>
      <c r="U14" s="131"/>
      <c r="V14" s="131"/>
      <c r="W14" s="131"/>
      <c r="X14" s="131"/>
      <c r="Y14" s="131"/>
    </row>
    <row r="15">
      <c r="A15" s="79" t="s">
        <v>5985</v>
      </c>
      <c r="B15" s="79" t="s">
        <v>6022</v>
      </c>
      <c r="C15" s="79" t="s">
        <v>6023</v>
      </c>
      <c r="D15" s="36" t="s">
        <v>2068</v>
      </c>
      <c r="E15" s="36" t="s">
        <v>2068</v>
      </c>
      <c r="F15" s="37">
        <v>0.21</v>
      </c>
      <c r="G15" s="38" t="str">
        <f>IFERROR(VLOOKUP("SN32-IJIS",STOCK!B14:Q3689,3,FALSE),"SIN STOCK")</f>
        <v>SIN STOCK</v>
      </c>
      <c r="H15" s="131"/>
      <c r="I15" s="131"/>
      <c r="J15" s="131"/>
      <c r="K15" s="131"/>
      <c r="L15" s="131"/>
      <c r="M15" s="131"/>
      <c r="N15" s="131"/>
      <c r="O15" s="131"/>
      <c r="P15" s="131"/>
      <c r="Q15" s="131"/>
      <c r="R15" s="131"/>
      <c r="S15" s="131"/>
      <c r="T15" s="131"/>
      <c r="U15" s="131"/>
      <c r="V15" s="131"/>
      <c r="W15" s="131"/>
      <c r="X15" s="131"/>
      <c r="Y15" s="131"/>
    </row>
    <row r="16">
      <c r="A16" s="74" t="s">
        <v>6024</v>
      </c>
      <c r="B16" s="132"/>
      <c r="C16" s="132"/>
      <c r="D16" s="30"/>
      <c r="E16" s="75"/>
      <c r="F16" s="132"/>
      <c r="G16" s="75"/>
      <c r="H16" s="131"/>
      <c r="I16" s="131"/>
      <c r="J16" s="131"/>
      <c r="K16" s="131"/>
      <c r="L16" s="131"/>
      <c r="M16" s="131"/>
      <c r="N16" s="131"/>
      <c r="O16" s="131"/>
      <c r="P16" s="131"/>
      <c r="Q16" s="131"/>
      <c r="R16" s="131"/>
      <c r="S16" s="131"/>
      <c r="T16" s="131"/>
      <c r="U16" s="131"/>
      <c r="V16" s="131"/>
      <c r="W16" s="131"/>
      <c r="X16" s="131"/>
      <c r="Y16" s="131"/>
    </row>
    <row r="17">
      <c r="A17" s="76" t="s">
        <v>5985</v>
      </c>
      <c r="B17" s="76" t="s">
        <v>6025</v>
      </c>
      <c r="C17" s="76" t="s">
        <v>6026</v>
      </c>
      <c r="D17" s="43" t="s">
        <v>6027</v>
      </c>
      <c r="E17" s="43" t="s">
        <v>6028</v>
      </c>
      <c r="F17" s="295">
        <v>0.105</v>
      </c>
      <c r="G17" s="38" t="str">
        <f>IFERROR(VLOOKUP("DB-1",STOCK!B16:Q3691,3,FALSE),"SIN STOCK")</f>
        <v>Menor a 5</v>
      </c>
      <c r="H17" s="131"/>
      <c r="I17" s="131"/>
      <c r="J17" s="131"/>
      <c r="K17" s="131"/>
      <c r="L17" s="131"/>
      <c r="M17" s="131"/>
      <c r="N17" s="131"/>
      <c r="O17" s="131"/>
      <c r="P17" s="131"/>
      <c r="Q17" s="131"/>
      <c r="R17" s="131"/>
      <c r="S17" s="131"/>
      <c r="T17" s="131"/>
      <c r="U17" s="131"/>
      <c r="V17" s="131"/>
      <c r="W17" s="131"/>
      <c r="X17" s="131"/>
      <c r="Y17" s="131"/>
    </row>
    <row r="18">
      <c r="A18" s="79" t="s">
        <v>5985</v>
      </c>
      <c r="B18" s="79" t="s">
        <v>6029</v>
      </c>
      <c r="C18" s="79" t="s">
        <v>6030</v>
      </c>
      <c r="D18" s="36" t="s">
        <v>6031</v>
      </c>
      <c r="E18" s="36" t="s">
        <v>6032</v>
      </c>
      <c r="F18" s="296">
        <v>0.105</v>
      </c>
      <c r="G18" s="38" t="str">
        <f>IFERROR(VLOOKUP("DB-2",STOCK!B17:Q3692,3,FALSE),"SIN STOCK")</f>
        <v>Mayor a 5</v>
      </c>
      <c r="H18" s="131"/>
      <c r="I18" s="131"/>
      <c r="J18" s="131"/>
      <c r="K18" s="131"/>
      <c r="L18" s="131"/>
      <c r="M18" s="131"/>
      <c r="N18" s="131"/>
      <c r="O18" s="131"/>
      <c r="P18" s="131"/>
      <c r="Q18" s="131"/>
      <c r="R18" s="131"/>
      <c r="S18" s="131"/>
      <c r="T18" s="131"/>
      <c r="U18" s="131"/>
      <c r="V18" s="131"/>
      <c r="W18" s="131"/>
      <c r="X18" s="131"/>
      <c r="Y18" s="131"/>
    </row>
    <row r="19">
      <c r="A19" s="74" t="s">
        <v>6033</v>
      </c>
      <c r="B19" s="132"/>
      <c r="C19" s="132"/>
      <c r="D19" s="30"/>
      <c r="E19" s="75"/>
      <c r="F19" s="132"/>
      <c r="G19" s="75"/>
      <c r="H19" s="131"/>
      <c r="I19" s="131"/>
      <c r="J19" s="131"/>
      <c r="K19" s="131"/>
      <c r="L19" s="131"/>
      <c r="M19" s="131"/>
      <c r="N19" s="131"/>
      <c r="O19" s="131"/>
      <c r="P19" s="131"/>
      <c r="Q19" s="131"/>
      <c r="R19" s="131"/>
      <c r="S19" s="131"/>
      <c r="T19" s="131"/>
      <c r="U19" s="131"/>
      <c r="V19" s="131"/>
      <c r="W19" s="131"/>
      <c r="X19" s="131"/>
      <c r="Y19" s="131"/>
    </row>
    <row r="20">
      <c r="A20" s="76" t="s">
        <v>6034</v>
      </c>
      <c r="B20" s="76" t="s">
        <v>6035</v>
      </c>
      <c r="C20" s="76" t="s">
        <v>6036</v>
      </c>
      <c r="D20" s="43" t="s">
        <v>6037</v>
      </c>
      <c r="E20" s="43" t="s">
        <v>6038</v>
      </c>
      <c r="F20" s="122">
        <v>0.21</v>
      </c>
      <c r="G20" s="38" t="str">
        <f>IFERROR(VLOOKUP("CNN06",STOCK!B19:Q3694,3,FALSE),"SIN STOCK")</f>
        <v>Mayor a 5</v>
      </c>
      <c r="H20" s="131"/>
      <c r="I20" s="131"/>
      <c r="J20" s="131"/>
      <c r="K20" s="131"/>
      <c r="L20" s="131"/>
      <c r="M20" s="131"/>
      <c r="N20" s="131"/>
      <c r="O20" s="131"/>
      <c r="P20" s="131"/>
      <c r="Q20" s="131"/>
      <c r="R20" s="131"/>
      <c r="S20" s="131"/>
      <c r="T20" s="131"/>
      <c r="U20" s="131"/>
      <c r="V20" s="131"/>
      <c r="W20" s="131"/>
      <c r="X20" s="131"/>
      <c r="Y20" s="131"/>
    </row>
    <row r="21">
      <c r="A21" s="79" t="s">
        <v>6034</v>
      </c>
      <c r="B21" s="79" t="s">
        <v>6039</v>
      </c>
      <c r="C21" s="79" t="s">
        <v>6040</v>
      </c>
      <c r="D21" s="36" t="s">
        <v>6041</v>
      </c>
      <c r="E21" s="36" t="s">
        <v>6042</v>
      </c>
      <c r="F21" s="37">
        <v>0.21</v>
      </c>
      <c r="G21" s="38" t="str">
        <f>IFERROR(VLOOKUP("CNN09",STOCK!B19:Q3694,3,FALSE),"SIN STOCK")</f>
        <v>Mayor a 5</v>
      </c>
      <c r="H21" s="131"/>
      <c r="I21" s="131"/>
      <c r="J21" s="131"/>
      <c r="K21" s="131"/>
      <c r="L21" s="131"/>
      <c r="M21" s="131"/>
      <c r="N21" s="131"/>
      <c r="O21" s="131"/>
      <c r="P21" s="131"/>
      <c r="Q21" s="131"/>
      <c r="R21" s="131"/>
      <c r="S21" s="131"/>
      <c r="T21" s="131"/>
      <c r="U21" s="131"/>
      <c r="V21" s="131"/>
      <c r="W21" s="131"/>
      <c r="X21" s="131"/>
      <c r="Y21" s="131"/>
    </row>
    <row r="22">
      <c r="A22" s="131"/>
      <c r="B22" s="131"/>
      <c r="C22" s="131"/>
      <c r="D22" s="81"/>
      <c r="E22" s="81"/>
      <c r="F22" s="131"/>
      <c r="G22" s="131"/>
      <c r="H22" s="131"/>
      <c r="I22" s="131"/>
      <c r="J22" s="131"/>
      <c r="K22" s="131"/>
      <c r="L22" s="131"/>
      <c r="M22" s="131"/>
      <c r="N22" s="131"/>
      <c r="O22" s="131"/>
      <c r="P22" s="131"/>
      <c r="Q22" s="131"/>
      <c r="R22" s="131"/>
      <c r="S22" s="131"/>
      <c r="T22" s="131"/>
      <c r="U22" s="131"/>
      <c r="V22" s="131"/>
      <c r="W22" s="131"/>
      <c r="X22" s="131"/>
      <c r="Y22" s="131"/>
    </row>
    <row r="23">
      <c r="A23" s="131"/>
      <c r="B23" s="131"/>
      <c r="C23" s="131"/>
      <c r="D23" s="81"/>
      <c r="E23" s="81"/>
      <c r="F23" s="131"/>
      <c r="G23" s="131"/>
      <c r="H23" s="131"/>
      <c r="I23" s="131"/>
      <c r="J23" s="131"/>
      <c r="K23" s="131"/>
      <c r="L23" s="131"/>
      <c r="M23" s="131"/>
      <c r="N23" s="131"/>
      <c r="O23" s="131"/>
      <c r="P23" s="131"/>
      <c r="Q23" s="131"/>
      <c r="R23" s="131"/>
      <c r="S23" s="131"/>
      <c r="T23" s="131"/>
      <c r="U23" s="131"/>
      <c r="V23" s="131"/>
      <c r="W23" s="131"/>
      <c r="X23" s="131"/>
      <c r="Y23" s="131"/>
    </row>
    <row r="24">
      <c r="A24" s="131"/>
      <c r="B24" s="131"/>
      <c r="C24" s="131"/>
      <c r="D24" s="81"/>
      <c r="E24" s="81"/>
      <c r="F24" s="131"/>
      <c r="G24" s="131"/>
      <c r="H24" s="131"/>
      <c r="I24" s="131"/>
      <c r="J24" s="297">
        <v>13259.0</v>
      </c>
      <c r="K24" s="131"/>
      <c r="L24" s="131"/>
      <c r="M24" s="131"/>
      <c r="N24" s="131"/>
      <c r="O24" s="131"/>
      <c r="P24" s="131"/>
      <c r="Q24" s="131"/>
      <c r="R24" s="131"/>
      <c r="S24" s="131"/>
      <c r="T24" s="131"/>
      <c r="U24" s="131"/>
      <c r="V24" s="131"/>
      <c r="W24" s="131"/>
      <c r="X24" s="131"/>
      <c r="Y24" s="131"/>
    </row>
    <row r="25">
      <c r="A25" s="131"/>
      <c r="B25" s="131"/>
      <c r="C25" s="131"/>
      <c r="D25" s="81"/>
      <c r="E25" s="81"/>
      <c r="F25" s="131"/>
      <c r="G25" s="131"/>
      <c r="H25" s="131"/>
      <c r="I25" s="131"/>
      <c r="J25" s="131"/>
      <c r="K25" s="131"/>
      <c r="L25" s="131"/>
      <c r="M25" s="131"/>
      <c r="N25" s="131"/>
      <c r="O25" s="131"/>
      <c r="P25" s="131"/>
      <c r="Q25" s="131"/>
      <c r="R25" s="131"/>
      <c r="S25" s="131"/>
      <c r="T25" s="131"/>
      <c r="U25" s="131"/>
      <c r="V25" s="131"/>
      <c r="W25" s="131"/>
      <c r="X25" s="131"/>
      <c r="Y25" s="131"/>
    </row>
    <row r="26">
      <c r="A26" s="131"/>
      <c r="B26" s="131"/>
      <c r="C26" s="131"/>
      <c r="D26" s="81"/>
      <c r="E26" s="81"/>
      <c r="F26" s="131"/>
      <c r="G26" s="131"/>
      <c r="H26" s="131"/>
      <c r="I26" s="131"/>
      <c r="J26" s="131"/>
      <c r="K26" s="131"/>
      <c r="L26" s="131"/>
      <c r="M26" s="131"/>
      <c r="N26" s="131"/>
      <c r="O26" s="131"/>
      <c r="P26" s="131"/>
      <c r="Q26" s="131"/>
      <c r="R26" s="131"/>
      <c r="S26" s="131"/>
      <c r="T26" s="131"/>
      <c r="U26" s="131"/>
      <c r="V26" s="131"/>
      <c r="W26" s="131"/>
      <c r="X26" s="131"/>
      <c r="Y26" s="131"/>
    </row>
    <row r="27">
      <c r="A27" s="131"/>
      <c r="B27" s="131"/>
      <c r="C27" s="131"/>
      <c r="D27" s="81"/>
      <c r="E27" s="81"/>
      <c r="F27" s="131"/>
      <c r="G27" s="131"/>
      <c r="H27" s="131"/>
      <c r="I27" s="131"/>
      <c r="J27" s="131"/>
      <c r="K27" s="131"/>
      <c r="L27" s="131"/>
      <c r="M27" s="131"/>
      <c r="N27" s="131"/>
      <c r="O27" s="131"/>
      <c r="P27" s="131"/>
      <c r="Q27" s="131"/>
      <c r="R27" s="131"/>
      <c r="S27" s="131"/>
      <c r="T27" s="131"/>
      <c r="U27" s="131"/>
      <c r="V27" s="131"/>
      <c r="W27" s="131"/>
      <c r="X27" s="131"/>
      <c r="Y27" s="131"/>
    </row>
    <row r="28">
      <c r="A28" s="131"/>
      <c r="B28" s="131"/>
      <c r="C28" s="131"/>
      <c r="D28" s="81"/>
      <c r="E28" s="81"/>
      <c r="F28" s="131"/>
      <c r="G28" s="131"/>
      <c r="H28" s="131"/>
      <c r="I28" s="131"/>
      <c r="J28" s="131"/>
      <c r="K28" s="131"/>
      <c r="L28" s="131"/>
      <c r="M28" s="131"/>
      <c r="N28" s="131"/>
      <c r="O28" s="131"/>
      <c r="P28" s="131"/>
      <c r="Q28" s="131"/>
      <c r="R28" s="131"/>
      <c r="S28" s="131"/>
      <c r="T28" s="131"/>
      <c r="U28" s="131"/>
      <c r="V28" s="131"/>
      <c r="W28" s="131"/>
      <c r="X28" s="131"/>
      <c r="Y28" s="131"/>
    </row>
    <row r="29">
      <c r="A29" s="131"/>
      <c r="B29" s="131"/>
      <c r="C29" s="131"/>
      <c r="D29" s="81"/>
      <c r="E29" s="81"/>
      <c r="F29" s="131"/>
      <c r="G29" s="131"/>
      <c r="H29" s="131"/>
      <c r="I29" s="131"/>
      <c r="J29" s="131"/>
      <c r="K29" s="131"/>
      <c r="L29" s="131"/>
      <c r="M29" s="131"/>
      <c r="N29" s="131"/>
      <c r="O29" s="131"/>
      <c r="P29" s="131"/>
      <c r="Q29" s="131"/>
      <c r="R29" s="131"/>
      <c r="S29" s="131"/>
      <c r="T29" s="131"/>
      <c r="U29" s="131"/>
      <c r="V29" s="131"/>
      <c r="W29" s="131"/>
      <c r="X29" s="131"/>
      <c r="Y29" s="131"/>
    </row>
    <row r="30">
      <c r="A30" s="131"/>
      <c r="B30" s="131"/>
      <c r="C30" s="131"/>
      <c r="D30" s="81"/>
      <c r="E30" s="81"/>
      <c r="F30" s="131"/>
      <c r="G30" s="131"/>
      <c r="H30" s="131"/>
      <c r="I30" s="131"/>
      <c r="J30" s="131"/>
      <c r="K30" s="131"/>
      <c r="L30" s="131"/>
      <c r="M30" s="131"/>
      <c r="N30" s="131"/>
      <c r="O30" s="131"/>
      <c r="P30" s="131"/>
      <c r="Q30" s="131"/>
      <c r="R30" s="131"/>
      <c r="S30" s="131"/>
      <c r="T30" s="131"/>
      <c r="U30" s="131"/>
      <c r="V30" s="131"/>
      <c r="W30" s="131"/>
      <c r="X30" s="131"/>
      <c r="Y30" s="131"/>
    </row>
    <row r="31">
      <c r="A31" s="131"/>
      <c r="B31" s="131"/>
      <c r="C31" s="131"/>
      <c r="D31" s="81"/>
      <c r="E31" s="81"/>
      <c r="F31" s="131"/>
      <c r="G31" s="131"/>
      <c r="H31" s="131"/>
      <c r="I31" s="131"/>
      <c r="J31" s="131"/>
      <c r="K31" s="131"/>
      <c r="L31" s="131"/>
      <c r="M31" s="131"/>
      <c r="N31" s="131"/>
      <c r="O31" s="131"/>
      <c r="P31" s="131"/>
      <c r="Q31" s="131"/>
      <c r="R31" s="131"/>
      <c r="S31" s="131"/>
      <c r="T31" s="131"/>
      <c r="U31" s="131"/>
      <c r="V31" s="131"/>
      <c r="W31" s="131"/>
      <c r="X31" s="131"/>
      <c r="Y31" s="131"/>
    </row>
    <row r="32">
      <c r="A32" s="131"/>
      <c r="B32" s="131"/>
      <c r="C32" s="131"/>
      <c r="D32" s="81"/>
      <c r="E32" s="81"/>
      <c r="F32" s="131"/>
      <c r="G32" s="131"/>
      <c r="H32" s="131"/>
      <c r="I32" s="131"/>
      <c r="J32" s="131"/>
      <c r="K32" s="131"/>
      <c r="L32" s="131"/>
      <c r="M32" s="131"/>
      <c r="N32" s="131"/>
      <c r="O32" s="131"/>
      <c r="P32" s="131"/>
      <c r="Q32" s="131"/>
      <c r="R32" s="131"/>
      <c r="S32" s="131"/>
      <c r="T32" s="131"/>
      <c r="U32" s="131"/>
      <c r="V32" s="131"/>
      <c r="W32" s="131"/>
      <c r="X32" s="131"/>
      <c r="Y32" s="131"/>
    </row>
    <row r="33">
      <c r="A33" s="131"/>
      <c r="B33" s="131"/>
      <c r="C33" s="131"/>
      <c r="D33" s="81"/>
      <c r="E33" s="81"/>
      <c r="F33" s="131"/>
      <c r="G33" s="131"/>
      <c r="H33" s="131"/>
      <c r="I33" s="131"/>
      <c r="J33" s="131"/>
      <c r="K33" s="131"/>
      <c r="L33" s="131"/>
      <c r="M33" s="131"/>
      <c r="N33" s="131"/>
      <c r="O33" s="131"/>
      <c r="P33" s="131"/>
      <c r="Q33" s="131"/>
      <c r="R33" s="131"/>
      <c r="S33" s="131"/>
      <c r="T33" s="131"/>
      <c r="U33" s="131"/>
      <c r="V33" s="131"/>
      <c r="W33" s="131"/>
      <c r="X33" s="131"/>
      <c r="Y33" s="131"/>
    </row>
    <row r="34">
      <c r="A34" s="131"/>
      <c r="B34" s="131"/>
      <c r="C34" s="131"/>
      <c r="D34" s="81"/>
      <c r="E34" s="81"/>
      <c r="F34" s="131"/>
      <c r="G34" s="131"/>
      <c r="H34" s="131"/>
      <c r="I34" s="131"/>
      <c r="J34" s="131"/>
      <c r="K34" s="131"/>
      <c r="L34" s="131"/>
      <c r="M34" s="131"/>
      <c r="N34" s="131"/>
      <c r="O34" s="131"/>
      <c r="P34" s="131"/>
      <c r="Q34" s="131"/>
      <c r="R34" s="131"/>
      <c r="S34" s="131"/>
      <c r="T34" s="131"/>
      <c r="U34" s="131"/>
      <c r="V34" s="131"/>
      <c r="W34" s="131"/>
      <c r="X34" s="131"/>
      <c r="Y34" s="131"/>
    </row>
    <row r="35">
      <c r="A35" s="131"/>
      <c r="B35" s="131"/>
      <c r="C35" s="131"/>
      <c r="D35" s="81"/>
      <c r="E35" s="81"/>
      <c r="F35" s="131"/>
      <c r="G35" s="131"/>
      <c r="H35" s="131"/>
      <c r="I35" s="131"/>
      <c r="J35" s="131"/>
      <c r="K35" s="131"/>
      <c r="L35" s="131"/>
      <c r="M35" s="131"/>
      <c r="N35" s="131"/>
      <c r="O35" s="131"/>
      <c r="P35" s="131"/>
      <c r="Q35" s="131"/>
      <c r="R35" s="131"/>
      <c r="S35" s="131"/>
      <c r="T35" s="131"/>
      <c r="U35" s="131"/>
      <c r="V35" s="131"/>
      <c r="W35" s="131"/>
      <c r="X35" s="131"/>
      <c r="Y35" s="131"/>
    </row>
    <row r="36">
      <c r="A36" s="131"/>
      <c r="B36" s="131"/>
      <c r="C36" s="131"/>
      <c r="D36" s="81"/>
      <c r="E36" s="81"/>
      <c r="F36" s="131"/>
      <c r="G36" s="131"/>
      <c r="H36" s="131"/>
      <c r="I36" s="131"/>
      <c r="J36" s="131"/>
      <c r="K36" s="131"/>
      <c r="L36" s="131"/>
      <c r="M36" s="131"/>
      <c r="N36" s="131"/>
      <c r="O36" s="131"/>
      <c r="P36" s="131"/>
      <c r="Q36" s="131"/>
      <c r="R36" s="131"/>
      <c r="S36" s="131"/>
      <c r="T36" s="131"/>
      <c r="U36" s="131"/>
      <c r="V36" s="131"/>
      <c r="W36" s="131"/>
      <c r="X36" s="131"/>
      <c r="Y36" s="131"/>
    </row>
    <row r="37">
      <c r="A37" s="131"/>
      <c r="B37" s="131"/>
      <c r="C37" s="131"/>
      <c r="D37" s="81"/>
      <c r="E37" s="81"/>
      <c r="F37" s="131"/>
      <c r="G37" s="131"/>
      <c r="H37" s="131"/>
      <c r="I37" s="131"/>
      <c r="J37" s="131"/>
      <c r="K37" s="131"/>
      <c r="L37" s="131"/>
      <c r="M37" s="131"/>
      <c r="N37" s="131"/>
      <c r="O37" s="131"/>
      <c r="P37" s="131"/>
      <c r="Q37" s="131"/>
      <c r="R37" s="131"/>
      <c r="S37" s="131"/>
      <c r="T37" s="131"/>
      <c r="U37" s="131"/>
      <c r="V37" s="131"/>
      <c r="W37" s="131"/>
      <c r="X37" s="131"/>
      <c r="Y37" s="131"/>
    </row>
    <row r="38">
      <c r="A38" s="131"/>
      <c r="B38" s="131"/>
      <c r="C38" s="131"/>
      <c r="D38" s="81"/>
      <c r="E38" s="81"/>
      <c r="F38" s="131"/>
      <c r="G38" s="131"/>
      <c r="H38" s="131"/>
      <c r="I38" s="131"/>
      <c r="J38" s="131"/>
      <c r="K38" s="131"/>
      <c r="L38" s="131"/>
      <c r="M38" s="131"/>
      <c r="N38" s="131"/>
      <c r="O38" s="131"/>
      <c r="P38" s="131"/>
      <c r="Q38" s="131"/>
      <c r="R38" s="131"/>
      <c r="S38" s="131"/>
      <c r="T38" s="131"/>
      <c r="U38" s="131"/>
      <c r="V38" s="131"/>
      <c r="W38" s="131"/>
      <c r="X38" s="131"/>
      <c r="Y38" s="131"/>
    </row>
    <row r="39">
      <c r="A39" s="131"/>
      <c r="B39" s="131"/>
      <c r="C39" s="131"/>
      <c r="D39" s="81"/>
      <c r="E39" s="81"/>
      <c r="F39" s="131"/>
      <c r="G39" s="131"/>
      <c r="H39" s="131"/>
      <c r="I39" s="131"/>
      <c r="J39" s="131"/>
      <c r="K39" s="131"/>
      <c r="L39" s="131"/>
      <c r="M39" s="131"/>
      <c r="N39" s="131"/>
      <c r="O39" s="131"/>
      <c r="P39" s="131"/>
      <c r="Q39" s="131"/>
      <c r="R39" s="131"/>
      <c r="S39" s="131"/>
      <c r="T39" s="131"/>
      <c r="U39" s="131"/>
      <c r="V39" s="131"/>
      <c r="W39" s="131"/>
      <c r="X39" s="131"/>
      <c r="Y39" s="131"/>
    </row>
    <row r="40">
      <c r="A40" s="131"/>
      <c r="B40" s="131"/>
      <c r="C40" s="131"/>
      <c r="D40" s="81"/>
      <c r="E40" s="81"/>
      <c r="F40" s="131"/>
      <c r="G40" s="131"/>
      <c r="H40" s="131"/>
      <c r="I40" s="131"/>
      <c r="J40" s="131"/>
      <c r="K40" s="131"/>
      <c r="L40" s="131"/>
      <c r="M40" s="131"/>
      <c r="N40" s="131"/>
      <c r="O40" s="131"/>
      <c r="P40" s="131"/>
      <c r="Q40" s="131"/>
      <c r="R40" s="131"/>
      <c r="S40" s="131"/>
      <c r="T40" s="131"/>
      <c r="U40" s="131"/>
      <c r="V40" s="131"/>
      <c r="W40" s="131"/>
      <c r="X40" s="131"/>
      <c r="Y40" s="131"/>
    </row>
    <row r="41">
      <c r="A41" s="131"/>
      <c r="B41" s="131"/>
      <c r="C41" s="131"/>
      <c r="D41" s="81"/>
      <c r="E41" s="81"/>
      <c r="F41" s="131"/>
      <c r="G41" s="131"/>
      <c r="H41" s="131"/>
      <c r="I41" s="131"/>
      <c r="J41" s="131"/>
      <c r="K41" s="131"/>
      <c r="L41" s="131"/>
      <c r="M41" s="131"/>
      <c r="N41" s="131"/>
      <c r="O41" s="131"/>
      <c r="P41" s="131"/>
      <c r="Q41" s="131"/>
      <c r="R41" s="131"/>
      <c r="S41" s="131"/>
      <c r="T41" s="131"/>
      <c r="U41" s="131"/>
      <c r="V41" s="131"/>
      <c r="W41" s="131"/>
      <c r="X41" s="131"/>
      <c r="Y41" s="131"/>
    </row>
    <row r="42">
      <c r="A42" s="131"/>
      <c r="B42" s="131"/>
      <c r="C42" s="131"/>
      <c r="D42" s="81"/>
      <c r="E42" s="81"/>
      <c r="F42" s="131"/>
      <c r="G42" s="131"/>
      <c r="H42" s="131"/>
      <c r="I42" s="131"/>
      <c r="J42" s="131"/>
      <c r="K42" s="131"/>
      <c r="L42" s="131"/>
      <c r="M42" s="131"/>
      <c r="N42" s="131"/>
      <c r="O42" s="131"/>
      <c r="P42" s="131"/>
      <c r="Q42" s="131"/>
      <c r="R42" s="131"/>
      <c r="S42" s="131"/>
      <c r="T42" s="131"/>
      <c r="U42" s="131"/>
      <c r="V42" s="131"/>
      <c r="W42" s="131"/>
      <c r="X42" s="131"/>
      <c r="Y42" s="131"/>
    </row>
    <row r="43">
      <c r="A43" s="131"/>
      <c r="B43" s="131"/>
      <c r="C43" s="131"/>
      <c r="D43" s="81"/>
      <c r="E43" s="81"/>
      <c r="F43" s="131"/>
      <c r="G43" s="131"/>
      <c r="H43" s="131"/>
      <c r="I43" s="131"/>
      <c r="J43" s="131"/>
      <c r="K43" s="131"/>
      <c r="L43" s="131"/>
      <c r="M43" s="131"/>
      <c r="N43" s="131"/>
      <c r="O43" s="131"/>
      <c r="P43" s="131"/>
      <c r="Q43" s="131"/>
      <c r="R43" s="131"/>
      <c r="S43" s="131"/>
      <c r="T43" s="131"/>
      <c r="U43" s="131"/>
      <c r="V43" s="131"/>
      <c r="W43" s="131"/>
      <c r="X43" s="131"/>
      <c r="Y43" s="131"/>
    </row>
    <row r="44">
      <c r="A44" s="131"/>
      <c r="B44" s="131"/>
      <c r="C44" s="131"/>
      <c r="D44" s="81"/>
      <c r="E44" s="81"/>
      <c r="F44" s="131"/>
      <c r="G44" s="131"/>
      <c r="H44" s="131"/>
      <c r="I44" s="131"/>
      <c r="J44" s="131"/>
      <c r="K44" s="131"/>
      <c r="L44" s="131"/>
      <c r="M44" s="131"/>
      <c r="N44" s="131"/>
      <c r="O44" s="131"/>
      <c r="P44" s="131"/>
      <c r="Q44" s="131"/>
      <c r="R44" s="131"/>
      <c r="S44" s="131"/>
      <c r="T44" s="131"/>
      <c r="U44" s="131"/>
      <c r="V44" s="131"/>
      <c r="W44" s="131"/>
      <c r="X44" s="131"/>
      <c r="Y44" s="131"/>
    </row>
    <row r="45">
      <c r="A45" s="131"/>
      <c r="B45" s="131"/>
      <c r="C45" s="131"/>
      <c r="D45" s="81"/>
      <c r="E45" s="81"/>
      <c r="F45" s="131"/>
      <c r="G45" s="131"/>
      <c r="H45" s="131"/>
      <c r="I45" s="131"/>
      <c r="J45" s="131"/>
      <c r="K45" s="131"/>
      <c r="L45" s="131"/>
      <c r="M45" s="131"/>
      <c r="N45" s="131"/>
      <c r="O45" s="131"/>
      <c r="P45" s="131"/>
      <c r="Q45" s="131"/>
      <c r="R45" s="131"/>
      <c r="S45" s="131"/>
      <c r="T45" s="131"/>
      <c r="U45" s="131"/>
      <c r="V45" s="131"/>
      <c r="W45" s="131"/>
      <c r="X45" s="131"/>
      <c r="Y45" s="131"/>
    </row>
    <row r="46">
      <c r="A46" s="131"/>
      <c r="B46" s="131"/>
      <c r="C46" s="131"/>
      <c r="D46" s="81"/>
      <c r="E46" s="81"/>
      <c r="F46" s="131"/>
      <c r="G46" s="131"/>
      <c r="H46" s="131"/>
      <c r="I46" s="131"/>
      <c r="J46" s="131"/>
      <c r="K46" s="131"/>
      <c r="L46" s="131"/>
      <c r="M46" s="131"/>
      <c r="N46" s="131"/>
      <c r="O46" s="131"/>
      <c r="P46" s="131"/>
      <c r="Q46" s="131"/>
      <c r="R46" s="131"/>
      <c r="S46" s="131"/>
      <c r="T46" s="131"/>
      <c r="U46" s="131"/>
      <c r="V46" s="131"/>
      <c r="W46" s="131"/>
      <c r="X46" s="131"/>
      <c r="Y46" s="131"/>
    </row>
    <row r="47">
      <c r="A47" s="131"/>
      <c r="B47" s="131"/>
      <c r="C47" s="131"/>
      <c r="D47" s="81"/>
      <c r="E47" s="81"/>
      <c r="F47" s="131"/>
      <c r="G47" s="131"/>
      <c r="H47" s="131"/>
      <c r="I47" s="131"/>
      <c r="J47" s="131"/>
      <c r="K47" s="131"/>
      <c r="L47" s="131"/>
      <c r="M47" s="131"/>
      <c r="N47" s="131"/>
      <c r="O47" s="131"/>
      <c r="P47" s="131"/>
      <c r="Q47" s="131"/>
      <c r="R47" s="131"/>
      <c r="S47" s="131"/>
      <c r="T47" s="131"/>
      <c r="U47" s="131"/>
      <c r="V47" s="131"/>
      <c r="W47" s="131"/>
      <c r="X47" s="131"/>
      <c r="Y47" s="131"/>
    </row>
    <row r="48">
      <c r="A48" s="131"/>
      <c r="B48" s="131"/>
      <c r="C48" s="131"/>
      <c r="D48" s="81"/>
      <c r="E48" s="81"/>
      <c r="F48" s="131"/>
      <c r="G48" s="131"/>
      <c r="H48" s="131"/>
      <c r="I48" s="131"/>
      <c r="J48" s="131"/>
      <c r="K48" s="131"/>
      <c r="L48" s="131"/>
      <c r="M48" s="131"/>
      <c r="N48" s="131"/>
      <c r="O48" s="131"/>
      <c r="P48" s="131"/>
      <c r="Q48" s="131"/>
      <c r="R48" s="131"/>
      <c r="S48" s="131"/>
      <c r="T48" s="131"/>
      <c r="U48" s="131"/>
      <c r="V48" s="131"/>
      <c r="W48" s="131"/>
      <c r="X48" s="131"/>
      <c r="Y48" s="131"/>
    </row>
    <row r="49">
      <c r="A49" s="131"/>
      <c r="B49" s="131"/>
      <c r="C49" s="131"/>
      <c r="D49" s="81"/>
      <c r="E49" s="81"/>
      <c r="F49" s="131"/>
      <c r="G49" s="131"/>
      <c r="H49" s="131"/>
      <c r="I49" s="131"/>
      <c r="J49" s="131"/>
      <c r="K49" s="131"/>
      <c r="L49" s="131"/>
      <c r="M49" s="131"/>
      <c r="N49" s="131"/>
      <c r="O49" s="131"/>
      <c r="P49" s="131"/>
      <c r="Q49" s="131"/>
      <c r="R49" s="131"/>
      <c r="S49" s="131"/>
      <c r="T49" s="131"/>
      <c r="U49" s="131"/>
      <c r="V49" s="131"/>
      <c r="W49" s="131"/>
      <c r="X49" s="131"/>
      <c r="Y49" s="131"/>
    </row>
    <row r="50">
      <c r="A50" s="131"/>
      <c r="B50" s="131"/>
      <c r="C50" s="131"/>
      <c r="D50" s="81"/>
      <c r="E50" s="81"/>
      <c r="F50" s="131"/>
      <c r="G50" s="131"/>
      <c r="H50" s="131"/>
      <c r="I50" s="131"/>
      <c r="J50" s="131"/>
      <c r="K50" s="131"/>
      <c r="L50" s="131"/>
      <c r="M50" s="131"/>
      <c r="N50" s="131"/>
      <c r="O50" s="131"/>
      <c r="P50" s="131"/>
      <c r="Q50" s="131"/>
      <c r="R50" s="131"/>
      <c r="S50" s="131"/>
      <c r="T50" s="131"/>
      <c r="U50" s="131"/>
      <c r="V50" s="131"/>
      <c r="W50" s="131"/>
      <c r="X50" s="131"/>
      <c r="Y50" s="131"/>
    </row>
    <row r="51">
      <c r="A51" s="131"/>
      <c r="B51" s="131"/>
      <c r="C51" s="131"/>
      <c r="D51" s="81"/>
      <c r="E51" s="81"/>
      <c r="F51" s="131"/>
      <c r="G51" s="131"/>
      <c r="H51" s="131"/>
      <c r="I51" s="131"/>
      <c r="J51" s="131"/>
      <c r="K51" s="131"/>
      <c r="L51" s="131"/>
      <c r="M51" s="131"/>
      <c r="N51" s="131"/>
      <c r="O51" s="131"/>
      <c r="P51" s="131"/>
      <c r="Q51" s="131"/>
      <c r="R51" s="131"/>
      <c r="S51" s="131"/>
      <c r="T51" s="131"/>
      <c r="U51" s="131"/>
      <c r="V51" s="131"/>
      <c r="W51" s="131"/>
      <c r="X51" s="131"/>
      <c r="Y51" s="131"/>
    </row>
    <row r="52">
      <c r="A52" s="131"/>
      <c r="B52" s="131"/>
      <c r="C52" s="131"/>
      <c r="D52" s="81"/>
      <c r="E52" s="81"/>
      <c r="F52" s="131"/>
      <c r="G52" s="131"/>
      <c r="H52" s="131"/>
      <c r="I52" s="131"/>
      <c r="J52" s="131"/>
      <c r="K52" s="131"/>
      <c r="L52" s="131"/>
      <c r="M52" s="131"/>
      <c r="N52" s="131"/>
      <c r="O52" s="131"/>
      <c r="P52" s="131"/>
      <c r="Q52" s="131"/>
      <c r="R52" s="131"/>
      <c r="S52" s="131"/>
      <c r="T52" s="131"/>
      <c r="U52" s="131"/>
      <c r="V52" s="131"/>
      <c r="W52" s="131"/>
      <c r="X52" s="131"/>
      <c r="Y52" s="131"/>
    </row>
    <row r="53">
      <c r="A53" s="131"/>
      <c r="B53" s="131"/>
      <c r="C53" s="131"/>
      <c r="D53" s="81"/>
      <c r="E53" s="81"/>
      <c r="F53" s="131"/>
      <c r="G53" s="131"/>
      <c r="H53" s="131"/>
      <c r="I53" s="131"/>
      <c r="J53" s="131"/>
      <c r="K53" s="131"/>
      <c r="L53" s="131"/>
      <c r="M53" s="131"/>
      <c r="N53" s="131"/>
      <c r="O53" s="131"/>
      <c r="P53" s="131"/>
      <c r="Q53" s="131"/>
      <c r="R53" s="131"/>
      <c r="S53" s="131"/>
      <c r="T53" s="131"/>
      <c r="U53" s="131"/>
      <c r="V53" s="131"/>
      <c r="W53" s="131"/>
      <c r="X53" s="131"/>
      <c r="Y53" s="131"/>
    </row>
    <row r="54">
      <c r="A54" s="131"/>
      <c r="B54" s="131"/>
      <c r="C54" s="131"/>
      <c r="D54" s="81"/>
      <c r="E54" s="81"/>
      <c r="F54" s="131"/>
      <c r="G54" s="131"/>
      <c r="H54" s="131"/>
      <c r="I54" s="131"/>
      <c r="J54" s="131"/>
      <c r="K54" s="131"/>
      <c r="L54" s="131"/>
      <c r="M54" s="131"/>
      <c r="N54" s="131"/>
      <c r="O54" s="131"/>
      <c r="P54" s="131"/>
      <c r="Q54" s="131"/>
      <c r="R54" s="131"/>
      <c r="S54" s="131"/>
      <c r="T54" s="131"/>
      <c r="U54" s="131"/>
      <c r="V54" s="131"/>
      <c r="W54" s="131"/>
      <c r="X54" s="131"/>
      <c r="Y54" s="131"/>
    </row>
    <row r="55">
      <c r="A55" s="131"/>
      <c r="B55" s="131"/>
      <c r="C55" s="131"/>
      <c r="D55" s="81"/>
      <c r="E55" s="81"/>
      <c r="F55" s="131"/>
      <c r="G55" s="131"/>
      <c r="H55" s="131"/>
      <c r="I55" s="131"/>
      <c r="J55" s="131"/>
      <c r="K55" s="131"/>
      <c r="L55" s="131"/>
      <c r="M55" s="131"/>
      <c r="N55" s="131"/>
      <c r="O55" s="131"/>
      <c r="P55" s="131"/>
      <c r="Q55" s="131"/>
      <c r="R55" s="131"/>
      <c r="S55" s="131"/>
      <c r="T55" s="131"/>
      <c r="U55" s="131"/>
      <c r="V55" s="131"/>
      <c r="W55" s="131"/>
      <c r="X55" s="131"/>
      <c r="Y55" s="131"/>
    </row>
    <row r="56">
      <c r="A56" s="131"/>
      <c r="B56" s="131"/>
      <c r="C56" s="131"/>
      <c r="D56" s="81"/>
      <c r="E56" s="81"/>
      <c r="F56" s="131"/>
      <c r="G56" s="131"/>
      <c r="H56" s="131"/>
      <c r="I56" s="131"/>
      <c r="J56" s="131"/>
      <c r="K56" s="131"/>
      <c r="L56" s="131"/>
      <c r="M56" s="131"/>
      <c r="N56" s="131"/>
      <c r="O56" s="131"/>
      <c r="P56" s="131"/>
      <c r="Q56" s="131"/>
      <c r="R56" s="131"/>
      <c r="S56" s="131"/>
      <c r="T56" s="131"/>
      <c r="U56" s="131"/>
      <c r="V56" s="131"/>
      <c r="W56" s="131"/>
      <c r="X56" s="131"/>
      <c r="Y56" s="131"/>
    </row>
    <row r="57">
      <c r="A57" s="131"/>
      <c r="B57" s="131"/>
      <c r="C57" s="131"/>
      <c r="D57" s="81"/>
      <c r="E57" s="81"/>
      <c r="F57" s="131"/>
      <c r="G57" s="131"/>
      <c r="H57" s="131"/>
      <c r="I57" s="131"/>
      <c r="J57" s="131"/>
      <c r="K57" s="131"/>
      <c r="L57" s="131"/>
      <c r="M57" s="131"/>
      <c r="N57" s="131"/>
      <c r="O57" s="131"/>
      <c r="P57" s="131"/>
      <c r="Q57" s="131"/>
      <c r="R57" s="131"/>
      <c r="S57" s="131"/>
      <c r="T57" s="131"/>
      <c r="U57" s="131"/>
      <c r="V57" s="131"/>
      <c r="W57" s="131"/>
      <c r="X57" s="131"/>
      <c r="Y57" s="131"/>
    </row>
    <row r="58">
      <c r="A58" s="131"/>
      <c r="B58" s="131"/>
      <c r="C58" s="131"/>
      <c r="D58" s="81"/>
      <c r="E58" s="81"/>
      <c r="F58" s="131"/>
      <c r="G58" s="131"/>
      <c r="H58" s="131"/>
      <c r="I58" s="131"/>
      <c r="J58" s="131"/>
      <c r="K58" s="131"/>
      <c r="L58" s="131"/>
      <c r="M58" s="131"/>
      <c r="N58" s="131"/>
      <c r="O58" s="131"/>
      <c r="P58" s="131"/>
      <c r="Q58" s="131"/>
      <c r="R58" s="131"/>
      <c r="S58" s="131"/>
      <c r="T58" s="131"/>
      <c r="U58" s="131"/>
      <c r="V58" s="131"/>
      <c r="W58" s="131"/>
      <c r="X58" s="131"/>
      <c r="Y58" s="131"/>
    </row>
    <row r="59">
      <c r="A59" s="131"/>
      <c r="B59" s="131"/>
      <c r="C59" s="131"/>
      <c r="D59" s="81"/>
      <c r="E59" s="81"/>
      <c r="F59" s="131"/>
      <c r="G59" s="131"/>
      <c r="H59" s="131"/>
      <c r="I59" s="131"/>
      <c r="J59" s="131"/>
      <c r="K59" s="131"/>
      <c r="L59" s="131"/>
      <c r="M59" s="131"/>
      <c r="N59" s="131"/>
      <c r="O59" s="131"/>
      <c r="P59" s="131"/>
      <c r="Q59" s="131"/>
      <c r="R59" s="131"/>
      <c r="S59" s="131"/>
      <c r="T59" s="131"/>
      <c r="U59" s="131"/>
      <c r="V59" s="131"/>
      <c r="W59" s="131"/>
      <c r="X59" s="131"/>
      <c r="Y59" s="131"/>
    </row>
    <row r="60">
      <c r="A60" s="131"/>
      <c r="B60" s="131"/>
      <c r="C60" s="131"/>
      <c r="D60" s="81"/>
      <c r="E60" s="81"/>
      <c r="F60" s="131"/>
      <c r="G60" s="131"/>
      <c r="H60" s="131"/>
      <c r="I60" s="131"/>
      <c r="J60" s="131"/>
      <c r="K60" s="131"/>
      <c r="L60" s="131"/>
      <c r="M60" s="131"/>
      <c r="N60" s="131"/>
      <c r="O60" s="131"/>
      <c r="P60" s="131"/>
      <c r="Q60" s="131"/>
      <c r="R60" s="131"/>
      <c r="S60" s="131"/>
      <c r="T60" s="131"/>
      <c r="U60" s="131"/>
      <c r="V60" s="131"/>
      <c r="W60" s="131"/>
      <c r="X60" s="131"/>
      <c r="Y60" s="131"/>
    </row>
    <row r="61">
      <c r="A61" s="131"/>
      <c r="B61" s="131"/>
      <c r="C61" s="131"/>
      <c r="D61" s="81"/>
      <c r="E61" s="81"/>
      <c r="F61" s="131"/>
      <c r="G61" s="131"/>
      <c r="H61" s="131"/>
      <c r="I61" s="131"/>
      <c r="J61" s="131"/>
      <c r="K61" s="131"/>
      <c r="L61" s="131"/>
      <c r="M61" s="131"/>
      <c r="N61" s="131"/>
      <c r="O61" s="131"/>
      <c r="P61" s="131"/>
      <c r="Q61" s="131"/>
      <c r="R61" s="131"/>
      <c r="S61" s="131"/>
      <c r="T61" s="131"/>
      <c r="U61" s="131"/>
      <c r="V61" s="131"/>
      <c r="W61" s="131"/>
      <c r="X61" s="131"/>
      <c r="Y61" s="131"/>
    </row>
    <row r="62">
      <c r="A62" s="131"/>
      <c r="B62" s="131"/>
      <c r="C62" s="131"/>
      <c r="D62" s="81"/>
      <c r="E62" s="81"/>
      <c r="F62" s="131"/>
      <c r="G62" s="131"/>
      <c r="H62" s="131"/>
      <c r="I62" s="131"/>
      <c r="J62" s="131"/>
      <c r="K62" s="131"/>
      <c r="L62" s="131"/>
      <c r="M62" s="131"/>
      <c r="N62" s="131"/>
      <c r="O62" s="131"/>
      <c r="P62" s="131"/>
      <c r="Q62" s="131"/>
      <c r="R62" s="131"/>
      <c r="S62" s="131"/>
      <c r="T62" s="131"/>
      <c r="U62" s="131"/>
      <c r="V62" s="131"/>
      <c r="W62" s="131"/>
      <c r="X62" s="131"/>
      <c r="Y62" s="131"/>
    </row>
    <row r="63">
      <c r="A63" s="131"/>
      <c r="B63" s="131"/>
      <c r="C63" s="131"/>
      <c r="D63" s="81"/>
      <c r="E63" s="81"/>
      <c r="F63" s="131"/>
      <c r="G63" s="131"/>
      <c r="H63" s="131"/>
      <c r="I63" s="131"/>
      <c r="J63" s="131"/>
      <c r="K63" s="131"/>
      <c r="L63" s="131"/>
      <c r="M63" s="131"/>
      <c r="N63" s="131"/>
      <c r="O63" s="131"/>
      <c r="P63" s="131"/>
      <c r="Q63" s="131"/>
      <c r="R63" s="131"/>
      <c r="S63" s="131"/>
      <c r="T63" s="131"/>
      <c r="U63" s="131"/>
      <c r="V63" s="131"/>
      <c r="W63" s="131"/>
      <c r="X63" s="131"/>
      <c r="Y63" s="131"/>
    </row>
    <row r="64">
      <c r="A64" s="131"/>
      <c r="B64" s="131"/>
      <c r="C64" s="131"/>
      <c r="D64" s="81"/>
      <c r="E64" s="81"/>
      <c r="F64" s="131"/>
      <c r="G64" s="131"/>
      <c r="H64" s="131"/>
      <c r="I64" s="131"/>
      <c r="J64" s="131"/>
      <c r="K64" s="131"/>
      <c r="L64" s="131"/>
      <c r="M64" s="131"/>
      <c r="N64" s="131"/>
      <c r="O64" s="131"/>
      <c r="P64" s="131"/>
      <c r="Q64" s="131"/>
      <c r="R64" s="131"/>
      <c r="S64" s="131"/>
      <c r="T64" s="131"/>
      <c r="U64" s="131"/>
      <c r="V64" s="131"/>
      <c r="W64" s="131"/>
      <c r="X64" s="131"/>
      <c r="Y64" s="131"/>
    </row>
    <row r="65">
      <c r="A65" s="131"/>
      <c r="B65" s="131"/>
      <c r="C65" s="131"/>
      <c r="D65" s="81"/>
      <c r="E65" s="81"/>
      <c r="F65" s="131"/>
      <c r="G65" s="131"/>
      <c r="H65" s="131"/>
      <c r="I65" s="131"/>
      <c r="J65" s="131"/>
      <c r="K65" s="131"/>
      <c r="L65" s="131"/>
      <c r="M65" s="131"/>
      <c r="N65" s="131"/>
      <c r="O65" s="131"/>
      <c r="P65" s="131"/>
      <c r="Q65" s="131"/>
      <c r="R65" s="131"/>
      <c r="S65" s="131"/>
      <c r="T65" s="131"/>
      <c r="U65" s="131"/>
      <c r="V65" s="131"/>
      <c r="W65" s="131"/>
      <c r="X65" s="131"/>
      <c r="Y65" s="131"/>
    </row>
    <row r="66">
      <c r="A66" s="131"/>
      <c r="B66" s="131"/>
      <c r="C66" s="131"/>
      <c r="D66" s="81"/>
      <c r="E66" s="81"/>
      <c r="F66" s="131"/>
      <c r="G66" s="131"/>
      <c r="H66" s="131"/>
      <c r="I66" s="131"/>
      <c r="J66" s="131"/>
      <c r="K66" s="131"/>
      <c r="L66" s="131"/>
      <c r="M66" s="131"/>
      <c r="N66" s="131"/>
      <c r="O66" s="131"/>
      <c r="P66" s="131"/>
      <c r="Q66" s="131"/>
      <c r="R66" s="131"/>
      <c r="S66" s="131"/>
      <c r="T66" s="131"/>
      <c r="U66" s="131"/>
      <c r="V66" s="131"/>
      <c r="W66" s="131"/>
      <c r="X66" s="131"/>
      <c r="Y66" s="131"/>
    </row>
    <row r="67">
      <c r="A67" s="131"/>
      <c r="B67" s="131"/>
      <c r="C67" s="131"/>
      <c r="D67" s="81"/>
      <c r="E67" s="81"/>
      <c r="F67" s="131"/>
      <c r="G67" s="131"/>
      <c r="H67" s="131"/>
      <c r="I67" s="131"/>
      <c r="J67" s="131"/>
      <c r="K67" s="131"/>
      <c r="L67" s="131"/>
      <c r="M67" s="131"/>
      <c r="N67" s="131"/>
      <c r="O67" s="131"/>
      <c r="P67" s="131"/>
      <c r="Q67" s="131"/>
      <c r="R67" s="131"/>
      <c r="S67" s="131"/>
      <c r="T67" s="131"/>
      <c r="U67" s="131"/>
      <c r="V67" s="131"/>
      <c r="W67" s="131"/>
      <c r="X67" s="131"/>
      <c r="Y67" s="131"/>
    </row>
    <row r="68">
      <c r="A68" s="131"/>
      <c r="B68" s="131"/>
      <c r="C68" s="131"/>
      <c r="D68" s="81"/>
      <c r="E68" s="81"/>
      <c r="F68" s="131"/>
      <c r="G68" s="131"/>
      <c r="H68" s="131"/>
      <c r="I68" s="131"/>
      <c r="J68" s="131"/>
      <c r="K68" s="131"/>
      <c r="L68" s="131"/>
      <c r="M68" s="131"/>
      <c r="N68" s="131"/>
      <c r="O68" s="131"/>
      <c r="P68" s="131"/>
      <c r="Q68" s="131"/>
      <c r="R68" s="131"/>
      <c r="S68" s="131"/>
      <c r="T68" s="131"/>
      <c r="U68" s="131"/>
      <c r="V68" s="131"/>
      <c r="W68" s="131"/>
      <c r="X68" s="131"/>
      <c r="Y68" s="131"/>
    </row>
    <row r="69">
      <c r="A69" s="131"/>
      <c r="B69" s="131"/>
      <c r="C69" s="131"/>
      <c r="D69" s="81"/>
      <c r="E69" s="81"/>
      <c r="F69" s="131"/>
      <c r="G69" s="131"/>
      <c r="H69" s="131"/>
      <c r="I69" s="131"/>
      <c r="J69" s="131"/>
      <c r="K69" s="131"/>
      <c r="L69" s="131"/>
      <c r="M69" s="131"/>
      <c r="N69" s="131"/>
      <c r="O69" s="131"/>
      <c r="P69" s="131"/>
      <c r="Q69" s="131"/>
      <c r="R69" s="131"/>
      <c r="S69" s="131"/>
      <c r="T69" s="131"/>
      <c r="U69" s="131"/>
      <c r="V69" s="131"/>
      <c r="W69" s="131"/>
      <c r="X69" s="131"/>
      <c r="Y69" s="131"/>
    </row>
    <row r="70">
      <c r="A70" s="131"/>
      <c r="B70" s="131"/>
      <c r="C70" s="131"/>
      <c r="D70" s="81"/>
      <c r="E70" s="81"/>
      <c r="F70" s="131"/>
      <c r="G70" s="131"/>
      <c r="H70" s="131"/>
      <c r="I70" s="131"/>
      <c r="J70" s="131"/>
      <c r="K70" s="131"/>
      <c r="L70" s="131"/>
      <c r="M70" s="131"/>
      <c r="N70" s="131"/>
      <c r="O70" s="131"/>
      <c r="P70" s="131"/>
      <c r="Q70" s="131"/>
      <c r="R70" s="131"/>
      <c r="S70" s="131"/>
      <c r="T70" s="131"/>
      <c r="U70" s="131"/>
      <c r="V70" s="131"/>
      <c r="W70" s="131"/>
      <c r="X70" s="131"/>
      <c r="Y70" s="131"/>
    </row>
    <row r="71">
      <c r="A71" s="131"/>
      <c r="B71" s="131"/>
      <c r="C71" s="131"/>
      <c r="D71" s="81"/>
      <c r="E71" s="81"/>
      <c r="F71" s="131"/>
      <c r="G71" s="131"/>
      <c r="H71" s="131"/>
      <c r="I71" s="131"/>
      <c r="J71" s="131"/>
      <c r="K71" s="131"/>
      <c r="L71" s="131"/>
      <c r="M71" s="131"/>
      <c r="N71" s="131"/>
      <c r="O71" s="131"/>
      <c r="P71" s="131"/>
      <c r="Q71" s="131"/>
      <c r="R71" s="131"/>
      <c r="S71" s="131"/>
      <c r="T71" s="131"/>
      <c r="U71" s="131"/>
      <c r="V71" s="131"/>
      <c r="W71" s="131"/>
      <c r="X71" s="131"/>
      <c r="Y71" s="131"/>
    </row>
    <row r="72">
      <c r="A72" s="131"/>
      <c r="B72" s="131"/>
      <c r="C72" s="131"/>
      <c r="D72" s="81"/>
      <c r="E72" s="81"/>
      <c r="F72" s="131"/>
      <c r="G72" s="131"/>
      <c r="H72" s="131"/>
      <c r="I72" s="131"/>
      <c r="J72" s="131"/>
      <c r="K72" s="131"/>
      <c r="L72" s="131"/>
      <c r="M72" s="131"/>
      <c r="N72" s="131"/>
      <c r="O72" s="131"/>
      <c r="P72" s="131"/>
      <c r="Q72" s="131"/>
      <c r="R72" s="131"/>
      <c r="S72" s="131"/>
      <c r="T72" s="131"/>
      <c r="U72" s="131"/>
      <c r="V72" s="131"/>
      <c r="W72" s="131"/>
      <c r="X72" s="131"/>
      <c r="Y72" s="131"/>
    </row>
    <row r="73">
      <c r="A73" s="131"/>
      <c r="B73" s="131"/>
      <c r="C73" s="131"/>
      <c r="D73" s="81"/>
      <c r="E73" s="81"/>
      <c r="F73" s="131"/>
      <c r="G73" s="131"/>
      <c r="H73" s="131"/>
      <c r="I73" s="131"/>
      <c r="J73" s="131"/>
      <c r="K73" s="131"/>
      <c r="L73" s="131"/>
      <c r="M73" s="131"/>
      <c r="N73" s="131"/>
      <c r="O73" s="131"/>
      <c r="P73" s="131"/>
      <c r="Q73" s="131"/>
      <c r="R73" s="131"/>
      <c r="S73" s="131"/>
      <c r="T73" s="131"/>
      <c r="U73" s="131"/>
      <c r="V73" s="131"/>
      <c r="W73" s="131"/>
      <c r="X73" s="131"/>
      <c r="Y73" s="131"/>
    </row>
    <row r="74">
      <c r="A74" s="131"/>
      <c r="B74" s="131"/>
      <c r="C74" s="131"/>
      <c r="D74" s="81"/>
      <c r="E74" s="81"/>
      <c r="F74" s="131"/>
      <c r="G74" s="131"/>
      <c r="H74" s="131"/>
      <c r="I74" s="131"/>
      <c r="J74" s="131"/>
      <c r="K74" s="131"/>
      <c r="L74" s="131"/>
      <c r="M74" s="131"/>
      <c r="N74" s="131"/>
      <c r="O74" s="131"/>
      <c r="P74" s="131"/>
      <c r="Q74" s="131"/>
      <c r="R74" s="131"/>
      <c r="S74" s="131"/>
      <c r="T74" s="131"/>
      <c r="U74" s="131"/>
      <c r="V74" s="131"/>
      <c r="W74" s="131"/>
      <c r="X74" s="131"/>
      <c r="Y74" s="131"/>
    </row>
    <row r="75">
      <c r="A75" s="131"/>
      <c r="B75" s="131"/>
      <c r="C75" s="131"/>
      <c r="D75" s="81"/>
      <c r="E75" s="81"/>
      <c r="F75" s="131"/>
      <c r="G75" s="131"/>
      <c r="H75" s="131"/>
      <c r="I75" s="131"/>
      <c r="J75" s="131"/>
      <c r="K75" s="131"/>
      <c r="L75" s="131"/>
      <c r="M75" s="131"/>
      <c r="N75" s="131"/>
      <c r="O75" s="131"/>
      <c r="P75" s="131"/>
      <c r="Q75" s="131"/>
      <c r="R75" s="131"/>
      <c r="S75" s="131"/>
      <c r="T75" s="131"/>
      <c r="U75" s="131"/>
      <c r="V75" s="131"/>
      <c r="W75" s="131"/>
      <c r="X75" s="131"/>
      <c r="Y75" s="131"/>
    </row>
    <row r="76">
      <c r="A76" s="131"/>
      <c r="B76" s="131"/>
      <c r="C76" s="131"/>
      <c r="D76" s="81"/>
      <c r="E76" s="81"/>
      <c r="F76" s="131"/>
      <c r="G76" s="131"/>
      <c r="H76" s="131"/>
      <c r="I76" s="131"/>
      <c r="J76" s="131"/>
      <c r="K76" s="131"/>
      <c r="L76" s="131"/>
      <c r="M76" s="131"/>
      <c r="N76" s="131"/>
      <c r="O76" s="131"/>
      <c r="P76" s="131"/>
      <c r="Q76" s="131"/>
      <c r="R76" s="131"/>
      <c r="S76" s="131"/>
      <c r="T76" s="131"/>
      <c r="U76" s="131"/>
      <c r="V76" s="131"/>
      <c r="W76" s="131"/>
      <c r="X76" s="131"/>
      <c r="Y76" s="131"/>
    </row>
    <row r="77">
      <c r="A77" s="131"/>
      <c r="B77" s="131"/>
      <c r="C77" s="131"/>
      <c r="D77" s="81"/>
      <c r="E77" s="81"/>
      <c r="F77" s="131"/>
      <c r="G77" s="131"/>
      <c r="H77" s="131"/>
      <c r="I77" s="131"/>
      <c r="J77" s="131"/>
      <c r="K77" s="131"/>
      <c r="L77" s="131"/>
      <c r="M77" s="131"/>
      <c r="N77" s="131"/>
      <c r="O77" s="131"/>
      <c r="P77" s="131"/>
      <c r="Q77" s="131"/>
      <c r="R77" s="131"/>
      <c r="S77" s="131"/>
      <c r="T77" s="131"/>
      <c r="U77" s="131"/>
      <c r="V77" s="131"/>
      <c r="W77" s="131"/>
      <c r="X77" s="131"/>
      <c r="Y77" s="131"/>
    </row>
    <row r="78">
      <c r="A78" s="131"/>
      <c r="B78" s="131"/>
      <c r="C78" s="131"/>
      <c r="D78" s="81"/>
      <c r="E78" s="81"/>
      <c r="F78" s="131"/>
      <c r="G78" s="131"/>
      <c r="H78" s="131"/>
      <c r="I78" s="131"/>
      <c r="J78" s="131"/>
      <c r="K78" s="131"/>
      <c r="L78" s="131"/>
      <c r="M78" s="131"/>
      <c r="N78" s="131"/>
      <c r="O78" s="131"/>
      <c r="P78" s="131"/>
      <c r="Q78" s="131"/>
      <c r="R78" s="131"/>
      <c r="S78" s="131"/>
      <c r="T78" s="131"/>
      <c r="U78" s="131"/>
      <c r="V78" s="131"/>
      <c r="W78" s="131"/>
      <c r="X78" s="131"/>
      <c r="Y78" s="131"/>
    </row>
    <row r="79">
      <c r="A79" s="131"/>
      <c r="B79" s="131"/>
      <c r="C79" s="131"/>
      <c r="D79" s="81"/>
      <c r="E79" s="81"/>
      <c r="F79" s="131"/>
      <c r="G79" s="131"/>
      <c r="H79" s="131"/>
      <c r="I79" s="131"/>
      <c r="J79" s="131"/>
      <c r="K79" s="131"/>
      <c r="L79" s="131"/>
      <c r="M79" s="131"/>
      <c r="N79" s="131"/>
      <c r="O79" s="131"/>
      <c r="P79" s="131"/>
      <c r="Q79" s="131"/>
      <c r="R79" s="131"/>
      <c r="S79" s="131"/>
      <c r="T79" s="131"/>
      <c r="U79" s="131"/>
      <c r="V79" s="131"/>
      <c r="W79" s="131"/>
      <c r="X79" s="131"/>
      <c r="Y79" s="131"/>
    </row>
    <row r="80">
      <c r="A80" s="131"/>
      <c r="B80" s="131"/>
      <c r="C80" s="131"/>
      <c r="D80" s="81"/>
      <c r="E80" s="81"/>
      <c r="F80" s="131"/>
      <c r="G80" s="131"/>
      <c r="H80" s="131"/>
      <c r="I80" s="131"/>
      <c r="J80" s="131"/>
      <c r="K80" s="131"/>
      <c r="L80" s="131"/>
      <c r="M80" s="131"/>
      <c r="N80" s="131"/>
      <c r="O80" s="131"/>
      <c r="P80" s="131"/>
      <c r="Q80" s="131"/>
      <c r="R80" s="131"/>
      <c r="S80" s="131"/>
      <c r="T80" s="131"/>
      <c r="U80" s="131"/>
      <c r="V80" s="131"/>
      <c r="W80" s="131"/>
      <c r="X80" s="131"/>
      <c r="Y80" s="131"/>
    </row>
    <row r="81">
      <c r="A81" s="131"/>
      <c r="B81" s="131"/>
      <c r="C81" s="131"/>
      <c r="D81" s="81"/>
      <c r="E81" s="81"/>
      <c r="F81" s="131"/>
      <c r="G81" s="131"/>
      <c r="H81" s="131"/>
      <c r="I81" s="131"/>
      <c r="J81" s="131"/>
      <c r="K81" s="131"/>
      <c r="L81" s="131"/>
      <c r="M81" s="131"/>
      <c r="N81" s="131"/>
      <c r="O81" s="131"/>
      <c r="P81" s="131"/>
      <c r="Q81" s="131"/>
      <c r="R81" s="131"/>
      <c r="S81" s="131"/>
      <c r="T81" s="131"/>
      <c r="U81" s="131"/>
      <c r="V81" s="131"/>
      <c r="W81" s="131"/>
      <c r="X81" s="131"/>
      <c r="Y81" s="131"/>
    </row>
    <row r="82">
      <c r="A82" s="131"/>
      <c r="B82" s="131"/>
      <c r="C82" s="131"/>
      <c r="D82" s="81"/>
      <c r="E82" s="81"/>
      <c r="F82" s="131"/>
      <c r="G82" s="131"/>
      <c r="H82" s="131"/>
      <c r="I82" s="131"/>
      <c r="J82" s="131"/>
      <c r="K82" s="131"/>
      <c r="L82" s="131"/>
      <c r="M82" s="131"/>
      <c r="N82" s="131"/>
      <c r="O82" s="131"/>
      <c r="P82" s="131"/>
      <c r="Q82" s="131"/>
      <c r="R82" s="131"/>
      <c r="S82" s="131"/>
      <c r="T82" s="131"/>
      <c r="U82" s="131"/>
      <c r="V82" s="131"/>
      <c r="W82" s="131"/>
      <c r="X82" s="131"/>
      <c r="Y82" s="131"/>
    </row>
    <row r="83">
      <c r="A83" s="131"/>
      <c r="B83" s="131"/>
      <c r="C83" s="131"/>
      <c r="D83" s="81"/>
      <c r="E83" s="81"/>
      <c r="F83" s="131"/>
      <c r="G83" s="131"/>
      <c r="H83" s="131"/>
      <c r="I83" s="131"/>
      <c r="J83" s="131"/>
      <c r="K83" s="131"/>
      <c r="L83" s="131"/>
      <c r="M83" s="131"/>
      <c r="N83" s="131"/>
      <c r="O83" s="131"/>
      <c r="P83" s="131"/>
      <c r="Q83" s="131"/>
      <c r="R83" s="131"/>
      <c r="S83" s="131"/>
      <c r="T83" s="131"/>
      <c r="U83" s="131"/>
      <c r="V83" s="131"/>
      <c r="W83" s="131"/>
      <c r="X83" s="131"/>
      <c r="Y83" s="131"/>
    </row>
    <row r="84">
      <c r="A84" s="131"/>
      <c r="B84" s="131"/>
      <c r="C84" s="131"/>
      <c r="D84" s="81"/>
      <c r="E84" s="81"/>
      <c r="F84" s="131"/>
      <c r="G84" s="131"/>
      <c r="H84" s="131"/>
      <c r="I84" s="131"/>
      <c r="J84" s="131"/>
      <c r="K84" s="131"/>
      <c r="L84" s="131"/>
      <c r="M84" s="131"/>
      <c r="N84" s="131"/>
      <c r="O84" s="131"/>
      <c r="P84" s="131"/>
      <c r="Q84" s="131"/>
      <c r="R84" s="131"/>
      <c r="S84" s="131"/>
      <c r="T84" s="131"/>
      <c r="U84" s="131"/>
      <c r="V84" s="131"/>
      <c r="W84" s="131"/>
      <c r="X84" s="131"/>
      <c r="Y84" s="131"/>
    </row>
    <row r="85">
      <c r="A85" s="131"/>
      <c r="B85" s="131"/>
      <c r="C85" s="131"/>
      <c r="D85" s="81"/>
      <c r="E85" s="81"/>
      <c r="F85" s="131"/>
      <c r="G85" s="131"/>
      <c r="H85" s="131"/>
      <c r="I85" s="131"/>
      <c r="J85" s="131"/>
      <c r="K85" s="131"/>
      <c r="L85" s="131"/>
      <c r="M85" s="131"/>
      <c r="N85" s="131"/>
      <c r="O85" s="131"/>
      <c r="P85" s="131"/>
      <c r="Q85" s="131"/>
      <c r="R85" s="131"/>
      <c r="S85" s="131"/>
      <c r="T85" s="131"/>
      <c r="U85" s="131"/>
      <c r="V85" s="131"/>
      <c r="W85" s="131"/>
      <c r="X85" s="131"/>
      <c r="Y85" s="131"/>
    </row>
    <row r="86">
      <c r="A86" s="131"/>
      <c r="B86" s="131"/>
      <c r="C86" s="131"/>
      <c r="D86" s="81"/>
      <c r="E86" s="81"/>
      <c r="F86" s="131"/>
      <c r="G86" s="131"/>
      <c r="H86" s="131"/>
      <c r="I86" s="131"/>
      <c r="J86" s="131"/>
      <c r="K86" s="131"/>
      <c r="L86" s="131"/>
      <c r="M86" s="131"/>
      <c r="N86" s="131"/>
      <c r="O86" s="131"/>
      <c r="P86" s="131"/>
      <c r="Q86" s="131"/>
      <c r="R86" s="131"/>
      <c r="S86" s="131"/>
      <c r="T86" s="131"/>
      <c r="U86" s="131"/>
      <c r="V86" s="131"/>
      <c r="W86" s="131"/>
      <c r="X86" s="131"/>
      <c r="Y86" s="131"/>
    </row>
    <row r="87">
      <c r="A87" s="131"/>
      <c r="B87" s="131"/>
      <c r="C87" s="131"/>
      <c r="D87" s="81"/>
      <c r="E87" s="81"/>
      <c r="F87" s="131"/>
      <c r="G87" s="131"/>
      <c r="H87" s="131"/>
      <c r="I87" s="131"/>
      <c r="J87" s="131"/>
      <c r="K87" s="131"/>
      <c r="L87" s="131"/>
      <c r="M87" s="131"/>
      <c r="N87" s="131"/>
      <c r="O87" s="131"/>
      <c r="P87" s="131"/>
      <c r="Q87" s="131"/>
      <c r="R87" s="131"/>
      <c r="S87" s="131"/>
      <c r="T87" s="131"/>
      <c r="U87" s="131"/>
      <c r="V87" s="131"/>
      <c r="W87" s="131"/>
      <c r="X87" s="131"/>
      <c r="Y87" s="131"/>
    </row>
    <row r="88">
      <c r="A88" s="131"/>
      <c r="B88" s="131"/>
      <c r="C88" s="131"/>
      <c r="D88" s="81"/>
      <c r="E88" s="81"/>
      <c r="F88" s="131"/>
      <c r="G88" s="131"/>
      <c r="H88" s="131"/>
      <c r="I88" s="131"/>
      <c r="J88" s="131"/>
      <c r="K88" s="131"/>
      <c r="L88" s="131"/>
      <c r="M88" s="131"/>
      <c r="N88" s="131"/>
      <c r="O88" s="131"/>
      <c r="P88" s="131"/>
      <c r="Q88" s="131"/>
      <c r="R88" s="131"/>
      <c r="S88" s="131"/>
      <c r="T88" s="131"/>
      <c r="U88" s="131"/>
      <c r="V88" s="131"/>
      <c r="W88" s="131"/>
      <c r="X88" s="131"/>
      <c r="Y88" s="131"/>
    </row>
    <row r="89">
      <c r="A89" s="131"/>
      <c r="B89" s="131"/>
      <c r="C89" s="131"/>
      <c r="D89" s="81"/>
      <c r="E89" s="81"/>
      <c r="F89" s="131"/>
      <c r="G89" s="131"/>
      <c r="H89" s="131"/>
      <c r="I89" s="131"/>
      <c r="J89" s="131"/>
      <c r="K89" s="131"/>
      <c r="L89" s="131"/>
      <c r="M89" s="131"/>
      <c r="N89" s="131"/>
      <c r="O89" s="131"/>
      <c r="P89" s="131"/>
      <c r="Q89" s="131"/>
      <c r="R89" s="131"/>
      <c r="S89" s="131"/>
      <c r="T89" s="131"/>
      <c r="U89" s="131"/>
      <c r="V89" s="131"/>
      <c r="W89" s="131"/>
      <c r="X89" s="131"/>
      <c r="Y89" s="131"/>
    </row>
    <row r="90">
      <c r="A90" s="131"/>
      <c r="B90" s="131"/>
      <c r="C90" s="131"/>
      <c r="D90" s="81"/>
      <c r="E90" s="81"/>
      <c r="F90" s="131"/>
      <c r="G90" s="131"/>
      <c r="H90" s="131"/>
      <c r="I90" s="131"/>
      <c r="J90" s="131"/>
      <c r="K90" s="131"/>
      <c r="L90" s="131"/>
      <c r="M90" s="131"/>
      <c r="N90" s="131"/>
      <c r="O90" s="131"/>
      <c r="P90" s="131"/>
      <c r="Q90" s="131"/>
      <c r="R90" s="131"/>
      <c r="S90" s="131"/>
      <c r="T90" s="131"/>
      <c r="U90" s="131"/>
      <c r="V90" s="131"/>
      <c r="W90" s="131"/>
      <c r="X90" s="131"/>
      <c r="Y90" s="131"/>
    </row>
    <row r="91">
      <c r="A91" s="131"/>
      <c r="B91" s="131"/>
      <c r="C91" s="131"/>
      <c r="D91" s="81"/>
      <c r="E91" s="81"/>
      <c r="F91" s="131"/>
      <c r="G91" s="131"/>
      <c r="H91" s="131"/>
      <c r="I91" s="131"/>
      <c r="J91" s="131"/>
      <c r="K91" s="131"/>
      <c r="L91" s="131"/>
      <c r="M91" s="131"/>
      <c r="N91" s="131"/>
      <c r="O91" s="131"/>
      <c r="P91" s="131"/>
      <c r="Q91" s="131"/>
      <c r="R91" s="131"/>
      <c r="S91" s="131"/>
      <c r="T91" s="131"/>
      <c r="U91" s="131"/>
      <c r="V91" s="131"/>
      <c r="W91" s="131"/>
      <c r="X91" s="131"/>
      <c r="Y91" s="131"/>
    </row>
    <row r="92">
      <c r="A92" s="131"/>
      <c r="B92" s="131"/>
      <c r="C92" s="131"/>
      <c r="D92" s="81"/>
      <c r="E92" s="81"/>
      <c r="F92" s="131"/>
      <c r="G92" s="131"/>
      <c r="H92" s="131"/>
      <c r="I92" s="131"/>
      <c r="J92" s="131"/>
      <c r="K92" s="131"/>
      <c r="L92" s="131"/>
      <c r="M92" s="131"/>
      <c r="N92" s="131"/>
      <c r="O92" s="131"/>
      <c r="P92" s="131"/>
      <c r="Q92" s="131"/>
      <c r="R92" s="131"/>
      <c r="S92" s="131"/>
      <c r="T92" s="131"/>
      <c r="U92" s="131"/>
      <c r="V92" s="131"/>
      <c r="W92" s="131"/>
      <c r="X92" s="131"/>
      <c r="Y92" s="131"/>
    </row>
    <row r="93">
      <c r="A93" s="131"/>
      <c r="B93" s="131"/>
      <c r="C93" s="131"/>
      <c r="D93" s="81"/>
      <c r="E93" s="81"/>
      <c r="F93" s="131"/>
      <c r="G93" s="131"/>
      <c r="H93" s="131"/>
      <c r="I93" s="131"/>
      <c r="J93" s="131"/>
      <c r="K93" s="131"/>
      <c r="L93" s="131"/>
      <c r="M93" s="131"/>
      <c r="N93" s="131"/>
      <c r="O93" s="131"/>
      <c r="P93" s="131"/>
      <c r="Q93" s="131"/>
      <c r="R93" s="131"/>
      <c r="S93" s="131"/>
      <c r="T93" s="131"/>
      <c r="U93" s="131"/>
      <c r="V93" s="131"/>
      <c r="W93" s="131"/>
      <c r="X93" s="131"/>
      <c r="Y93" s="131"/>
    </row>
    <row r="94">
      <c r="A94" s="131"/>
      <c r="B94" s="131"/>
      <c r="C94" s="131"/>
      <c r="D94" s="81"/>
      <c r="E94" s="81"/>
      <c r="F94" s="131"/>
      <c r="G94" s="131"/>
      <c r="H94" s="131"/>
      <c r="I94" s="131"/>
      <c r="J94" s="131"/>
      <c r="K94" s="131"/>
      <c r="L94" s="131"/>
      <c r="M94" s="131"/>
      <c r="N94" s="131"/>
      <c r="O94" s="131"/>
      <c r="P94" s="131"/>
      <c r="Q94" s="131"/>
      <c r="R94" s="131"/>
      <c r="S94" s="131"/>
      <c r="T94" s="131"/>
      <c r="U94" s="131"/>
      <c r="V94" s="131"/>
      <c r="W94" s="131"/>
      <c r="X94" s="131"/>
      <c r="Y94" s="131"/>
    </row>
    <row r="95">
      <c r="A95" s="131"/>
      <c r="B95" s="131"/>
      <c r="C95" s="131"/>
      <c r="D95" s="81"/>
      <c r="E95" s="81"/>
      <c r="F95" s="131"/>
      <c r="G95" s="131"/>
      <c r="H95" s="131"/>
      <c r="I95" s="131"/>
      <c r="J95" s="131"/>
      <c r="K95" s="131"/>
      <c r="L95" s="131"/>
      <c r="M95" s="131"/>
      <c r="N95" s="131"/>
      <c r="O95" s="131"/>
      <c r="P95" s="131"/>
      <c r="Q95" s="131"/>
      <c r="R95" s="131"/>
      <c r="S95" s="131"/>
      <c r="T95" s="131"/>
      <c r="U95" s="131"/>
      <c r="V95" s="131"/>
      <c r="W95" s="131"/>
      <c r="X95" s="131"/>
      <c r="Y95" s="131"/>
    </row>
    <row r="96">
      <c r="A96" s="131"/>
      <c r="B96" s="131"/>
      <c r="C96" s="131"/>
      <c r="D96" s="81"/>
      <c r="E96" s="81"/>
      <c r="F96" s="131"/>
      <c r="G96" s="131"/>
      <c r="H96" s="131"/>
      <c r="I96" s="131"/>
      <c r="J96" s="131"/>
      <c r="K96" s="131"/>
      <c r="L96" s="131"/>
      <c r="M96" s="131"/>
      <c r="N96" s="131"/>
      <c r="O96" s="131"/>
      <c r="P96" s="131"/>
      <c r="Q96" s="131"/>
      <c r="R96" s="131"/>
      <c r="S96" s="131"/>
      <c r="T96" s="131"/>
      <c r="U96" s="131"/>
      <c r="V96" s="131"/>
      <c r="W96" s="131"/>
      <c r="X96" s="131"/>
      <c r="Y96" s="131"/>
    </row>
    <row r="97">
      <c r="A97" s="131"/>
      <c r="B97" s="131"/>
      <c r="C97" s="131"/>
      <c r="D97" s="81"/>
      <c r="E97" s="81"/>
      <c r="F97" s="131"/>
      <c r="G97" s="131"/>
      <c r="H97" s="131"/>
      <c r="I97" s="131"/>
      <c r="J97" s="131"/>
      <c r="K97" s="131"/>
      <c r="L97" s="131"/>
      <c r="M97" s="131"/>
      <c r="N97" s="131"/>
      <c r="O97" s="131"/>
      <c r="P97" s="131"/>
      <c r="Q97" s="131"/>
      <c r="R97" s="131"/>
      <c r="S97" s="131"/>
      <c r="T97" s="131"/>
      <c r="U97" s="131"/>
      <c r="V97" s="131"/>
      <c r="W97" s="131"/>
      <c r="X97" s="131"/>
      <c r="Y97" s="131"/>
    </row>
    <row r="98">
      <c r="A98" s="131"/>
      <c r="B98" s="131"/>
      <c r="C98" s="131"/>
      <c r="D98" s="81"/>
      <c r="E98" s="81"/>
      <c r="F98" s="131"/>
      <c r="G98" s="131"/>
      <c r="H98" s="131"/>
      <c r="I98" s="131"/>
      <c r="J98" s="131"/>
      <c r="K98" s="131"/>
      <c r="L98" s="131"/>
      <c r="M98" s="131"/>
      <c r="N98" s="131"/>
      <c r="O98" s="131"/>
      <c r="P98" s="131"/>
      <c r="Q98" s="131"/>
      <c r="R98" s="131"/>
      <c r="S98" s="131"/>
      <c r="T98" s="131"/>
      <c r="U98" s="131"/>
      <c r="V98" s="131"/>
      <c r="W98" s="131"/>
      <c r="X98" s="131"/>
      <c r="Y98" s="131"/>
    </row>
    <row r="99">
      <c r="A99" s="131"/>
      <c r="B99" s="131"/>
      <c r="C99" s="131"/>
      <c r="D99" s="81"/>
      <c r="E99" s="81"/>
      <c r="F99" s="131"/>
      <c r="G99" s="131"/>
      <c r="H99" s="131"/>
      <c r="I99" s="131"/>
      <c r="J99" s="131"/>
      <c r="K99" s="131"/>
      <c r="L99" s="131"/>
      <c r="M99" s="131"/>
      <c r="N99" s="131"/>
      <c r="O99" s="131"/>
      <c r="P99" s="131"/>
      <c r="Q99" s="131"/>
      <c r="R99" s="131"/>
      <c r="S99" s="131"/>
      <c r="T99" s="131"/>
      <c r="U99" s="131"/>
      <c r="V99" s="131"/>
      <c r="W99" s="131"/>
      <c r="X99" s="131"/>
      <c r="Y99" s="131"/>
    </row>
    <row r="100">
      <c r="A100" s="131"/>
      <c r="B100" s="131"/>
      <c r="C100" s="131"/>
      <c r="D100" s="81"/>
      <c r="E100" s="81"/>
      <c r="F100" s="131"/>
      <c r="G100" s="131"/>
      <c r="H100" s="131"/>
      <c r="I100" s="131"/>
      <c r="J100" s="131"/>
      <c r="K100" s="131"/>
      <c r="L100" s="131"/>
      <c r="M100" s="131"/>
      <c r="N100" s="131"/>
      <c r="O100" s="131"/>
      <c r="P100" s="131"/>
      <c r="Q100" s="131"/>
      <c r="R100" s="131"/>
      <c r="S100" s="131"/>
      <c r="T100" s="131"/>
      <c r="U100" s="131"/>
      <c r="V100" s="131"/>
      <c r="W100" s="131"/>
      <c r="X100" s="131"/>
      <c r="Y100" s="131"/>
    </row>
    <row r="101">
      <c r="A101" s="131"/>
      <c r="B101" s="131"/>
      <c r="C101" s="131"/>
      <c r="D101" s="81"/>
      <c r="E101" s="81"/>
      <c r="F101" s="131"/>
      <c r="G101" s="131"/>
      <c r="H101" s="131"/>
      <c r="I101" s="131"/>
      <c r="J101" s="131"/>
      <c r="K101" s="131"/>
      <c r="L101" s="131"/>
      <c r="M101" s="131"/>
      <c r="N101" s="131"/>
      <c r="O101" s="131"/>
      <c r="P101" s="131"/>
      <c r="Q101" s="131"/>
      <c r="R101" s="131"/>
      <c r="S101" s="131"/>
      <c r="T101" s="131"/>
      <c r="U101" s="131"/>
      <c r="V101" s="131"/>
      <c r="W101" s="131"/>
      <c r="X101" s="131"/>
      <c r="Y101" s="131"/>
    </row>
    <row r="102">
      <c r="A102" s="131"/>
      <c r="B102" s="131"/>
      <c r="C102" s="131"/>
      <c r="D102" s="81"/>
      <c r="E102" s="81"/>
      <c r="F102" s="131"/>
      <c r="G102" s="131"/>
      <c r="H102" s="131"/>
      <c r="I102" s="131"/>
      <c r="J102" s="131"/>
      <c r="K102" s="131"/>
      <c r="L102" s="131"/>
      <c r="M102" s="131"/>
      <c r="N102" s="131"/>
      <c r="O102" s="131"/>
      <c r="P102" s="131"/>
      <c r="Q102" s="131"/>
      <c r="R102" s="131"/>
      <c r="S102" s="131"/>
      <c r="T102" s="131"/>
      <c r="U102" s="131"/>
      <c r="V102" s="131"/>
      <c r="W102" s="131"/>
      <c r="X102" s="131"/>
      <c r="Y102" s="131"/>
    </row>
    <row r="103">
      <c r="A103" s="131"/>
      <c r="B103" s="131"/>
      <c r="C103" s="131"/>
      <c r="D103" s="81"/>
      <c r="E103" s="81"/>
      <c r="F103" s="131"/>
      <c r="G103" s="131"/>
      <c r="H103" s="131"/>
      <c r="I103" s="131"/>
      <c r="J103" s="131"/>
      <c r="K103" s="131"/>
      <c r="L103" s="131"/>
      <c r="M103" s="131"/>
      <c r="N103" s="131"/>
      <c r="O103" s="131"/>
      <c r="P103" s="131"/>
      <c r="Q103" s="131"/>
      <c r="R103" s="131"/>
      <c r="S103" s="131"/>
      <c r="T103" s="131"/>
      <c r="U103" s="131"/>
      <c r="V103" s="131"/>
      <c r="W103" s="131"/>
      <c r="X103" s="131"/>
      <c r="Y103" s="131"/>
    </row>
    <row r="104">
      <c r="A104" s="131"/>
      <c r="B104" s="131"/>
      <c r="C104" s="131"/>
      <c r="D104" s="81"/>
      <c r="E104" s="81"/>
      <c r="F104" s="131"/>
      <c r="G104" s="131"/>
      <c r="H104" s="131"/>
      <c r="I104" s="131"/>
      <c r="J104" s="131"/>
      <c r="K104" s="131"/>
      <c r="L104" s="131"/>
      <c r="M104" s="131"/>
      <c r="N104" s="131"/>
      <c r="O104" s="131"/>
      <c r="P104" s="131"/>
      <c r="Q104" s="131"/>
      <c r="R104" s="131"/>
      <c r="S104" s="131"/>
      <c r="T104" s="131"/>
      <c r="U104" s="131"/>
      <c r="V104" s="131"/>
      <c r="W104" s="131"/>
      <c r="X104" s="131"/>
      <c r="Y104" s="131"/>
    </row>
    <row r="105">
      <c r="A105" s="131"/>
      <c r="B105" s="131"/>
      <c r="C105" s="131"/>
      <c r="D105" s="81"/>
      <c r="E105" s="81"/>
      <c r="F105" s="131"/>
      <c r="G105" s="131"/>
      <c r="H105" s="131"/>
      <c r="I105" s="131"/>
      <c r="J105" s="131"/>
      <c r="K105" s="131"/>
      <c r="L105" s="131"/>
      <c r="M105" s="131"/>
      <c r="N105" s="131"/>
      <c r="O105" s="131"/>
      <c r="P105" s="131"/>
      <c r="Q105" s="131"/>
      <c r="R105" s="131"/>
      <c r="S105" s="131"/>
      <c r="T105" s="131"/>
      <c r="U105" s="131"/>
      <c r="V105" s="131"/>
      <c r="W105" s="131"/>
      <c r="X105" s="131"/>
      <c r="Y105" s="131"/>
    </row>
    <row r="106">
      <c r="A106" s="131"/>
      <c r="B106" s="131"/>
      <c r="C106" s="131"/>
      <c r="D106" s="81"/>
      <c r="E106" s="81"/>
      <c r="F106" s="131"/>
      <c r="G106" s="131"/>
      <c r="H106" s="131"/>
      <c r="I106" s="131"/>
      <c r="J106" s="131"/>
      <c r="K106" s="131"/>
      <c r="L106" s="131"/>
      <c r="M106" s="131"/>
      <c r="N106" s="131"/>
      <c r="O106" s="131"/>
      <c r="P106" s="131"/>
      <c r="Q106" s="131"/>
      <c r="R106" s="131"/>
      <c r="S106" s="131"/>
      <c r="T106" s="131"/>
      <c r="U106" s="131"/>
      <c r="V106" s="131"/>
      <c r="W106" s="131"/>
      <c r="X106" s="131"/>
      <c r="Y106" s="131"/>
    </row>
    <row r="107">
      <c r="A107" s="131"/>
      <c r="B107" s="131"/>
      <c r="C107" s="131"/>
      <c r="D107" s="81"/>
      <c r="E107" s="81"/>
      <c r="F107" s="131"/>
      <c r="G107" s="131"/>
      <c r="H107" s="131"/>
      <c r="I107" s="131"/>
      <c r="J107" s="131"/>
      <c r="K107" s="131"/>
      <c r="L107" s="131"/>
      <c r="M107" s="131"/>
      <c r="N107" s="131"/>
      <c r="O107" s="131"/>
      <c r="P107" s="131"/>
      <c r="Q107" s="131"/>
      <c r="R107" s="131"/>
      <c r="S107" s="131"/>
      <c r="T107" s="131"/>
      <c r="U107" s="131"/>
      <c r="V107" s="131"/>
      <c r="W107" s="131"/>
      <c r="X107" s="131"/>
      <c r="Y107" s="131"/>
    </row>
    <row r="108">
      <c r="A108" s="131"/>
      <c r="B108" s="131"/>
      <c r="C108" s="131"/>
      <c r="D108" s="81"/>
      <c r="E108" s="81"/>
      <c r="F108" s="131"/>
      <c r="G108" s="131"/>
      <c r="H108" s="131"/>
      <c r="I108" s="131"/>
      <c r="J108" s="131"/>
      <c r="K108" s="131"/>
      <c r="L108" s="131"/>
      <c r="M108" s="131"/>
      <c r="N108" s="131"/>
      <c r="O108" s="131"/>
      <c r="P108" s="131"/>
      <c r="Q108" s="131"/>
      <c r="R108" s="131"/>
      <c r="S108" s="131"/>
      <c r="T108" s="131"/>
      <c r="U108" s="131"/>
      <c r="V108" s="131"/>
      <c r="W108" s="131"/>
      <c r="X108" s="131"/>
      <c r="Y108" s="131"/>
    </row>
    <row r="109">
      <c r="A109" s="131"/>
      <c r="B109" s="131"/>
      <c r="C109" s="131"/>
      <c r="D109" s="81"/>
      <c r="E109" s="81"/>
      <c r="F109" s="131"/>
      <c r="G109" s="131"/>
      <c r="H109" s="131"/>
      <c r="I109" s="131"/>
      <c r="J109" s="131"/>
      <c r="K109" s="131"/>
      <c r="L109" s="131"/>
      <c r="M109" s="131"/>
      <c r="N109" s="131"/>
      <c r="O109" s="131"/>
      <c r="P109" s="131"/>
      <c r="Q109" s="131"/>
      <c r="R109" s="131"/>
      <c r="S109" s="131"/>
      <c r="T109" s="131"/>
      <c r="U109" s="131"/>
      <c r="V109" s="131"/>
      <c r="W109" s="131"/>
      <c r="X109" s="131"/>
      <c r="Y109" s="131"/>
    </row>
    <row r="110">
      <c r="A110" s="131"/>
      <c r="B110" s="131"/>
      <c r="C110" s="131"/>
      <c r="D110" s="81"/>
      <c r="E110" s="81"/>
      <c r="F110" s="131"/>
      <c r="G110" s="131"/>
      <c r="H110" s="131"/>
      <c r="I110" s="131"/>
      <c r="J110" s="131"/>
      <c r="K110" s="131"/>
      <c r="L110" s="131"/>
      <c r="M110" s="131"/>
      <c r="N110" s="131"/>
      <c r="O110" s="131"/>
      <c r="P110" s="131"/>
      <c r="Q110" s="131"/>
      <c r="R110" s="131"/>
      <c r="S110" s="131"/>
      <c r="T110" s="131"/>
      <c r="U110" s="131"/>
      <c r="V110" s="131"/>
      <c r="W110" s="131"/>
      <c r="X110" s="131"/>
      <c r="Y110" s="131"/>
    </row>
    <row r="111">
      <c r="A111" s="131"/>
      <c r="B111" s="131"/>
      <c r="C111" s="131"/>
      <c r="D111" s="81"/>
      <c r="E111" s="81"/>
      <c r="F111" s="131"/>
      <c r="G111" s="131"/>
      <c r="H111" s="131"/>
      <c r="I111" s="131"/>
      <c r="J111" s="131"/>
      <c r="K111" s="131"/>
      <c r="L111" s="131"/>
      <c r="M111" s="131"/>
      <c r="N111" s="131"/>
      <c r="O111" s="131"/>
      <c r="P111" s="131"/>
      <c r="Q111" s="131"/>
      <c r="R111" s="131"/>
      <c r="S111" s="131"/>
      <c r="T111" s="131"/>
      <c r="U111" s="131"/>
      <c r="V111" s="131"/>
      <c r="W111" s="131"/>
      <c r="X111" s="131"/>
      <c r="Y111" s="131"/>
    </row>
    <row r="112">
      <c r="A112" s="131"/>
      <c r="B112" s="131"/>
      <c r="C112" s="131"/>
      <c r="D112" s="81"/>
      <c r="E112" s="81"/>
      <c r="F112" s="131"/>
      <c r="G112" s="131"/>
      <c r="H112" s="131"/>
      <c r="I112" s="131"/>
      <c r="J112" s="131"/>
      <c r="K112" s="131"/>
      <c r="L112" s="131"/>
      <c r="M112" s="131"/>
      <c r="N112" s="131"/>
      <c r="O112" s="131"/>
      <c r="P112" s="131"/>
      <c r="Q112" s="131"/>
      <c r="R112" s="131"/>
      <c r="S112" s="131"/>
      <c r="T112" s="131"/>
      <c r="U112" s="131"/>
      <c r="V112" s="131"/>
      <c r="W112" s="131"/>
      <c r="X112" s="131"/>
      <c r="Y112" s="131"/>
    </row>
    <row r="113">
      <c r="A113" s="131"/>
      <c r="B113" s="131"/>
      <c r="C113" s="131"/>
      <c r="D113" s="81"/>
      <c r="E113" s="81"/>
      <c r="F113" s="131"/>
      <c r="G113" s="131"/>
      <c r="H113" s="131"/>
      <c r="I113" s="131"/>
      <c r="J113" s="131"/>
      <c r="K113" s="131"/>
      <c r="L113" s="131"/>
      <c r="M113" s="131"/>
      <c r="N113" s="131"/>
      <c r="O113" s="131"/>
      <c r="P113" s="131"/>
      <c r="Q113" s="131"/>
      <c r="R113" s="131"/>
      <c r="S113" s="131"/>
      <c r="T113" s="131"/>
      <c r="U113" s="131"/>
      <c r="V113" s="131"/>
      <c r="W113" s="131"/>
      <c r="X113" s="131"/>
      <c r="Y113" s="131"/>
    </row>
    <row r="114">
      <c r="A114" s="131"/>
      <c r="B114" s="131"/>
      <c r="C114" s="131"/>
      <c r="D114" s="81"/>
      <c r="E114" s="81"/>
      <c r="F114" s="131"/>
      <c r="G114" s="131"/>
      <c r="H114" s="131"/>
      <c r="I114" s="131"/>
      <c r="J114" s="131"/>
      <c r="K114" s="131"/>
      <c r="L114" s="131"/>
      <c r="M114" s="131"/>
      <c r="N114" s="131"/>
      <c r="O114" s="131"/>
      <c r="P114" s="131"/>
      <c r="Q114" s="131"/>
      <c r="R114" s="131"/>
      <c r="S114" s="131"/>
      <c r="T114" s="131"/>
      <c r="U114" s="131"/>
      <c r="V114" s="131"/>
      <c r="W114" s="131"/>
      <c r="X114" s="131"/>
      <c r="Y114" s="131"/>
    </row>
    <row r="115">
      <c r="A115" s="131"/>
      <c r="B115" s="131"/>
      <c r="C115" s="131"/>
      <c r="D115" s="81"/>
      <c r="E115" s="81"/>
      <c r="F115" s="131"/>
      <c r="G115" s="131"/>
      <c r="H115" s="131"/>
      <c r="I115" s="131"/>
      <c r="J115" s="131"/>
      <c r="K115" s="131"/>
      <c r="L115" s="131"/>
      <c r="M115" s="131"/>
      <c r="N115" s="131"/>
      <c r="O115" s="131"/>
      <c r="P115" s="131"/>
      <c r="Q115" s="131"/>
      <c r="R115" s="131"/>
      <c r="S115" s="131"/>
      <c r="T115" s="131"/>
      <c r="U115" s="131"/>
      <c r="V115" s="131"/>
      <c r="W115" s="131"/>
      <c r="X115" s="131"/>
      <c r="Y115" s="131"/>
    </row>
    <row r="116">
      <c r="A116" s="131"/>
      <c r="B116" s="131"/>
      <c r="C116" s="131"/>
      <c r="D116" s="81"/>
      <c r="E116" s="81"/>
      <c r="F116" s="131"/>
      <c r="G116" s="131"/>
      <c r="H116" s="131"/>
      <c r="I116" s="131"/>
      <c r="J116" s="131"/>
      <c r="K116" s="131"/>
      <c r="L116" s="131"/>
      <c r="M116" s="131"/>
      <c r="N116" s="131"/>
      <c r="O116" s="131"/>
      <c r="P116" s="131"/>
      <c r="Q116" s="131"/>
      <c r="R116" s="131"/>
      <c r="S116" s="131"/>
      <c r="T116" s="131"/>
      <c r="U116" s="131"/>
      <c r="V116" s="131"/>
      <c r="W116" s="131"/>
      <c r="X116" s="131"/>
      <c r="Y116" s="131"/>
    </row>
    <row r="117">
      <c r="A117" s="131"/>
      <c r="B117" s="131"/>
      <c r="C117" s="131"/>
      <c r="D117" s="81"/>
      <c r="E117" s="81"/>
      <c r="F117" s="131"/>
      <c r="G117" s="131"/>
      <c r="H117" s="131"/>
      <c r="I117" s="131"/>
      <c r="J117" s="131"/>
      <c r="K117" s="131"/>
      <c r="L117" s="131"/>
      <c r="M117" s="131"/>
      <c r="N117" s="131"/>
      <c r="O117" s="131"/>
      <c r="P117" s="131"/>
      <c r="Q117" s="131"/>
      <c r="R117" s="131"/>
      <c r="S117" s="131"/>
      <c r="T117" s="131"/>
      <c r="U117" s="131"/>
      <c r="V117" s="131"/>
      <c r="W117" s="131"/>
      <c r="X117" s="131"/>
      <c r="Y117" s="131"/>
    </row>
    <row r="118">
      <c r="A118" s="131"/>
      <c r="B118" s="131"/>
      <c r="C118" s="131"/>
      <c r="D118" s="81"/>
      <c r="E118" s="81"/>
      <c r="F118" s="131"/>
      <c r="G118" s="131"/>
      <c r="H118" s="131"/>
      <c r="I118" s="131"/>
      <c r="J118" s="131"/>
      <c r="K118" s="131"/>
      <c r="L118" s="131"/>
      <c r="M118" s="131"/>
      <c r="N118" s="131"/>
      <c r="O118" s="131"/>
      <c r="P118" s="131"/>
      <c r="Q118" s="131"/>
      <c r="R118" s="131"/>
      <c r="S118" s="131"/>
      <c r="T118" s="131"/>
      <c r="U118" s="131"/>
      <c r="V118" s="131"/>
      <c r="W118" s="131"/>
      <c r="X118" s="131"/>
      <c r="Y118" s="131"/>
    </row>
    <row r="119">
      <c r="A119" s="131"/>
      <c r="B119" s="131"/>
      <c r="C119" s="131"/>
      <c r="D119" s="81"/>
      <c r="E119" s="81"/>
      <c r="F119" s="131"/>
      <c r="G119" s="131"/>
      <c r="H119" s="131"/>
      <c r="I119" s="131"/>
      <c r="J119" s="131"/>
      <c r="K119" s="131"/>
      <c r="L119" s="131"/>
      <c r="M119" s="131"/>
      <c r="N119" s="131"/>
      <c r="O119" s="131"/>
      <c r="P119" s="131"/>
      <c r="Q119" s="131"/>
      <c r="R119" s="131"/>
      <c r="S119" s="131"/>
      <c r="T119" s="131"/>
      <c r="U119" s="131"/>
      <c r="V119" s="131"/>
      <c r="W119" s="131"/>
      <c r="X119" s="131"/>
      <c r="Y119" s="131"/>
    </row>
    <row r="120">
      <c r="A120" s="131"/>
      <c r="B120" s="131"/>
      <c r="C120" s="131"/>
      <c r="D120" s="81"/>
      <c r="E120" s="81"/>
      <c r="F120" s="131"/>
      <c r="G120" s="131"/>
      <c r="H120" s="131"/>
      <c r="I120" s="131"/>
      <c r="J120" s="131"/>
      <c r="K120" s="131"/>
      <c r="L120" s="131"/>
      <c r="M120" s="131"/>
      <c r="N120" s="131"/>
      <c r="O120" s="131"/>
      <c r="P120" s="131"/>
      <c r="Q120" s="131"/>
      <c r="R120" s="131"/>
      <c r="S120" s="131"/>
      <c r="T120" s="131"/>
      <c r="U120" s="131"/>
      <c r="V120" s="131"/>
      <c r="W120" s="131"/>
      <c r="X120" s="131"/>
      <c r="Y120" s="131"/>
    </row>
    <row r="121">
      <c r="A121" s="131"/>
      <c r="B121" s="131"/>
      <c r="C121" s="131"/>
      <c r="D121" s="81"/>
      <c r="E121" s="81"/>
      <c r="F121" s="131"/>
      <c r="G121" s="131"/>
      <c r="H121" s="131"/>
      <c r="I121" s="131"/>
      <c r="J121" s="131"/>
      <c r="K121" s="131"/>
      <c r="L121" s="131"/>
      <c r="M121" s="131"/>
      <c r="N121" s="131"/>
      <c r="O121" s="131"/>
      <c r="P121" s="131"/>
      <c r="Q121" s="131"/>
      <c r="R121" s="131"/>
      <c r="S121" s="131"/>
      <c r="T121" s="131"/>
      <c r="U121" s="131"/>
      <c r="V121" s="131"/>
      <c r="W121" s="131"/>
      <c r="X121" s="131"/>
      <c r="Y121" s="131"/>
    </row>
    <row r="122">
      <c r="A122" s="131"/>
      <c r="B122" s="131"/>
      <c r="C122" s="131"/>
      <c r="D122" s="81"/>
      <c r="E122" s="81"/>
      <c r="F122" s="131"/>
      <c r="G122" s="131"/>
      <c r="H122" s="131"/>
      <c r="I122" s="131"/>
      <c r="J122" s="131"/>
      <c r="K122" s="131"/>
      <c r="L122" s="131"/>
      <c r="M122" s="131"/>
      <c r="N122" s="131"/>
      <c r="O122" s="131"/>
      <c r="P122" s="131"/>
      <c r="Q122" s="131"/>
      <c r="R122" s="131"/>
      <c r="S122" s="131"/>
      <c r="T122" s="131"/>
      <c r="U122" s="131"/>
      <c r="V122" s="131"/>
      <c r="W122" s="131"/>
      <c r="X122" s="131"/>
      <c r="Y122" s="131"/>
    </row>
    <row r="123">
      <c r="A123" s="131"/>
      <c r="B123" s="131"/>
      <c r="C123" s="131"/>
      <c r="D123" s="81"/>
      <c r="E123" s="81"/>
      <c r="F123" s="131"/>
      <c r="G123" s="131"/>
      <c r="H123" s="131"/>
      <c r="I123" s="131"/>
      <c r="J123" s="131"/>
      <c r="K123" s="131"/>
      <c r="L123" s="131"/>
      <c r="M123" s="131"/>
      <c r="N123" s="131"/>
      <c r="O123" s="131"/>
      <c r="P123" s="131"/>
      <c r="Q123" s="131"/>
      <c r="R123" s="131"/>
      <c r="S123" s="131"/>
      <c r="T123" s="131"/>
      <c r="U123" s="131"/>
      <c r="V123" s="131"/>
      <c r="W123" s="131"/>
      <c r="X123" s="131"/>
      <c r="Y123" s="131"/>
    </row>
    <row r="124">
      <c r="A124" s="131"/>
      <c r="B124" s="131"/>
      <c r="C124" s="131"/>
      <c r="D124" s="81"/>
      <c r="E124" s="81"/>
      <c r="F124" s="131"/>
      <c r="G124" s="131"/>
      <c r="H124" s="131"/>
      <c r="I124" s="131"/>
      <c r="J124" s="131"/>
      <c r="K124" s="131"/>
      <c r="L124" s="131"/>
      <c r="M124" s="131"/>
      <c r="N124" s="131"/>
      <c r="O124" s="131"/>
      <c r="P124" s="131"/>
      <c r="Q124" s="131"/>
      <c r="R124" s="131"/>
      <c r="S124" s="131"/>
      <c r="T124" s="131"/>
      <c r="U124" s="131"/>
      <c r="V124" s="131"/>
      <c r="W124" s="131"/>
      <c r="X124" s="131"/>
      <c r="Y124" s="131"/>
    </row>
    <row r="125">
      <c r="A125" s="131"/>
      <c r="B125" s="131"/>
      <c r="C125" s="131"/>
      <c r="D125" s="81"/>
      <c r="E125" s="81"/>
      <c r="F125" s="131"/>
      <c r="G125" s="131"/>
      <c r="H125" s="131"/>
      <c r="I125" s="131"/>
      <c r="J125" s="131"/>
      <c r="K125" s="131"/>
      <c r="L125" s="131"/>
      <c r="M125" s="131"/>
      <c r="N125" s="131"/>
      <c r="O125" s="131"/>
      <c r="P125" s="131"/>
      <c r="Q125" s="131"/>
      <c r="R125" s="131"/>
      <c r="S125" s="131"/>
      <c r="T125" s="131"/>
      <c r="U125" s="131"/>
      <c r="V125" s="131"/>
      <c r="W125" s="131"/>
      <c r="X125" s="131"/>
      <c r="Y125" s="131"/>
    </row>
    <row r="126">
      <c r="A126" s="131"/>
      <c r="B126" s="131"/>
      <c r="C126" s="131"/>
      <c r="D126" s="81"/>
      <c r="E126" s="81"/>
      <c r="F126" s="131"/>
      <c r="G126" s="131"/>
      <c r="H126" s="131"/>
      <c r="I126" s="131"/>
      <c r="J126" s="131"/>
      <c r="K126" s="131"/>
      <c r="L126" s="131"/>
      <c r="M126" s="131"/>
      <c r="N126" s="131"/>
      <c r="O126" s="131"/>
      <c r="P126" s="131"/>
      <c r="Q126" s="131"/>
      <c r="R126" s="131"/>
      <c r="S126" s="131"/>
      <c r="T126" s="131"/>
      <c r="U126" s="131"/>
      <c r="V126" s="131"/>
      <c r="W126" s="131"/>
      <c r="X126" s="131"/>
      <c r="Y126" s="131"/>
    </row>
    <row r="127">
      <c r="A127" s="131"/>
      <c r="B127" s="131"/>
      <c r="C127" s="131"/>
      <c r="D127" s="81"/>
      <c r="E127" s="81"/>
      <c r="F127" s="131"/>
      <c r="G127" s="131"/>
      <c r="H127" s="131"/>
      <c r="I127" s="131"/>
      <c r="J127" s="131"/>
      <c r="K127" s="131"/>
      <c r="L127" s="131"/>
      <c r="M127" s="131"/>
      <c r="N127" s="131"/>
      <c r="O127" s="131"/>
      <c r="P127" s="131"/>
      <c r="Q127" s="131"/>
      <c r="R127" s="131"/>
      <c r="S127" s="131"/>
      <c r="T127" s="131"/>
      <c r="U127" s="131"/>
      <c r="V127" s="131"/>
      <c r="W127" s="131"/>
      <c r="X127" s="131"/>
      <c r="Y127" s="131"/>
    </row>
    <row r="128">
      <c r="A128" s="131"/>
      <c r="B128" s="131"/>
      <c r="C128" s="131"/>
      <c r="D128" s="81"/>
      <c r="E128" s="81"/>
      <c r="F128" s="131"/>
      <c r="G128" s="131"/>
      <c r="H128" s="131"/>
      <c r="I128" s="131"/>
      <c r="J128" s="131"/>
      <c r="K128" s="131"/>
      <c r="L128" s="131"/>
      <c r="M128" s="131"/>
      <c r="N128" s="131"/>
      <c r="O128" s="131"/>
      <c r="P128" s="131"/>
      <c r="Q128" s="131"/>
      <c r="R128" s="131"/>
      <c r="S128" s="131"/>
      <c r="T128" s="131"/>
      <c r="U128" s="131"/>
      <c r="V128" s="131"/>
      <c r="W128" s="131"/>
      <c r="X128" s="131"/>
      <c r="Y128" s="131"/>
    </row>
    <row r="129">
      <c r="A129" s="131"/>
      <c r="B129" s="131"/>
      <c r="C129" s="131"/>
      <c r="D129" s="81"/>
      <c r="E129" s="81"/>
      <c r="F129" s="131"/>
      <c r="G129" s="131"/>
      <c r="H129" s="131"/>
      <c r="I129" s="131"/>
      <c r="J129" s="131"/>
      <c r="K129" s="131"/>
      <c r="L129" s="131"/>
      <c r="M129" s="131"/>
      <c r="N129" s="131"/>
      <c r="O129" s="131"/>
      <c r="P129" s="131"/>
      <c r="Q129" s="131"/>
      <c r="R129" s="131"/>
      <c r="S129" s="131"/>
      <c r="T129" s="131"/>
      <c r="U129" s="131"/>
      <c r="V129" s="131"/>
      <c r="W129" s="131"/>
      <c r="X129" s="131"/>
      <c r="Y129" s="131"/>
    </row>
    <row r="130">
      <c r="A130" s="131"/>
      <c r="B130" s="131"/>
      <c r="C130" s="131"/>
      <c r="D130" s="81"/>
      <c r="E130" s="81"/>
      <c r="F130" s="131"/>
      <c r="G130" s="131"/>
      <c r="H130" s="131"/>
      <c r="I130" s="131"/>
      <c r="J130" s="131"/>
      <c r="K130" s="131"/>
      <c r="L130" s="131"/>
      <c r="M130" s="131"/>
      <c r="N130" s="131"/>
      <c r="O130" s="131"/>
      <c r="P130" s="131"/>
      <c r="Q130" s="131"/>
      <c r="R130" s="131"/>
      <c r="S130" s="131"/>
      <c r="T130" s="131"/>
      <c r="U130" s="131"/>
      <c r="V130" s="131"/>
      <c r="W130" s="131"/>
      <c r="X130" s="131"/>
      <c r="Y130" s="131"/>
    </row>
    <row r="131">
      <c r="A131" s="131"/>
      <c r="B131" s="131"/>
      <c r="C131" s="131"/>
      <c r="D131" s="81"/>
      <c r="E131" s="81"/>
      <c r="F131" s="131"/>
      <c r="G131" s="131"/>
      <c r="H131" s="131"/>
      <c r="I131" s="131"/>
      <c r="J131" s="131"/>
      <c r="K131" s="131"/>
      <c r="L131" s="131"/>
      <c r="M131" s="131"/>
      <c r="N131" s="131"/>
      <c r="O131" s="131"/>
      <c r="P131" s="131"/>
      <c r="Q131" s="131"/>
      <c r="R131" s="131"/>
      <c r="S131" s="131"/>
      <c r="T131" s="131"/>
      <c r="U131" s="131"/>
      <c r="V131" s="131"/>
      <c r="W131" s="131"/>
      <c r="X131" s="131"/>
      <c r="Y131" s="131"/>
    </row>
    <row r="132">
      <c r="A132" s="131"/>
      <c r="B132" s="131"/>
      <c r="C132" s="131"/>
      <c r="D132" s="81"/>
      <c r="E132" s="81"/>
      <c r="F132" s="131"/>
      <c r="G132" s="131"/>
      <c r="H132" s="131"/>
      <c r="I132" s="131"/>
      <c r="J132" s="131"/>
      <c r="K132" s="131"/>
      <c r="L132" s="131"/>
      <c r="M132" s="131"/>
      <c r="N132" s="131"/>
      <c r="O132" s="131"/>
      <c r="P132" s="131"/>
      <c r="Q132" s="131"/>
      <c r="R132" s="131"/>
      <c r="S132" s="131"/>
      <c r="T132" s="131"/>
      <c r="U132" s="131"/>
      <c r="V132" s="131"/>
      <c r="W132" s="131"/>
      <c r="X132" s="131"/>
      <c r="Y132" s="131"/>
    </row>
    <row r="133">
      <c r="A133" s="131"/>
      <c r="B133" s="131"/>
      <c r="C133" s="131"/>
      <c r="D133" s="81"/>
      <c r="E133" s="81"/>
      <c r="F133" s="131"/>
      <c r="G133" s="131"/>
      <c r="H133" s="131"/>
      <c r="I133" s="131"/>
      <c r="J133" s="131"/>
      <c r="K133" s="131"/>
      <c r="L133" s="131"/>
      <c r="M133" s="131"/>
      <c r="N133" s="131"/>
      <c r="O133" s="131"/>
      <c r="P133" s="131"/>
      <c r="Q133" s="131"/>
      <c r="R133" s="131"/>
      <c r="S133" s="131"/>
      <c r="T133" s="131"/>
      <c r="U133" s="131"/>
      <c r="V133" s="131"/>
      <c r="W133" s="131"/>
      <c r="X133" s="131"/>
      <c r="Y133" s="131"/>
    </row>
    <row r="134">
      <c r="A134" s="131"/>
      <c r="B134" s="131"/>
      <c r="C134" s="131"/>
      <c r="D134" s="81"/>
      <c r="E134" s="81"/>
      <c r="F134" s="131"/>
      <c r="G134" s="131"/>
      <c r="H134" s="131"/>
      <c r="I134" s="131"/>
      <c r="J134" s="131"/>
      <c r="K134" s="131"/>
      <c r="L134" s="131"/>
      <c r="M134" s="131"/>
      <c r="N134" s="131"/>
      <c r="O134" s="131"/>
      <c r="P134" s="131"/>
      <c r="Q134" s="131"/>
      <c r="R134" s="131"/>
      <c r="S134" s="131"/>
      <c r="T134" s="131"/>
      <c r="U134" s="131"/>
      <c r="V134" s="131"/>
      <c r="W134" s="131"/>
      <c r="X134" s="131"/>
      <c r="Y134" s="131"/>
    </row>
    <row r="135">
      <c r="A135" s="131"/>
      <c r="B135" s="131"/>
      <c r="C135" s="131"/>
      <c r="D135" s="81"/>
      <c r="E135" s="81"/>
      <c r="F135" s="131"/>
      <c r="G135" s="131"/>
      <c r="H135" s="131"/>
      <c r="I135" s="131"/>
      <c r="J135" s="131"/>
      <c r="K135" s="131"/>
      <c r="L135" s="131"/>
      <c r="M135" s="131"/>
      <c r="N135" s="131"/>
      <c r="O135" s="131"/>
      <c r="P135" s="131"/>
      <c r="Q135" s="131"/>
      <c r="R135" s="131"/>
      <c r="S135" s="131"/>
      <c r="T135" s="131"/>
      <c r="U135" s="131"/>
      <c r="V135" s="131"/>
      <c r="W135" s="131"/>
      <c r="X135" s="131"/>
      <c r="Y135" s="131"/>
    </row>
    <row r="136">
      <c r="A136" s="131"/>
      <c r="B136" s="131"/>
      <c r="C136" s="131"/>
      <c r="D136" s="81"/>
      <c r="E136" s="81"/>
      <c r="F136" s="131"/>
      <c r="G136" s="131"/>
      <c r="H136" s="131"/>
      <c r="I136" s="131"/>
      <c r="J136" s="131"/>
      <c r="K136" s="131"/>
      <c r="L136" s="131"/>
      <c r="M136" s="131"/>
      <c r="N136" s="131"/>
      <c r="O136" s="131"/>
      <c r="P136" s="131"/>
      <c r="Q136" s="131"/>
      <c r="R136" s="131"/>
      <c r="S136" s="131"/>
      <c r="T136" s="131"/>
      <c r="U136" s="131"/>
      <c r="V136" s="131"/>
      <c r="W136" s="131"/>
      <c r="X136" s="131"/>
      <c r="Y136" s="131"/>
    </row>
    <row r="137">
      <c r="A137" s="131"/>
      <c r="B137" s="131"/>
      <c r="C137" s="131"/>
      <c r="D137" s="81"/>
      <c r="E137" s="81"/>
      <c r="F137" s="131"/>
      <c r="G137" s="131"/>
      <c r="H137" s="131"/>
      <c r="I137" s="131"/>
      <c r="J137" s="131"/>
      <c r="K137" s="131"/>
      <c r="L137" s="131"/>
      <c r="M137" s="131"/>
      <c r="N137" s="131"/>
      <c r="O137" s="131"/>
      <c r="P137" s="131"/>
      <c r="Q137" s="131"/>
      <c r="R137" s="131"/>
      <c r="S137" s="131"/>
      <c r="T137" s="131"/>
      <c r="U137" s="131"/>
      <c r="V137" s="131"/>
      <c r="W137" s="131"/>
      <c r="X137" s="131"/>
      <c r="Y137" s="131"/>
    </row>
    <row r="138">
      <c r="A138" s="131"/>
      <c r="B138" s="131"/>
      <c r="C138" s="131"/>
      <c r="D138" s="81"/>
      <c r="E138" s="81"/>
      <c r="F138" s="131"/>
      <c r="G138" s="131"/>
      <c r="H138" s="131"/>
      <c r="I138" s="131"/>
      <c r="J138" s="131"/>
      <c r="K138" s="131"/>
      <c r="L138" s="131"/>
      <c r="M138" s="131"/>
      <c r="N138" s="131"/>
      <c r="O138" s="131"/>
      <c r="P138" s="131"/>
      <c r="Q138" s="131"/>
      <c r="R138" s="131"/>
      <c r="S138" s="131"/>
      <c r="T138" s="131"/>
      <c r="U138" s="131"/>
      <c r="V138" s="131"/>
      <c r="W138" s="131"/>
      <c r="X138" s="131"/>
      <c r="Y138" s="131"/>
    </row>
    <row r="139">
      <c r="A139" s="131"/>
      <c r="B139" s="131"/>
      <c r="C139" s="131"/>
      <c r="D139" s="81"/>
      <c r="E139" s="81"/>
      <c r="F139" s="131"/>
      <c r="G139" s="131"/>
      <c r="H139" s="131"/>
      <c r="I139" s="131"/>
      <c r="J139" s="131"/>
      <c r="K139" s="131"/>
      <c r="L139" s="131"/>
      <c r="M139" s="131"/>
      <c r="N139" s="131"/>
      <c r="O139" s="131"/>
      <c r="P139" s="131"/>
      <c r="Q139" s="131"/>
      <c r="R139" s="131"/>
      <c r="S139" s="131"/>
      <c r="T139" s="131"/>
      <c r="U139" s="131"/>
      <c r="V139" s="131"/>
      <c r="W139" s="131"/>
      <c r="X139" s="131"/>
      <c r="Y139" s="131"/>
    </row>
    <row r="140">
      <c r="A140" s="131"/>
      <c r="B140" s="131"/>
      <c r="C140" s="131"/>
      <c r="D140" s="81"/>
      <c r="E140" s="81"/>
      <c r="F140" s="131"/>
      <c r="G140" s="131"/>
      <c r="H140" s="131"/>
      <c r="I140" s="131"/>
      <c r="J140" s="131"/>
      <c r="K140" s="131"/>
      <c r="L140" s="131"/>
      <c r="M140" s="131"/>
      <c r="N140" s="131"/>
      <c r="O140" s="131"/>
      <c r="P140" s="131"/>
      <c r="Q140" s="131"/>
      <c r="R140" s="131"/>
      <c r="S140" s="131"/>
      <c r="T140" s="131"/>
      <c r="U140" s="131"/>
      <c r="V140" s="131"/>
      <c r="W140" s="131"/>
      <c r="X140" s="131"/>
      <c r="Y140" s="131"/>
    </row>
    <row r="141">
      <c r="A141" s="131"/>
      <c r="B141" s="131"/>
      <c r="C141" s="131"/>
      <c r="D141" s="81"/>
      <c r="E141" s="81"/>
      <c r="F141" s="131"/>
      <c r="G141" s="131"/>
      <c r="H141" s="131"/>
      <c r="I141" s="131"/>
      <c r="J141" s="131"/>
      <c r="K141" s="131"/>
      <c r="L141" s="131"/>
      <c r="M141" s="131"/>
      <c r="N141" s="131"/>
      <c r="O141" s="131"/>
      <c r="P141" s="131"/>
      <c r="Q141" s="131"/>
      <c r="R141" s="131"/>
      <c r="S141" s="131"/>
      <c r="T141" s="131"/>
      <c r="U141" s="131"/>
      <c r="V141" s="131"/>
      <c r="W141" s="131"/>
      <c r="X141" s="131"/>
      <c r="Y141" s="131"/>
    </row>
    <row r="142">
      <c r="A142" s="131"/>
      <c r="B142" s="131"/>
      <c r="C142" s="131"/>
      <c r="D142" s="81"/>
      <c r="E142" s="81"/>
      <c r="F142" s="131"/>
      <c r="G142" s="131"/>
      <c r="H142" s="131"/>
      <c r="I142" s="131"/>
      <c r="J142" s="131"/>
      <c r="K142" s="131"/>
      <c r="L142" s="131"/>
      <c r="M142" s="131"/>
      <c r="N142" s="131"/>
      <c r="O142" s="131"/>
      <c r="P142" s="131"/>
      <c r="Q142" s="131"/>
      <c r="R142" s="131"/>
      <c r="S142" s="131"/>
      <c r="T142" s="131"/>
      <c r="U142" s="131"/>
      <c r="V142" s="131"/>
      <c r="W142" s="131"/>
      <c r="X142" s="131"/>
      <c r="Y142" s="131"/>
    </row>
    <row r="143">
      <c r="A143" s="131"/>
      <c r="B143" s="131"/>
      <c r="C143" s="131"/>
      <c r="D143" s="81"/>
      <c r="E143" s="81"/>
      <c r="F143" s="131"/>
      <c r="G143" s="131"/>
      <c r="H143" s="131"/>
      <c r="I143" s="131"/>
      <c r="J143" s="131"/>
      <c r="K143" s="131"/>
      <c r="L143" s="131"/>
      <c r="M143" s="131"/>
      <c r="N143" s="131"/>
      <c r="O143" s="131"/>
      <c r="P143" s="131"/>
      <c r="Q143" s="131"/>
      <c r="R143" s="131"/>
      <c r="S143" s="131"/>
      <c r="T143" s="131"/>
      <c r="U143" s="131"/>
      <c r="V143" s="131"/>
      <c r="W143" s="131"/>
      <c r="X143" s="131"/>
      <c r="Y143" s="131"/>
    </row>
    <row r="144">
      <c r="A144" s="131"/>
      <c r="B144" s="131"/>
      <c r="C144" s="131"/>
      <c r="D144" s="81"/>
      <c r="E144" s="81"/>
      <c r="F144" s="131"/>
      <c r="G144" s="131"/>
      <c r="H144" s="131"/>
      <c r="I144" s="131"/>
      <c r="J144" s="131"/>
      <c r="K144" s="131"/>
      <c r="L144" s="131"/>
      <c r="M144" s="131"/>
      <c r="N144" s="131"/>
      <c r="O144" s="131"/>
      <c r="P144" s="131"/>
      <c r="Q144" s="131"/>
      <c r="R144" s="131"/>
      <c r="S144" s="131"/>
      <c r="T144" s="131"/>
      <c r="U144" s="131"/>
      <c r="V144" s="131"/>
      <c r="W144" s="131"/>
      <c r="X144" s="131"/>
      <c r="Y144" s="131"/>
    </row>
    <row r="145">
      <c r="A145" s="131"/>
      <c r="B145" s="131"/>
      <c r="C145" s="131"/>
      <c r="D145" s="81"/>
      <c r="E145" s="81"/>
      <c r="F145" s="131"/>
      <c r="G145" s="131"/>
      <c r="H145" s="131"/>
      <c r="I145" s="131"/>
      <c r="J145" s="131"/>
      <c r="K145" s="131"/>
      <c r="L145" s="131"/>
      <c r="M145" s="131"/>
      <c r="N145" s="131"/>
      <c r="O145" s="131"/>
      <c r="P145" s="131"/>
      <c r="Q145" s="131"/>
      <c r="R145" s="131"/>
      <c r="S145" s="131"/>
      <c r="T145" s="131"/>
      <c r="U145" s="131"/>
      <c r="V145" s="131"/>
      <c r="W145" s="131"/>
      <c r="X145" s="131"/>
      <c r="Y145" s="131"/>
    </row>
    <row r="146">
      <c r="A146" s="131"/>
      <c r="B146" s="131"/>
      <c r="C146" s="131"/>
      <c r="D146" s="81"/>
      <c r="E146" s="81"/>
      <c r="F146" s="131"/>
      <c r="G146" s="131"/>
      <c r="H146" s="131"/>
      <c r="I146" s="131"/>
      <c r="J146" s="131"/>
      <c r="K146" s="131"/>
      <c r="L146" s="131"/>
      <c r="M146" s="131"/>
      <c r="N146" s="131"/>
      <c r="O146" s="131"/>
      <c r="P146" s="131"/>
      <c r="Q146" s="131"/>
      <c r="R146" s="131"/>
      <c r="S146" s="131"/>
      <c r="T146" s="131"/>
      <c r="U146" s="131"/>
      <c r="V146" s="131"/>
      <c r="W146" s="131"/>
      <c r="X146" s="131"/>
      <c r="Y146" s="131"/>
    </row>
    <row r="147">
      <c r="A147" s="131"/>
      <c r="B147" s="131"/>
      <c r="C147" s="131"/>
      <c r="D147" s="81"/>
      <c r="E147" s="81"/>
      <c r="F147" s="131"/>
      <c r="G147" s="131"/>
      <c r="H147" s="131"/>
      <c r="I147" s="131"/>
      <c r="J147" s="131"/>
      <c r="K147" s="131"/>
      <c r="L147" s="131"/>
      <c r="M147" s="131"/>
      <c r="N147" s="131"/>
      <c r="O147" s="131"/>
      <c r="P147" s="131"/>
      <c r="Q147" s="131"/>
      <c r="R147" s="131"/>
      <c r="S147" s="131"/>
      <c r="T147" s="131"/>
      <c r="U147" s="131"/>
      <c r="V147" s="131"/>
      <c r="W147" s="131"/>
      <c r="X147" s="131"/>
      <c r="Y147" s="131"/>
    </row>
    <row r="148">
      <c r="A148" s="131"/>
      <c r="B148" s="131"/>
      <c r="C148" s="131"/>
      <c r="D148" s="81"/>
      <c r="E148" s="81"/>
      <c r="F148" s="131"/>
      <c r="G148" s="131"/>
      <c r="H148" s="131"/>
      <c r="I148" s="131"/>
      <c r="J148" s="131"/>
      <c r="K148" s="131"/>
      <c r="L148" s="131"/>
      <c r="M148" s="131"/>
      <c r="N148" s="131"/>
      <c r="O148" s="131"/>
      <c r="P148" s="131"/>
      <c r="Q148" s="131"/>
      <c r="R148" s="131"/>
      <c r="S148" s="131"/>
      <c r="T148" s="131"/>
      <c r="U148" s="131"/>
      <c r="V148" s="131"/>
      <c r="W148" s="131"/>
      <c r="X148" s="131"/>
      <c r="Y148" s="131"/>
    </row>
    <row r="149">
      <c r="A149" s="131"/>
      <c r="B149" s="131"/>
      <c r="C149" s="131"/>
      <c r="D149" s="81"/>
      <c r="E149" s="81"/>
      <c r="F149" s="131"/>
      <c r="G149" s="131"/>
      <c r="H149" s="131"/>
      <c r="I149" s="131"/>
      <c r="J149" s="131"/>
      <c r="K149" s="131"/>
      <c r="L149" s="131"/>
      <c r="M149" s="131"/>
      <c r="N149" s="131"/>
      <c r="O149" s="131"/>
      <c r="P149" s="131"/>
      <c r="Q149" s="131"/>
      <c r="R149" s="131"/>
      <c r="S149" s="131"/>
      <c r="T149" s="131"/>
      <c r="U149" s="131"/>
      <c r="V149" s="131"/>
      <c r="W149" s="131"/>
      <c r="X149" s="131"/>
      <c r="Y149" s="131"/>
    </row>
    <row r="150">
      <c r="A150" s="131"/>
      <c r="B150" s="131"/>
      <c r="C150" s="131"/>
      <c r="D150" s="81"/>
      <c r="E150" s="81"/>
      <c r="F150" s="131"/>
      <c r="G150" s="131"/>
      <c r="H150" s="131"/>
      <c r="I150" s="131"/>
      <c r="J150" s="131"/>
      <c r="K150" s="131"/>
      <c r="L150" s="131"/>
      <c r="M150" s="131"/>
      <c r="N150" s="131"/>
      <c r="O150" s="131"/>
      <c r="P150" s="131"/>
      <c r="Q150" s="131"/>
      <c r="R150" s="131"/>
      <c r="S150" s="131"/>
      <c r="T150" s="131"/>
      <c r="U150" s="131"/>
      <c r="V150" s="131"/>
      <c r="W150" s="131"/>
      <c r="X150" s="131"/>
      <c r="Y150" s="131"/>
    </row>
    <row r="151">
      <c r="A151" s="131"/>
      <c r="B151" s="131"/>
      <c r="C151" s="131"/>
      <c r="D151" s="81"/>
      <c r="E151" s="81"/>
      <c r="F151" s="131"/>
      <c r="G151" s="131"/>
      <c r="H151" s="131"/>
      <c r="I151" s="131"/>
      <c r="J151" s="131"/>
      <c r="K151" s="131"/>
      <c r="L151" s="131"/>
      <c r="M151" s="131"/>
      <c r="N151" s="131"/>
      <c r="O151" s="131"/>
      <c r="P151" s="131"/>
      <c r="Q151" s="131"/>
      <c r="R151" s="131"/>
      <c r="S151" s="131"/>
      <c r="T151" s="131"/>
      <c r="U151" s="131"/>
      <c r="V151" s="131"/>
      <c r="W151" s="131"/>
      <c r="X151" s="131"/>
      <c r="Y151" s="131"/>
    </row>
    <row r="152">
      <c r="A152" s="131"/>
      <c r="B152" s="131"/>
      <c r="C152" s="131"/>
      <c r="D152" s="81"/>
      <c r="E152" s="81"/>
      <c r="F152" s="131"/>
      <c r="G152" s="131"/>
      <c r="H152" s="131"/>
      <c r="I152" s="131"/>
      <c r="J152" s="131"/>
      <c r="K152" s="131"/>
      <c r="L152" s="131"/>
      <c r="M152" s="131"/>
      <c r="N152" s="131"/>
      <c r="O152" s="131"/>
      <c r="P152" s="131"/>
      <c r="Q152" s="131"/>
      <c r="R152" s="131"/>
      <c r="S152" s="131"/>
      <c r="T152" s="131"/>
      <c r="U152" s="131"/>
      <c r="V152" s="131"/>
      <c r="W152" s="131"/>
      <c r="X152" s="131"/>
      <c r="Y152" s="131"/>
    </row>
    <row r="153">
      <c r="A153" s="131"/>
      <c r="B153" s="131"/>
      <c r="C153" s="131"/>
      <c r="D153" s="81"/>
      <c r="E153" s="81"/>
      <c r="F153" s="131"/>
      <c r="G153" s="131"/>
      <c r="H153" s="131"/>
      <c r="I153" s="131"/>
      <c r="J153" s="131"/>
      <c r="K153" s="131"/>
      <c r="L153" s="131"/>
      <c r="M153" s="131"/>
      <c r="N153" s="131"/>
      <c r="O153" s="131"/>
      <c r="P153" s="131"/>
      <c r="Q153" s="131"/>
      <c r="R153" s="131"/>
      <c r="S153" s="131"/>
      <c r="T153" s="131"/>
      <c r="U153" s="131"/>
      <c r="V153" s="131"/>
      <c r="W153" s="131"/>
      <c r="X153" s="131"/>
      <c r="Y153" s="131"/>
    </row>
    <row r="154">
      <c r="A154" s="131"/>
      <c r="B154" s="131"/>
      <c r="C154" s="131"/>
      <c r="D154" s="81"/>
      <c r="E154" s="81"/>
      <c r="F154" s="131"/>
      <c r="G154" s="131"/>
      <c r="H154" s="131"/>
      <c r="I154" s="131"/>
      <c r="J154" s="131"/>
      <c r="K154" s="131"/>
      <c r="L154" s="131"/>
      <c r="M154" s="131"/>
      <c r="N154" s="131"/>
      <c r="O154" s="131"/>
      <c r="P154" s="131"/>
      <c r="Q154" s="131"/>
      <c r="R154" s="131"/>
      <c r="S154" s="131"/>
      <c r="T154" s="131"/>
      <c r="U154" s="131"/>
      <c r="V154" s="131"/>
      <c r="W154" s="131"/>
      <c r="X154" s="131"/>
      <c r="Y154" s="131"/>
    </row>
    <row r="155">
      <c r="A155" s="131"/>
      <c r="B155" s="131"/>
      <c r="C155" s="131"/>
      <c r="D155" s="81"/>
      <c r="E155" s="81"/>
      <c r="F155" s="131"/>
      <c r="G155" s="131"/>
      <c r="H155" s="131"/>
      <c r="I155" s="131"/>
      <c r="J155" s="131"/>
      <c r="K155" s="131"/>
      <c r="L155" s="131"/>
      <c r="M155" s="131"/>
      <c r="N155" s="131"/>
      <c r="O155" s="131"/>
      <c r="P155" s="131"/>
      <c r="Q155" s="131"/>
      <c r="R155" s="131"/>
      <c r="S155" s="131"/>
      <c r="T155" s="131"/>
      <c r="U155" s="131"/>
      <c r="V155" s="131"/>
      <c r="W155" s="131"/>
      <c r="X155" s="131"/>
      <c r="Y155" s="131"/>
    </row>
    <row r="156">
      <c r="A156" s="131"/>
      <c r="B156" s="131"/>
      <c r="C156" s="131"/>
      <c r="D156" s="81"/>
      <c r="E156" s="81"/>
      <c r="F156" s="131"/>
      <c r="G156" s="131"/>
      <c r="H156" s="131"/>
      <c r="I156" s="131"/>
      <c r="J156" s="131"/>
      <c r="K156" s="131"/>
      <c r="L156" s="131"/>
      <c r="M156" s="131"/>
      <c r="N156" s="131"/>
      <c r="O156" s="131"/>
      <c r="P156" s="131"/>
      <c r="Q156" s="131"/>
      <c r="R156" s="131"/>
      <c r="S156" s="131"/>
      <c r="T156" s="131"/>
      <c r="U156" s="131"/>
      <c r="V156" s="131"/>
      <c r="W156" s="131"/>
      <c r="X156" s="131"/>
      <c r="Y156" s="131"/>
    </row>
    <row r="157">
      <c r="A157" s="131"/>
      <c r="B157" s="131"/>
      <c r="C157" s="131"/>
      <c r="D157" s="81"/>
      <c r="E157" s="81"/>
      <c r="F157" s="131"/>
      <c r="G157" s="131"/>
      <c r="H157" s="131"/>
      <c r="I157" s="131"/>
      <c r="J157" s="131"/>
      <c r="K157" s="131"/>
      <c r="L157" s="131"/>
      <c r="M157" s="131"/>
      <c r="N157" s="131"/>
      <c r="O157" s="131"/>
      <c r="P157" s="131"/>
      <c r="Q157" s="131"/>
      <c r="R157" s="131"/>
      <c r="S157" s="131"/>
      <c r="T157" s="131"/>
      <c r="U157" s="131"/>
      <c r="V157" s="131"/>
      <c r="W157" s="131"/>
      <c r="X157" s="131"/>
      <c r="Y157" s="131"/>
    </row>
    <row r="158">
      <c r="A158" s="131"/>
      <c r="B158" s="131"/>
      <c r="C158" s="131"/>
      <c r="D158" s="81"/>
      <c r="E158" s="81"/>
      <c r="F158" s="131"/>
      <c r="G158" s="131"/>
      <c r="H158" s="131"/>
      <c r="I158" s="131"/>
      <c r="J158" s="131"/>
      <c r="K158" s="131"/>
      <c r="L158" s="131"/>
      <c r="M158" s="131"/>
      <c r="N158" s="131"/>
      <c r="O158" s="131"/>
      <c r="P158" s="131"/>
      <c r="Q158" s="131"/>
      <c r="R158" s="131"/>
      <c r="S158" s="131"/>
      <c r="T158" s="131"/>
      <c r="U158" s="131"/>
      <c r="V158" s="131"/>
      <c r="W158" s="131"/>
      <c r="X158" s="131"/>
      <c r="Y158" s="131"/>
    </row>
    <row r="159">
      <c r="A159" s="131"/>
      <c r="B159" s="131"/>
      <c r="C159" s="131"/>
      <c r="D159" s="81"/>
      <c r="E159" s="81"/>
      <c r="F159" s="131"/>
      <c r="G159" s="131"/>
      <c r="H159" s="131"/>
      <c r="I159" s="131"/>
      <c r="J159" s="131"/>
      <c r="K159" s="131"/>
      <c r="L159" s="131"/>
      <c r="M159" s="131"/>
      <c r="N159" s="131"/>
      <c r="O159" s="131"/>
      <c r="P159" s="131"/>
      <c r="Q159" s="131"/>
      <c r="R159" s="131"/>
      <c r="S159" s="131"/>
      <c r="T159" s="131"/>
      <c r="U159" s="131"/>
      <c r="V159" s="131"/>
      <c r="W159" s="131"/>
      <c r="X159" s="131"/>
      <c r="Y159" s="131"/>
    </row>
    <row r="160">
      <c r="A160" s="131"/>
      <c r="B160" s="131"/>
      <c r="C160" s="131"/>
      <c r="D160" s="81"/>
      <c r="E160" s="81"/>
      <c r="F160" s="131"/>
      <c r="G160" s="131"/>
      <c r="H160" s="131"/>
      <c r="I160" s="131"/>
      <c r="J160" s="131"/>
      <c r="K160" s="131"/>
      <c r="L160" s="131"/>
      <c r="M160" s="131"/>
      <c r="N160" s="131"/>
      <c r="O160" s="131"/>
      <c r="P160" s="131"/>
      <c r="Q160" s="131"/>
      <c r="R160" s="131"/>
      <c r="S160" s="131"/>
      <c r="T160" s="131"/>
      <c r="U160" s="131"/>
      <c r="V160" s="131"/>
      <c r="W160" s="131"/>
      <c r="X160" s="131"/>
      <c r="Y160" s="131"/>
    </row>
    <row r="161">
      <c r="A161" s="131"/>
      <c r="B161" s="131"/>
      <c r="C161" s="131"/>
      <c r="D161" s="81"/>
      <c r="E161" s="81"/>
      <c r="F161" s="131"/>
      <c r="G161" s="131"/>
      <c r="H161" s="131"/>
      <c r="I161" s="131"/>
      <c r="J161" s="131"/>
      <c r="K161" s="131"/>
      <c r="L161" s="131"/>
      <c r="M161" s="131"/>
      <c r="N161" s="131"/>
      <c r="O161" s="131"/>
      <c r="P161" s="131"/>
      <c r="Q161" s="131"/>
      <c r="R161" s="131"/>
      <c r="S161" s="131"/>
      <c r="T161" s="131"/>
      <c r="U161" s="131"/>
      <c r="V161" s="131"/>
      <c r="W161" s="131"/>
      <c r="X161" s="131"/>
      <c r="Y161" s="131"/>
    </row>
    <row r="162">
      <c r="A162" s="131"/>
      <c r="B162" s="131"/>
      <c r="C162" s="131"/>
      <c r="D162" s="81"/>
      <c r="E162" s="81"/>
      <c r="F162" s="131"/>
      <c r="G162" s="131"/>
      <c r="H162" s="131"/>
      <c r="I162" s="131"/>
      <c r="J162" s="131"/>
      <c r="K162" s="131"/>
      <c r="L162" s="131"/>
      <c r="M162" s="131"/>
      <c r="N162" s="131"/>
      <c r="O162" s="131"/>
      <c r="P162" s="131"/>
      <c r="Q162" s="131"/>
      <c r="R162" s="131"/>
      <c r="S162" s="131"/>
      <c r="T162" s="131"/>
      <c r="U162" s="131"/>
      <c r="V162" s="131"/>
      <c r="W162" s="131"/>
      <c r="X162" s="131"/>
      <c r="Y162" s="131"/>
    </row>
    <row r="163">
      <c r="A163" s="131"/>
      <c r="B163" s="131"/>
      <c r="C163" s="131"/>
      <c r="D163" s="81"/>
      <c r="E163" s="81"/>
      <c r="F163" s="131"/>
      <c r="G163" s="131"/>
      <c r="H163" s="131"/>
      <c r="I163" s="131"/>
      <c r="J163" s="131"/>
      <c r="K163" s="131"/>
      <c r="L163" s="131"/>
      <c r="M163" s="131"/>
      <c r="N163" s="131"/>
      <c r="O163" s="131"/>
      <c r="P163" s="131"/>
      <c r="Q163" s="131"/>
      <c r="R163" s="131"/>
      <c r="S163" s="131"/>
      <c r="T163" s="131"/>
      <c r="U163" s="131"/>
      <c r="V163" s="131"/>
      <c r="W163" s="131"/>
      <c r="X163" s="131"/>
      <c r="Y163" s="131"/>
    </row>
    <row r="164">
      <c r="A164" s="131"/>
      <c r="B164" s="131"/>
      <c r="C164" s="131"/>
      <c r="D164" s="81"/>
      <c r="E164" s="81"/>
      <c r="F164" s="131"/>
      <c r="G164" s="131"/>
      <c r="H164" s="131"/>
      <c r="I164" s="131"/>
      <c r="J164" s="131"/>
      <c r="K164" s="131"/>
      <c r="L164" s="131"/>
      <c r="M164" s="131"/>
      <c r="N164" s="131"/>
      <c r="O164" s="131"/>
      <c r="P164" s="131"/>
      <c r="Q164" s="131"/>
      <c r="R164" s="131"/>
      <c r="S164" s="131"/>
      <c r="T164" s="131"/>
      <c r="U164" s="131"/>
      <c r="V164" s="131"/>
      <c r="W164" s="131"/>
      <c r="X164" s="131"/>
      <c r="Y164" s="131"/>
    </row>
    <row r="165">
      <c r="A165" s="131"/>
      <c r="B165" s="131"/>
      <c r="C165" s="131"/>
      <c r="D165" s="81"/>
      <c r="E165" s="81"/>
      <c r="F165" s="131"/>
      <c r="G165" s="131"/>
      <c r="H165" s="131"/>
      <c r="I165" s="131"/>
      <c r="J165" s="131"/>
      <c r="K165" s="131"/>
      <c r="L165" s="131"/>
      <c r="M165" s="131"/>
      <c r="N165" s="131"/>
      <c r="O165" s="131"/>
      <c r="P165" s="131"/>
      <c r="Q165" s="131"/>
      <c r="R165" s="131"/>
      <c r="S165" s="131"/>
      <c r="T165" s="131"/>
      <c r="U165" s="131"/>
      <c r="V165" s="131"/>
      <c r="W165" s="131"/>
      <c r="X165" s="131"/>
      <c r="Y165" s="131"/>
    </row>
    <row r="166">
      <c r="A166" s="131"/>
      <c r="B166" s="131"/>
      <c r="C166" s="131"/>
      <c r="D166" s="81"/>
      <c r="E166" s="81"/>
      <c r="F166" s="131"/>
      <c r="G166" s="131"/>
      <c r="H166" s="131"/>
      <c r="I166" s="131"/>
      <c r="J166" s="131"/>
      <c r="K166" s="131"/>
      <c r="L166" s="131"/>
      <c r="M166" s="131"/>
      <c r="N166" s="131"/>
      <c r="O166" s="131"/>
      <c r="P166" s="131"/>
      <c r="Q166" s="131"/>
      <c r="R166" s="131"/>
      <c r="S166" s="131"/>
      <c r="T166" s="131"/>
      <c r="U166" s="131"/>
      <c r="V166" s="131"/>
      <c r="W166" s="131"/>
      <c r="X166" s="131"/>
      <c r="Y166" s="131"/>
    </row>
    <row r="167">
      <c r="A167" s="131"/>
      <c r="B167" s="131"/>
      <c r="C167" s="131"/>
      <c r="D167" s="81"/>
      <c r="E167" s="81"/>
      <c r="F167" s="131"/>
      <c r="G167" s="131"/>
      <c r="H167" s="131"/>
      <c r="I167" s="131"/>
      <c r="J167" s="131"/>
      <c r="K167" s="131"/>
      <c r="L167" s="131"/>
      <c r="M167" s="131"/>
      <c r="N167" s="131"/>
      <c r="O167" s="131"/>
      <c r="P167" s="131"/>
      <c r="Q167" s="131"/>
      <c r="R167" s="131"/>
      <c r="S167" s="131"/>
      <c r="T167" s="131"/>
      <c r="U167" s="131"/>
      <c r="V167" s="131"/>
      <c r="W167" s="131"/>
      <c r="X167" s="131"/>
      <c r="Y167" s="131"/>
    </row>
    <row r="168">
      <c r="A168" s="131"/>
      <c r="B168" s="131"/>
      <c r="C168" s="131"/>
      <c r="D168" s="81"/>
      <c r="E168" s="81"/>
      <c r="F168" s="131"/>
      <c r="G168" s="131"/>
      <c r="H168" s="131"/>
      <c r="I168" s="131"/>
      <c r="J168" s="131"/>
      <c r="K168" s="131"/>
      <c r="L168" s="131"/>
      <c r="M168" s="131"/>
      <c r="N168" s="131"/>
      <c r="O168" s="131"/>
      <c r="P168" s="131"/>
      <c r="Q168" s="131"/>
      <c r="R168" s="131"/>
      <c r="S168" s="131"/>
      <c r="T168" s="131"/>
      <c r="U168" s="131"/>
      <c r="V168" s="131"/>
      <c r="W168" s="131"/>
      <c r="X168" s="131"/>
      <c r="Y168" s="131"/>
    </row>
    <row r="169">
      <c r="A169" s="131"/>
      <c r="B169" s="131"/>
      <c r="C169" s="131"/>
      <c r="D169" s="81"/>
      <c r="E169" s="81"/>
      <c r="F169" s="131"/>
      <c r="G169" s="131"/>
      <c r="H169" s="131"/>
      <c r="I169" s="131"/>
      <c r="J169" s="131"/>
      <c r="K169" s="131"/>
      <c r="L169" s="131"/>
      <c r="M169" s="131"/>
      <c r="N169" s="131"/>
      <c r="O169" s="131"/>
      <c r="P169" s="131"/>
      <c r="Q169" s="131"/>
      <c r="R169" s="131"/>
      <c r="S169" s="131"/>
      <c r="T169" s="131"/>
      <c r="U169" s="131"/>
      <c r="V169" s="131"/>
      <c r="W169" s="131"/>
      <c r="X169" s="131"/>
      <c r="Y169" s="131"/>
    </row>
    <row r="170">
      <c r="A170" s="131"/>
      <c r="B170" s="131"/>
      <c r="C170" s="131"/>
      <c r="D170" s="81"/>
      <c r="E170" s="81"/>
      <c r="F170" s="131"/>
      <c r="G170" s="131"/>
      <c r="H170" s="131"/>
      <c r="I170" s="131"/>
      <c r="J170" s="131"/>
      <c r="K170" s="131"/>
      <c r="L170" s="131"/>
      <c r="M170" s="131"/>
      <c r="N170" s="131"/>
      <c r="O170" s="131"/>
      <c r="P170" s="131"/>
      <c r="Q170" s="131"/>
      <c r="R170" s="131"/>
      <c r="S170" s="131"/>
      <c r="T170" s="131"/>
      <c r="U170" s="131"/>
      <c r="V170" s="131"/>
      <c r="W170" s="131"/>
      <c r="X170" s="131"/>
      <c r="Y170" s="131"/>
    </row>
    <row r="171">
      <c r="A171" s="131"/>
      <c r="B171" s="131"/>
      <c r="C171" s="131"/>
      <c r="D171" s="81"/>
      <c r="E171" s="81"/>
      <c r="F171" s="131"/>
      <c r="G171" s="131"/>
      <c r="H171" s="131"/>
      <c r="I171" s="131"/>
      <c r="J171" s="131"/>
      <c r="K171" s="131"/>
      <c r="L171" s="131"/>
      <c r="M171" s="131"/>
      <c r="N171" s="131"/>
      <c r="O171" s="131"/>
      <c r="P171" s="131"/>
      <c r="Q171" s="131"/>
      <c r="R171" s="131"/>
      <c r="S171" s="131"/>
      <c r="T171" s="131"/>
      <c r="U171" s="131"/>
      <c r="V171" s="131"/>
      <c r="W171" s="131"/>
      <c r="X171" s="131"/>
      <c r="Y171" s="131"/>
    </row>
    <row r="172">
      <c r="A172" s="131"/>
      <c r="B172" s="131"/>
      <c r="C172" s="131"/>
      <c r="D172" s="81"/>
      <c r="E172" s="81"/>
      <c r="F172" s="131"/>
      <c r="G172" s="131"/>
      <c r="H172" s="131"/>
      <c r="I172" s="131"/>
      <c r="J172" s="131"/>
      <c r="K172" s="131"/>
      <c r="L172" s="131"/>
      <c r="M172" s="131"/>
      <c r="N172" s="131"/>
      <c r="O172" s="131"/>
      <c r="P172" s="131"/>
      <c r="Q172" s="131"/>
      <c r="R172" s="131"/>
      <c r="S172" s="131"/>
      <c r="T172" s="131"/>
      <c r="U172" s="131"/>
      <c r="V172" s="131"/>
      <c r="W172" s="131"/>
      <c r="X172" s="131"/>
      <c r="Y172" s="131"/>
    </row>
    <row r="173">
      <c r="A173" s="131"/>
      <c r="B173" s="131"/>
      <c r="C173" s="131"/>
      <c r="D173" s="81"/>
      <c r="E173" s="81"/>
      <c r="F173" s="131"/>
      <c r="G173" s="131"/>
      <c r="H173" s="131"/>
      <c r="I173" s="131"/>
      <c r="J173" s="131"/>
      <c r="K173" s="131"/>
      <c r="L173" s="131"/>
      <c r="M173" s="131"/>
      <c r="N173" s="131"/>
      <c r="O173" s="131"/>
      <c r="P173" s="131"/>
      <c r="Q173" s="131"/>
      <c r="R173" s="131"/>
      <c r="S173" s="131"/>
      <c r="T173" s="131"/>
      <c r="U173" s="131"/>
      <c r="V173" s="131"/>
      <c r="W173" s="131"/>
      <c r="X173" s="131"/>
      <c r="Y173" s="131"/>
    </row>
    <row r="174">
      <c r="A174" s="131"/>
      <c r="B174" s="131"/>
      <c r="C174" s="131"/>
      <c r="D174" s="81"/>
      <c r="E174" s="81"/>
      <c r="F174" s="131"/>
      <c r="G174" s="131"/>
      <c r="H174" s="131"/>
      <c r="I174" s="131"/>
      <c r="J174" s="131"/>
      <c r="K174" s="131"/>
      <c r="L174" s="131"/>
      <c r="M174" s="131"/>
      <c r="N174" s="131"/>
      <c r="O174" s="131"/>
      <c r="P174" s="131"/>
      <c r="Q174" s="131"/>
      <c r="R174" s="131"/>
      <c r="S174" s="131"/>
      <c r="T174" s="131"/>
      <c r="U174" s="131"/>
      <c r="V174" s="131"/>
      <c r="W174" s="131"/>
      <c r="X174" s="131"/>
      <c r="Y174" s="131"/>
    </row>
    <row r="175">
      <c r="A175" s="131"/>
      <c r="B175" s="131"/>
      <c r="C175" s="131"/>
      <c r="D175" s="81"/>
      <c r="E175" s="81"/>
      <c r="F175" s="131"/>
      <c r="G175" s="131"/>
      <c r="H175" s="131"/>
      <c r="I175" s="131"/>
      <c r="J175" s="131"/>
      <c r="K175" s="131"/>
      <c r="L175" s="131"/>
      <c r="M175" s="131"/>
      <c r="N175" s="131"/>
      <c r="O175" s="131"/>
      <c r="P175" s="131"/>
      <c r="Q175" s="131"/>
      <c r="R175" s="131"/>
      <c r="S175" s="131"/>
      <c r="T175" s="131"/>
      <c r="U175" s="131"/>
      <c r="V175" s="131"/>
      <c r="W175" s="131"/>
      <c r="X175" s="131"/>
      <c r="Y175" s="131"/>
    </row>
    <row r="176">
      <c r="A176" s="131"/>
      <c r="B176" s="131"/>
      <c r="C176" s="131"/>
      <c r="D176" s="81"/>
      <c r="E176" s="81"/>
      <c r="F176" s="131"/>
      <c r="G176" s="131"/>
      <c r="H176" s="131"/>
      <c r="I176" s="131"/>
      <c r="J176" s="131"/>
      <c r="K176" s="131"/>
      <c r="L176" s="131"/>
      <c r="M176" s="131"/>
      <c r="N176" s="131"/>
      <c r="O176" s="131"/>
      <c r="P176" s="131"/>
      <c r="Q176" s="131"/>
      <c r="R176" s="131"/>
      <c r="S176" s="131"/>
      <c r="T176" s="131"/>
      <c r="U176" s="131"/>
      <c r="V176" s="131"/>
      <c r="W176" s="131"/>
      <c r="X176" s="131"/>
      <c r="Y176" s="131"/>
    </row>
    <row r="177">
      <c r="A177" s="131"/>
      <c r="B177" s="131"/>
      <c r="C177" s="131"/>
      <c r="D177" s="81"/>
      <c r="E177" s="81"/>
      <c r="F177" s="131"/>
      <c r="G177" s="131"/>
      <c r="H177" s="131"/>
      <c r="I177" s="131"/>
      <c r="J177" s="131"/>
      <c r="K177" s="131"/>
      <c r="L177" s="131"/>
      <c r="M177" s="131"/>
      <c r="N177" s="131"/>
      <c r="O177" s="131"/>
      <c r="P177" s="131"/>
      <c r="Q177" s="131"/>
      <c r="R177" s="131"/>
      <c r="S177" s="131"/>
      <c r="T177" s="131"/>
      <c r="U177" s="131"/>
      <c r="V177" s="131"/>
      <c r="W177" s="131"/>
      <c r="X177" s="131"/>
      <c r="Y177" s="131"/>
    </row>
    <row r="178">
      <c r="A178" s="131"/>
      <c r="B178" s="131"/>
      <c r="C178" s="131"/>
      <c r="D178" s="81"/>
      <c r="E178" s="81"/>
      <c r="F178" s="131"/>
      <c r="G178" s="131"/>
      <c r="H178" s="131"/>
      <c r="I178" s="131"/>
      <c r="J178" s="131"/>
      <c r="K178" s="131"/>
      <c r="L178" s="131"/>
      <c r="M178" s="131"/>
      <c r="N178" s="131"/>
      <c r="O178" s="131"/>
      <c r="P178" s="131"/>
      <c r="Q178" s="131"/>
      <c r="R178" s="131"/>
      <c r="S178" s="131"/>
      <c r="T178" s="131"/>
      <c r="U178" s="131"/>
      <c r="V178" s="131"/>
      <c r="W178" s="131"/>
      <c r="X178" s="131"/>
      <c r="Y178" s="131"/>
    </row>
    <row r="179">
      <c r="A179" s="131"/>
      <c r="B179" s="131"/>
      <c r="C179" s="131"/>
      <c r="D179" s="81"/>
      <c r="E179" s="81"/>
      <c r="F179" s="131"/>
      <c r="G179" s="131"/>
      <c r="H179" s="131"/>
      <c r="I179" s="131"/>
      <c r="J179" s="131"/>
      <c r="K179" s="131"/>
      <c r="L179" s="131"/>
      <c r="M179" s="131"/>
      <c r="N179" s="131"/>
      <c r="O179" s="131"/>
      <c r="P179" s="131"/>
      <c r="Q179" s="131"/>
      <c r="R179" s="131"/>
      <c r="S179" s="131"/>
      <c r="T179" s="131"/>
      <c r="U179" s="131"/>
      <c r="V179" s="131"/>
      <c r="W179" s="131"/>
      <c r="X179" s="131"/>
      <c r="Y179" s="131"/>
    </row>
    <row r="180">
      <c r="A180" s="131"/>
      <c r="B180" s="131"/>
      <c r="C180" s="131"/>
      <c r="D180" s="81"/>
      <c r="E180" s="81"/>
      <c r="F180" s="131"/>
      <c r="G180" s="131"/>
      <c r="H180" s="131"/>
      <c r="I180" s="131"/>
      <c r="J180" s="131"/>
      <c r="K180" s="131"/>
      <c r="L180" s="131"/>
      <c r="M180" s="131"/>
      <c r="N180" s="131"/>
      <c r="O180" s="131"/>
      <c r="P180" s="131"/>
      <c r="Q180" s="131"/>
      <c r="R180" s="131"/>
      <c r="S180" s="131"/>
      <c r="T180" s="131"/>
      <c r="U180" s="131"/>
      <c r="V180" s="131"/>
      <c r="W180" s="131"/>
      <c r="X180" s="131"/>
      <c r="Y180" s="131"/>
    </row>
    <row r="181">
      <c r="A181" s="131"/>
      <c r="B181" s="131"/>
      <c r="C181" s="131"/>
      <c r="D181" s="81"/>
      <c r="E181" s="81"/>
      <c r="F181" s="131"/>
      <c r="G181" s="131"/>
      <c r="H181" s="131"/>
      <c r="I181" s="131"/>
      <c r="J181" s="131"/>
      <c r="K181" s="131"/>
      <c r="L181" s="131"/>
      <c r="M181" s="131"/>
      <c r="N181" s="131"/>
      <c r="O181" s="131"/>
      <c r="P181" s="131"/>
      <c r="Q181" s="131"/>
      <c r="R181" s="131"/>
      <c r="S181" s="131"/>
      <c r="T181" s="131"/>
      <c r="U181" s="131"/>
      <c r="V181" s="131"/>
      <c r="W181" s="131"/>
      <c r="X181" s="131"/>
      <c r="Y181" s="131"/>
    </row>
    <row r="182">
      <c r="A182" s="131"/>
      <c r="B182" s="131"/>
      <c r="C182" s="131"/>
      <c r="D182" s="81"/>
      <c r="E182" s="81"/>
      <c r="F182" s="131"/>
      <c r="G182" s="131"/>
      <c r="H182" s="131"/>
      <c r="I182" s="131"/>
      <c r="J182" s="131"/>
      <c r="K182" s="131"/>
      <c r="L182" s="131"/>
      <c r="M182" s="131"/>
      <c r="N182" s="131"/>
      <c r="O182" s="131"/>
      <c r="P182" s="131"/>
      <c r="Q182" s="131"/>
      <c r="R182" s="131"/>
      <c r="S182" s="131"/>
      <c r="T182" s="131"/>
      <c r="U182" s="131"/>
      <c r="V182" s="131"/>
      <c r="W182" s="131"/>
      <c r="X182" s="131"/>
      <c r="Y182" s="131"/>
    </row>
    <row r="183">
      <c r="A183" s="131"/>
      <c r="B183" s="131"/>
      <c r="C183" s="131"/>
      <c r="D183" s="81"/>
      <c r="E183" s="81"/>
      <c r="F183" s="131"/>
      <c r="G183" s="131"/>
      <c r="H183" s="131"/>
      <c r="I183" s="131"/>
      <c r="J183" s="131"/>
      <c r="K183" s="131"/>
      <c r="L183" s="131"/>
      <c r="M183" s="131"/>
      <c r="N183" s="131"/>
      <c r="O183" s="131"/>
      <c r="P183" s="131"/>
      <c r="Q183" s="131"/>
      <c r="R183" s="131"/>
      <c r="S183" s="131"/>
      <c r="T183" s="131"/>
      <c r="U183" s="131"/>
      <c r="V183" s="131"/>
      <c r="W183" s="131"/>
      <c r="X183" s="131"/>
      <c r="Y183" s="131"/>
    </row>
    <row r="184">
      <c r="A184" s="131"/>
      <c r="B184" s="131"/>
      <c r="C184" s="131"/>
      <c r="D184" s="81"/>
      <c r="E184" s="81"/>
      <c r="F184" s="131"/>
      <c r="G184" s="131"/>
      <c r="H184" s="131"/>
      <c r="I184" s="131"/>
      <c r="J184" s="131"/>
      <c r="K184" s="131"/>
      <c r="L184" s="131"/>
      <c r="M184" s="131"/>
      <c r="N184" s="131"/>
      <c r="O184" s="131"/>
      <c r="P184" s="131"/>
      <c r="Q184" s="131"/>
      <c r="R184" s="131"/>
      <c r="S184" s="131"/>
      <c r="T184" s="131"/>
      <c r="U184" s="131"/>
      <c r="V184" s="131"/>
      <c r="W184" s="131"/>
      <c r="X184" s="131"/>
      <c r="Y184" s="131"/>
    </row>
    <row r="185">
      <c r="A185" s="131"/>
      <c r="B185" s="131"/>
      <c r="C185" s="131"/>
      <c r="D185" s="81"/>
      <c r="E185" s="81"/>
      <c r="F185" s="131"/>
      <c r="G185" s="131"/>
      <c r="H185" s="131"/>
      <c r="I185" s="131"/>
      <c r="J185" s="131"/>
      <c r="K185" s="131"/>
      <c r="L185" s="131"/>
      <c r="M185" s="131"/>
      <c r="N185" s="131"/>
      <c r="O185" s="131"/>
      <c r="P185" s="131"/>
      <c r="Q185" s="131"/>
      <c r="R185" s="131"/>
      <c r="S185" s="131"/>
      <c r="T185" s="131"/>
      <c r="U185" s="131"/>
      <c r="V185" s="131"/>
      <c r="W185" s="131"/>
      <c r="X185" s="131"/>
      <c r="Y185" s="131"/>
    </row>
    <row r="186">
      <c r="A186" s="131"/>
      <c r="B186" s="131"/>
      <c r="C186" s="131"/>
      <c r="D186" s="81"/>
      <c r="E186" s="81"/>
      <c r="F186" s="131"/>
      <c r="G186" s="131"/>
      <c r="H186" s="131"/>
      <c r="I186" s="131"/>
      <c r="J186" s="131"/>
      <c r="K186" s="131"/>
      <c r="L186" s="131"/>
      <c r="M186" s="131"/>
      <c r="N186" s="131"/>
      <c r="O186" s="131"/>
      <c r="P186" s="131"/>
      <c r="Q186" s="131"/>
      <c r="R186" s="131"/>
      <c r="S186" s="131"/>
      <c r="T186" s="131"/>
      <c r="U186" s="131"/>
      <c r="V186" s="131"/>
      <c r="W186" s="131"/>
      <c r="X186" s="131"/>
      <c r="Y186" s="131"/>
    </row>
    <row r="187">
      <c r="A187" s="131"/>
      <c r="B187" s="131"/>
      <c r="C187" s="131"/>
      <c r="D187" s="81"/>
      <c r="E187" s="81"/>
      <c r="F187" s="131"/>
      <c r="G187" s="131"/>
      <c r="H187" s="131"/>
      <c r="I187" s="131"/>
      <c r="J187" s="131"/>
      <c r="K187" s="131"/>
      <c r="L187" s="131"/>
      <c r="M187" s="131"/>
      <c r="N187" s="131"/>
      <c r="O187" s="131"/>
      <c r="P187" s="131"/>
      <c r="Q187" s="131"/>
      <c r="R187" s="131"/>
      <c r="S187" s="131"/>
      <c r="T187" s="131"/>
      <c r="U187" s="131"/>
      <c r="V187" s="131"/>
      <c r="W187" s="131"/>
      <c r="X187" s="131"/>
      <c r="Y187" s="131"/>
    </row>
    <row r="188">
      <c r="A188" s="131"/>
      <c r="B188" s="131"/>
      <c r="C188" s="131"/>
      <c r="D188" s="81"/>
      <c r="E188" s="81"/>
      <c r="F188" s="131"/>
      <c r="G188" s="131"/>
      <c r="H188" s="131"/>
      <c r="I188" s="131"/>
      <c r="J188" s="131"/>
      <c r="K188" s="131"/>
      <c r="L188" s="131"/>
      <c r="M188" s="131"/>
      <c r="N188" s="131"/>
      <c r="O188" s="131"/>
      <c r="P188" s="131"/>
      <c r="Q188" s="131"/>
      <c r="R188" s="131"/>
      <c r="S188" s="131"/>
      <c r="T188" s="131"/>
      <c r="U188" s="131"/>
      <c r="V188" s="131"/>
      <c r="W188" s="131"/>
      <c r="X188" s="131"/>
      <c r="Y188" s="131"/>
    </row>
    <row r="189">
      <c r="A189" s="131"/>
      <c r="B189" s="131"/>
      <c r="C189" s="131"/>
      <c r="D189" s="81"/>
      <c r="E189" s="81"/>
      <c r="F189" s="131"/>
      <c r="G189" s="131"/>
      <c r="H189" s="131"/>
      <c r="I189" s="131"/>
      <c r="J189" s="131"/>
      <c r="K189" s="131"/>
      <c r="L189" s="131"/>
      <c r="M189" s="131"/>
      <c r="N189" s="131"/>
      <c r="O189" s="131"/>
      <c r="P189" s="131"/>
      <c r="Q189" s="131"/>
      <c r="R189" s="131"/>
      <c r="S189" s="131"/>
      <c r="T189" s="131"/>
      <c r="U189" s="131"/>
      <c r="V189" s="131"/>
      <c r="W189" s="131"/>
      <c r="X189" s="131"/>
      <c r="Y189" s="131"/>
    </row>
    <row r="190">
      <c r="A190" s="131"/>
      <c r="B190" s="131"/>
      <c r="C190" s="131"/>
      <c r="D190" s="81"/>
      <c r="E190" s="81"/>
      <c r="F190" s="131"/>
      <c r="G190" s="131"/>
      <c r="H190" s="131"/>
      <c r="I190" s="131"/>
      <c r="J190" s="131"/>
      <c r="K190" s="131"/>
      <c r="L190" s="131"/>
      <c r="M190" s="131"/>
      <c r="N190" s="131"/>
      <c r="O190" s="131"/>
      <c r="P190" s="131"/>
      <c r="Q190" s="131"/>
      <c r="R190" s="131"/>
      <c r="S190" s="131"/>
      <c r="T190" s="131"/>
      <c r="U190" s="131"/>
      <c r="V190" s="131"/>
      <c r="W190" s="131"/>
      <c r="X190" s="131"/>
      <c r="Y190" s="131"/>
    </row>
    <row r="191">
      <c r="A191" s="131"/>
      <c r="B191" s="131"/>
      <c r="C191" s="131"/>
      <c r="D191" s="81"/>
      <c r="E191" s="81"/>
      <c r="F191" s="131"/>
      <c r="G191" s="131"/>
      <c r="H191" s="131"/>
      <c r="I191" s="131"/>
      <c r="J191" s="131"/>
      <c r="K191" s="131"/>
      <c r="L191" s="131"/>
      <c r="M191" s="131"/>
      <c r="N191" s="131"/>
      <c r="O191" s="131"/>
      <c r="P191" s="131"/>
      <c r="Q191" s="131"/>
      <c r="R191" s="131"/>
      <c r="S191" s="131"/>
      <c r="T191" s="131"/>
      <c r="U191" s="131"/>
      <c r="V191" s="131"/>
      <c r="W191" s="131"/>
      <c r="X191" s="131"/>
      <c r="Y191" s="131"/>
    </row>
    <row r="192">
      <c r="A192" s="131"/>
      <c r="B192" s="131"/>
      <c r="C192" s="131"/>
      <c r="D192" s="81"/>
      <c r="E192" s="81"/>
      <c r="F192" s="131"/>
      <c r="G192" s="131"/>
      <c r="H192" s="131"/>
      <c r="I192" s="131"/>
      <c r="J192" s="131"/>
      <c r="K192" s="131"/>
      <c r="L192" s="131"/>
      <c r="M192" s="131"/>
      <c r="N192" s="131"/>
      <c r="O192" s="131"/>
      <c r="P192" s="131"/>
      <c r="Q192" s="131"/>
      <c r="R192" s="131"/>
      <c r="S192" s="131"/>
      <c r="T192" s="131"/>
      <c r="U192" s="131"/>
      <c r="V192" s="131"/>
      <c r="W192" s="131"/>
      <c r="X192" s="131"/>
      <c r="Y192" s="131"/>
    </row>
    <row r="193">
      <c r="A193" s="131"/>
      <c r="B193" s="131"/>
      <c r="C193" s="131"/>
      <c r="D193" s="81"/>
      <c r="E193" s="81"/>
      <c r="F193" s="131"/>
      <c r="G193" s="131"/>
      <c r="H193" s="131"/>
      <c r="I193" s="131"/>
      <c r="J193" s="131"/>
      <c r="K193" s="131"/>
      <c r="L193" s="131"/>
      <c r="M193" s="131"/>
      <c r="N193" s="131"/>
      <c r="O193" s="131"/>
      <c r="P193" s="131"/>
      <c r="Q193" s="131"/>
      <c r="R193" s="131"/>
      <c r="S193" s="131"/>
      <c r="T193" s="131"/>
      <c r="U193" s="131"/>
      <c r="V193" s="131"/>
      <c r="W193" s="131"/>
      <c r="X193" s="131"/>
      <c r="Y193" s="131"/>
    </row>
    <row r="194">
      <c r="A194" s="131"/>
      <c r="B194" s="131"/>
      <c r="C194" s="131"/>
      <c r="D194" s="81"/>
      <c r="E194" s="81"/>
      <c r="F194" s="131"/>
      <c r="G194" s="131"/>
      <c r="H194" s="131"/>
      <c r="I194" s="131"/>
      <c r="J194" s="131"/>
      <c r="K194" s="131"/>
      <c r="L194" s="131"/>
      <c r="M194" s="131"/>
      <c r="N194" s="131"/>
      <c r="O194" s="131"/>
      <c r="P194" s="131"/>
      <c r="Q194" s="131"/>
      <c r="R194" s="131"/>
      <c r="S194" s="131"/>
      <c r="T194" s="131"/>
      <c r="U194" s="131"/>
      <c r="V194" s="131"/>
      <c r="W194" s="131"/>
      <c r="X194" s="131"/>
      <c r="Y194" s="131"/>
    </row>
    <row r="195">
      <c r="A195" s="131"/>
      <c r="B195" s="131"/>
      <c r="C195" s="131"/>
      <c r="D195" s="81"/>
      <c r="E195" s="81"/>
      <c r="F195" s="131"/>
      <c r="G195" s="131"/>
      <c r="H195" s="131"/>
      <c r="I195" s="131"/>
      <c r="J195" s="131"/>
      <c r="K195" s="131"/>
      <c r="L195" s="131"/>
      <c r="M195" s="131"/>
      <c r="N195" s="131"/>
      <c r="O195" s="131"/>
      <c r="P195" s="131"/>
      <c r="Q195" s="131"/>
      <c r="R195" s="131"/>
      <c r="S195" s="131"/>
      <c r="T195" s="131"/>
      <c r="U195" s="131"/>
      <c r="V195" s="131"/>
      <c r="W195" s="131"/>
      <c r="X195" s="131"/>
      <c r="Y195" s="131"/>
    </row>
    <row r="196">
      <c r="A196" s="131"/>
      <c r="B196" s="131"/>
      <c r="C196" s="131"/>
      <c r="D196" s="81"/>
      <c r="E196" s="81"/>
      <c r="F196" s="131"/>
      <c r="G196" s="131"/>
      <c r="H196" s="131"/>
      <c r="I196" s="131"/>
      <c r="J196" s="131"/>
      <c r="K196" s="131"/>
      <c r="L196" s="131"/>
      <c r="M196" s="131"/>
      <c r="N196" s="131"/>
      <c r="O196" s="131"/>
      <c r="P196" s="131"/>
      <c r="Q196" s="131"/>
      <c r="R196" s="131"/>
      <c r="S196" s="131"/>
      <c r="T196" s="131"/>
      <c r="U196" s="131"/>
      <c r="V196" s="131"/>
      <c r="W196" s="131"/>
      <c r="X196" s="131"/>
      <c r="Y196" s="131"/>
    </row>
    <row r="197">
      <c r="A197" s="131"/>
      <c r="B197" s="131"/>
      <c r="C197" s="131"/>
      <c r="D197" s="81"/>
      <c r="E197" s="81"/>
      <c r="F197" s="131"/>
      <c r="G197" s="131"/>
      <c r="H197" s="131"/>
      <c r="I197" s="131"/>
      <c r="J197" s="131"/>
      <c r="K197" s="131"/>
      <c r="L197" s="131"/>
      <c r="M197" s="131"/>
      <c r="N197" s="131"/>
      <c r="O197" s="131"/>
      <c r="P197" s="131"/>
      <c r="Q197" s="131"/>
      <c r="R197" s="131"/>
      <c r="S197" s="131"/>
      <c r="T197" s="131"/>
      <c r="U197" s="131"/>
      <c r="V197" s="131"/>
      <c r="W197" s="131"/>
      <c r="X197" s="131"/>
      <c r="Y197" s="131"/>
    </row>
    <row r="198">
      <c r="A198" s="131"/>
      <c r="B198" s="131"/>
      <c r="C198" s="131"/>
      <c r="D198" s="81"/>
      <c r="E198" s="81"/>
      <c r="F198" s="131"/>
      <c r="G198" s="131"/>
      <c r="H198" s="131"/>
      <c r="I198" s="131"/>
      <c r="J198" s="131"/>
      <c r="K198" s="131"/>
      <c r="L198" s="131"/>
      <c r="M198" s="131"/>
      <c r="N198" s="131"/>
      <c r="O198" s="131"/>
      <c r="P198" s="131"/>
      <c r="Q198" s="131"/>
      <c r="R198" s="131"/>
      <c r="S198" s="131"/>
      <c r="T198" s="131"/>
      <c r="U198" s="131"/>
      <c r="V198" s="131"/>
      <c r="W198" s="131"/>
      <c r="X198" s="131"/>
      <c r="Y198" s="131"/>
    </row>
    <row r="199">
      <c r="A199" s="131"/>
      <c r="B199" s="131"/>
      <c r="C199" s="131"/>
      <c r="D199" s="81"/>
      <c r="E199" s="81"/>
      <c r="F199" s="131"/>
      <c r="G199" s="131"/>
      <c r="H199" s="131"/>
      <c r="I199" s="131"/>
      <c r="J199" s="131"/>
      <c r="K199" s="131"/>
      <c r="L199" s="131"/>
      <c r="M199" s="131"/>
      <c r="N199" s="131"/>
      <c r="O199" s="131"/>
      <c r="P199" s="131"/>
      <c r="Q199" s="131"/>
      <c r="R199" s="131"/>
      <c r="S199" s="131"/>
      <c r="T199" s="131"/>
      <c r="U199" s="131"/>
      <c r="V199" s="131"/>
      <c r="W199" s="131"/>
      <c r="X199" s="131"/>
      <c r="Y199" s="131"/>
    </row>
    <row r="200">
      <c r="A200" s="131"/>
      <c r="B200" s="131"/>
      <c r="C200" s="131"/>
      <c r="D200" s="81"/>
      <c r="E200" s="81"/>
      <c r="F200" s="131"/>
      <c r="G200" s="131"/>
      <c r="H200" s="131"/>
      <c r="I200" s="131"/>
      <c r="J200" s="131"/>
      <c r="K200" s="131"/>
      <c r="L200" s="131"/>
      <c r="M200" s="131"/>
      <c r="N200" s="131"/>
      <c r="O200" s="131"/>
      <c r="P200" s="131"/>
      <c r="Q200" s="131"/>
      <c r="R200" s="131"/>
      <c r="S200" s="131"/>
      <c r="T200" s="131"/>
      <c r="U200" s="131"/>
      <c r="V200" s="131"/>
      <c r="W200" s="131"/>
      <c r="X200" s="131"/>
      <c r="Y200" s="131"/>
    </row>
    <row r="201">
      <c r="A201" s="131"/>
      <c r="B201" s="131"/>
      <c r="C201" s="131"/>
      <c r="D201" s="81"/>
      <c r="E201" s="81"/>
      <c r="F201" s="131"/>
      <c r="G201" s="131"/>
      <c r="H201" s="131"/>
      <c r="I201" s="131"/>
      <c r="J201" s="131"/>
      <c r="K201" s="131"/>
      <c r="L201" s="131"/>
      <c r="M201" s="131"/>
      <c r="N201" s="131"/>
      <c r="O201" s="131"/>
      <c r="P201" s="131"/>
      <c r="Q201" s="131"/>
      <c r="R201" s="131"/>
      <c r="S201" s="131"/>
      <c r="T201" s="131"/>
      <c r="U201" s="131"/>
      <c r="V201" s="131"/>
      <c r="W201" s="131"/>
      <c r="X201" s="131"/>
      <c r="Y201" s="131"/>
    </row>
    <row r="202">
      <c r="A202" s="131"/>
      <c r="B202" s="131"/>
      <c r="C202" s="131"/>
      <c r="D202" s="81"/>
      <c r="E202" s="81"/>
      <c r="F202" s="131"/>
      <c r="G202" s="131"/>
      <c r="H202" s="131"/>
      <c r="I202" s="131"/>
      <c r="J202" s="131"/>
      <c r="K202" s="131"/>
      <c r="L202" s="131"/>
      <c r="M202" s="131"/>
      <c r="N202" s="131"/>
      <c r="O202" s="131"/>
      <c r="P202" s="131"/>
      <c r="Q202" s="131"/>
      <c r="R202" s="131"/>
      <c r="S202" s="131"/>
      <c r="T202" s="131"/>
      <c r="U202" s="131"/>
      <c r="V202" s="131"/>
      <c r="W202" s="131"/>
      <c r="X202" s="131"/>
      <c r="Y202" s="131"/>
    </row>
    <row r="203">
      <c r="A203" s="131"/>
      <c r="B203" s="131"/>
      <c r="C203" s="131"/>
      <c r="D203" s="81"/>
      <c r="E203" s="81"/>
      <c r="F203" s="131"/>
      <c r="G203" s="131"/>
      <c r="H203" s="131"/>
      <c r="I203" s="131"/>
      <c r="J203" s="131"/>
      <c r="K203" s="131"/>
      <c r="L203" s="131"/>
      <c r="M203" s="131"/>
      <c r="N203" s="131"/>
      <c r="O203" s="131"/>
      <c r="P203" s="131"/>
      <c r="Q203" s="131"/>
      <c r="R203" s="131"/>
      <c r="S203" s="131"/>
      <c r="T203" s="131"/>
      <c r="U203" s="131"/>
      <c r="V203" s="131"/>
      <c r="W203" s="131"/>
      <c r="X203" s="131"/>
      <c r="Y203" s="131"/>
    </row>
    <row r="204">
      <c r="A204" s="131"/>
      <c r="B204" s="131"/>
      <c r="C204" s="131"/>
      <c r="D204" s="81"/>
      <c r="E204" s="81"/>
      <c r="F204" s="131"/>
      <c r="G204" s="131"/>
      <c r="H204" s="131"/>
      <c r="I204" s="131"/>
      <c r="J204" s="131"/>
      <c r="K204" s="131"/>
      <c r="L204" s="131"/>
      <c r="M204" s="131"/>
      <c r="N204" s="131"/>
      <c r="O204" s="131"/>
      <c r="P204" s="131"/>
      <c r="Q204" s="131"/>
      <c r="R204" s="131"/>
      <c r="S204" s="131"/>
      <c r="T204" s="131"/>
      <c r="U204" s="131"/>
      <c r="V204" s="131"/>
      <c r="W204" s="131"/>
      <c r="X204" s="131"/>
      <c r="Y204" s="131"/>
    </row>
    <row r="205">
      <c r="A205" s="131"/>
      <c r="B205" s="131"/>
      <c r="C205" s="131"/>
      <c r="D205" s="81"/>
      <c r="E205" s="81"/>
      <c r="F205" s="131"/>
      <c r="G205" s="131"/>
      <c r="H205" s="131"/>
      <c r="I205" s="131"/>
      <c r="J205" s="131"/>
      <c r="K205" s="131"/>
      <c r="L205" s="131"/>
      <c r="M205" s="131"/>
      <c r="N205" s="131"/>
      <c r="O205" s="131"/>
      <c r="P205" s="131"/>
      <c r="Q205" s="131"/>
      <c r="R205" s="131"/>
      <c r="S205" s="131"/>
      <c r="T205" s="131"/>
      <c r="U205" s="131"/>
      <c r="V205" s="131"/>
      <c r="W205" s="131"/>
      <c r="X205" s="131"/>
      <c r="Y205" s="131"/>
    </row>
    <row r="206">
      <c r="A206" s="131"/>
      <c r="B206" s="131"/>
      <c r="C206" s="131"/>
      <c r="D206" s="81"/>
      <c r="E206" s="81"/>
      <c r="F206" s="131"/>
      <c r="G206" s="131"/>
      <c r="H206" s="131"/>
      <c r="I206" s="131"/>
      <c r="J206" s="131"/>
      <c r="K206" s="131"/>
      <c r="L206" s="131"/>
      <c r="M206" s="131"/>
      <c r="N206" s="131"/>
      <c r="O206" s="131"/>
      <c r="P206" s="131"/>
      <c r="Q206" s="131"/>
      <c r="R206" s="131"/>
      <c r="S206" s="131"/>
      <c r="T206" s="131"/>
      <c r="U206" s="131"/>
      <c r="V206" s="131"/>
      <c r="W206" s="131"/>
      <c r="X206" s="131"/>
      <c r="Y206" s="131"/>
    </row>
    <row r="207">
      <c r="A207" s="131"/>
      <c r="B207" s="131"/>
      <c r="C207" s="131"/>
      <c r="D207" s="81"/>
      <c r="E207" s="81"/>
      <c r="F207" s="131"/>
      <c r="G207" s="131"/>
      <c r="H207" s="131"/>
      <c r="I207" s="131"/>
      <c r="J207" s="131"/>
      <c r="K207" s="131"/>
      <c r="L207" s="131"/>
      <c r="M207" s="131"/>
      <c r="N207" s="131"/>
      <c r="O207" s="131"/>
      <c r="P207" s="131"/>
      <c r="Q207" s="131"/>
      <c r="R207" s="131"/>
      <c r="S207" s="131"/>
      <c r="T207" s="131"/>
      <c r="U207" s="131"/>
      <c r="V207" s="131"/>
      <c r="W207" s="131"/>
      <c r="X207" s="131"/>
      <c r="Y207" s="131"/>
    </row>
    <row r="208">
      <c r="A208" s="131"/>
      <c r="B208" s="131"/>
      <c r="C208" s="131"/>
      <c r="D208" s="81"/>
      <c r="E208" s="81"/>
      <c r="F208" s="131"/>
      <c r="G208" s="131"/>
      <c r="H208" s="131"/>
      <c r="I208" s="131"/>
      <c r="J208" s="131"/>
      <c r="K208" s="131"/>
      <c r="L208" s="131"/>
      <c r="M208" s="131"/>
      <c r="N208" s="131"/>
      <c r="O208" s="131"/>
      <c r="P208" s="131"/>
      <c r="Q208" s="131"/>
      <c r="R208" s="131"/>
      <c r="S208" s="131"/>
      <c r="T208" s="131"/>
      <c r="U208" s="131"/>
      <c r="V208" s="131"/>
      <c r="W208" s="131"/>
      <c r="X208" s="131"/>
      <c r="Y208" s="131"/>
    </row>
    <row r="209">
      <c r="A209" s="131"/>
      <c r="B209" s="131"/>
      <c r="C209" s="131"/>
      <c r="D209" s="81"/>
      <c r="E209" s="81"/>
      <c r="F209" s="131"/>
      <c r="G209" s="131"/>
      <c r="H209" s="131"/>
      <c r="I209" s="131"/>
      <c r="J209" s="131"/>
      <c r="K209" s="131"/>
      <c r="L209" s="131"/>
      <c r="M209" s="131"/>
      <c r="N209" s="131"/>
      <c r="O209" s="131"/>
      <c r="P209" s="131"/>
      <c r="Q209" s="131"/>
      <c r="R209" s="131"/>
      <c r="S209" s="131"/>
      <c r="T209" s="131"/>
      <c r="U209" s="131"/>
      <c r="V209" s="131"/>
      <c r="W209" s="131"/>
      <c r="X209" s="131"/>
      <c r="Y209" s="131"/>
    </row>
    <row r="210">
      <c r="A210" s="131"/>
      <c r="B210" s="131"/>
      <c r="C210" s="131"/>
      <c r="D210" s="81"/>
      <c r="E210" s="81"/>
      <c r="F210" s="131"/>
      <c r="G210" s="131"/>
      <c r="H210" s="131"/>
      <c r="I210" s="131"/>
      <c r="J210" s="131"/>
      <c r="K210" s="131"/>
      <c r="L210" s="131"/>
      <c r="M210" s="131"/>
      <c r="N210" s="131"/>
      <c r="O210" s="131"/>
      <c r="P210" s="131"/>
      <c r="Q210" s="131"/>
      <c r="R210" s="131"/>
      <c r="S210" s="131"/>
      <c r="T210" s="131"/>
      <c r="U210" s="131"/>
      <c r="V210" s="131"/>
      <c r="W210" s="131"/>
      <c r="X210" s="131"/>
      <c r="Y210" s="131"/>
    </row>
    <row r="211">
      <c r="A211" s="131"/>
      <c r="B211" s="131"/>
      <c r="C211" s="131"/>
      <c r="D211" s="81"/>
      <c r="E211" s="81"/>
      <c r="F211" s="131"/>
      <c r="G211" s="131"/>
      <c r="H211" s="131"/>
      <c r="I211" s="131"/>
      <c r="J211" s="131"/>
      <c r="K211" s="131"/>
      <c r="L211" s="131"/>
      <c r="M211" s="131"/>
      <c r="N211" s="131"/>
      <c r="O211" s="131"/>
      <c r="P211" s="131"/>
      <c r="Q211" s="131"/>
      <c r="R211" s="131"/>
      <c r="S211" s="131"/>
      <c r="T211" s="131"/>
      <c r="U211" s="131"/>
      <c r="V211" s="131"/>
      <c r="W211" s="131"/>
      <c r="X211" s="131"/>
      <c r="Y211" s="131"/>
    </row>
    <row r="212">
      <c r="A212" s="131"/>
      <c r="B212" s="131"/>
      <c r="C212" s="131"/>
      <c r="D212" s="81"/>
      <c r="E212" s="81"/>
      <c r="F212" s="131"/>
      <c r="G212" s="131"/>
      <c r="H212" s="131"/>
      <c r="I212" s="131"/>
      <c r="J212" s="131"/>
      <c r="K212" s="131"/>
      <c r="L212" s="131"/>
      <c r="M212" s="131"/>
      <c r="N212" s="131"/>
      <c r="O212" s="131"/>
      <c r="P212" s="131"/>
      <c r="Q212" s="131"/>
      <c r="R212" s="131"/>
      <c r="S212" s="131"/>
      <c r="T212" s="131"/>
      <c r="U212" s="131"/>
      <c r="V212" s="131"/>
      <c r="W212" s="131"/>
      <c r="X212" s="131"/>
      <c r="Y212" s="131"/>
    </row>
    <row r="213">
      <c r="A213" s="131"/>
      <c r="B213" s="131"/>
      <c r="C213" s="131"/>
      <c r="D213" s="81"/>
      <c r="E213" s="81"/>
      <c r="F213" s="131"/>
      <c r="G213" s="131"/>
      <c r="H213" s="131"/>
      <c r="I213" s="131"/>
      <c r="J213" s="131"/>
      <c r="K213" s="131"/>
      <c r="L213" s="131"/>
      <c r="M213" s="131"/>
      <c r="N213" s="131"/>
      <c r="O213" s="131"/>
      <c r="P213" s="131"/>
      <c r="Q213" s="131"/>
      <c r="R213" s="131"/>
      <c r="S213" s="131"/>
      <c r="T213" s="131"/>
      <c r="U213" s="131"/>
      <c r="V213" s="131"/>
      <c r="W213" s="131"/>
      <c r="X213" s="131"/>
      <c r="Y213" s="131"/>
    </row>
    <row r="214">
      <c r="A214" s="131"/>
      <c r="B214" s="131"/>
      <c r="C214" s="131"/>
      <c r="D214" s="81"/>
      <c r="E214" s="81"/>
      <c r="F214" s="131"/>
      <c r="G214" s="131"/>
      <c r="H214" s="131"/>
      <c r="I214" s="131"/>
      <c r="J214" s="131"/>
      <c r="K214" s="131"/>
      <c r="L214" s="131"/>
      <c r="M214" s="131"/>
      <c r="N214" s="131"/>
      <c r="O214" s="131"/>
      <c r="P214" s="131"/>
      <c r="Q214" s="131"/>
      <c r="R214" s="131"/>
      <c r="S214" s="131"/>
      <c r="T214" s="131"/>
      <c r="U214" s="131"/>
      <c r="V214" s="131"/>
      <c r="W214" s="131"/>
      <c r="X214" s="131"/>
      <c r="Y214" s="131"/>
    </row>
    <row r="215">
      <c r="A215" s="131"/>
      <c r="B215" s="131"/>
      <c r="C215" s="131"/>
      <c r="D215" s="81"/>
      <c r="E215" s="81"/>
      <c r="F215" s="131"/>
      <c r="G215" s="131"/>
      <c r="H215" s="131"/>
      <c r="I215" s="131"/>
      <c r="J215" s="131"/>
      <c r="K215" s="131"/>
      <c r="L215" s="131"/>
      <c r="M215" s="131"/>
      <c r="N215" s="131"/>
      <c r="O215" s="131"/>
      <c r="P215" s="131"/>
      <c r="Q215" s="131"/>
      <c r="R215" s="131"/>
      <c r="S215" s="131"/>
      <c r="T215" s="131"/>
      <c r="U215" s="131"/>
      <c r="V215" s="131"/>
      <c r="W215" s="131"/>
      <c r="X215" s="131"/>
      <c r="Y215" s="131"/>
    </row>
    <row r="216">
      <c r="A216" s="131"/>
      <c r="B216" s="131"/>
      <c r="C216" s="131"/>
      <c r="D216" s="81"/>
      <c r="E216" s="81"/>
      <c r="F216" s="131"/>
      <c r="G216" s="131"/>
      <c r="H216" s="131"/>
      <c r="I216" s="131"/>
      <c r="J216" s="131"/>
      <c r="K216" s="131"/>
      <c r="L216" s="131"/>
      <c r="M216" s="131"/>
      <c r="N216" s="131"/>
      <c r="O216" s="131"/>
      <c r="P216" s="131"/>
      <c r="Q216" s="131"/>
      <c r="R216" s="131"/>
      <c r="S216" s="131"/>
      <c r="T216" s="131"/>
      <c r="U216" s="131"/>
      <c r="V216" s="131"/>
      <c r="W216" s="131"/>
      <c r="X216" s="131"/>
      <c r="Y216" s="131"/>
    </row>
    <row r="217">
      <c r="A217" s="131"/>
      <c r="B217" s="131"/>
      <c r="C217" s="131"/>
      <c r="D217" s="81"/>
      <c r="E217" s="81"/>
      <c r="F217" s="131"/>
      <c r="G217" s="131"/>
      <c r="H217" s="131"/>
      <c r="I217" s="131"/>
      <c r="J217" s="131"/>
      <c r="K217" s="131"/>
      <c r="L217" s="131"/>
      <c r="M217" s="131"/>
      <c r="N217" s="131"/>
      <c r="O217" s="131"/>
      <c r="P217" s="131"/>
      <c r="Q217" s="131"/>
      <c r="R217" s="131"/>
      <c r="S217" s="131"/>
      <c r="T217" s="131"/>
      <c r="U217" s="131"/>
      <c r="V217" s="131"/>
      <c r="W217" s="131"/>
      <c r="X217" s="131"/>
      <c r="Y217" s="131"/>
    </row>
    <row r="218">
      <c r="A218" s="131"/>
      <c r="B218" s="131"/>
      <c r="C218" s="131"/>
      <c r="D218" s="81"/>
      <c r="E218" s="81"/>
      <c r="F218" s="131"/>
      <c r="G218" s="131"/>
      <c r="H218" s="131"/>
      <c r="I218" s="131"/>
      <c r="J218" s="131"/>
      <c r="K218" s="131"/>
      <c r="L218" s="131"/>
      <c r="M218" s="131"/>
      <c r="N218" s="131"/>
      <c r="O218" s="131"/>
      <c r="P218" s="131"/>
      <c r="Q218" s="131"/>
      <c r="R218" s="131"/>
      <c r="S218" s="131"/>
      <c r="T218" s="131"/>
      <c r="U218" s="131"/>
      <c r="V218" s="131"/>
      <c r="W218" s="131"/>
      <c r="X218" s="131"/>
      <c r="Y218" s="131"/>
    </row>
    <row r="219">
      <c r="A219" s="131"/>
      <c r="B219" s="131"/>
      <c r="C219" s="131"/>
      <c r="D219" s="81"/>
      <c r="E219" s="81"/>
      <c r="F219" s="131"/>
      <c r="G219" s="131"/>
      <c r="H219" s="131"/>
      <c r="I219" s="131"/>
      <c r="J219" s="131"/>
      <c r="K219" s="131"/>
      <c r="L219" s="131"/>
      <c r="M219" s="131"/>
      <c r="N219" s="131"/>
      <c r="O219" s="131"/>
      <c r="P219" s="131"/>
      <c r="Q219" s="131"/>
      <c r="R219" s="131"/>
      <c r="S219" s="131"/>
      <c r="T219" s="131"/>
      <c r="U219" s="131"/>
      <c r="V219" s="131"/>
      <c r="W219" s="131"/>
      <c r="X219" s="131"/>
      <c r="Y219" s="131"/>
    </row>
    <row r="220">
      <c r="A220" s="131"/>
      <c r="B220" s="131"/>
      <c r="C220" s="131"/>
      <c r="D220" s="81"/>
      <c r="E220" s="81"/>
      <c r="F220" s="131"/>
      <c r="G220" s="131"/>
      <c r="H220" s="131"/>
      <c r="I220" s="131"/>
      <c r="J220" s="131"/>
      <c r="K220" s="131"/>
      <c r="L220" s="131"/>
      <c r="M220" s="131"/>
      <c r="N220" s="131"/>
      <c r="O220" s="131"/>
      <c r="P220" s="131"/>
      <c r="Q220" s="131"/>
      <c r="R220" s="131"/>
      <c r="S220" s="131"/>
      <c r="T220" s="131"/>
      <c r="U220" s="131"/>
      <c r="V220" s="131"/>
      <c r="W220" s="131"/>
      <c r="X220" s="131"/>
      <c r="Y220" s="131"/>
    </row>
    <row r="221">
      <c r="A221" s="131"/>
      <c r="B221" s="131"/>
      <c r="C221" s="131"/>
      <c r="D221" s="81"/>
      <c r="E221" s="81"/>
      <c r="F221" s="131"/>
      <c r="G221" s="131"/>
      <c r="H221" s="131"/>
      <c r="I221" s="131"/>
      <c r="J221" s="131"/>
      <c r="K221" s="131"/>
      <c r="L221" s="131"/>
      <c r="M221" s="131"/>
      <c r="N221" s="131"/>
      <c r="O221" s="131"/>
      <c r="P221" s="131"/>
      <c r="Q221" s="131"/>
      <c r="R221" s="131"/>
      <c r="S221" s="131"/>
      <c r="T221" s="131"/>
      <c r="U221" s="131"/>
      <c r="V221" s="131"/>
      <c r="W221" s="131"/>
      <c r="X221" s="131"/>
      <c r="Y221" s="131"/>
    </row>
    <row r="222">
      <c r="A222" s="131"/>
      <c r="B222" s="131"/>
      <c r="C222" s="131"/>
      <c r="D222" s="81"/>
      <c r="E222" s="81"/>
      <c r="F222" s="131"/>
      <c r="G222" s="131"/>
      <c r="H222" s="131"/>
      <c r="I222" s="131"/>
      <c r="J222" s="131"/>
      <c r="K222" s="131"/>
      <c r="L222" s="131"/>
      <c r="M222" s="131"/>
      <c r="N222" s="131"/>
      <c r="O222" s="131"/>
      <c r="P222" s="131"/>
      <c r="Q222" s="131"/>
      <c r="R222" s="131"/>
      <c r="S222" s="131"/>
      <c r="T222" s="131"/>
      <c r="U222" s="131"/>
      <c r="V222" s="131"/>
      <c r="W222" s="131"/>
      <c r="X222" s="131"/>
      <c r="Y222" s="131"/>
    </row>
    <row r="223">
      <c r="A223" s="131"/>
      <c r="B223" s="131"/>
      <c r="C223" s="131"/>
      <c r="D223" s="81"/>
      <c r="E223" s="81"/>
      <c r="F223" s="131"/>
      <c r="G223" s="131"/>
      <c r="H223" s="131"/>
      <c r="I223" s="131"/>
      <c r="J223" s="131"/>
      <c r="K223" s="131"/>
      <c r="L223" s="131"/>
      <c r="M223" s="131"/>
      <c r="N223" s="131"/>
      <c r="O223" s="131"/>
      <c r="P223" s="131"/>
      <c r="Q223" s="131"/>
      <c r="R223" s="131"/>
      <c r="S223" s="131"/>
      <c r="T223" s="131"/>
      <c r="U223" s="131"/>
      <c r="V223" s="131"/>
      <c r="W223" s="131"/>
      <c r="X223" s="131"/>
      <c r="Y223" s="131"/>
    </row>
    <row r="224">
      <c r="A224" s="131"/>
      <c r="B224" s="131"/>
      <c r="C224" s="131"/>
      <c r="D224" s="81"/>
      <c r="E224" s="81"/>
      <c r="F224" s="131"/>
      <c r="G224" s="131"/>
      <c r="H224" s="131"/>
      <c r="I224" s="131"/>
      <c r="J224" s="131"/>
      <c r="K224" s="131"/>
      <c r="L224" s="131"/>
      <c r="M224" s="131"/>
      <c r="N224" s="131"/>
      <c r="O224" s="131"/>
      <c r="P224" s="131"/>
      <c r="Q224" s="131"/>
      <c r="R224" s="131"/>
      <c r="S224" s="131"/>
      <c r="T224" s="131"/>
      <c r="U224" s="131"/>
      <c r="V224" s="131"/>
      <c r="W224" s="131"/>
      <c r="X224" s="131"/>
      <c r="Y224" s="131"/>
    </row>
    <row r="225">
      <c r="A225" s="131"/>
      <c r="B225" s="131"/>
      <c r="C225" s="131"/>
      <c r="D225" s="81"/>
      <c r="E225" s="81"/>
      <c r="F225" s="131"/>
      <c r="G225" s="131"/>
      <c r="H225" s="131"/>
      <c r="I225" s="131"/>
      <c r="J225" s="131"/>
      <c r="K225" s="131"/>
      <c r="L225" s="131"/>
      <c r="M225" s="131"/>
      <c r="N225" s="131"/>
      <c r="O225" s="131"/>
      <c r="P225" s="131"/>
      <c r="Q225" s="131"/>
      <c r="R225" s="131"/>
      <c r="S225" s="131"/>
      <c r="T225" s="131"/>
      <c r="U225" s="131"/>
      <c r="V225" s="131"/>
      <c r="W225" s="131"/>
      <c r="X225" s="131"/>
      <c r="Y225" s="131"/>
    </row>
    <row r="226">
      <c r="A226" s="131"/>
      <c r="B226" s="131"/>
      <c r="C226" s="131"/>
      <c r="D226" s="81"/>
      <c r="E226" s="81"/>
      <c r="F226" s="131"/>
      <c r="G226" s="131"/>
      <c r="H226" s="131"/>
      <c r="I226" s="131"/>
      <c r="J226" s="131"/>
      <c r="K226" s="131"/>
      <c r="L226" s="131"/>
      <c r="M226" s="131"/>
      <c r="N226" s="131"/>
      <c r="O226" s="131"/>
      <c r="P226" s="131"/>
      <c r="Q226" s="131"/>
      <c r="R226" s="131"/>
      <c r="S226" s="131"/>
      <c r="T226" s="131"/>
      <c r="U226" s="131"/>
      <c r="V226" s="131"/>
      <c r="W226" s="131"/>
      <c r="X226" s="131"/>
      <c r="Y226" s="131"/>
    </row>
    <row r="227">
      <c r="A227" s="131"/>
      <c r="B227" s="131"/>
      <c r="C227" s="131"/>
      <c r="D227" s="81"/>
      <c r="E227" s="81"/>
      <c r="F227" s="131"/>
      <c r="G227" s="131"/>
      <c r="H227" s="131"/>
      <c r="I227" s="131"/>
      <c r="J227" s="131"/>
      <c r="K227" s="131"/>
      <c r="L227" s="131"/>
      <c r="M227" s="131"/>
      <c r="N227" s="131"/>
      <c r="O227" s="131"/>
      <c r="P227" s="131"/>
      <c r="Q227" s="131"/>
      <c r="R227" s="131"/>
      <c r="S227" s="131"/>
      <c r="T227" s="131"/>
      <c r="U227" s="131"/>
      <c r="V227" s="131"/>
      <c r="W227" s="131"/>
      <c r="X227" s="131"/>
      <c r="Y227" s="131"/>
    </row>
    <row r="228">
      <c r="A228" s="131"/>
      <c r="B228" s="131"/>
      <c r="C228" s="131"/>
      <c r="D228" s="81"/>
      <c r="E228" s="81"/>
      <c r="F228" s="131"/>
      <c r="G228" s="131"/>
      <c r="H228" s="131"/>
      <c r="I228" s="131"/>
      <c r="J228" s="131"/>
      <c r="K228" s="131"/>
      <c r="L228" s="131"/>
      <c r="M228" s="131"/>
      <c r="N228" s="131"/>
      <c r="O228" s="131"/>
      <c r="P228" s="131"/>
      <c r="Q228" s="131"/>
      <c r="R228" s="131"/>
      <c r="S228" s="131"/>
      <c r="T228" s="131"/>
      <c r="U228" s="131"/>
      <c r="V228" s="131"/>
      <c r="W228" s="131"/>
      <c r="X228" s="131"/>
      <c r="Y228" s="131"/>
    </row>
    <row r="229">
      <c r="A229" s="131"/>
      <c r="B229" s="131"/>
      <c r="C229" s="131"/>
      <c r="D229" s="81"/>
      <c r="E229" s="81"/>
      <c r="F229" s="131"/>
      <c r="G229" s="131"/>
      <c r="H229" s="131"/>
      <c r="I229" s="131"/>
      <c r="J229" s="131"/>
      <c r="K229" s="131"/>
      <c r="L229" s="131"/>
      <c r="M229" s="131"/>
      <c r="N229" s="131"/>
      <c r="O229" s="131"/>
      <c r="P229" s="131"/>
      <c r="Q229" s="131"/>
      <c r="R229" s="131"/>
      <c r="S229" s="131"/>
      <c r="T229" s="131"/>
      <c r="U229" s="131"/>
      <c r="V229" s="131"/>
      <c r="W229" s="131"/>
      <c r="X229" s="131"/>
      <c r="Y229" s="131"/>
    </row>
    <row r="230">
      <c r="A230" s="131"/>
      <c r="B230" s="131"/>
      <c r="C230" s="131"/>
      <c r="D230" s="81"/>
      <c r="E230" s="81"/>
      <c r="F230" s="131"/>
      <c r="G230" s="131"/>
      <c r="H230" s="131"/>
      <c r="I230" s="131"/>
      <c r="J230" s="131"/>
      <c r="K230" s="131"/>
      <c r="L230" s="131"/>
      <c r="M230" s="131"/>
      <c r="N230" s="131"/>
      <c r="O230" s="131"/>
      <c r="P230" s="131"/>
      <c r="Q230" s="131"/>
      <c r="R230" s="131"/>
      <c r="S230" s="131"/>
      <c r="T230" s="131"/>
      <c r="U230" s="131"/>
      <c r="V230" s="131"/>
      <c r="W230" s="131"/>
      <c r="X230" s="131"/>
      <c r="Y230" s="131"/>
    </row>
    <row r="231">
      <c r="A231" s="131"/>
      <c r="B231" s="131"/>
      <c r="C231" s="131"/>
      <c r="D231" s="81"/>
      <c r="E231" s="81"/>
      <c r="F231" s="131"/>
      <c r="G231" s="131"/>
      <c r="H231" s="131"/>
      <c r="I231" s="131"/>
      <c r="J231" s="131"/>
      <c r="K231" s="131"/>
      <c r="L231" s="131"/>
      <c r="M231" s="131"/>
      <c r="N231" s="131"/>
      <c r="O231" s="131"/>
      <c r="P231" s="131"/>
      <c r="Q231" s="131"/>
      <c r="R231" s="131"/>
      <c r="S231" s="131"/>
      <c r="T231" s="131"/>
      <c r="U231" s="131"/>
      <c r="V231" s="131"/>
      <c r="W231" s="131"/>
      <c r="X231" s="131"/>
      <c r="Y231" s="131"/>
    </row>
    <row r="232">
      <c r="A232" s="131"/>
      <c r="B232" s="131"/>
      <c r="C232" s="131"/>
      <c r="D232" s="81"/>
      <c r="E232" s="81"/>
      <c r="F232" s="131"/>
      <c r="G232" s="131"/>
      <c r="H232" s="131"/>
      <c r="I232" s="131"/>
      <c r="J232" s="131"/>
      <c r="K232" s="131"/>
      <c r="L232" s="131"/>
      <c r="M232" s="131"/>
      <c r="N232" s="131"/>
      <c r="O232" s="131"/>
      <c r="P232" s="131"/>
      <c r="Q232" s="131"/>
      <c r="R232" s="131"/>
      <c r="S232" s="131"/>
      <c r="T232" s="131"/>
      <c r="U232" s="131"/>
      <c r="V232" s="131"/>
      <c r="W232" s="131"/>
      <c r="X232" s="131"/>
      <c r="Y232" s="131"/>
    </row>
    <row r="233">
      <c r="A233" s="131"/>
      <c r="B233" s="131"/>
      <c r="C233" s="131"/>
      <c r="D233" s="81"/>
      <c r="E233" s="81"/>
      <c r="F233" s="131"/>
      <c r="G233" s="131"/>
      <c r="H233" s="131"/>
      <c r="I233" s="131"/>
      <c r="J233" s="131"/>
      <c r="K233" s="131"/>
      <c r="L233" s="131"/>
      <c r="M233" s="131"/>
      <c r="N233" s="131"/>
      <c r="O233" s="131"/>
      <c r="P233" s="131"/>
      <c r="Q233" s="131"/>
      <c r="R233" s="131"/>
      <c r="S233" s="131"/>
      <c r="T233" s="131"/>
      <c r="U233" s="131"/>
      <c r="V233" s="131"/>
      <c r="W233" s="131"/>
      <c r="X233" s="131"/>
      <c r="Y233" s="131"/>
    </row>
    <row r="234">
      <c r="A234" s="131"/>
      <c r="B234" s="131"/>
      <c r="C234" s="131"/>
      <c r="D234" s="81"/>
      <c r="E234" s="81"/>
      <c r="F234" s="131"/>
      <c r="G234" s="131"/>
      <c r="H234" s="131"/>
      <c r="I234" s="131"/>
      <c r="J234" s="131"/>
      <c r="K234" s="131"/>
      <c r="L234" s="131"/>
      <c r="M234" s="131"/>
      <c r="N234" s="131"/>
      <c r="O234" s="131"/>
      <c r="P234" s="131"/>
      <c r="Q234" s="131"/>
      <c r="R234" s="131"/>
      <c r="S234" s="131"/>
      <c r="T234" s="131"/>
      <c r="U234" s="131"/>
      <c r="V234" s="131"/>
      <c r="W234" s="131"/>
      <c r="X234" s="131"/>
      <c r="Y234" s="131"/>
    </row>
    <row r="235">
      <c r="A235" s="131"/>
      <c r="B235" s="131"/>
      <c r="C235" s="131"/>
      <c r="D235" s="81"/>
      <c r="E235" s="81"/>
      <c r="F235" s="131"/>
      <c r="G235" s="131"/>
      <c r="H235" s="131"/>
      <c r="I235" s="131"/>
      <c r="J235" s="131"/>
      <c r="K235" s="131"/>
      <c r="L235" s="131"/>
      <c r="M235" s="131"/>
      <c r="N235" s="131"/>
      <c r="O235" s="131"/>
      <c r="P235" s="131"/>
      <c r="Q235" s="131"/>
      <c r="R235" s="131"/>
      <c r="S235" s="131"/>
      <c r="T235" s="131"/>
      <c r="U235" s="131"/>
      <c r="V235" s="131"/>
      <c r="W235" s="131"/>
      <c r="X235" s="131"/>
      <c r="Y235" s="131"/>
    </row>
    <row r="236">
      <c r="A236" s="131"/>
      <c r="B236" s="131"/>
      <c r="C236" s="131"/>
      <c r="D236" s="81"/>
      <c r="E236" s="81"/>
      <c r="F236" s="131"/>
      <c r="G236" s="131"/>
      <c r="H236" s="131"/>
      <c r="I236" s="131"/>
      <c r="J236" s="131"/>
      <c r="K236" s="131"/>
      <c r="L236" s="131"/>
      <c r="M236" s="131"/>
      <c r="N236" s="131"/>
      <c r="O236" s="131"/>
      <c r="P236" s="131"/>
      <c r="Q236" s="131"/>
      <c r="R236" s="131"/>
      <c r="S236" s="131"/>
      <c r="T236" s="131"/>
      <c r="U236" s="131"/>
      <c r="V236" s="131"/>
      <c r="W236" s="131"/>
      <c r="X236" s="131"/>
      <c r="Y236" s="131"/>
    </row>
    <row r="237">
      <c r="A237" s="131"/>
      <c r="B237" s="131"/>
      <c r="C237" s="131"/>
      <c r="D237" s="81"/>
      <c r="E237" s="81"/>
      <c r="F237" s="131"/>
      <c r="G237" s="131"/>
      <c r="H237" s="131"/>
      <c r="I237" s="131"/>
      <c r="J237" s="131"/>
      <c r="K237" s="131"/>
      <c r="L237" s="131"/>
      <c r="M237" s="131"/>
      <c r="N237" s="131"/>
      <c r="O237" s="131"/>
      <c r="P237" s="131"/>
      <c r="Q237" s="131"/>
      <c r="R237" s="131"/>
      <c r="S237" s="131"/>
      <c r="T237" s="131"/>
      <c r="U237" s="131"/>
      <c r="V237" s="131"/>
      <c r="W237" s="131"/>
      <c r="X237" s="131"/>
      <c r="Y237" s="131"/>
    </row>
    <row r="238">
      <c r="A238" s="131"/>
      <c r="B238" s="131"/>
      <c r="C238" s="131"/>
      <c r="D238" s="81"/>
      <c r="E238" s="81"/>
      <c r="F238" s="131"/>
      <c r="G238" s="131"/>
      <c r="H238" s="131"/>
      <c r="I238" s="131"/>
      <c r="J238" s="131"/>
      <c r="K238" s="131"/>
      <c r="L238" s="131"/>
      <c r="M238" s="131"/>
      <c r="N238" s="131"/>
      <c r="O238" s="131"/>
      <c r="P238" s="131"/>
      <c r="Q238" s="131"/>
      <c r="R238" s="131"/>
      <c r="S238" s="131"/>
      <c r="T238" s="131"/>
      <c r="U238" s="131"/>
      <c r="V238" s="131"/>
      <c r="W238" s="131"/>
      <c r="X238" s="131"/>
      <c r="Y238" s="131"/>
    </row>
    <row r="239">
      <c r="A239" s="131"/>
      <c r="B239" s="131"/>
      <c r="C239" s="131"/>
      <c r="D239" s="81"/>
      <c r="E239" s="81"/>
      <c r="F239" s="131"/>
      <c r="G239" s="131"/>
      <c r="H239" s="131"/>
      <c r="I239" s="131"/>
      <c r="J239" s="131"/>
      <c r="K239" s="131"/>
      <c r="L239" s="131"/>
      <c r="M239" s="131"/>
      <c r="N239" s="131"/>
      <c r="O239" s="131"/>
      <c r="P239" s="131"/>
      <c r="Q239" s="131"/>
      <c r="R239" s="131"/>
      <c r="S239" s="131"/>
      <c r="T239" s="131"/>
      <c r="U239" s="131"/>
      <c r="V239" s="131"/>
      <c r="W239" s="131"/>
      <c r="X239" s="131"/>
      <c r="Y239" s="131"/>
    </row>
    <row r="240">
      <c r="A240" s="131"/>
      <c r="B240" s="131"/>
      <c r="C240" s="131"/>
      <c r="D240" s="81"/>
      <c r="E240" s="81"/>
      <c r="F240" s="131"/>
      <c r="G240" s="131"/>
      <c r="H240" s="131"/>
      <c r="I240" s="131"/>
      <c r="J240" s="131"/>
      <c r="K240" s="131"/>
      <c r="L240" s="131"/>
      <c r="M240" s="131"/>
      <c r="N240" s="131"/>
      <c r="O240" s="131"/>
      <c r="P240" s="131"/>
      <c r="Q240" s="131"/>
      <c r="R240" s="131"/>
      <c r="S240" s="131"/>
      <c r="T240" s="131"/>
      <c r="U240" s="131"/>
      <c r="V240" s="131"/>
      <c r="W240" s="131"/>
      <c r="X240" s="131"/>
      <c r="Y240" s="131"/>
    </row>
    <row r="241">
      <c r="A241" s="131"/>
      <c r="B241" s="131"/>
      <c r="C241" s="131"/>
      <c r="D241" s="81"/>
      <c r="E241" s="81"/>
      <c r="F241" s="131"/>
      <c r="G241" s="131"/>
      <c r="H241" s="131"/>
      <c r="I241" s="131"/>
      <c r="J241" s="131"/>
      <c r="K241" s="131"/>
      <c r="L241" s="131"/>
      <c r="M241" s="131"/>
      <c r="N241" s="131"/>
      <c r="O241" s="131"/>
      <c r="P241" s="131"/>
      <c r="Q241" s="131"/>
      <c r="R241" s="131"/>
      <c r="S241" s="131"/>
      <c r="T241" s="131"/>
      <c r="U241" s="131"/>
      <c r="V241" s="131"/>
      <c r="W241" s="131"/>
      <c r="X241" s="131"/>
      <c r="Y241" s="131"/>
    </row>
    <row r="242">
      <c r="A242" s="131"/>
      <c r="B242" s="131"/>
      <c r="C242" s="131"/>
      <c r="D242" s="81"/>
      <c r="E242" s="81"/>
      <c r="F242" s="131"/>
      <c r="G242" s="131"/>
      <c r="H242" s="131"/>
      <c r="I242" s="131"/>
      <c r="J242" s="131"/>
      <c r="K242" s="131"/>
      <c r="L242" s="131"/>
      <c r="M242" s="131"/>
      <c r="N242" s="131"/>
      <c r="O242" s="131"/>
      <c r="P242" s="131"/>
      <c r="Q242" s="131"/>
      <c r="R242" s="131"/>
      <c r="S242" s="131"/>
      <c r="T242" s="131"/>
      <c r="U242" s="131"/>
      <c r="V242" s="131"/>
      <c r="W242" s="131"/>
      <c r="X242" s="131"/>
      <c r="Y242" s="131"/>
    </row>
    <row r="243">
      <c r="A243" s="131"/>
      <c r="B243" s="131"/>
      <c r="C243" s="131"/>
      <c r="D243" s="81"/>
      <c r="E243" s="81"/>
      <c r="F243" s="131"/>
      <c r="G243" s="131"/>
      <c r="H243" s="131"/>
      <c r="I243" s="131"/>
      <c r="J243" s="131"/>
      <c r="K243" s="131"/>
      <c r="L243" s="131"/>
      <c r="M243" s="131"/>
      <c r="N243" s="131"/>
      <c r="O243" s="131"/>
      <c r="P243" s="131"/>
      <c r="Q243" s="131"/>
      <c r="R243" s="131"/>
      <c r="S243" s="131"/>
      <c r="T243" s="131"/>
      <c r="U243" s="131"/>
      <c r="V243" s="131"/>
      <c r="W243" s="131"/>
      <c r="X243" s="131"/>
      <c r="Y243" s="131"/>
    </row>
    <row r="244">
      <c r="A244" s="131"/>
      <c r="B244" s="131"/>
      <c r="C244" s="131"/>
      <c r="D244" s="81"/>
      <c r="E244" s="81"/>
      <c r="F244" s="131"/>
      <c r="G244" s="131"/>
      <c r="H244" s="131"/>
      <c r="I244" s="131"/>
      <c r="J244" s="131"/>
      <c r="K244" s="131"/>
      <c r="L244" s="131"/>
      <c r="M244" s="131"/>
      <c r="N244" s="131"/>
      <c r="O244" s="131"/>
      <c r="P244" s="131"/>
      <c r="Q244" s="131"/>
      <c r="R244" s="131"/>
      <c r="S244" s="131"/>
      <c r="T244" s="131"/>
      <c r="U244" s="131"/>
      <c r="V244" s="131"/>
      <c r="W244" s="131"/>
      <c r="X244" s="131"/>
      <c r="Y244" s="131"/>
    </row>
    <row r="245">
      <c r="A245" s="131"/>
      <c r="B245" s="131"/>
      <c r="C245" s="131"/>
      <c r="D245" s="81"/>
      <c r="E245" s="81"/>
      <c r="F245" s="131"/>
      <c r="G245" s="131"/>
      <c r="H245" s="131"/>
      <c r="I245" s="131"/>
      <c r="J245" s="131"/>
      <c r="K245" s="131"/>
      <c r="L245" s="131"/>
      <c r="M245" s="131"/>
      <c r="N245" s="131"/>
      <c r="O245" s="131"/>
      <c r="P245" s="131"/>
      <c r="Q245" s="131"/>
      <c r="R245" s="131"/>
      <c r="S245" s="131"/>
      <c r="T245" s="131"/>
      <c r="U245" s="131"/>
      <c r="V245" s="131"/>
      <c r="W245" s="131"/>
      <c r="X245" s="131"/>
      <c r="Y245" s="131"/>
    </row>
    <row r="246">
      <c r="A246" s="131"/>
      <c r="B246" s="131"/>
      <c r="C246" s="131"/>
      <c r="D246" s="81"/>
      <c r="E246" s="81"/>
      <c r="F246" s="131"/>
      <c r="G246" s="131"/>
      <c r="H246" s="131"/>
      <c r="I246" s="131"/>
      <c r="J246" s="131"/>
      <c r="K246" s="131"/>
      <c r="L246" s="131"/>
      <c r="M246" s="131"/>
      <c r="N246" s="131"/>
      <c r="O246" s="131"/>
      <c r="P246" s="131"/>
      <c r="Q246" s="131"/>
      <c r="R246" s="131"/>
      <c r="S246" s="131"/>
      <c r="T246" s="131"/>
      <c r="U246" s="131"/>
      <c r="V246" s="131"/>
      <c r="W246" s="131"/>
      <c r="X246" s="131"/>
      <c r="Y246" s="131"/>
    </row>
    <row r="247">
      <c r="A247" s="131"/>
      <c r="B247" s="131"/>
      <c r="C247" s="131"/>
      <c r="D247" s="81"/>
      <c r="E247" s="81"/>
      <c r="F247" s="131"/>
      <c r="G247" s="131"/>
      <c r="H247" s="131"/>
      <c r="I247" s="131"/>
      <c r="J247" s="131"/>
      <c r="K247" s="131"/>
      <c r="L247" s="131"/>
      <c r="M247" s="131"/>
      <c r="N247" s="131"/>
      <c r="O247" s="131"/>
      <c r="P247" s="131"/>
      <c r="Q247" s="131"/>
      <c r="R247" s="131"/>
      <c r="S247" s="131"/>
      <c r="T247" s="131"/>
      <c r="U247" s="131"/>
      <c r="V247" s="131"/>
      <c r="W247" s="131"/>
      <c r="X247" s="131"/>
      <c r="Y247" s="131"/>
    </row>
    <row r="248">
      <c r="A248" s="131"/>
      <c r="B248" s="131"/>
      <c r="C248" s="131"/>
      <c r="D248" s="81"/>
      <c r="E248" s="81"/>
      <c r="F248" s="131"/>
      <c r="G248" s="131"/>
      <c r="H248" s="131"/>
      <c r="I248" s="131"/>
      <c r="J248" s="131"/>
      <c r="K248" s="131"/>
      <c r="L248" s="131"/>
      <c r="M248" s="131"/>
      <c r="N248" s="131"/>
      <c r="O248" s="131"/>
      <c r="P248" s="131"/>
      <c r="Q248" s="131"/>
      <c r="R248" s="131"/>
      <c r="S248" s="131"/>
      <c r="T248" s="131"/>
      <c r="U248" s="131"/>
      <c r="V248" s="131"/>
      <c r="W248" s="131"/>
      <c r="X248" s="131"/>
      <c r="Y248" s="131"/>
    </row>
    <row r="249">
      <c r="A249" s="131"/>
      <c r="B249" s="131"/>
      <c r="C249" s="131"/>
      <c r="D249" s="81"/>
      <c r="E249" s="81"/>
      <c r="F249" s="131"/>
      <c r="G249" s="131"/>
      <c r="H249" s="131"/>
      <c r="I249" s="131"/>
      <c r="J249" s="131"/>
      <c r="K249" s="131"/>
      <c r="L249" s="131"/>
      <c r="M249" s="131"/>
      <c r="N249" s="131"/>
      <c r="O249" s="131"/>
      <c r="P249" s="131"/>
      <c r="Q249" s="131"/>
      <c r="R249" s="131"/>
      <c r="S249" s="131"/>
      <c r="T249" s="131"/>
      <c r="U249" s="131"/>
      <c r="V249" s="131"/>
      <c r="W249" s="131"/>
      <c r="X249" s="131"/>
      <c r="Y249" s="131"/>
    </row>
    <row r="250">
      <c r="A250" s="131"/>
      <c r="B250" s="131"/>
      <c r="C250" s="131"/>
      <c r="D250" s="81"/>
      <c r="E250" s="81"/>
      <c r="F250" s="131"/>
      <c r="G250" s="131"/>
      <c r="H250" s="131"/>
      <c r="I250" s="131"/>
      <c r="J250" s="131"/>
      <c r="K250" s="131"/>
      <c r="L250" s="131"/>
      <c r="M250" s="131"/>
      <c r="N250" s="131"/>
      <c r="O250" s="131"/>
      <c r="P250" s="131"/>
      <c r="Q250" s="131"/>
      <c r="R250" s="131"/>
      <c r="S250" s="131"/>
      <c r="T250" s="131"/>
      <c r="U250" s="131"/>
      <c r="V250" s="131"/>
      <c r="W250" s="131"/>
      <c r="X250" s="131"/>
      <c r="Y250" s="131"/>
    </row>
    <row r="251">
      <c r="A251" s="131"/>
      <c r="B251" s="131"/>
      <c r="C251" s="131"/>
      <c r="D251" s="81"/>
      <c r="E251" s="81"/>
      <c r="F251" s="131"/>
      <c r="G251" s="131"/>
      <c r="H251" s="131"/>
      <c r="I251" s="131"/>
      <c r="J251" s="131"/>
      <c r="K251" s="131"/>
      <c r="L251" s="131"/>
      <c r="M251" s="131"/>
      <c r="N251" s="131"/>
      <c r="O251" s="131"/>
      <c r="P251" s="131"/>
      <c r="Q251" s="131"/>
      <c r="R251" s="131"/>
      <c r="S251" s="131"/>
      <c r="T251" s="131"/>
      <c r="U251" s="131"/>
      <c r="V251" s="131"/>
      <c r="W251" s="131"/>
      <c r="X251" s="131"/>
      <c r="Y251" s="131"/>
    </row>
    <row r="252">
      <c r="A252" s="131"/>
      <c r="B252" s="131"/>
      <c r="C252" s="131"/>
      <c r="D252" s="81"/>
      <c r="E252" s="81"/>
      <c r="F252" s="131"/>
      <c r="G252" s="131"/>
      <c r="H252" s="131"/>
      <c r="I252" s="131"/>
      <c r="J252" s="131"/>
      <c r="K252" s="131"/>
      <c r="L252" s="131"/>
      <c r="M252" s="131"/>
      <c r="N252" s="131"/>
      <c r="O252" s="131"/>
      <c r="P252" s="131"/>
      <c r="Q252" s="131"/>
      <c r="R252" s="131"/>
      <c r="S252" s="131"/>
      <c r="T252" s="131"/>
      <c r="U252" s="131"/>
      <c r="V252" s="131"/>
      <c r="W252" s="131"/>
      <c r="X252" s="131"/>
      <c r="Y252" s="131"/>
    </row>
    <row r="253">
      <c r="A253" s="131"/>
      <c r="B253" s="131"/>
      <c r="C253" s="131"/>
      <c r="D253" s="81"/>
      <c r="E253" s="81"/>
      <c r="F253" s="131"/>
      <c r="G253" s="131"/>
      <c r="H253" s="131"/>
      <c r="I253" s="131"/>
      <c r="J253" s="131"/>
      <c r="K253" s="131"/>
      <c r="L253" s="131"/>
      <c r="M253" s="131"/>
      <c r="N253" s="131"/>
      <c r="O253" s="131"/>
      <c r="P253" s="131"/>
      <c r="Q253" s="131"/>
      <c r="R253" s="131"/>
      <c r="S253" s="131"/>
      <c r="T253" s="131"/>
      <c r="U253" s="131"/>
      <c r="V253" s="131"/>
      <c r="W253" s="131"/>
      <c r="X253" s="131"/>
      <c r="Y253" s="131"/>
    </row>
    <row r="254">
      <c r="A254" s="131"/>
      <c r="B254" s="131"/>
      <c r="C254" s="131"/>
      <c r="D254" s="81"/>
      <c r="E254" s="81"/>
      <c r="F254" s="131"/>
      <c r="G254" s="131"/>
      <c r="H254" s="131"/>
      <c r="I254" s="131"/>
      <c r="J254" s="131"/>
      <c r="K254" s="131"/>
      <c r="L254" s="131"/>
      <c r="M254" s="131"/>
      <c r="N254" s="131"/>
      <c r="O254" s="131"/>
      <c r="P254" s="131"/>
      <c r="Q254" s="131"/>
      <c r="R254" s="131"/>
      <c r="S254" s="131"/>
      <c r="T254" s="131"/>
      <c r="U254" s="131"/>
      <c r="V254" s="131"/>
      <c r="W254" s="131"/>
      <c r="X254" s="131"/>
      <c r="Y254" s="131"/>
    </row>
    <row r="255">
      <c r="A255" s="131"/>
      <c r="B255" s="131"/>
      <c r="C255" s="131"/>
      <c r="D255" s="81"/>
      <c r="E255" s="81"/>
      <c r="F255" s="131"/>
      <c r="G255" s="131"/>
      <c r="H255" s="131"/>
      <c r="I255" s="131"/>
      <c r="J255" s="131"/>
      <c r="K255" s="131"/>
      <c r="L255" s="131"/>
      <c r="M255" s="131"/>
      <c r="N255" s="131"/>
      <c r="O255" s="131"/>
      <c r="P255" s="131"/>
      <c r="Q255" s="131"/>
      <c r="R255" s="131"/>
      <c r="S255" s="131"/>
      <c r="T255" s="131"/>
      <c r="U255" s="131"/>
      <c r="V255" s="131"/>
      <c r="W255" s="131"/>
      <c r="X255" s="131"/>
      <c r="Y255" s="131"/>
    </row>
    <row r="256">
      <c r="A256" s="131"/>
      <c r="B256" s="131"/>
      <c r="C256" s="131"/>
      <c r="D256" s="81"/>
      <c r="E256" s="81"/>
      <c r="F256" s="131"/>
      <c r="G256" s="131"/>
      <c r="H256" s="131"/>
      <c r="I256" s="131"/>
      <c r="J256" s="131"/>
      <c r="K256" s="131"/>
      <c r="L256" s="131"/>
      <c r="M256" s="131"/>
      <c r="N256" s="131"/>
      <c r="O256" s="131"/>
      <c r="P256" s="131"/>
      <c r="Q256" s="131"/>
      <c r="R256" s="131"/>
      <c r="S256" s="131"/>
      <c r="T256" s="131"/>
      <c r="U256" s="131"/>
      <c r="V256" s="131"/>
      <c r="W256" s="131"/>
      <c r="X256" s="131"/>
      <c r="Y256" s="131"/>
    </row>
    <row r="257">
      <c r="A257" s="131"/>
      <c r="B257" s="131"/>
      <c r="C257" s="131"/>
      <c r="D257" s="81"/>
      <c r="E257" s="81"/>
      <c r="F257" s="131"/>
      <c r="G257" s="131"/>
      <c r="H257" s="131"/>
      <c r="I257" s="131"/>
      <c r="J257" s="131"/>
      <c r="K257" s="131"/>
      <c r="L257" s="131"/>
      <c r="M257" s="131"/>
      <c r="N257" s="131"/>
      <c r="O257" s="131"/>
      <c r="P257" s="131"/>
      <c r="Q257" s="131"/>
      <c r="R257" s="131"/>
      <c r="S257" s="131"/>
      <c r="T257" s="131"/>
      <c r="U257" s="131"/>
      <c r="V257" s="131"/>
      <c r="W257" s="131"/>
      <c r="X257" s="131"/>
      <c r="Y257" s="131"/>
    </row>
    <row r="258">
      <c r="A258" s="131"/>
      <c r="B258" s="131"/>
      <c r="C258" s="131"/>
      <c r="D258" s="81"/>
      <c r="E258" s="81"/>
      <c r="F258" s="131"/>
      <c r="G258" s="131"/>
      <c r="H258" s="131"/>
      <c r="I258" s="131"/>
      <c r="J258" s="131"/>
      <c r="K258" s="131"/>
      <c r="L258" s="131"/>
      <c r="M258" s="131"/>
      <c r="N258" s="131"/>
      <c r="O258" s="131"/>
      <c r="P258" s="131"/>
      <c r="Q258" s="131"/>
      <c r="R258" s="131"/>
      <c r="S258" s="131"/>
      <c r="T258" s="131"/>
      <c r="U258" s="131"/>
      <c r="V258" s="131"/>
      <c r="W258" s="131"/>
      <c r="X258" s="131"/>
      <c r="Y258" s="131"/>
    </row>
    <row r="259">
      <c r="A259" s="131"/>
      <c r="B259" s="131"/>
      <c r="C259" s="131"/>
      <c r="D259" s="81"/>
      <c r="E259" s="81"/>
      <c r="F259" s="131"/>
      <c r="G259" s="131"/>
      <c r="H259" s="131"/>
      <c r="I259" s="131"/>
      <c r="J259" s="131"/>
      <c r="K259" s="131"/>
      <c r="L259" s="131"/>
      <c r="M259" s="131"/>
      <c r="N259" s="131"/>
      <c r="O259" s="131"/>
      <c r="P259" s="131"/>
      <c r="Q259" s="131"/>
      <c r="R259" s="131"/>
      <c r="S259" s="131"/>
      <c r="T259" s="131"/>
      <c r="U259" s="131"/>
      <c r="V259" s="131"/>
      <c r="W259" s="131"/>
      <c r="X259" s="131"/>
      <c r="Y259" s="131"/>
    </row>
    <row r="260">
      <c r="A260" s="131"/>
      <c r="B260" s="131"/>
      <c r="C260" s="131"/>
      <c r="D260" s="81"/>
      <c r="E260" s="81"/>
      <c r="F260" s="131"/>
      <c r="G260" s="131"/>
      <c r="H260" s="131"/>
      <c r="I260" s="131"/>
      <c r="J260" s="131"/>
      <c r="K260" s="131"/>
      <c r="L260" s="131"/>
      <c r="M260" s="131"/>
      <c r="N260" s="131"/>
      <c r="O260" s="131"/>
      <c r="P260" s="131"/>
      <c r="Q260" s="131"/>
      <c r="R260" s="131"/>
      <c r="S260" s="131"/>
      <c r="T260" s="131"/>
      <c r="U260" s="131"/>
      <c r="V260" s="131"/>
      <c r="W260" s="131"/>
      <c r="X260" s="131"/>
      <c r="Y260" s="131"/>
    </row>
    <row r="261">
      <c r="A261" s="131"/>
      <c r="B261" s="131"/>
      <c r="C261" s="131"/>
      <c r="D261" s="81"/>
      <c r="E261" s="81"/>
      <c r="F261" s="131"/>
      <c r="G261" s="131"/>
      <c r="H261" s="131"/>
      <c r="I261" s="131"/>
      <c r="J261" s="131"/>
      <c r="K261" s="131"/>
      <c r="L261" s="131"/>
      <c r="M261" s="131"/>
      <c r="N261" s="131"/>
      <c r="O261" s="131"/>
      <c r="P261" s="131"/>
      <c r="Q261" s="131"/>
      <c r="R261" s="131"/>
      <c r="S261" s="131"/>
      <c r="T261" s="131"/>
      <c r="U261" s="131"/>
      <c r="V261" s="131"/>
      <c r="W261" s="131"/>
      <c r="X261" s="131"/>
      <c r="Y261" s="131"/>
    </row>
    <row r="262">
      <c r="A262" s="131"/>
      <c r="B262" s="131"/>
      <c r="C262" s="131"/>
      <c r="D262" s="81"/>
      <c r="E262" s="81"/>
      <c r="F262" s="131"/>
      <c r="G262" s="131"/>
      <c r="H262" s="131"/>
      <c r="I262" s="131"/>
      <c r="J262" s="131"/>
      <c r="K262" s="131"/>
      <c r="L262" s="131"/>
      <c r="M262" s="131"/>
      <c r="N262" s="131"/>
      <c r="O262" s="131"/>
      <c r="P262" s="131"/>
      <c r="Q262" s="131"/>
      <c r="R262" s="131"/>
      <c r="S262" s="131"/>
      <c r="T262" s="131"/>
      <c r="U262" s="131"/>
      <c r="V262" s="131"/>
      <c r="W262" s="131"/>
      <c r="X262" s="131"/>
      <c r="Y262" s="131"/>
    </row>
    <row r="263">
      <c r="A263" s="131"/>
      <c r="B263" s="131"/>
      <c r="C263" s="131"/>
      <c r="D263" s="81"/>
      <c r="E263" s="81"/>
      <c r="F263" s="131"/>
      <c r="G263" s="131"/>
      <c r="H263" s="131"/>
      <c r="I263" s="131"/>
      <c r="J263" s="131"/>
      <c r="K263" s="131"/>
      <c r="L263" s="131"/>
      <c r="M263" s="131"/>
      <c r="N263" s="131"/>
      <c r="O263" s="131"/>
      <c r="P263" s="131"/>
      <c r="Q263" s="131"/>
      <c r="R263" s="131"/>
      <c r="S263" s="131"/>
      <c r="T263" s="131"/>
      <c r="U263" s="131"/>
      <c r="V263" s="131"/>
      <c r="W263" s="131"/>
      <c r="X263" s="131"/>
      <c r="Y263" s="131"/>
    </row>
    <row r="264">
      <c r="A264" s="131"/>
      <c r="B264" s="131"/>
      <c r="C264" s="131"/>
      <c r="D264" s="81"/>
      <c r="E264" s="81"/>
      <c r="F264" s="131"/>
      <c r="G264" s="131"/>
      <c r="H264" s="131"/>
      <c r="I264" s="131"/>
      <c r="J264" s="131"/>
      <c r="K264" s="131"/>
      <c r="L264" s="131"/>
      <c r="M264" s="131"/>
      <c r="N264" s="131"/>
      <c r="O264" s="131"/>
      <c r="P264" s="131"/>
      <c r="Q264" s="131"/>
      <c r="R264" s="131"/>
      <c r="S264" s="131"/>
      <c r="T264" s="131"/>
      <c r="U264" s="131"/>
      <c r="V264" s="131"/>
      <c r="W264" s="131"/>
      <c r="X264" s="131"/>
      <c r="Y264" s="131"/>
    </row>
    <row r="265">
      <c r="A265" s="131"/>
      <c r="B265" s="131"/>
      <c r="C265" s="131"/>
      <c r="D265" s="81"/>
      <c r="E265" s="81"/>
      <c r="F265" s="131"/>
      <c r="G265" s="131"/>
      <c r="H265" s="131"/>
      <c r="I265" s="131"/>
      <c r="J265" s="131"/>
      <c r="K265" s="131"/>
      <c r="L265" s="131"/>
      <c r="M265" s="131"/>
      <c r="N265" s="131"/>
      <c r="O265" s="131"/>
      <c r="P265" s="131"/>
      <c r="Q265" s="131"/>
      <c r="R265" s="131"/>
      <c r="S265" s="131"/>
      <c r="T265" s="131"/>
      <c r="U265" s="131"/>
      <c r="V265" s="131"/>
      <c r="W265" s="131"/>
      <c r="X265" s="131"/>
      <c r="Y265" s="131"/>
    </row>
    <row r="266">
      <c r="A266" s="131"/>
      <c r="B266" s="131"/>
      <c r="C266" s="131"/>
      <c r="D266" s="81"/>
      <c r="E266" s="81"/>
      <c r="F266" s="131"/>
      <c r="G266" s="131"/>
      <c r="H266" s="131"/>
      <c r="I266" s="131"/>
      <c r="J266" s="131"/>
      <c r="K266" s="131"/>
      <c r="L266" s="131"/>
      <c r="M266" s="131"/>
      <c r="N266" s="131"/>
      <c r="O266" s="131"/>
      <c r="P266" s="131"/>
      <c r="Q266" s="131"/>
      <c r="R266" s="131"/>
      <c r="S266" s="131"/>
      <c r="T266" s="131"/>
      <c r="U266" s="131"/>
      <c r="V266" s="131"/>
      <c r="W266" s="131"/>
      <c r="X266" s="131"/>
      <c r="Y266" s="131"/>
    </row>
    <row r="267">
      <c r="A267" s="131"/>
      <c r="B267" s="131"/>
      <c r="C267" s="131"/>
      <c r="D267" s="81"/>
      <c r="E267" s="81"/>
      <c r="F267" s="131"/>
      <c r="G267" s="131"/>
      <c r="H267" s="131"/>
      <c r="I267" s="131"/>
      <c r="J267" s="131"/>
      <c r="K267" s="131"/>
      <c r="L267" s="131"/>
      <c r="M267" s="131"/>
      <c r="N267" s="131"/>
      <c r="O267" s="131"/>
      <c r="P267" s="131"/>
      <c r="Q267" s="131"/>
      <c r="R267" s="131"/>
      <c r="S267" s="131"/>
      <c r="T267" s="131"/>
      <c r="U267" s="131"/>
      <c r="V267" s="131"/>
      <c r="W267" s="131"/>
      <c r="X267" s="131"/>
      <c r="Y267" s="131"/>
    </row>
    <row r="268">
      <c r="A268" s="131"/>
      <c r="B268" s="131"/>
      <c r="C268" s="131"/>
      <c r="D268" s="81"/>
      <c r="E268" s="81"/>
      <c r="F268" s="131"/>
      <c r="G268" s="131"/>
      <c r="H268" s="131"/>
      <c r="I268" s="131"/>
      <c r="J268" s="131"/>
      <c r="K268" s="131"/>
      <c r="L268" s="131"/>
      <c r="M268" s="131"/>
      <c r="N268" s="131"/>
      <c r="O268" s="131"/>
      <c r="P268" s="131"/>
      <c r="Q268" s="131"/>
      <c r="R268" s="131"/>
      <c r="S268" s="131"/>
      <c r="T268" s="131"/>
      <c r="U268" s="131"/>
      <c r="V268" s="131"/>
      <c r="W268" s="131"/>
      <c r="X268" s="131"/>
      <c r="Y268" s="131"/>
    </row>
    <row r="269">
      <c r="A269" s="131"/>
      <c r="B269" s="131"/>
      <c r="C269" s="131"/>
      <c r="D269" s="81"/>
      <c r="E269" s="81"/>
      <c r="F269" s="131"/>
      <c r="G269" s="131"/>
      <c r="H269" s="131"/>
      <c r="I269" s="131"/>
      <c r="J269" s="131"/>
      <c r="K269" s="131"/>
      <c r="L269" s="131"/>
      <c r="M269" s="131"/>
      <c r="N269" s="131"/>
      <c r="O269" s="131"/>
      <c r="P269" s="131"/>
      <c r="Q269" s="131"/>
      <c r="R269" s="131"/>
      <c r="S269" s="131"/>
      <c r="T269" s="131"/>
      <c r="U269" s="131"/>
      <c r="V269" s="131"/>
      <c r="W269" s="131"/>
      <c r="X269" s="131"/>
      <c r="Y269" s="131"/>
    </row>
    <row r="270">
      <c r="A270" s="131"/>
      <c r="B270" s="131"/>
      <c r="C270" s="131"/>
      <c r="D270" s="81"/>
      <c r="E270" s="81"/>
      <c r="F270" s="131"/>
      <c r="G270" s="131"/>
      <c r="H270" s="131"/>
      <c r="I270" s="131"/>
      <c r="J270" s="131"/>
      <c r="K270" s="131"/>
      <c r="L270" s="131"/>
      <c r="M270" s="131"/>
      <c r="N270" s="131"/>
      <c r="O270" s="131"/>
      <c r="P270" s="131"/>
      <c r="Q270" s="131"/>
      <c r="R270" s="131"/>
      <c r="S270" s="131"/>
      <c r="T270" s="131"/>
      <c r="U270" s="131"/>
      <c r="V270" s="131"/>
      <c r="W270" s="131"/>
      <c r="X270" s="131"/>
      <c r="Y270" s="131"/>
    </row>
    <row r="271">
      <c r="A271" s="131"/>
      <c r="B271" s="131"/>
      <c r="C271" s="131"/>
      <c r="D271" s="81"/>
      <c r="E271" s="81"/>
      <c r="F271" s="131"/>
      <c r="G271" s="131"/>
      <c r="H271" s="131"/>
      <c r="I271" s="131"/>
      <c r="J271" s="131"/>
      <c r="K271" s="131"/>
      <c r="L271" s="131"/>
      <c r="M271" s="131"/>
      <c r="N271" s="131"/>
      <c r="O271" s="131"/>
      <c r="P271" s="131"/>
      <c r="Q271" s="131"/>
      <c r="R271" s="131"/>
      <c r="S271" s="131"/>
      <c r="T271" s="131"/>
      <c r="U271" s="131"/>
      <c r="V271" s="131"/>
      <c r="W271" s="131"/>
      <c r="X271" s="131"/>
      <c r="Y271" s="131"/>
    </row>
    <row r="272">
      <c r="A272" s="131"/>
      <c r="B272" s="131"/>
      <c r="C272" s="131"/>
      <c r="D272" s="81"/>
      <c r="E272" s="81"/>
      <c r="F272" s="131"/>
      <c r="G272" s="131"/>
      <c r="H272" s="131"/>
      <c r="I272" s="131"/>
      <c r="J272" s="131"/>
      <c r="K272" s="131"/>
      <c r="L272" s="131"/>
      <c r="M272" s="131"/>
      <c r="N272" s="131"/>
      <c r="O272" s="131"/>
      <c r="P272" s="131"/>
      <c r="Q272" s="131"/>
      <c r="R272" s="131"/>
      <c r="S272" s="131"/>
      <c r="T272" s="131"/>
      <c r="U272" s="131"/>
      <c r="V272" s="131"/>
      <c r="W272" s="131"/>
      <c r="X272" s="131"/>
      <c r="Y272" s="131"/>
    </row>
    <row r="273">
      <c r="A273" s="131"/>
      <c r="B273" s="131"/>
      <c r="C273" s="131"/>
      <c r="D273" s="81"/>
      <c r="E273" s="81"/>
      <c r="F273" s="131"/>
      <c r="G273" s="131"/>
      <c r="H273" s="131"/>
      <c r="I273" s="131"/>
      <c r="J273" s="131"/>
      <c r="K273" s="131"/>
      <c r="L273" s="131"/>
      <c r="M273" s="131"/>
      <c r="N273" s="131"/>
      <c r="O273" s="131"/>
      <c r="P273" s="131"/>
      <c r="Q273" s="131"/>
      <c r="R273" s="131"/>
      <c r="S273" s="131"/>
      <c r="T273" s="131"/>
      <c r="U273" s="131"/>
      <c r="V273" s="131"/>
      <c r="W273" s="131"/>
      <c r="X273" s="131"/>
      <c r="Y273" s="131"/>
    </row>
    <row r="274">
      <c r="A274" s="131"/>
      <c r="B274" s="131"/>
      <c r="C274" s="131"/>
      <c r="D274" s="81"/>
      <c r="E274" s="81"/>
      <c r="F274" s="131"/>
      <c r="G274" s="131"/>
      <c r="H274" s="131"/>
      <c r="I274" s="131"/>
      <c r="J274" s="131"/>
      <c r="K274" s="131"/>
      <c r="L274" s="131"/>
      <c r="M274" s="131"/>
      <c r="N274" s="131"/>
      <c r="O274" s="131"/>
      <c r="P274" s="131"/>
      <c r="Q274" s="131"/>
      <c r="R274" s="131"/>
      <c r="S274" s="131"/>
      <c r="T274" s="131"/>
      <c r="U274" s="131"/>
      <c r="V274" s="131"/>
      <c r="W274" s="131"/>
      <c r="X274" s="131"/>
      <c r="Y274" s="131"/>
    </row>
    <row r="275">
      <c r="A275" s="131"/>
      <c r="B275" s="131"/>
      <c r="C275" s="131"/>
      <c r="D275" s="81"/>
      <c r="E275" s="81"/>
      <c r="F275" s="131"/>
      <c r="G275" s="131"/>
      <c r="H275" s="131"/>
      <c r="I275" s="131"/>
      <c r="J275" s="131"/>
      <c r="K275" s="131"/>
      <c r="L275" s="131"/>
      <c r="M275" s="131"/>
      <c r="N275" s="131"/>
      <c r="O275" s="131"/>
      <c r="P275" s="131"/>
      <c r="Q275" s="131"/>
      <c r="R275" s="131"/>
      <c r="S275" s="131"/>
      <c r="T275" s="131"/>
      <c r="U275" s="131"/>
      <c r="V275" s="131"/>
      <c r="W275" s="131"/>
      <c r="X275" s="131"/>
      <c r="Y275" s="131"/>
    </row>
    <row r="276">
      <c r="A276" s="131"/>
      <c r="B276" s="131"/>
      <c r="C276" s="131"/>
      <c r="D276" s="81"/>
      <c r="E276" s="81"/>
      <c r="F276" s="131"/>
      <c r="G276" s="131"/>
      <c r="H276" s="131"/>
      <c r="I276" s="131"/>
      <c r="J276" s="131"/>
      <c r="K276" s="131"/>
      <c r="L276" s="131"/>
      <c r="M276" s="131"/>
      <c r="N276" s="131"/>
      <c r="O276" s="131"/>
      <c r="P276" s="131"/>
      <c r="Q276" s="131"/>
      <c r="R276" s="131"/>
      <c r="S276" s="131"/>
      <c r="T276" s="131"/>
      <c r="U276" s="131"/>
      <c r="V276" s="131"/>
      <c r="W276" s="131"/>
      <c r="X276" s="131"/>
      <c r="Y276" s="131"/>
    </row>
    <row r="277">
      <c r="A277" s="131"/>
      <c r="B277" s="131"/>
      <c r="C277" s="131"/>
      <c r="D277" s="81"/>
      <c r="E277" s="81"/>
      <c r="F277" s="131"/>
      <c r="G277" s="131"/>
      <c r="H277" s="131"/>
      <c r="I277" s="131"/>
      <c r="J277" s="131"/>
      <c r="K277" s="131"/>
      <c r="L277" s="131"/>
      <c r="M277" s="131"/>
      <c r="N277" s="131"/>
      <c r="O277" s="131"/>
      <c r="P277" s="131"/>
      <c r="Q277" s="131"/>
      <c r="R277" s="131"/>
      <c r="S277" s="131"/>
      <c r="T277" s="131"/>
      <c r="U277" s="131"/>
      <c r="V277" s="131"/>
      <c r="W277" s="131"/>
      <c r="X277" s="131"/>
      <c r="Y277" s="131"/>
    </row>
    <row r="278">
      <c r="A278" s="131"/>
      <c r="B278" s="131"/>
      <c r="C278" s="131"/>
      <c r="D278" s="81"/>
      <c r="E278" s="81"/>
      <c r="F278" s="131"/>
      <c r="G278" s="131"/>
      <c r="H278" s="131"/>
      <c r="I278" s="131"/>
      <c r="J278" s="131"/>
      <c r="K278" s="131"/>
      <c r="L278" s="131"/>
      <c r="M278" s="131"/>
      <c r="N278" s="131"/>
      <c r="O278" s="131"/>
      <c r="P278" s="131"/>
      <c r="Q278" s="131"/>
      <c r="R278" s="131"/>
      <c r="S278" s="131"/>
      <c r="T278" s="131"/>
      <c r="U278" s="131"/>
      <c r="V278" s="131"/>
      <c r="W278" s="131"/>
      <c r="X278" s="131"/>
      <c r="Y278" s="131"/>
    </row>
    <row r="279">
      <c r="A279" s="131"/>
      <c r="B279" s="131"/>
      <c r="C279" s="131"/>
      <c r="D279" s="81"/>
      <c r="E279" s="81"/>
      <c r="F279" s="131"/>
      <c r="G279" s="131"/>
      <c r="H279" s="131"/>
      <c r="I279" s="131"/>
      <c r="J279" s="131"/>
      <c r="K279" s="131"/>
      <c r="L279" s="131"/>
      <c r="M279" s="131"/>
      <c r="N279" s="131"/>
      <c r="O279" s="131"/>
      <c r="P279" s="131"/>
      <c r="Q279" s="131"/>
      <c r="R279" s="131"/>
      <c r="S279" s="131"/>
      <c r="T279" s="131"/>
      <c r="U279" s="131"/>
      <c r="V279" s="131"/>
      <c r="W279" s="131"/>
      <c r="X279" s="131"/>
      <c r="Y279" s="131"/>
    </row>
    <row r="280">
      <c r="A280" s="131"/>
      <c r="B280" s="131"/>
      <c r="C280" s="131"/>
      <c r="D280" s="81"/>
      <c r="E280" s="81"/>
      <c r="F280" s="131"/>
      <c r="G280" s="131"/>
      <c r="H280" s="131"/>
      <c r="I280" s="131"/>
      <c r="J280" s="131"/>
      <c r="K280" s="131"/>
      <c r="L280" s="131"/>
      <c r="M280" s="131"/>
      <c r="N280" s="131"/>
      <c r="O280" s="131"/>
      <c r="P280" s="131"/>
      <c r="Q280" s="131"/>
      <c r="R280" s="131"/>
      <c r="S280" s="131"/>
      <c r="T280" s="131"/>
      <c r="U280" s="131"/>
      <c r="V280" s="131"/>
      <c r="W280" s="131"/>
      <c r="X280" s="131"/>
      <c r="Y280" s="131"/>
    </row>
    <row r="281">
      <c r="A281" s="131"/>
      <c r="B281" s="131"/>
      <c r="C281" s="131"/>
      <c r="D281" s="81"/>
      <c r="E281" s="81"/>
      <c r="F281" s="131"/>
      <c r="G281" s="131"/>
      <c r="H281" s="131"/>
      <c r="I281" s="131"/>
      <c r="J281" s="131"/>
      <c r="K281" s="131"/>
      <c r="L281" s="131"/>
      <c r="M281" s="131"/>
      <c r="N281" s="131"/>
      <c r="O281" s="131"/>
      <c r="P281" s="131"/>
      <c r="Q281" s="131"/>
      <c r="R281" s="131"/>
      <c r="S281" s="131"/>
      <c r="T281" s="131"/>
      <c r="U281" s="131"/>
      <c r="V281" s="131"/>
      <c r="W281" s="131"/>
      <c r="X281" s="131"/>
      <c r="Y281" s="131"/>
    </row>
    <row r="282">
      <c r="A282" s="131"/>
      <c r="B282" s="131"/>
      <c r="C282" s="131"/>
      <c r="D282" s="81"/>
      <c r="E282" s="81"/>
      <c r="F282" s="131"/>
      <c r="G282" s="131"/>
      <c r="H282" s="131"/>
      <c r="I282" s="131"/>
      <c r="J282" s="131"/>
      <c r="K282" s="131"/>
      <c r="L282" s="131"/>
      <c r="M282" s="131"/>
      <c r="N282" s="131"/>
      <c r="O282" s="131"/>
      <c r="P282" s="131"/>
      <c r="Q282" s="131"/>
      <c r="R282" s="131"/>
      <c r="S282" s="131"/>
      <c r="T282" s="131"/>
      <c r="U282" s="131"/>
      <c r="V282" s="131"/>
      <c r="W282" s="131"/>
      <c r="X282" s="131"/>
      <c r="Y282" s="131"/>
    </row>
    <row r="283">
      <c r="A283" s="131"/>
      <c r="B283" s="131"/>
      <c r="C283" s="131"/>
      <c r="D283" s="81"/>
      <c r="E283" s="81"/>
      <c r="F283" s="131"/>
      <c r="G283" s="131"/>
      <c r="H283" s="131"/>
      <c r="I283" s="131"/>
      <c r="J283" s="131"/>
      <c r="K283" s="131"/>
      <c r="L283" s="131"/>
      <c r="M283" s="131"/>
      <c r="N283" s="131"/>
      <c r="O283" s="131"/>
      <c r="P283" s="131"/>
      <c r="Q283" s="131"/>
      <c r="R283" s="131"/>
      <c r="S283" s="131"/>
      <c r="T283" s="131"/>
      <c r="U283" s="131"/>
      <c r="V283" s="131"/>
      <c r="W283" s="131"/>
      <c r="X283" s="131"/>
      <c r="Y283" s="131"/>
    </row>
    <row r="284">
      <c r="A284" s="131"/>
      <c r="B284" s="131"/>
      <c r="C284" s="131"/>
      <c r="D284" s="81"/>
      <c r="E284" s="81"/>
      <c r="F284" s="131"/>
      <c r="G284" s="131"/>
      <c r="H284" s="131"/>
      <c r="I284" s="131"/>
      <c r="J284" s="131"/>
      <c r="K284" s="131"/>
      <c r="L284" s="131"/>
      <c r="M284" s="131"/>
      <c r="N284" s="131"/>
      <c r="O284" s="131"/>
      <c r="P284" s="131"/>
      <c r="Q284" s="131"/>
      <c r="R284" s="131"/>
      <c r="S284" s="131"/>
      <c r="T284" s="131"/>
      <c r="U284" s="131"/>
      <c r="V284" s="131"/>
      <c r="W284" s="131"/>
      <c r="X284" s="131"/>
      <c r="Y284" s="131"/>
    </row>
    <row r="285">
      <c r="A285" s="131"/>
      <c r="B285" s="131"/>
      <c r="C285" s="131"/>
      <c r="D285" s="81"/>
      <c r="E285" s="81"/>
      <c r="F285" s="131"/>
      <c r="G285" s="131"/>
      <c r="H285" s="131"/>
      <c r="I285" s="131"/>
      <c r="J285" s="131"/>
      <c r="K285" s="131"/>
      <c r="L285" s="131"/>
      <c r="M285" s="131"/>
      <c r="N285" s="131"/>
      <c r="O285" s="131"/>
      <c r="P285" s="131"/>
      <c r="Q285" s="131"/>
      <c r="R285" s="131"/>
      <c r="S285" s="131"/>
      <c r="T285" s="131"/>
      <c r="U285" s="131"/>
      <c r="V285" s="131"/>
      <c r="W285" s="131"/>
      <c r="X285" s="131"/>
      <c r="Y285" s="131"/>
    </row>
    <row r="286">
      <c r="A286" s="131"/>
      <c r="B286" s="131"/>
      <c r="C286" s="131"/>
      <c r="D286" s="81"/>
      <c r="E286" s="81"/>
      <c r="F286" s="131"/>
      <c r="G286" s="131"/>
      <c r="H286" s="131"/>
      <c r="I286" s="131"/>
      <c r="J286" s="131"/>
      <c r="K286" s="131"/>
      <c r="L286" s="131"/>
      <c r="M286" s="131"/>
      <c r="N286" s="131"/>
      <c r="O286" s="131"/>
      <c r="P286" s="131"/>
      <c r="Q286" s="131"/>
      <c r="R286" s="131"/>
      <c r="S286" s="131"/>
      <c r="T286" s="131"/>
      <c r="U286" s="131"/>
      <c r="V286" s="131"/>
      <c r="W286" s="131"/>
      <c r="X286" s="131"/>
      <c r="Y286" s="131"/>
    </row>
    <row r="287">
      <c r="A287" s="131"/>
      <c r="B287" s="131"/>
      <c r="C287" s="131"/>
      <c r="D287" s="81"/>
      <c r="E287" s="81"/>
      <c r="F287" s="131"/>
      <c r="G287" s="131"/>
      <c r="H287" s="131"/>
      <c r="I287" s="131"/>
      <c r="J287" s="131"/>
      <c r="K287" s="131"/>
      <c r="L287" s="131"/>
      <c r="M287" s="131"/>
      <c r="N287" s="131"/>
      <c r="O287" s="131"/>
      <c r="P287" s="131"/>
      <c r="Q287" s="131"/>
      <c r="R287" s="131"/>
      <c r="S287" s="131"/>
      <c r="T287" s="131"/>
      <c r="U287" s="131"/>
      <c r="V287" s="131"/>
      <c r="W287" s="131"/>
      <c r="X287" s="131"/>
      <c r="Y287" s="131"/>
    </row>
    <row r="288">
      <c r="A288" s="131"/>
      <c r="B288" s="131"/>
      <c r="C288" s="131"/>
      <c r="D288" s="81"/>
      <c r="E288" s="81"/>
      <c r="F288" s="131"/>
      <c r="G288" s="131"/>
      <c r="H288" s="131"/>
      <c r="I288" s="131"/>
      <c r="J288" s="131"/>
      <c r="K288" s="131"/>
      <c r="L288" s="131"/>
      <c r="M288" s="131"/>
      <c r="N288" s="131"/>
      <c r="O288" s="131"/>
      <c r="P288" s="131"/>
      <c r="Q288" s="131"/>
      <c r="R288" s="131"/>
      <c r="S288" s="131"/>
      <c r="T288" s="131"/>
      <c r="U288" s="131"/>
      <c r="V288" s="131"/>
      <c r="W288" s="131"/>
      <c r="X288" s="131"/>
      <c r="Y288" s="131"/>
    </row>
    <row r="289">
      <c r="A289" s="131"/>
      <c r="B289" s="131"/>
      <c r="C289" s="131"/>
      <c r="D289" s="81"/>
      <c r="E289" s="81"/>
      <c r="F289" s="131"/>
      <c r="G289" s="131"/>
      <c r="H289" s="131"/>
      <c r="I289" s="131"/>
      <c r="J289" s="131"/>
      <c r="K289" s="131"/>
      <c r="L289" s="131"/>
      <c r="M289" s="131"/>
      <c r="N289" s="131"/>
      <c r="O289" s="131"/>
      <c r="P289" s="131"/>
      <c r="Q289" s="131"/>
      <c r="R289" s="131"/>
      <c r="S289" s="131"/>
      <c r="T289" s="131"/>
      <c r="U289" s="131"/>
      <c r="V289" s="131"/>
      <c r="W289" s="131"/>
      <c r="X289" s="131"/>
      <c r="Y289" s="131"/>
    </row>
    <row r="290">
      <c r="A290" s="131"/>
      <c r="B290" s="131"/>
      <c r="C290" s="131"/>
      <c r="D290" s="81"/>
      <c r="E290" s="81"/>
      <c r="F290" s="131"/>
      <c r="G290" s="131"/>
      <c r="H290" s="131"/>
      <c r="I290" s="131"/>
      <c r="J290" s="131"/>
      <c r="K290" s="131"/>
      <c r="L290" s="131"/>
      <c r="M290" s="131"/>
      <c r="N290" s="131"/>
      <c r="O290" s="131"/>
      <c r="P290" s="131"/>
      <c r="Q290" s="131"/>
      <c r="R290" s="131"/>
      <c r="S290" s="131"/>
      <c r="T290" s="131"/>
      <c r="U290" s="131"/>
      <c r="V290" s="131"/>
      <c r="W290" s="131"/>
      <c r="X290" s="131"/>
      <c r="Y290" s="131"/>
    </row>
    <row r="291">
      <c r="A291" s="131"/>
      <c r="B291" s="131"/>
      <c r="C291" s="131"/>
      <c r="D291" s="81"/>
      <c r="E291" s="81"/>
      <c r="F291" s="131"/>
      <c r="G291" s="131"/>
      <c r="H291" s="131"/>
      <c r="I291" s="131"/>
      <c r="J291" s="131"/>
      <c r="K291" s="131"/>
      <c r="L291" s="131"/>
      <c r="M291" s="131"/>
      <c r="N291" s="131"/>
      <c r="O291" s="131"/>
      <c r="P291" s="131"/>
      <c r="Q291" s="131"/>
      <c r="R291" s="131"/>
      <c r="S291" s="131"/>
      <c r="T291" s="131"/>
      <c r="U291" s="131"/>
      <c r="V291" s="131"/>
      <c r="W291" s="131"/>
      <c r="X291" s="131"/>
      <c r="Y291" s="131"/>
    </row>
    <row r="292">
      <c r="A292" s="131"/>
      <c r="B292" s="131"/>
      <c r="C292" s="131"/>
      <c r="D292" s="81"/>
      <c r="E292" s="81"/>
      <c r="F292" s="131"/>
      <c r="G292" s="131"/>
      <c r="H292" s="131"/>
      <c r="I292" s="131"/>
      <c r="J292" s="131"/>
      <c r="K292" s="131"/>
      <c r="L292" s="131"/>
      <c r="M292" s="131"/>
      <c r="N292" s="131"/>
      <c r="O292" s="131"/>
      <c r="P292" s="131"/>
      <c r="Q292" s="131"/>
      <c r="R292" s="131"/>
      <c r="S292" s="131"/>
      <c r="T292" s="131"/>
      <c r="U292" s="131"/>
      <c r="V292" s="131"/>
      <c r="W292" s="131"/>
      <c r="X292" s="131"/>
      <c r="Y292" s="131"/>
    </row>
    <row r="293">
      <c r="A293" s="131"/>
      <c r="B293" s="131"/>
      <c r="C293" s="131"/>
      <c r="D293" s="81"/>
      <c r="E293" s="81"/>
      <c r="F293" s="131"/>
      <c r="G293" s="131"/>
      <c r="H293" s="131"/>
      <c r="I293" s="131"/>
      <c r="J293" s="131"/>
      <c r="K293" s="131"/>
      <c r="L293" s="131"/>
      <c r="M293" s="131"/>
      <c r="N293" s="131"/>
      <c r="O293" s="131"/>
      <c r="P293" s="131"/>
      <c r="Q293" s="131"/>
      <c r="R293" s="131"/>
      <c r="S293" s="131"/>
      <c r="T293" s="131"/>
      <c r="U293" s="131"/>
      <c r="V293" s="131"/>
      <c r="W293" s="131"/>
      <c r="X293" s="131"/>
      <c r="Y293" s="131"/>
    </row>
    <row r="294">
      <c r="A294" s="131"/>
      <c r="B294" s="131"/>
      <c r="C294" s="131"/>
      <c r="D294" s="81"/>
      <c r="E294" s="81"/>
      <c r="F294" s="131"/>
      <c r="G294" s="131"/>
      <c r="H294" s="131"/>
      <c r="I294" s="131"/>
      <c r="J294" s="131"/>
      <c r="K294" s="131"/>
      <c r="L294" s="131"/>
      <c r="M294" s="131"/>
      <c r="N294" s="131"/>
      <c r="O294" s="131"/>
      <c r="P294" s="131"/>
      <c r="Q294" s="131"/>
      <c r="R294" s="131"/>
      <c r="S294" s="131"/>
      <c r="T294" s="131"/>
      <c r="U294" s="131"/>
      <c r="V294" s="131"/>
      <c r="W294" s="131"/>
      <c r="X294" s="131"/>
      <c r="Y294" s="131"/>
    </row>
    <row r="295">
      <c r="A295" s="131"/>
      <c r="B295" s="131"/>
      <c r="C295" s="131"/>
      <c r="D295" s="81"/>
      <c r="E295" s="81"/>
      <c r="F295" s="131"/>
      <c r="G295" s="131"/>
      <c r="H295" s="131"/>
      <c r="I295" s="131"/>
      <c r="J295" s="131"/>
      <c r="K295" s="131"/>
      <c r="L295" s="131"/>
      <c r="M295" s="131"/>
      <c r="N295" s="131"/>
      <c r="O295" s="131"/>
      <c r="P295" s="131"/>
      <c r="Q295" s="131"/>
      <c r="R295" s="131"/>
      <c r="S295" s="131"/>
      <c r="T295" s="131"/>
      <c r="U295" s="131"/>
      <c r="V295" s="131"/>
      <c r="W295" s="131"/>
      <c r="X295" s="131"/>
      <c r="Y295" s="131"/>
    </row>
    <row r="296">
      <c r="A296" s="131"/>
      <c r="B296" s="131"/>
      <c r="C296" s="131"/>
      <c r="D296" s="81"/>
      <c r="E296" s="81"/>
      <c r="F296" s="131"/>
      <c r="G296" s="131"/>
      <c r="H296" s="131"/>
      <c r="I296" s="131"/>
      <c r="J296" s="131"/>
      <c r="K296" s="131"/>
      <c r="L296" s="131"/>
      <c r="M296" s="131"/>
      <c r="N296" s="131"/>
      <c r="O296" s="131"/>
      <c r="P296" s="131"/>
      <c r="Q296" s="131"/>
      <c r="R296" s="131"/>
      <c r="S296" s="131"/>
      <c r="T296" s="131"/>
      <c r="U296" s="131"/>
      <c r="V296" s="131"/>
      <c r="W296" s="131"/>
      <c r="X296" s="131"/>
      <c r="Y296" s="131"/>
    </row>
    <row r="297">
      <c r="A297" s="131"/>
      <c r="B297" s="131"/>
      <c r="C297" s="131"/>
      <c r="D297" s="81"/>
      <c r="E297" s="81"/>
      <c r="F297" s="131"/>
      <c r="G297" s="131"/>
      <c r="H297" s="131"/>
      <c r="I297" s="131"/>
      <c r="J297" s="131"/>
      <c r="K297" s="131"/>
      <c r="L297" s="131"/>
      <c r="M297" s="131"/>
      <c r="N297" s="131"/>
      <c r="O297" s="131"/>
      <c r="P297" s="131"/>
      <c r="Q297" s="131"/>
      <c r="R297" s="131"/>
      <c r="S297" s="131"/>
      <c r="T297" s="131"/>
      <c r="U297" s="131"/>
      <c r="V297" s="131"/>
      <c r="W297" s="131"/>
      <c r="X297" s="131"/>
      <c r="Y297" s="131"/>
    </row>
    <row r="298">
      <c r="A298" s="131"/>
      <c r="B298" s="131"/>
      <c r="C298" s="131"/>
      <c r="D298" s="81"/>
      <c r="E298" s="81"/>
      <c r="F298" s="131"/>
      <c r="G298" s="131"/>
      <c r="H298" s="131"/>
      <c r="I298" s="131"/>
      <c r="J298" s="131"/>
      <c r="K298" s="131"/>
      <c r="L298" s="131"/>
      <c r="M298" s="131"/>
      <c r="N298" s="131"/>
      <c r="O298" s="131"/>
      <c r="P298" s="131"/>
      <c r="Q298" s="131"/>
      <c r="R298" s="131"/>
      <c r="S298" s="131"/>
      <c r="T298" s="131"/>
      <c r="U298" s="131"/>
      <c r="V298" s="131"/>
      <c r="W298" s="131"/>
      <c r="X298" s="131"/>
      <c r="Y298" s="131"/>
    </row>
    <row r="299">
      <c r="A299" s="131"/>
      <c r="B299" s="131"/>
      <c r="C299" s="131"/>
      <c r="D299" s="81"/>
      <c r="E299" s="81"/>
      <c r="F299" s="131"/>
      <c r="G299" s="131"/>
      <c r="H299" s="131"/>
      <c r="I299" s="131"/>
      <c r="J299" s="131"/>
      <c r="K299" s="131"/>
      <c r="L299" s="131"/>
      <c r="M299" s="131"/>
      <c r="N299" s="131"/>
      <c r="O299" s="131"/>
      <c r="P299" s="131"/>
      <c r="Q299" s="131"/>
      <c r="R299" s="131"/>
      <c r="S299" s="131"/>
      <c r="T299" s="131"/>
      <c r="U299" s="131"/>
      <c r="V299" s="131"/>
      <c r="W299" s="131"/>
      <c r="X299" s="131"/>
      <c r="Y299" s="131"/>
    </row>
    <row r="300">
      <c r="A300" s="131"/>
      <c r="B300" s="131"/>
      <c r="C300" s="131"/>
      <c r="D300" s="81"/>
      <c r="E300" s="81"/>
      <c r="F300" s="131"/>
      <c r="G300" s="131"/>
      <c r="H300" s="131"/>
      <c r="I300" s="131"/>
      <c r="J300" s="131"/>
      <c r="K300" s="131"/>
      <c r="L300" s="131"/>
      <c r="M300" s="131"/>
      <c r="N300" s="131"/>
      <c r="O300" s="131"/>
      <c r="P300" s="131"/>
      <c r="Q300" s="131"/>
      <c r="R300" s="131"/>
      <c r="S300" s="131"/>
      <c r="T300" s="131"/>
      <c r="U300" s="131"/>
      <c r="V300" s="131"/>
      <c r="W300" s="131"/>
      <c r="X300" s="131"/>
      <c r="Y300" s="131"/>
    </row>
    <row r="301">
      <c r="A301" s="131"/>
      <c r="B301" s="131"/>
      <c r="C301" s="131"/>
      <c r="D301" s="81"/>
      <c r="E301" s="81"/>
      <c r="F301" s="131"/>
      <c r="G301" s="131"/>
      <c r="H301" s="131"/>
      <c r="I301" s="131"/>
      <c r="J301" s="131"/>
      <c r="K301" s="131"/>
      <c r="L301" s="131"/>
      <c r="M301" s="131"/>
      <c r="N301" s="131"/>
      <c r="O301" s="131"/>
      <c r="P301" s="131"/>
      <c r="Q301" s="131"/>
      <c r="R301" s="131"/>
      <c r="S301" s="131"/>
      <c r="T301" s="131"/>
      <c r="U301" s="131"/>
      <c r="V301" s="131"/>
      <c r="W301" s="131"/>
      <c r="X301" s="131"/>
      <c r="Y301" s="131"/>
    </row>
    <row r="302">
      <c r="A302" s="131"/>
      <c r="B302" s="131"/>
      <c r="C302" s="131"/>
      <c r="D302" s="81"/>
      <c r="E302" s="81"/>
      <c r="F302" s="131"/>
      <c r="G302" s="131"/>
      <c r="H302" s="131"/>
      <c r="I302" s="131"/>
      <c r="J302" s="131"/>
      <c r="K302" s="131"/>
      <c r="L302" s="131"/>
      <c r="M302" s="131"/>
      <c r="N302" s="131"/>
      <c r="O302" s="131"/>
      <c r="P302" s="131"/>
      <c r="Q302" s="131"/>
      <c r="R302" s="131"/>
      <c r="S302" s="131"/>
      <c r="T302" s="131"/>
      <c r="U302" s="131"/>
      <c r="V302" s="131"/>
      <c r="W302" s="131"/>
      <c r="X302" s="131"/>
      <c r="Y302" s="131"/>
    </row>
    <row r="303">
      <c r="A303" s="131"/>
      <c r="B303" s="131"/>
      <c r="C303" s="131"/>
      <c r="D303" s="81"/>
      <c r="E303" s="81"/>
      <c r="F303" s="131"/>
      <c r="G303" s="131"/>
      <c r="H303" s="131"/>
      <c r="I303" s="131"/>
      <c r="J303" s="131"/>
      <c r="K303" s="131"/>
      <c r="L303" s="131"/>
      <c r="M303" s="131"/>
      <c r="N303" s="131"/>
      <c r="O303" s="131"/>
      <c r="P303" s="131"/>
      <c r="Q303" s="131"/>
      <c r="R303" s="131"/>
      <c r="S303" s="131"/>
      <c r="T303" s="131"/>
      <c r="U303" s="131"/>
      <c r="V303" s="131"/>
      <c r="W303" s="131"/>
      <c r="X303" s="131"/>
      <c r="Y303" s="131"/>
    </row>
    <row r="304">
      <c r="A304" s="131"/>
      <c r="B304" s="131"/>
      <c r="C304" s="131"/>
      <c r="D304" s="81"/>
      <c r="E304" s="81"/>
      <c r="F304" s="131"/>
      <c r="G304" s="131"/>
      <c r="H304" s="131"/>
      <c r="I304" s="131"/>
      <c r="J304" s="131"/>
      <c r="K304" s="131"/>
      <c r="L304" s="131"/>
      <c r="M304" s="131"/>
      <c r="N304" s="131"/>
      <c r="O304" s="131"/>
      <c r="P304" s="131"/>
      <c r="Q304" s="131"/>
      <c r="R304" s="131"/>
      <c r="S304" s="131"/>
      <c r="T304" s="131"/>
      <c r="U304" s="131"/>
      <c r="V304" s="131"/>
      <c r="W304" s="131"/>
      <c r="X304" s="131"/>
      <c r="Y304" s="131"/>
    </row>
    <row r="305">
      <c r="A305" s="131"/>
      <c r="B305" s="131"/>
      <c r="C305" s="131"/>
      <c r="D305" s="81"/>
      <c r="E305" s="81"/>
      <c r="F305" s="131"/>
      <c r="G305" s="131"/>
      <c r="H305" s="131"/>
      <c r="I305" s="131"/>
      <c r="J305" s="131"/>
      <c r="K305" s="131"/>
      <c r="L305" s="131"/>
      <c r="M305" s="131"/>
      <c r="N305" s="131"/>
      <c r="O305" s="131"/>
      <c r="P305" s="131"/>
      <c r="Q305" s="131"/>
      <c r="R305" s="131"/>
      <c r="S305" s="131"/>
      <c r="T305" s="131"/>
      <c r="U305" s="131"/>
      <c r="V305" s="131"/>
      <c r="W305" s="131"/>
      <c r="X305" s="131"/>
      <c r="Y305" s="131"/>
    </row>
    <row r="306">
      <c r="A306" s="131"/>
      <c r="B306" s="131"/>
      <c r="C306" s="131"/>
      <c r="D306" s="81"/>
      <c r="E306" s="81"/>
      <c r="F306" s="131"/>
      <c r="G306" s="131"/>
      <c r="H306" s="131"/>
      <c r="I306" s="131"/>
      <c r="J306" s="131"/>
      <c r="K306" s="131"/>
      <c r="L306" s="131"/>
      <c r="M306" s="131"/>
      <c r="N306" s="131"/>
      <c r="O306" s="131"/>
      <c r="P306" s="131"/>
      <c r="Q306" s="131"/>
      <c r="R306" s="131"/>
      <c r="S306" s="131"/>
      <c r="T306" s="131"/>
      <c r="U306" s="131"/>
      <c r="V306" s="131"/>
      <c r="W306" s="131"/>
      <c r="X306" s="131"/>
      <c r="Y306" s="131"/>
    </row>
    <row r="307">
      <c r="A307" s="131"/>
      <c r="B307" s="131"/>
      <c r="C307" s="131"/>
      <c r="D307" s="81"/>
      <c r="E307" s="81"/>
      <c r="F307" s="131"/>
      <c r="G307" s="131"/>
      <c r="H307" s="131"/>
      <c r="I307" s="131"/>
      <c r="J307" s="131"/>
      <c r="K307" s="131"/>
      <c r="L307" s="131"/>
      <c r="M307" s="131"/>
      <c r="N307" s="131"/>
      <c r="O307" s="131"/>
      <c r="P307" s="131"/>
      <c r="Q307" s="131"/>
      <c r="R307" s="131"/>
      <c r="S307" s="131"/>
      <c r="T307" s="131"/>
      <c r="U307" s="131"/>
      <c r="V307" s="131"/>
      <c r="W307" s="131"/>
      <c r="X307" s="131"/>
      <c r="Y307" s="131"/>
    </row>
    <row r="308">
      <c r="A308" s="131"/>
      <c r="B308" s="131"/>
      <c r="C308" s="131"/>
      <c r="D308" s="81"/>
      <c r="E308" s="81"/>
      <c r="F308" s="131"/>
      <c r="G308" s="131"/>
      <c r="H308" s="131"/>
      <c r="I308" s="131"/>
      <c r="J308" s="131"/>
      <c r="K308" s="131"/>
      <c r="L308" s="131"/>
      <c r="M308" s="131"/>
      <c r="N308" s="131"/>
      <c r="O308" s="131"/>
      <c r="P308" s="131"/>
      <c r="Q308" s="131"/>
      <c r="R308" s="131"/>
      <c r="S308" s="131"/>
      <c r="T308" s="131"/>
      <c r="U308" s="131"/>
      <c r="V308" s="131"/>
      <c r="W308" s="131"/>
      <c r="X308" s="131"/>
      <c r="Y308" s="131"/>
    </row>
    <row r="309">
      <c r="A309" s="131"/>
      <c r="B309" s="131"/>
      <c r="C309" s="131"/>
      <c r="D309" s="81"/>
      <c r="E309" s="81"/>
      <c r="F309" s="131"/>
      <c r="G309" s="131"/>
      <c r="H309" s="131"/>
      <c r="I309" s="131"/>
      <c r="J309" s="131"/>
      <c r="K309" s="131"/>
      <c r="L309" s="131"/>
      <c r="M309" s="131"/>
      <c r="N309" s="131"/>
      <c r="O309" s="131"/>
      <c r="P309" s="131"/>
      <c r="Q309" s="131"/>
      <c r="R309" s="131"/>
      <c r="S309" s="131"/>
      <c r="T309" s="131"/>
      <c r="U309" s="131"/>
      <c r="V309" s="131"/>
      <c r="W309" s="131"/>
      <c r="X309" s="131"/>
      <c r="Y309" s="131"/>
    </row>
    <row r="310">
      <c r="A310" s="131"/>
      <c r="B310" s="131"/>
      <c r="C310" s="131"/>
      <c r="D310" s="81"/>
      <c r="E310" s="81"/>
      <c r="F310" s="131"/>
      <c r="G310" s="131"/>
      <c r="H310" s="131"/>
      <c r="I310" s="131"/>
      <c r="J310" s="131"/>
      <c r="K310" s="131"/>
      <c r="L310" s="131"/>
      <c r="M310" s="131"/>
      <c r="N310" s="131"/>
      <c r="O310" s="131"/>
      <c r="P310" s="131"/>
      <c r="Q310" s="131"/>
      <c r="R310" s="131"/>
      <c r="S310" s="131"/>
      <c r="T310" s="131"/>
      <c r="U310" s="131"/>
      <c r="V310" s="131"/>
      <c r="W310" s="131"/>
      <c r="X310" s="131"/>
      <c r="Y310" s="131"/>
    </row>
    <row r="311">
      <c r="A311" s="131"/>
      <c r="B311" s="131"/>
      <c r="C311" s="131"/>
      <c r="D311" s="81"/>
      <c r="E311" s="81"/>
      <c r="F311" s="131"/>
      <c r="G311" s="131"/>
      <c r="H311" s="131"/>
      <c r="I311" s="131"/>
      <c r="J311" s="131"/>
      <c r="K311" s="131"/>
      <c r="L311" s="131"/>
      <c r="M311" s="131"/>
      <c r="N311" s="131"/>
      <c r="O311" s="131"/>
      <c r="P311" s="131"/>
      <c r="Q311" s="131"/>
      <c r="R311" s="131"/>
      <c r="S311" s="131"/>
      <c r="T311" s="131"/>
      <c r="U311" s="131"/>
      <c r="V311" s="131"/>
      <c r="W311" s="131"/>
      <c r="X311" s="131"/>
      <c r="Y311" s="131"/>
    </row>
    <row r="312">
      <c r="A312" s="131"/>
      <c r="B312" s="131"/>
      <c r="C312" s="131"/>
      <c r="D312" s="81"/>
      <c r="E312" s="81"/>
      <c r="F312" s="131"/>
      <c r="G312" s="131"/>
      <c r="H312" s="131"/>
      <c r="I312" s="131"/>
      <c r="J312" s="131"/>
      <c r="K312" s="131"/>
      <c r="L312" s="131"/>
      <c r="M312" s="131"/>
      <c r="N312" s="131"/>
      <c r="O312" s="131"/>
      <c r="P312" s="131"/>
      <c r="Q312" s="131"/>
      <c r="R312" s="131"/>
      <c r="S312" s="131"/>
      <c r="T312" s="131"/>
      <c r="U312" s="131"/>
      <c r="V312" s="131"/>
      <c r="W312" s="131"/>
      <c r="X312" s="131"/>
      <c r="Y312" s="131"/>
    </row>
    <row r="313">
      <c r="A313" s="131"/>
      <c r="B313" s="131"/>
      <c r="C313" s="131"/>
      <c r="D313" s="81"/>
      <c r="E313" s="81"/>
      <c r="F313" s="131"/>
      <c r="G313" s="131"/>
      <c r="H313" s="131"/>
      <c r="I313" s="131"/>
      <c r="J313" s="131"/>
      <c r="K313" s="131"/>
      <c r="L313" s="131"/>
      <c r="M313" s="131"/>
      <c r="N313" s="131"/>
      <c r="O313" s="131"/>
      <c r="P313" s="131"/>
      <c r="Q313" s="131"/>
      <c r="R313" s="131"/>
      <c r="S313" s="131"/>
      <c r="T313" s="131"/>
      <c r="U313" s="131"/>
      <c r="V313" s="131"/>
      <c r="W313" s="131"/>
      <c r="X313" s="131"/>
      <c r="Y313" s="131"/>
    </row>
    <row r="314">
      <c r="A314" s="131"/>
      <c r="B314" s="131"/>
      <c r="C314" s="131"/>
      <c r="D314" s="81"/>
      <c r="E314" s="81"/>
      <c r="F314" s="131"/>
      <c r="G314" s="131"/>
      <c r="H314" s="131"/>
      <c r="I314" s="131"/>
      <c r="J314" s="131"/>
      <c r="K314" s="131"/>
      <c r="L314" s="131"/>
      <c r="M314" s="131"/>
      <c r="N314" s="131"/>
      <c r="O314" s="131"/>
      <c r="P314" s="131"/>
      <c r="Q314" s="131"/>
      <c r="R314" s="131"/>
      <c r="S314" s="131"/>
      <c r="T314" s="131"/>
      <c r="U314" s="131"/>
      <c r="V314" s="131"/>
      <c r="W314" s="131"/>
      <c r="X314" s="131"/>
      <c r="Y314" s="131"/>
    </row>
    <row r="315">
      <c r="A315" s="131"/>
      <c r="B315" s="131"/>
      <c r="C315" s="131"/>
      <c r="D315" s="81"/>
      <c r="E315" s="81"/>
      <c r="F315" s="131"/>
      <c r="G315" s="131"/>
      <c r="H315" s="131"/>
      <c r="I315" s="131"/>
      <c r="J315" s="131"/>
      <c r="K315" s="131"/>
      <c r="L315" s="131"/>
      <c r="M315" s="131"/>
      <c r="N315" s="131"/>
      <c r="O315" s="131"/>
      <c r="P315" s="131"/>
      <c r="Q315" s="131"/>
      <c r="R315" s="131"/>
      <c r="S315" s="131"/>
      <c r="T315" s="131"/>
      <c r="U315" s="131"/>
      <c r="V315" s="131"/>
      <c r="W315" s="131"/>
      <c r="X315" s="131"/>
      <c r="Y315" s="131"/>
    </row>
    <row r="316">
      <c r="A316" s="131"/>
      <c r="B316" s="131"/>
      <c r="C316" s="131"/>
      <c r="D316" s="81"/>
      <c r="E316" s="81"/>
      <c r="F316" s="131"/>
      <c r="G316" s="131"/>
      <c r="H316" s="131"/>
      <c r="I316" s="131"/>
      <c r="J316" s="131"/>
      <c r="K316" s="131"/>
      <c r="L316" s="131"/>
      <c r="M316" s="131"/>
      <c r="N316" s="131"/>
      <c r="O316" s="131"/>
      <c r="P316" s="131"/>
      <c r="Q316" s="131"/>
      <c r="R316" s="131"/>
      <c r="S316" s="131"/>
      <c r="T316" s="131"/>
      <c r="U316" s="131"/>
      <c r="V316" s="131"/>
      <c r="W316" s="131"/>
      <c r="X316" s="131"/>
      <c r="Y316" s="131"/>
    </row>
    <row r="317">
      <c r="A317" s="131"/>
      <c r="B317" s="131"/>
      <c r="C317" s="131"/>
      <c r="D317" s="81"/>
      <c r="E317" s="81"/>
      <c r="F317" s="131"/>
      <c r="G317" s="131"/>
      <c r="H317" s="131"/>
      <c r="I317" s="131"/>
      <c r="J317" s="131"/>
      <c r="K317" s="131"/>
      <c r="L317" s="131"/>
      <c r="M317" s="131"/>
      <c r="N317" s="131"/>
      <c r="O317" s="131"/>
      <c r="P317" s="131"/>
      <c r="Q317" s="131"/>
      <c r="R317" s="131"/>
      <c r="S317" s="131"/>
      <c r="T317" s="131"/>
      <c r="U317" s="131"/>
      <c r="V317" s="131"/>
      <c r="W317" s="131"/>
      <c r="X317" s="131"/>
      <c r="Y317" s="131"/>
    </row>
    <row r="318">
      <c r="A318" s="131"/>
      <c r="B318" s="131"/>
      <c r="C318" s="131"/>
      <c r="D318" s="81"/>
      <c r="E318" s="81"/>
      <c r="F318" s="131"/>
      <c r="G318" s="131"/>
      <c r="H318" s="131"/>
      <c r="I318" s="131"/>
      <c r="J318" s="131"/>
      <c r="K318" s="131"/>
      <c r="L318" s="131"/>
      <c r="M318" s="131"/>
      <c r="N318" s="131"/>
      <c r="O318" s="131"/>
      <c r="P318" s="131"/>
      <c r="Q318" s="131"/>
      <c r="R318" s="131"/>
      <c r="S318" s="131"/>
      <c r="T318" s="131"/>
      <c r="U318" s="131"/>
      <c r="V318" s="131"/>
      <c r="W318" s="131"/>
      <c r="X318" s="131"/>
      <c r="Y318" s="131"/>
    </row>
    <row r="319">
      <c r="A319" s="131"/>
      <c r="B319" s="131"/>
      <c r="C319" s="131"/>
      <c r="D319" s="81"/>
      <c r="E319" s="81"/>
      <c r="F319" s="131"/>
      <c r="G319" s="131"/>
      <c r="H319" s="131"/>
      <c r="I319" s="131"/>
      <c r="J319" s="131"/>
      <c r="K319" s="131"/>
      <c r="L319" s="131"/>
      <c r="M319" s="131"/>
      <c r="N319" s="131"/>
      <c r="O319" s="131"/>
      <c r="P319" s="131"/>
      <c r="Q319" s="131"/>
      <c r="R319" s="131"/>
      <c r="S319" s="131"/>
      <c r="T319" s="131"/>
      <c r="U319" s="131"/>
      <c r="V319" s="131"/>
      <c r="W319" s="131"/>
      <c r="X319" s="131"/>
      <c r="Y319" s="131"/>
    </row>
    <row r="320">
      <c r="A320" s="131"/>
      <c r="B320" s="131"/>
      <c r="C320" s="131"/>
      <c r="D320" s="81"/>
      <c r="E320" s="81"/>
      <c r="F320" s="131"/>
      <c r="G320" s="131"/>
      <c r="H320" s="131"/>
      <c r="I320" s="131"/>
      <c r="J320" s="131"/>
      <c r="K320" s="131"/>
      <c r="L320" s="131"/>
      <c r="M320" s="131"/>
      <c r="N320" s="131"/>
      <c r="O320" s="131"/>
      <c r="P320" s="131"/>
      <c r="Q320" s="131"/>
      <c r="R320" s="131"/>
      <c r="S320" s="131"/>
      <c r="T320" s="131"/>
      <c r="U320" s="131"/>
      <c r="V320" s="131"/>
      <c r="W320" s="131"/>
      <c r="X320" s="131"/>
      <c r="Y320" s="131"/>
    </row>
    <row r="321">
      <c r="A321" s="131"/>
      <c r="B321" s="131"/>
      <c r="C321" s="131"/>
      <c r="D321" s="81"/>
      <c r="E321" s="81"/>
      <c r="F321" s="131"/>
      <c r="G321" s="131"/>
      <c r="H321" s="131"/>
      <c r="I321" s="131"/>
      <c r="J321" s="131"/>
      <c r="K321" s="131"/>
      <c r="L321" s="131"/>
      <c r="M321" s="131"/>
      <c r="N321" s="131"/>
      <c r="O321" s="131"/>
      <c r="P321" s="131"/>
      <c r="Q321" s="131"/>
      <c r="R321" s="131"/>
      <c r="S321" s="131"/>
      <c r="T321" s="131"/>
      <c r="U321" s="131"/>
      <c r="V321" s="131"/>
      <c r="W321" s="131"/>
      <c r="X321" s="131"/>
      <c r="Y321" s="131"/>
    </row>
    <row r="322">
      <c r="A322" s="131"/>
      <c r="B322" s="131"/>
      <c r="C322" s="131"/>
      <c r="D322" s="81"/>
      <c r="E322" s="81"/>
      <c r="F322" s="131"/>
      <c r="G322" s="131"/>
      <c r="H322" s="131"/>
      <c r="I322" s="131"/>
      <c r="J322" s="131"/>
      <c r="K322" s="131"/>
      <c r="L322" s="131"/>
      <c r="M322" s="131"/>
      <c r="N322" s="131"/>
      <c r="O322" s="131"/>
      <c r="P322" s="131"/>
      <c r="Q322" s="131"/>
      <c r="R322" s="131"/>
      <c r="S322" s="131"/>
      <c r="T322" s="131"/>
      <c r="U322" s="131"/>
      <c r="V322" s="131"/>
      <c r="W322" s="131"/>
      <c r="X322" s="131"/>
      <c r="Y322" s="131"/>
    </row>
    <row r="323">
      <c r="A323" s="131"/>
      <c r="B323" s="131"/>
      <c r="C323" s="131"/>
      <c r="D323" s="81"/>
      <c r="E323" s="81"/>
      <c r="F323" s="131"/>
      <c r="G323" s="131"/>
      <c r="H323" s="131"/>
      <c r="I323" s="131"/>
      <c r="J323" s="131"/>
      <c r="K323" s="131"/>
      <c r="L323" s="131"/>
      <c r="M323" s="131"/>
      <c r="N323" s="131"/>
      <c r="O323" s="131"/>
      <c r="P323" s="131"/>
      <c r="Q323" s="131"/>
      <c r="R323" s="131"/>
      <c r="S323" s="131"/>
      <c r="T323" s="131"/>
      <c r="U323" s="131"/>
      <c r="V323" s="131"/>
      <c r="W323" s="131"/>
      <c r="X323" s="131"/>
      <c r="Y323" s="131"/>
    </row>
    <row r="324">
      <c r="A324" s="131"/>
      <c r="B324" s="131"/>
      <c r="C324" s="131"/>
      <c r="D324" s="81"/>
      <c r="E324" s="81"/>
      <c r="F324" s="131"/>
      <c r="G324" s="131"/>
      <c r="H324" s="131"/>
      <c r="I324" s="131"/>
      <c r="J324" s="131"/>
      <c r="K324" s="131"/>
      <c r="L324" s="131"/>
      <c r="M324" s="131"/>
      <c r="N324" s="131"/>
      <c r="O324" s="131"/>
      <c r="P324" s="131"/>
      <c r="Q324" s="131"/>
      <c r="R324" s="131"/>
      <c r="S324" s="131"/>
      <c r="T324" s="131"/>
      <c r="U324" s="131"/>
      <c r="V324" s="131"/>
      <c r="W324" s="131"/>
      <c r="X324" s="131"/>
      <c r="Y324" s="131"/>
    </row>
    <row r="325">
      <c r="A325" s="131"/>
      <c r="B325" s="131"/>
      <c r="C325" s="131"/>
      <c r="D325" s="81"/>
      <c r="E325" s="81"/>
      <c r="F325" s="131"/>
      <c r="G325" s="131"/>
      <c r="H325" s="131"/>
      <c r="I325" s="131"/>
      <c r="J325" s="131"/>
      <c r="K325" s="131"/>
      <c r="L325" s="131"/>
      <c r="M325" s="131"/>
      <c r="N325" s="131"/>
      <c r="O325" s="131"/>
      <c r="P325" s="131"/>
      <c r="Q325" s="131"/>
      <c r="R325" s="131"/>
      <c r="S325" s="131"/>
      <c r="T325" s="131"/>
      <c r="U325" s="131"/>
      <c r="V325" s="131"/>
      <c r="W325" s="131"/>
      <c r="X325" s="131"/>
      <c r="Y325" s="131"/>
    </row>
    <row r="326">
      <c r="A326" s="131"/>
      <c r="B326" s="131"/>
      <c r="C326" s="131"/>
      <c r="D326" s="81"/>
      <c r="E326" s="81"/>
      <c r="F326" s="131"/>
      <c r="G326" s="131"/>
      <c r="H326" s="131"/>
      <c r="I326" s="131"/>
      <c r="J326" s="131"/>
      <c r="K326" s="131"/>
      <c r="L326" s="131"/>
      <c r="M326" s="131"/>
      <c r="N326" s="131"/>
      <c r="O326" s="131"/>
      <c r="P326" s="131"/>
      <c r="Q326" s="131"/>
      <c r="R326" s="131"/>
      <c r="S326" s="131"/>
      <c r="T326" s="131"/>
      <c r="U326" s="131"/>
      <c r="V326" s="131"/>
      <c r="W326" s="131"/>
      <c r="X326" s="131"/>
      <c r="Y326" s="131"/>
    </row>
    <row r="327">
      <c r="A327" s="131"/>
      <c r="B327" s="131"/>
      <c r="C327" s="131"/>
      <c r="D327" s="81"/>
      <c r="E327" s="81"/>
      <c r="F327" s="131"/>
      <c r="G327" s="131"/>
      <c r="H327" s="131"/>
      <c r="I327" s="131"/>
      <c r="J327" s="131"/>
      <c r="K327" s="131"/>
      <c r="L327" s="131"/>
      <c r="M327" s="131"/>
      <c r="N327" s="131"/>
      <c r="O327" s="131"/>
      <c r="P327" s="131"/>
      <c r="Q327" s="131"/>
      <c r="R327" s="131"/>
      <c r="S327" s="131"/>
      <c r="T327" s="131"/>
      <c r="U327" s="131"/>
      <c r="V327" s="131"/>
      <c r="W327" s="131"/>
      <c r="X327" s="131"/>
      <c r="Y327" s="131"/>
    </row>
    <row r="328">
      <c r="A328" s="131"/>
      <c r="B328" s="131"/>
      <c r="C328" s="131"/>
      <c r="D328" s="81"/>
      <c r="E328" s="81"/>
      <c r="F328" s="131"/>
      <c r="G328" s="131"/>
      <c r="H328" s="131"/>
      <c r="I328" s="131"/>
      <c r="J328" s="131"/>
      <c r="K328" s="131"/>
      <c r="L328" s="131"/>
      <c r="M328" s="131"/>
      <c r="N328" s="131"/>
      <c r="O328" s="131"/>
      <c r="P328" s="131"/>
      <c r="Q328" s="131"/>
      <c r="R328" s="131"/>
      <c r="S328" s="131"/>
      <c r="T328" s="131"/>
      <c r="U328" s="131"/>
      <c r="V328" s="131"/>
      <c r="W328" s="131"/>
      <c r="X328" s="131"/>
      <c r="Y328" s="131"/>
    </row>
    <row r="329">
      <c r="A329" s="131"/>
      <c r="B329" s="131"/>
      <c r="C329" s="131"/>
      <c r="D329" s="81"/>
      <c r="E329" s="81"/>
      <c r="F329" s="131"/>
      <c r="G329" s="131"/>
      <c r="H329" s="131"/>
      <c r="I329" s="131"/>
      <c r="J329" s="131"/>
      <c r="K329" s="131"/>
      <c r="L329" s="131"/>
      <c r="M329" s="131"/>
      <c r="N329" s="131"/>
      <c r="O329" s="131"/>
      <c r="P329" s="131"/>
      <c r="Q329" s="131"/>
      <c r="R329" s="131"/>
      <c r="S329" s="131"/>
      <c r="T329" s="131"/>
      <c r="U329" s="131"/>
      <c r="V329" s="131"/>
      <c r="W329" s="131"/>
      <c r="X329" s="131"/>
      <c r="Y329" s="131"/>
    </row>
    <row r="330">
      <c r="A330" s="131"/>
      <c r="B330" s="131"/>
      <c r="C330" s="131"/>
      <c r="D330" s="81"/>
      <c r="E330" s="81"/>
      <c r="F330" s="131"/>
      <c r="G330" s="131"/>
      <c r="H330" s="131"/>
      <c r="I330" s="131"/>
      <c r="J330" s="131"/>
      <c r="K330" s="131"/>
      <c r="L330" s="131"/>
      <c r="M330" s="131"/>
      <c r="N330" s="131"/>
      <c r="O330" s="131"/>
      <c r="P330" s="131"/>
      <c r="Q330" s="131"/>
      <c r="R330" s="131"/>
      <c r="S330" s="131"/>
      <c r="T330" s="131"/>
      <c r="U330" s="131"/>
      <c r="V330" s="131"/>
      <c r="W330" s="131"/>
      <c r="X330" s="131"/>
      <c r="Y330" s="131"/>
    </row>
    <row r="331">
      <c r="A331" s="131"/>
      <c r="B331" s="131"/>
      <c r="C331" s="131"/>
      <c r="D331" s="81"/>
      <c r="E331" s="81"/>
      <c r="F331" s="131"/>
      <c r="G331" s="131"/>
      <c r="H331" s="131"/>
      <c r="I331" s="131"/>
      <c r="J331" s="131"/>
      <c r="K331" s="131"/>
      <c r="L331" s="131"/>
      <c r="M331" s="131"/>
      <c r="N331" s="131"/>
      <c r="O331" s="131"/>
      <c r="P331" s="131"/>
      <c r="Q331" s="131"/>
      <c r="R331" s="131"/>
      <c r="S331" s="131"/>
      <c r="T331" s="131"/>
      <c r="U331" s="131"/>
      <c r="V331" s="131"/>
      <c r="W331" s="131"/>
      <c r="X331" s="131"/>
      <c r="Y331" s="131"/>
    </row>
    <row r="332">
      <c r="A332" s="131"/>
      <c r="B332" s="131"/>
      <c r="C332" s="131"/>
      <c r="D332" s="81"/>
      <c r="E332" s="81"/>
      <c r="F332" s="131"/>
      <c r="G332" s="131"/>
      <c r="H332" s="131"/>
      <c r="I332" s="131"/>
      <c r="J332" s="131"/>
      <c r="K332" s="131"/>
      <c r="L332" s="131"/>
      <c r="M332" s="131"/>
      <c r="N332" s="131"/>
      <c r="O332" s="131"/>
      <c r="P332" s="131"/>
      <c r="Q332" s="131"/>
      <c r="R332" s="131"/>
      <c r="S332" s="131"/>
      <c r="T332" s="131"/>
      <c r="U332" s="131"/>
      <c r="V332" s="131"/>
      <c r="W332" s="131"/>
      <c r="X332" s="131"/>
      <c r="Y332" s="131"/>
    </row>
    <row r="333">
      <c r="A333" s="131"/>
      <c r="B333" s="131"/>
      <c r="C333" s="131"/>
      <c r="D333" s="81"/>
      <c r="E333" s="81"/>
      <c r="F333" s="131"/>
      <c r="G333" s="131"/>
      <c r="H333" s="131"/>
      <c r="I333" s="131"/>
      <c r="J333" s="131"/>
      <c r="K333" s="131"/>
      <c r="L333" s="131"/>
      <c r="M333" s="131"/>
      <c r="N333" s="131"/>
      <c r="O333" s="131"/>
      <c r="P333" s="131"/>
      <c r="Q333" s="131"/>
      <c r="R333" s="131"/>
      <c r="S333" s="131"/>
      <c r="T333" s="131"/>
      <c r="U333" s="131"/>
      <c r="V333" s="131"/>
      <c r="W333" s="131"/>
      <c r="X333" s="131"/>
      <c r="Y333" s="131"/>
    </row>
    <row r="334">
      <c r="A334" s="131"/>
      <c r="B334" s="131"/>
      <c r="C334" s="131"/>
      <c r="D334" s="81"/>
      <c r="E334" s="81"/>
      <c r="F334" s="131"/>
      <c r="G334" s="131"/>
      <c r="H334" s="131"/>
      <c r="I334" s="131"/>
      <c r="J334" s="131"/>
      <c r="K334" s="131"/>
      <c r="L334" s="131"/>
      <c r="M334" s="131"/>
      <c r="N334" s="131"/>
      <c r="O334" s="131"/>
      <c r="P334" s="131"/>
      <c r="Q334" s="131"/>
      <c r="R334" s="131"/>
      <c r="S334" s="131"/>
      <c r="T334" s="131"/>
      <c r="U334" s="131"/>
      <c r="V334" s="131"/>
      <c r="W334" s="131"/>
      <c r="X334" s="131"/>
      <c r="Y334" s="131"/>
    </row>
    <row r="335">
      <c r="A335" s="131"/>
      <c r="B335" s="131"/>
      <c r="C335" s="131"/>
      <c r="D335" s="81"/>
      <c r="E335" s="81"/>
      <c r="F335" s="131"/>
      <c r="G335" s="131"/>
      <c r="H335" s="131"/>
      <c r="I335" s="131"/>
      <c r="J335" s="131"/>
      <c r="K335" s="131"/>
      <c r="L335" s="131"/>
      <c r="M335" s="131"/>
      <c r="N335" s="131"/>
      <c r="O335" s="131"/>
      <c r="P335" s="131"/>
      <c r="Q335" s="131"/>
      <c r="R335" s="131"/>
      <c r="S335" s="131"/>
      <c r="T335" s="131"/>
      <c r="U335" s="131"/>
      <c r="V335" s="131"/>
      <c r="W335" s="131"/>
      <c r="X335" s="131"/>
      <c r="Y335" s="131"/>
    </row>
    <row r="336">
      <c r="A336" s="131"/>
      <c r="B336" s="131"/>
      <c r="C336" s="131"/>
      <c r="D336" s="81"/>
      <c r="E336" s="81"/>
      <c r="F336" s="131"/>
      <c r="G336" s="131"/>
      <c r="H336" s="131"/>
      <c r="I336" s="131"/>
      <c r="J336" s="131"/>
      <c r="K336" s="131"/>
      <c r="L336" s="131"/>
      <c r="M336" s="131"/>
      <c r="N336" s="131"/>
      <c r="O336" s="131"/>
      <c r="P336" s="131"/>
      <c r="Q336" s="131"/>
      <c r="R336" s="131"/>
      <c r="S336" s="131"/>
      <c r="T336" s="131"/>
      <c r="U336" s="131"/>
      <c r="V336" s="131"/>
      <c r="W336" s="131"/>
      <c r="X336" s="131"/>
      <c r="Y336" s="131"/>
    </row>
    <row r="337">
      <c r="A337" s="131"/>
      <c r="B337" s="131"/>
      <c r="C337" s="131"/>
      <c r="D337" s="81"/>
      <c r="E337" s="81"/>
      <c r="F337" s="131"/>
      <c r="G337" s="131"/>
      <c r="H337" s="131"/>
      <c r="I337" s="131"/>
      <c r="J337" s="131"/>
      <c r="K337" s="131"/>
      <c r="L337" s="131"/>
      <c r="M337" s="131"/>
      <c r="N337" s="131"/>
      <c r="O337" s="131"/>
      <c r="P337" s="131"/>
      <c r="Q337" s="131"/>
      <c r="R337" s="131"/>
      <c r="S337" s="131"/>
      <c r="T337" s="131"/>
      <c r="U337" s="131"/>
      <c r="V337" s="131"/>
      <c r="W337" s="131"/>
      <c r="X337" s="131"/>
      <c r="Y337" s="131"/>
    </row>
    <row r="338">
      <c r="A338" s="131"/>
      <c r="B338" s="131"/>
      <c r="C338" s="131"/>
      <c r="D338" s="81"/>
      <c r="E338" s="81"/>
      <c r="F338" s="131"/>
      <c r="G338" s="131"/>
      <c r="H338" s="131"/>
      <c r="I338" s="131"/>
      <c r="J338" s="131"/>
      <c r="K338" s="131"/>
      <c r="L338" s="131"/>
      <c r="M338" s="131"/>
      <c r="N338" s="131"/>
      <c r="O338" s="131"/>
      <c r="P338" s="131"/>
      <c r="Q338" s="131"/>
      <c r="R338" s="131"/>
      <c r="S338" s="131"/>
      <c r="T338" s="131"/>
      <c r="U338" s="131"/>
      <c r="V338" s="131"/>
      <c r="W338" s="131"/>
      <c r="X338" s="131"/>
      <c r="Y338" s="131"/>
    </row>
    <row r="339">
      <c r="A339" s="131"/>
      <c r="B339" s="131"/>
      <c r="C339" s="131"/>
      <c r="D339" s="81"/>
      <c r="E339" s="81"/>
      <c r="F339" s="131"/>
      <c r="G339" s="131"/>
      <c r="H339" s="131"/>
      <c r="I339" s="131"/>
      <c r="J339" s="131"/>
      <c r="K339" s="131"/>
      <c r="L339" s="131"/>
      <c r="M339" s="131"/>
      <c r="N339" s="131"/>
      <c r="O339" s="131"/>
      <c r="P339" s="131"/>
      <c r="Q339" s="131"/>
      <c r="R339" s="131"/>
      <c r="S339" s="131"/>
      <c r="T339" s="131"/>
      <c r="U339" s="131"/>
      <c r="V339" s="131"/>
      <c r="W339" s="131"/>
      <c r="X339" s="131"/>
      <c r="Y339" s="131"/>
    </row>
    <row r="340">
      <c r="A340" s="131"/>
      <c r="B340" s="131"/>
      <c r="C340" s="131"/>
      <c r="D340" s="81"/>
      <c r="E340" s="81"/>
      <c r="F340" s="131"/>
      <c r="G340" s="131"/>
      <c r="H340" s="131"/>
      <c r="I340" s="131"/>
      <c r="J340" s="131"/>
      <c r="K340" s="131"/>
      <c r="L340" s="131"/>
      <c r="M340" s="131"/>
      <c r="N340" s="131"/>
      <c r="O340" s="131"/>
      <c r="P340" s="131"/>
      <c r="Q340" s="131"/>
      <c r="R340" s="131"/>
      <c r="S340" s="131"/>
      <c r="T340" s="131"/>
      <c r="U340" s="131"/>
      <c r="V340" s="131"/>
      <c r="W340" s="131"/>
      <c r="X340" s="131"/>
      <c r="Y340" s="131"/>
    </row>
    <row r="341">
      <c r="A341" s="131"/>
      <c r="B341" s="131"/>
      <c r="C341" s="131"/>
      <c r="D341" s="81"/>
      <c r="E341" s="81"/>
      <c r="F341" s="131"/>
      <c r="G341" s="131"/>
      <c r="H341" s="131"/>
      <c r="I341" s="131"/>
      <c r="J341" s="131"/>
      <c r="K341" s="131"/>
      <c r="L341" s="131"/>
      <c r="M341" s="131"/>
      <c r="N341" s="131"/>
      <c r="O341" s="131"/>
      <c r="P341" s="131"/>
      <c r="Q341" s="131"/>
      <c r="R341" s="131"/>
      <c r="S341" s="131"/>
      <c r="T341" s="131"/>
      <c r="U341" s="131"/>
      <c r="V341" s="131"/>
      <c r="W341" s="131"/>
      <c r="X341" s="131"/>
      <c r="Y341" s="131"/>
    </row>
    <row r="342">
      <c r="A342" s="131"/>
      <c r="B342" s="131"/>
      <c r="C342" s="131"/>
      <c r="D342" s="81"/>
      <c r="E342" s="81"/>
      <c r="F342" s="131"/>
      <c r="G342" s="131"/>
      <c r="H342" s="131"/>
      <c r="I342" s="131"/>
      <c r="J342" s="131"/>
      <c r="K342" s="131"/>
      <c r="L342" s="131"/>
      <c r="M342" s="131"/>
      <c r="N342" s="131"/>
      <c r="O342" s="131"/>
      <c r="P342" s="131"/>
      <c r="Q342" s="131"/>
      <c r="R342" s="131"/>
      <c r="S342" s="131"/>
      <c r="T342" s="131"/>
      <c r="U342" s="131"/>
      <c r="V342" s="131"/>
      <c r="W342" s="131"/>
      <c r="X342" s="131"/>
      <c r="Y342" s="131"/>
    </row>
    <row r="343">
      <c r="A343" s="131"/>
      <c r="B343" s="131"/>
      <c r="C343" s="131"/>
      <c r="D343" s="81"/>
      <c r="E343" s="81"/>
      <c r="F343" s="131"/>
      <c r="G343" s="131"/>
      <c r="H343" s="131"/>
      <c r="I343" s="131"/>
      <c r="J343" s="131"/>
      <c r="K343" s="131"/>
      <c r="L343" s="131"/>
      <c r="M343" s="131"/>
      <c r="N343" s="131"/>
      <c r="O343" s="131"/>
      <c r="P343" s="131"/>
      <c r="Q343" s="131"/>
      <c r="R343" s="131"/>
      <c r="S343" s="131"/>
      <c r="T343" s="131"/>
      <c r="U343" s="131"/>
      <c r="V343" s="131"/>
      <c r="W343" s="131"/>
      <c r="X343" s="131"/>
      <c r="Y343" s="131"/>
    </row>
    <row r="344">
      <c r="A344" s="131"/>
      <c r="B344" s="131"/>
      <c r="C344" s="131"/>
      <c r="D344" s="81"/>
      <c r="E344" s="81"/>
      <c r="F344" s="131"/>
      <c r="G344" s="131"/>
      <c r="H344" s="131"/>
      <c r="I344" s="131"/>
      <c r="J344" s="131"/>
      <c r="K344" s="131"/>
      <c r="L344" s="131"/>
      <c r="M344" s="131"/>
      <c r="N344" s="131"/>
      <c r="O344" s="131"/>
      <c r="P344" s="131"/>
      <c r="Q344" s="131"/>
      <c r="R344" s="131"/>
      <c r="S344" s="131"/>
      <c r="T344" s="131"/>
      <c r="U344" s="131"/>
      <c r="V344" s="131"/>
      <c r="W344" s="131"/>
      <c r="X344" s="131"/>
      <c r="Y344" s="131"/>
    </row>
    <row r="345">
      <c r="A345" s="131"/>
      <c r="B345" s="131"/>
      <c r="C345" s="131"/>
      <c r="D345" s="81"/>
      <c r="E345" s="81"/>
      <c r="F345" s="131"/>
      <c r="G345" s="131"/>
      <c r="H345" s="131"/>
      <c r="I345" s="131"/>
      <c r="J345" s="131"/>
      <c r="K345" s="131"/>
      <c r="L345" s="131"/>
      <c r="M345" s="131"/>
      <c r="N345" s="131"/>
      <c r="O345" s="131"/>
      <c r="P345" s="131"/>
      <c r="Q345" s="131"/>
      <c r="R345" s="131"/>
      <c r="S345" s="131"/>
      <c r="T345" s="131"/>
      <c r="U345" s="131"/>
      <c r="V345" s="131"/>
      <c r="W345" s="131"/>
      <c r="X345" s="131"/>
      <c r="Y345" s="131"/>
    </row>
    <row r="346">
      <c r="A346" s="131"/>
      <c r="B346" s="131"/>
      <c r="C346" s="131"/>
      <c r="D346" s="81"/>
      <c r="E346" s="81"/>
      <c r="F346" s="131"/>
      <c r="G346" s="131"/>
      <c r="H346" s="131"/>
      <c r="I346" s="131"/>
      <c r="J346" s="131"/>
      <c r="K346" s="131"/>
      <c r="L346" s="131"/>
      <c r="M346" s="131"/>
      <c r="N346" s="131"/>
      <c r="O346" s="131"/>
      <c r="P346" s="131"/>
      <c r="Q346" s="131"/>
      <c r="R346" s="131"/>
      <c r="S346" s="131"/>
      <c r="T346" s="131"/>
      <c r="U346" s="131"/>
      <c r="V346" s="131"/>
      <c r="W346" s="131"/>
      <c r="X346" s="131"/>
      <c r="Y346" s="131"/>
    </row>
    <row r="347">
      <c r="A347" s="131"/>
      <c r="B347" s="131"/>
      <c r="C347" s="131"/>
      <c r="D347" s="81"/>
      <c r="E347" s="81"/>
      <c r="F347" s="131"/>
      <c r="G347" s="131"/>
      <c r="H347" s="131"/>
      <c r="I347" s="131"/>
      <c r="J347" s="131"/>
      <c r="K347" s="131"/>
      <c r="L347" s="131"/>
      <c r="M347" s="131"/>
      <c r="N347" s="131"/>
      <c r="O347" s="131"/>
      <c r="P347" s="131"/>
      <c r="Q347" s="131"/>
      <c r="R347" s="131"/>
      <c r="S347" s="131"/>
      <c r="T347" s="131"/>
      <c r="U347" s="131"/>
      <c r="V347" s="131"/>
      <c r="W347" s="131"/>
      <c r="X347" s="131"/>
      <c r="Y347" s="131"/>
    </row>
    <row r="348">
      <c r="A348" s="131"/>
      <c r="B348" s="131"/>
      <c r="C348" s="131"/>
      <c r="D348" s="81"/>
      <c r="E348" s="81"/>
      <c r="F348" s="131"/>
      <c r="G348" s="131"/>
      <c r="H348" s="131"/>
      <c r="I348" s="131"/>
      <c r="J348" s="131"/>
      <c r="K348" s="131"/>
      <c r="L348" s="131"/>
      <c r="M348" s="131"/>
      <c r="N348" s="131"/>
      <c r="O348" s="131"/>
      <c r="P348" s="131"/>
      <c r="Q348" s="131"/>
      <c r="R348" s="131"/>
      <c r="S348" s="131"/>
      <c r="T348" s="131"/>
      <c r="U348" s="131"/>
      <c r="V348" s="131"/>
      <c r="W348" s="131"/>
      <c r="X348" s="131"/>
      <c r="Y348" s="131"/>
    </row>
    <row r="349">
      <c r="A349" s="131"/>
      <c r="B349" s="131"/>
      <c r="C349" s="131"/>
      <c r="D349" s="81"/>
      <c r="E349" s="81"/>
      <c r="F349" s="131"/>
      <c r="G349" s="131"/>
      <c r="H349" s="131"/>
      <c r="I349" s="131"/>
      <c r="J349" s="131"/>
      <c r="K349" s="131"/>
      <c r="L349" s="131"/>
      <c r="M349" s="131"/>
      <c r="N349" s="131"/>
      <c r="O349" s="131"/>
      <c r="P349" s="131"/>
      <c r="Q349" s="131"/>
      <c r="R349" s="131"/>
      <c r="S349" s="131"/>
      <c r="T349" s="131"/>
      <c r="U349" s="131"/>
      <c r="V349" s="131"/>
      <c r="W349" s="131"/>
      <c r="X349" s="131"/>
      <c r="Y349" s="131"/>
    </row>
    <row r="350">
      <c r="A350" s="131"/>
      <c r="B350" s="131"/>
      <c r="C350" s="131"/>
      <c r="D350" s="81"/>
      <c r="E350" s="81"/>
      <c r="F350" s="131"/>
      <c r="G350" s="131"/>
      <c r="H350" s="131"/>
      <c r="I350" s="131"/>
      <c r="J350" s="131"/>
      <c r="K350" s="131"/>
      <c r="L350" s="131"/>
      <c r="M350" s="131"/>
      <c r="N350" s="131"/>
      <c r="O350" s="131"/>
      <c r="P350" s="131"/>
      <c r="Q350" s="131"/>
      <c r="R350" s="131"/>
      <c r="S350" s="131"/>
      <c r="T350" s="131"/>
      <c r="U350" s="131"/>
      <c r="V350" s="131"/>
      <c r="W350" s="131"/>
      <c r="X350" s="131"/>
      <c r="Y350" s="131"/>
    </row>
    <row r="351">
      <c r="A351" s="131"/>
      <c r="B351" s="131"/>
      <c r="C351" s="131"/>
      <c r="D351" s="81"/>
      <c r="E351" s="81"/>
      <c r="F351" s="131"/>
      <c r="G351" s="131"/>
      <c r="H351" s="131"/>
      <c r="I351" s="131"/>
      <c r="J351" s="131"/>
      <c r="K351" s="131"/>
      <c r="L351" s="131"/>
      <c r="M351" s="131"/>
      <c r="N351" s="131"/>
      <c r="O351" s="131"/>
      <c r="P351" s="131"/>
      <c r="Q351" s="131"/>
      <c r="R351" s="131"/>
      <c r="S351" s="131"/>
      <c r="T351" s="131"/>
      <c r="U351" s="131"/>
      <c r="V351" s="131"/>
      <c r="W351" s="131"/>
      <c r="X351" s="131"/>
      <c r="Y351" s="131"/>
    </row>
    <row r="352">
      <c r="A352" s="131"/>
      <c r="B352" s="131"/>
      <c r="C352" s="131"/>
      <c r="D352" s="81"/>
      <c r="E352" s="81"/>
      <c r="F352" s="131"/>
      <c r="G352" s="131"/>
      <c r="H352" s="131"/>
      <c r="I352" s="131"/>
      <c r="J352" s="131"/>
      <c r="K352" s="131"/>
      <c r="L352" s="131"/>
      <c r="M352" s="131"/>
      <c r="N352" s="131"/>
      <c r="O352" s="131"/>
      <c r="P352" s="131"/>
      <c r="Q352" s="131"/>
      <c r="R352" s="131"/>
      <c r="S352" s="131"/>
      <c r="T352" s="131"/>
      <c r="U352" s="131"/>
      <c r="V352" s="131"/>
      <c r="W352" s="131"/>
      <c r="X352" s="131"/>
      <c r="Y352" s="131"/>
    </row>
    <row r="353">
      <c r="A353" s="131"/>
      <c r="B353" s="131"/>
      <c r="C353" s="131"/>
      <c r="D353" s="81"/>
      <c r="E353" s="81"/>
      <c r="F353" s="131"/>
      <c r="G353" s="131"/>
      <c r="H353" s="131"/>
      <c r="I353" s="131"/>
      <c r="J353" s="131"/>
      <c r="K353" s="131"/>
      <c r="L353" s="131"/>
      <c r="M353" s="131"/>
      <c r="N353" s="131"/>
      <c r="O353" s="131"/>
      <c r="P353" s="131"/>
      <c r="Q353" s="131"/>
      <c r="R353" s="131"/>
      <c r="S353" s="131"/>
      <c r="T353" s="131"/>
      <c r="U353" s="131"/>
      <c r="V353" s="131"/>
      <c r="W353" s="131"/>
      <c r="X353" s="131"/>
      <c r="Y353" s="131"/>
    </row>
    <row r="354">
      <c r="A354" s="131"/>
      <c r="B354" s="131"/>
      <c r="C354" s="131"/>
      <c r="D354" s="81"/>
      <c r="E354" s="81"/>
      <c r="F354" s="131"/>
      <c r="G354" s="131"/>
      <c r="H354" s="131"/>
      <c r="I354" s="131"/>
      <c r="J354" s="131"/>
      <c r="K354" s="131"/>
      <c r="L354" s="131"/>
      <c r="M354" s="131"/>
      <c r="N354" s="131"/>
      <c r="O354" s="131"/>
      <c r="P354" s="131"/>
      <c r="Q354" s="131"/>
      <c r="R354" s="131"/>
      <c r="S354" s="131"/>
      <c r="T354" s="131"/>
      <c r="U354" s="131"/>
      <c r="V354" s="131"/>
      <c r="W354" s="131"/>
      <c r="X354" s="131"/>
      <c r="Y354" s="131"/>
    </row>
    <row r="355">
      <c r="A355" s="131"/>
      <c r="B355" s="131"/>
      <c r="C355" s="131"/>
      <c r="D355" s="81"/>
      <c r="E355" s="81"/>
      <c r="F355" s="131"/>
      <c r="G355" s="131"/>
      <c r="H355" s="131"/>
      <c r="I355" s="131"/>
      <c r="J355" s="131"/>
      <c r="K355" s="131"/>
      <c r="L355" s="131"/>
      <c r="M355" s="131"/>
      <c r="N355" s="131"/>
      <c r="O355" s="131"/>
      <c r="P355" s="131"/>
      <c r="Q355" s="131"/>
      <c r="R355" s="131"/>
      <c r="S355" s="131"/>
      <c r="T355" s="131"/>
      <c r="U355" s="131"/>
      <c r="V355" s="131"/>
      <c r="W355" s="131"/>
      <c r="X355" s="131"/>
      <c r="Y355" s="131"/>
    </row>
    <row r="356">
      <c r="A356" s="131"/>
      <c r="B356" s="131"/>
      <c r="C356" s="131"/>
      <c r="D356" s="81"/>
      <c r="E356" s="81"/>
      <c r="F356" s="131"/>
      <c r="G356" s="131"/>
      <c r="H356" s="131"/>
      <c r="I356" s="131"/>
      <c r="J356" s="131"/>
      <c r="K356" s="131"/>
      <c r="L356" s="131"/>
      <c r="M356" s="131"/>
      <c r="N356" s="131"/>
      <c r="O356" s="131"/>
      <c r="P356" s="131"/>
      <c r="Q356" s="131"/>
      <c r="R356" s="131"/>
      <c r="S356" s="131"/>
      <c r="T356" s="131"/>
      <c r="U356" s="131"/>
      <c r="V356" s="131"/>
      <c r="W356" s="131"/>
      <c r="X356" s="131"/>
      <c r="Y356" s="131"/>
    </row>
    <row r="357">
      <c r="A357" s="131"/>
      <c r="B357" s="131"/>
      <c r="C357" s="131"/>
      <c r="D357" s="81"/>
      <c r="E357" s="81"/>
      <c r="F357" s="131"/>
      <c r="G357" s="131"/>
      <c r="H357" s="131"/>
      <c r="I357" s="131"/>
      <c r="J357" s="131"/>
      <c r="K357" s="131"/>
      <c r="L357" s="131"/>
      <c r="M357" s="131"/>
      <c r="N357" s="131"/>
      <c r="O357" s="131"/>
      <c r="P357" s="131"/>
      <c r="Q357" s="131"/>
      <c r="R357" s="131"/>
      <c r="S357" s="131"/>
      <c r="T357" s="131"/>
      <c r="U357" s="131"/>
      <c r="V357" s="131"/>
      <c r="W357" s="131"/>
      <c r="X357" s="131"/>
      <c r="Y357" s="131"/>
    </row>
    <row r="358">
      <c r="A358" s="131"/>
      <c r="B358" s="131"/>
      <c r="C358" s="131"/>
      <c r="D358" s="81"/>
      <c r="E358" s="81"/>
      <c r="F358" s="131"/>
      <c r="G358" s="131"/>
      <c r="H358" s="131"/>
      <c r="I358" s="131"/>
      <c r="J358" s="131"/>
      <c r="K358" s="131"/>
      <c r="L358" s="131"/>
      <c r="M358" s="131"/>
      <c r="N358" s="131"/>
      <c r="O358" s="131"/>
      <c r="P358" s="131"/>
      <c r="Q358" s="131"/>
      <c r="R358" s="131"/>
      <c r="S358" s="131"/>
      <c r="T358" s="131"/>
      <c r="U358" s="131"/>
      <c r="V358" s="131"/>
      <c r="W358" s="131"/>
      <c r="X358" s="131"/>
      <c r="Y358" s="131"/>
    </row>
    <row r="359">
      <c r="A359" s="131"/>
      <c r="B359" s="131"/>
      <c r="C359" s="131"/>
      <c r="D359" s="81"/>
      <c r="E359" s="81"/>
      <c r="F359" s="131"/>
      <c r="G359" s="131"/>
      <c r="H359" s="131"/>
      <c r="I359" s="131"/>
      <c r="J359" s="131"/>
      <c r="K359" s="131"/>
      <c r="L359" s="131"/>
      <c r="M359" s="131"/>
      <c r="N359" s="131"/>
      <c r="O359" s="131"/>
      <c r="P359" s="131"/>
      <c r="Q359" s="131"/>
      <c r="R359" s="131"/>
      <c r="S359" s="131"/>
      <c r="T359" s="131"/>
      <c r="U359" s="131"/>
      <c r="V359" s="131"/>
      <c r="W359" s="131"/>
      <c r="X359" s="131"/>
      <c r="Y359" s="131"/>
    </row>
    <row r="360">
      <c r="A360" s="131"/>
      <c r="B360" s="131"/>
      <c r="C360" s="131"/>
      <c r="D360" s="81"/>
      <c r="E360" s="81"/>
      <c r="F360" s="131"/>
      <c r="G360" s="131"/>
      <c r="H360" s="131"/>
      <c r="I360" s="131"/>
      <c r="J360" s="131"/>
      <c r="K360" s="131"/>
      <c r="L360" s="131"/>
      <c r="M360" s="131"/>
      <c r="N360" s="131"/>
      <c r="O360" s="131"/>
      <c r="P360" s="131"/>
      <c r="Q360" s="131"/>
      <c r="R360" s="131"/>
      <c r="S360" s="131"/>
      <c r="T360" s="131"/>
      <c r="U360" s="131"/>
      <c r="V360" s="131"/>
      <c r="W360" s="131"/>
      <c r="X360" s="131"/>
      <c r="Y360" s="131"/>
    </row>
    <row r="361">
      <c r="A361" s="131"/>
      <c r="B361" s="131"/>
      <c r="C361" s="131"/>
      <c r="D361" s="81"/>
      <c r="E361" s="81"/>
      <c r="F361" s="131"/>
      <c r="G361" s="131"/>
      <c r="H361" s="131"/>
      <c r="I361" s="131"/>
      <c r="J361" s="131"/>
      <c r="K361" s="131"/>
      <c r="L361" s="131"/>
      <c r="M361" s="131"/>
      <c r="N361" s="131"/>
      <c r="O361" s="131"/>
      <c r="P361" s="131"/>
      <c r="Q361" s="131"/>
      <c r="R361" s="131"/>
      <c r="S361" s="131"/>
      <c r="T361" s="131"/>
      <c r="U361" s="131"/>
      <c r="V361" s="131"/>
      <c r="W361" s="131"/>
      <c r="X361" s="131"/>
      <c r="Y361" s="131"/>
    </row>
    <row r="362">
      <c r="A362" s="131"/>
      <c r="B362" s="131"/>
      <c r="C362" s="131"/>
      <c r="D362" s="81"/>
      <c r="E362" s="81"/>
      <c r="F362" s="131"/>
      <c r="G362" s="131"/>
      <c r="H362" s="131"/>
      <c r="I362" s="131"/>
      <c r="J362" s="131"/>
      <c r="K362" s="131"/>
      <c r="L362" s="131"/>
      <c r="M362" s="131"/>
      <c r="N362" s="131"/>
      <c r="O362" s="131"/>
      <c r="P362" s="131"/>
      <c r="Q362" s="131"/>
      <c r="R362" s="131"/>
      <c r="S362" s="131"/>
      <c r="T362" s="131"/>
      <c r="U362" s="131"/>
      <c r="V362" s="131"/>
      <c r="W362" s="131"/>
      <c r="X362" s="131"/>
      <c r="Y362" s="131"/>
    </row>
    <row r="363">
      <c r="A363" s="131"/>
      <c r="B363" s="131"/>
      <c r="C363" s="131"/>
      <c r="D363" s="81"/>
      <c r="E363" s="81"/>
      <c r="F363" s="131"/>
      <c r="G363" s="131"/>
      <c r="H363" s="131"/>
      <c r="I363" s="131"/>
      <c r="J363" s="131"/>
      <c r="K363" s="131"/>
      <c r="L363" s="131"/>
      <c r="M363" s="131"/>
      <c r="N363" s="131"/>
      <c r="O363" s="131"/>
      <c r="P363" s="131"/>
      <c r="Q363" s="131"/>
      <c r="R363" s="131"/>
      <c r="S363" s="131"/>
      <c r="T363" s="131"/>
      <c r="U363" s="131"/>
      <c r="V363" s="131"/>
      <c r="W363" s="131"/>
      <c r="X363" s="131"/>
      <c r="Y363" s="131"/>
    </row>
    <row r="364">
      <c r="A364" s="131"/>
      <c r="B364" s="131"/>
      <c r="C364" s="131"/>
      <c r="D364" s="81"/>
      <c r="E364" s="81"/>
      <c r="F364" s="131"/>
      <c r="G364" s="131"/>
      <c r="H364" s="131"/>
      <c r="I364" s="131"/>
      <c r="J364" s="131"/>
      <c r="K364" s="131"/>
      <c r="L364" s="131"/>
      <c r="M364" s="131"/>
      <c r="N364" s="131"/>
      <c r="O364" s="131"/>
      <c r="P364" s="131"/>
      <c r="Q364" s="131"/>
      <c r="R364" s="131"/>
      <c r="S364" s="131"/>
      <c r="T364" s="131"/>
      <c r="U364" s="131"/>
      <c r="V364" s="131"/>
      <c r="W364" s="131"/>
      <c r="X364" s="131"/>
      <c r="Y364" s="131"/>
    </row>
    <row r="365">
      <c r="A365" s="131"/>
      <c r="B365" s="131"/>
      <c r="C365" s="131"/>
      <c r="D365" s="81"/>
      <c r="E365" s="81"/>
      <c r="F365" s="131"/>
      <c r="G365" s="131"/>
      <c r="H365" s="131"/>
      <c r="I365" s="131"/>
      <c r="J365" s="131"/>
      <c r="K365" s="131"/>
      <c r="L365" s="131"/>
      <c r="M365" s="131"/>
      <c r="N365" s="131"/>
      <c r="O365" s="131"/>
      <c r="P365" s="131"/>
      <c r="Q365" s="131"/>
      <c r="R365" s="131"/>
      <c r="S365" s="131"/>
      <c r="T365" s="131"/>
      <c r="U365" s="131"/>
      <c r="V365" s="131"/>
      <c r="W365" s="131"/>
      <c r="X365" s="131"/>
      <c r="Y365" s="131"/>
    </row>
    <row r="366">
      <c r="A366" s="131"/>
      <c r="B366" s="131"/>
      <c r="C366" s="131"/>
      <c r="D366" s="81"/>
      <c r="E366" s="81"/>
      <c r="F366" s="131"/>
      <c r="G366" s="131"/>
      <c r="H366" s="131"/>
      <c r="I366" s="131"/>
      <c r="J366" s="131"/>
      <c r="K366" s="131"/>
      <c r="L366" s="131"/>
      <c r="M366" s="131"/>
      <c r="N366" s="131"/>
      <c r="O366" s="131"/>
      <c r="P366" s="131"/>
      <c r="Q366" s="131"/>
      <c r="R366" s="131"/>
      <c r="S366" s="131"/>
      <c r="T366" s="131"/>
      <c r="U366" s="131"/>
      <c r="V366" s="131"/>
      <c r="W366" s="131"/>
      <c r="X366" s="131"/>
      <c r="Y366" s="131"/>
    </row>
    <row r="367">
      <c r="A367" s="131"/>
      <c r="B367" s="131"/>
      <c r="C367" s="131"/>
      <c r="D367" s="81"/>
      <c r="E367" s="81"/>
      <c r="F367" s="131"/>
      <c r="G367" s="131"/>
      <c r="H367" s="131"/>
      <c r="I367" s="131"/>
      <c r="J367" s="131"/>
      <c r="K367" s="131"/>
      <c r="L367" s="131"/>
      <c r="M367" s="131"/>
      <c r="N367" s="131"/>
      <c r="O367" s="131"/>
      <c r="P367" s="131"/>
      <c r="Q367" s="131"/>
      <c r="R367" s="131"/>
      <c r="S367" s="131"/>
      <c r="T367" s="131"/>
      <c r="U367" s="131"/>
      <c r="V367" s="131"/>
      <c r="W367" s="131"/>
      <c r="X367" s="131"/>
      <c r="Y367" s="131"/>
    </row>
    <row r="368">
      <c r="A368" s="131"/>
      <c r="B368" s="131"/>
      <c r="C368" s="131"/>
      <c r="D368" s="81"/>
      <c r="E368" s="81"/>
      <c r="F368" s="131"/>
      <c r="G368" s="131"/>
      <c r="H368" s="131"/>
      <c r="I368" s="131"/>
      <c r="J368" s="131"/>
      <c r="K368" s="131"/>
      <c r="L368" s="131"/>
      <c r="M368" s="131"/>
      <c r="N368" s="131"/>
      <c r="O368" s="131"/>
      <c r="P368" s="131"/>
      <c r="Q368" s="131"/>
      <c r="R368" s="131"/>
      <c r="S368" s="131"/>
      <c r="T368" s="131"/>
      <c r="U368" s="131"/>
      <c r="V368" s="131"/>
      <c r="W368" s="131"/>
      <c r="X368" s="131"/>
      <c r="Y368" s="131"/>
    </row>
    <row r="369">
      <c r="A369" s="131"/>
      <c r="B369" s="131"/>
      <c r="C369" s="131"/>
      <c r="D369" s="81"/>
      <c r="E369" s="81"/>
      <c r="F369" s="131"/>
      <c r="G369" s="131"/>
      <c r="H369" s="131"/>
      <c r="I369" s="131"/>
      <c r="J369" s="131"/>
      <c r="K369" s="131"/>
      <c r="L369" s="131"/>
      <c r="M369" s="131"/>
      <c r="N369" s="131"/>
      <c r="O369" s="131"/>
      <c r="P369" s="131"/>
      <c r="Q369" s="131"/>
      <c r="R369" s="131"/>
      <c r="S369" s="131"/>
      <c r="T369" s="131"/>
      <c r="U369" s="131"/>
      <c r="V369" s="131"/>
      <c r="W369" s="131"/>
      <c r="X369" s="131"/>
      <c r="Y369" s="131"/>
    </row>
    <row r="370">
      <c r="A370" s="131"/>
      <c r="B370" s="131"/>
      <c r="C370" s="131"/>
      <c r="D370" s="81"/>
      <c r="E370" s="81"/>
      <c r="F370" s="131"/>
      <c r="G370" s="131"/>
      <c r="H370" s="131"/>
      <c r="I370" s="131"/>
      <c r="J370" s="131"/>
      <c r="K370" s="131"/>
      <c r="L370" s="131"/>
      <c r="M370" s="131"/>
      <c r="N370" s="131"/>
      <c r="O370" s="131"/>
      <c r="P370" s="131"/>
      <c r="Q370" s="131"/>
      <c r="R370" s="131"/>
      <c r="S370" s="131"/>
      <c r="T370" s="131"/>
      <c r="U370" s="131"/>
      <c r="V370" s="131"/>
      <c r="W370" s="131"/>
      <c r="X370" s="131"/>
      <c r="Y370" s="131"/>
    </row>
    <row r="371">
      <c r="A371" s="131"/>
      <c r="B371" s="131"/>
      <c r="C371" s="131"/>
      <c r="D371" s="81"/>
      <c r="E371" s="81"/>
      <c r="F371" s="131"/>
      <c r="G371" s="131"/>
      <c r="H371" s="131"/>
      <c r="I371" s="131"/>
      <c r="J371" s="131"/>
      <c r="K371" s="131"/>
      <c r="L371" s="131"/>
      <c r="M371" s="131"/>
      <c r="N371" s="131"/>
      <c r="O371" s="131"/>
      <c r="P371" s="131"/>
      <c r="Q371" s="131"/>
      <c r="R371" s="131"/>
      <c r="S371" s="131"/>
      <c r="T371" s="131"/>
      <c r="U371" s="131"/>
      <c r="V371" s="131"/>
      <c r="W371" s="131"/>
      <c r="X371" s="131"/>
      <c r="Y371" s="131"/>
    </row>
    <row r="372">
      <c r="A372" s="131"/>
      <c r="B372" s="131"/>
      <c r="C372" s="131"/>
      <c r="D372" s="81"/>
      <c r="E372" s="81"/>
      <c r="F372" s="131"/>
      <c r="G372" s="131"/>
      <c r="H372" s="131"/>
      <c r="I372" s="131"/>
      <c r="J372" s="131"/>
      <c r="K372" s="131"/>
      <c r="L372" s="131"/>
      <c r="M372" s="131"/>
      <c r="N372" s="131"/>
      <c r="O372" s="131"/>
      <c r="P372" s="131"/>
      <c r="Q372" s="131"/>
      <c r="R372" s="131"/>
      <c r="S372" s="131"/>
      <c r="T372" s="131"/>
      <c r="U372" s="131"/>
      <c r="V372" s="131"/>
      <c r="W372" s="131"/>
      <c r="X372" s="131"/>
      <c r="Y372" s="131"/>
    </row>
    <row r="373">
      <c r="A373" s="131"/>
      <c r="B373" s="131"/>
      <c r="C373" s="131"/>
      <c r="D373" s="81"/>
      <c r="E373" s="81"/>
      <c r="F373" s="131"/>
      <c r="G373" s="131"/>
      <c r="H373" s="131"/>
      <c r="I373" s="131"/>
      <c r="J373" s="131"/>
      <c r="K373" s="131"/>
      <c r="L373" s="131"/>
      <c r="M373" s="131"/>
      <c r="N373" s="131"/>
      <c r="O373" s="131"/>
      <c r="P373" s="131"/>
      <c r="Q373" s="131"/>
      <c r="R373" s="131"/>
      <c r="S373" s="131"/>
      <c r="T373" s="131"/>
      <c r="U373" s="131"/>
      <c r="V373" s="131"/>
      <c r="W373" s="131"/>
      <c r="X373" s="131"/>
      <c r="Y373" s="131"/>
    </row>
    <row r="374">
      <c r="A374" s="131"/>
      <c r="B374" s="131"/>
      <c r="C374" s="131"/>
      <c r="D374" s="81"/>
      <c r="E374" s="81"/>
      <c r="F374" s="131"/>
      <c r="G374" s="131"/>
      <c r="H374" s="131"/>
      <c r="I374" s="131"/>
      <c r="J374" s="131"/>
      <c r="K374" s="131"/>
      <c r="L374" s="131"/>
      <c r="M374" s="131"/>
      <c r="N374" s="131"/>
      <c r="O374" s="131"/>
      <c r="P374" s="131"/>
      <c r="Q374" s="131"/>
      <c r="R374" s="131"/>
      <c r="S374" s="131"/>
      <c r="T374" s="131"/>
      <c r="U374" s="131"/>
      <c r="V374" s="131"/>
      <c r="W374" s="131"/>
      <c r="X374" s="131"/>
      <c r="Y374" s="131"/>
    </row>
    <row r="375">
      <c r="A375" s="131"/>
      <c r="B375" s="131"/>
      <c r="C375" s="131"/>
      <c r="D375" s="81"/>
      <c r="E375" s="81"/>
      <c r="F375" s="131"/>
      <c r="G375" s="131"/>
      <c r="H375" s="131"/>
      <c r="I375" s="131"/>
      <c r="J375" s="131"/>
      <c r="K375" s="131"/>
      <c r="L375" s="131"/>
      <c r="M375" s="131"/>
      <c r="N375" s="131"/>
      <c r="O375" s="131"/>
      <c r="P375" s="131"/>
      <c r="Q375" s="131"/>
      <c r="R375" s="131"/>
      <c r="S375" s="131"/>
      <c r="T375" s="131"/>
      <c r="U375" s="131"/>
      <c r="V375" s="131"/>
      <c r="W375" s="131"/>
      <c r="X375" s="131"/>
      <c r="Y375" s="131"/>
    </row>
    <row r="376">
      <c r="A376" s="131"/>
      <c r="B376" s="131"/>
      <c r="C376" s="131"/>
      <c r="D376" s="81"/>
      <c r="E376" s="81"/>
      <c r="F376" s="131"/>
      <c r="G376" s="131"/>
      <c r="H376" s="131"/>
      <c r="I376" s="131"/>
      <c r="J376" s="131"/>
      <c r="K376" s="131"/>
      <c r="L376" s="131"/>
      <c r="M376" s="131"/>
      <c r="N376" s="131"/>
      <c r="O376" s="131"/>
      <c r="P376" s="131"/>
      <c r="Q376" s="131"/>
      <c r="R376" s="131"/>
      <c r="S376" s="131"/>
      <c r="T376" s="131"/>
      <c r="U376" s="131"/>
      <c r="V376" s="131"/>
      <c r="W376" s="131"/>
      <c r="X376" s="131"/>
      <c r="Y376" s="131"/>
    </row>
    <row r="377">
      <c r="A377" s="131"/>
      <c r="B377" s="131"/>
      <c r="C377" s="131"/>
      <c r="D377" s="81"/>
      <c r="E377" s="81"/>
      <c r="F377" s="131"/>
      <c r="G377" s="131"/>
      <c r="H377" s="131"/>
      <c r="I377" s="131"/>
      <c r="J377" s="131"/>
      <c r="K377" s="131"/>
      <c r="L377" s="131"/>
      <c r="M377" s="131"/>
      <c r="N377" s="131"/>
      <c r="O377" s="131"/>
      <c r="P377" s="131"/>
      <c r="Q377" s="131"/>
      <c r="R377" s="131"/>
      <c r="S377" s="131"/>
      <c r="T377" s="131"/>
      <c r="U377" s="131"/>
      <c r="V377" s="131"/>
      <c r="W377" s="131"/>
      <c r="X377" s="131"/>
      <c r="Y377" s="131"/>
    </row>
    <row r="378">
      <c r="A378" s="131"/>
      <c r="B378" s="131"/>
      <c r="C378" s="131"/>
      <c r="D378" s="81"/>
      <c r="E378" s="81"/>
      <c r="F378" s="131"/>
      <c r="G378" s="131"/>
      <c r="H378" s="131"/>
      <c r="I378" s="131"/>
      <c r="J378" s="131"/>
      <c r="K378" s="131"/>
      <c r="L378" s="131"/>
      <c r="M378" s="131"/>
      <c r="N378" s="131"/>
      <c r="O378" s="131"/>
      <c r="P378" s="131"/>
      <c r="Q378" s="131"/>
      <c r="R378" s="131"/>
      <c r="S378" s="131"/>
      <c r="T378" s="131"/>
      <c r="U378" s="131"/>
      <c r="V378" s="131"/>
      <c r="W378" s="131"/>
      <c r="X378" s="131"/>
      <c r="Y378" s="131"/>
    </row>
    <row r="379">
      <c r="A379" s="131"/>
      <c r="B379" s="131"/>
      <c r="C379" s="131"/>
      <c r="D379" s="81"/>
      <c r="E379" s="81"/>
      <c r="F379" s="131"/>
      <c r="G379" s="131"/>
      <c r="H379" s="131"/>
      <c r="I379" s="131"/>
      <c r="J379" s="131"/>
      <c r="K379" s="131"/>
      <c r="L379" s="131"/>
      <c r="M379" s="131"/>
      <c r="N379" s="131"/>
      <c r="O379" s="131"/>
      <c r="P379" s="131"/>
      <c r="Q379" s="131"/>
      <c r="R379" s="131"/>
      <c r="S379" s="131"/>
      <c r="T379" s="131"/>
      <c r="U379" s="131"/>
      <c r="V379" s="131"/>
      <c r="W379" s="131"/>
      <c r="X379" s="131"/>
      <c r="Y379" s="131"/>
    </row>
    <row r="380">
      <c r="A380" s="131"/>
      <c r="B380" s="131"/>
      <c r="C380" s="131"/>
      <c r="D380" s="81"/>
      <c r="E380" s="81"/>
      <c r="F380" s="131"/>
      <c r="G380" s="131"/>
      <c r="H380" s="131"/>
      <c r="I380" s="131"/>
      <c r="J380" s="131"/>
      <c r="K380" s="131"/>
      <c r="L380" s="131"/>
      <c r="M380" s="131"/>
      <c r="N380" s="131"/>
      <c r="O380" s="131"/>
      <c r="P380" s="131"/>
      <c r="Q380" s="131"/>
      <c r="R380" s="131"/>
      <c r="S380" s="131"/>
      <c r="T380" s="131"/>
      <c r="U380" s="131"/>
      <c r="V380" s="131"/>
      <c r="W380" s="131"/>
      <c r="X380" s="131"/>
      <c r="Y380" s="131"/>
    </row>
    <row r="381">
      <c r="A381" s="131"/>
      <c r="B381" s="131"/>
      <c r="C381" s="131"/>
      <c r="D381" s="81"/>
      <c r="E381" s="81"/>
      <c r="F381" s="131"/>
      <c r="G381" s="131"/>
      <c r="H381" s="131"/>
      <c r="I381" s="131"/>
      <c r="J381" s="131"/>
      <c r="K381" s="131"/>
      <c r="L381" s="131"/>
      <c r="M381" s="131"/>
      <c r="N381" s="131"/>
      <c r="O381" s="131"/>
      <c r="P381" s="131"/>
      <c r="Q381" s="131"/>
      <c r="R381" s="131"/>
      <c r="S381" s="131"/>
      <c r="T381" s="131"/>
      <c r="U381" s="131"/>
      <c r="V381" s="131"/>
      <c r="W381" s="131"/>
      <c r="X381" s="131"/>
      <c r="Y381" s="131"/>
    </row>
    <row r="382">
      <c r="A382" s="131"/>
      <c r="B382" s="131"/>
      <c r="C382" s="131"/>
      <c r="D382" s="81"/>
      <c r="E382" s="81"/>
      <c r="F382" s="131"/>
      <c r="G382" s="131"/>
      <c r="H382" s="131"/>
      <c r="I382" s="131"/>
      <c r="J382" s="131"/>
      <c r="K382" s="131"/>
      <c r="L382" s="131"/>
      <c r="M382" s="131"/>
      <c r="N382" s="131"/>
      <c r="O382" s="131"/>
      <c r="P382" s="131"/>
      <c r="Q382" s="131"/>
      <c r="R382" s="131"/>
      <c r="S382" s="131"/>
      <c r="T382" s="131"/>
      <c r="U382" s="131"/>
      <c r="V382" s="131"/>
      <c r="W382" s="131"/>
      <c r="X382" s="131"/>
      <c r="Y382" s="131"/>
    </row>
    <row r="383">
      <c r="A383" s="131"/>
      <c r="B383" s="131"/>
      <c r="C383" s="131"/>
      <c r="D383" s="81"/>
      <c r="E383" s="81"/>
      <c r="F383" s="131"/>
      <c r="G383" s="131"/>
      <c r="H383" s="131"/>
      <c r="I383" s="131"/>
      <c r="J383" s="131"/>
      <c r="K383" s="131"/>
      <c r="L383" s="131"/>
      <c r="M383" s="131"/>
      <c r="N383" s="131"/>
      <c r="O383" s="131"/>
      <c r="P383" s="131"/>
      <c r="Q383" s="131"/>
      <c r="R383" s="131"/>
      <c r="S383" s="131"/>
      <c r="T383" s="131"/>
      <c r="U383" s="131"/>
      <c r="V383" s="131"/>
      <c r="W383" s="131"/>
      <c r="X383" s="131"/>
      <c r="Y383" s="131"/>
    </row>
    <row r="384">
      <c r="A384" s="131"/>
      <c r="B384" s="131"/>
      <c r="C384" s="131"/>
      <c r="D384" s="81"/>
      <c r="E384" s="81"/>
      <c r="F384" s="131"/>
      <c r="G384" s="131"/>
      <c r="H384" s="131"/>
      <c r="I384" s="131"/>
      <c r="J384" s="131"/>
      <c r="K384" s="131"/>
      <c r="L384" s="131"/>
      <c r="M384" s="131"/>
      <c r="N384" s="131"/>
      <c r="O384" s="131"/>
      <c r="P384" s="131"/>
      <c r="Q384" s="131"/>
      <c r="R384" s="131"/>
      <c r="S384" s="131"/>
      <c r="T384" s="131"/>
      <c r="U384" s="131"/>
      <c r="V384" s="131"/>
      <c r="W384" s="131"/>
      <c r="X384" s="131"/>
      <c r="Y384" s="131"/>
    </row>
    <row r="385">
      <c r="A385" s="131"/>
      <c r="B385" s="131"/>
      <c r="C385" s="131"/>
      <c r="D385" s="81"/>
      <c r="E385" s="81"/>
      <c r="F385" s="131"/>
      <c r="G385" s="131"/>
      <c r="H385" s="131"/>
      <c r="I385" s="131"/>
      <c r="J385" s="131"/>
      <c r="K385" s="131"/>
      <c r="L385" s="131"/>
      <c r="M385" s="131"/>
      <c r="N385" s="131"/>
      <c r="O385" s="131"/>
      <c r="P385" s="131"/>
      <c r="Q385" s="131"/>
      <c r="R385" s="131"/>
      <c r="S385" s="131"/>
      <c r="T385" s="131"/>
      <c r="U385" s="131"/>
      <c r="V385" s="131"/>
      <c r="W385" s="131"/>
      <c r="X385" s="131"/>
      <c r="Y385" s="131"/>
    </row>
    <row r="386">
      <c r="A386" s="131"/>
      <c r="B386" s="131"/>
      <c r="C386" s="131"/>
      <c r="D386" s="81"/>
      <c r="E386" s="81"/>
      <c r="F386" s="131"/>
      <c r="G386" s="131"/>
      <c r="H386" s="131"/>
      <c r="I386" s="131"/>
      <c r="J386" s="131"/>
      <c r="K386" s="131"/>
      <c r="L386" s="131"/>
      <c r="M386" s="131"/>
      <c r="N386" s="131"/>
      <c r="O386" s="131"/>
      <c r="P386" s="131"/>
      <c r="Q386" s="131"/>
      <c r="R386" s="131"/>
      <c r="S386" s="131"/>
      <c r="T386" s="131"/>
      <c r="U386" s="131"/>
      <c r="V386" s="131"/>
      <c r="W386" s="131"/>
      <c r="X386" s="131"/>
      <c r="Y386" s="131"/>
    </row>
    <row r="387">
      <c r="A387" s="131"/>
      <c r="B387" s="131"/>
      <c r="C387" s="131"/>
      <c r="D387" s="81"/>
      <c r="E387" s="81"/>
      <c r="F387" s="131"/>
      <c r="G387" s="131"/>
      <c r="H387" s="131"/>
      <c r="I387" s="131"/>
      <c r="J387" s="131"/>
      <c r="K387" s="131"/>
      <c r="L387" s="131"/>
      <c r="M387" s="131"/>
      <c r="N387" s="131"/>
      <c r="O387" s="131"/>
      <c r="P387" s="131"/>
      <c r="Q387" s="131"/>
      <c r="R387" s="131"/>
      <c r="S387" s="131"/>
      <c r="T387" s="131"/>
      <c r="U387" s="131"/>
      <c r="V387" s="131"/>
      <c r="W387" s="131"/>
      <c r="X387" s="131"/>
      <c r="Y387" s="131"/>
    </row>
    <row r="388">
      <c r="A388" s="131"/>
      <c r="B388" s="131"/>
      <c r="C388" s="131"/>
      <c r="D388" s="81"/>
      <c r="E388" s="81"/>
      <c r="F388" s="131"/>
      <c r="G388" s="131"/>
      <c r="H388" s="131"/>
      <c r="I388" s="131"/>
      <c r="J388" s="131"/>
      <c r="K388" s="131"/>
      <c r="L388" s="131"/>
      <c r="M388" s="131"/>
      <c r="N388" s="131"/>
      <c r="O388" s="131"/>
      <c r="P388" s="131"/>
      <c r="Q388" s="131"/>
      <c r="R388" s="131"/>
      <c r="S388" s="131"/>
      <c r="T388" s="131"/>
      <c r="U388" s="131"/>
      <c r="V388" s="131"/>
      <c r="W388" s="131"/>
      <c r="X388" s="131"/>
      <c r="Y388" s="131"/>
    </row>
    <row r="389">
      <c r="A389" s="131"/>
      <c r="B389" s="131"/>
      <c r="C389" s="131"/>
      <c r="D389" s="81"/>
      <c r="E389" s="81"/>
      <c r="F389" s="131"/>
      <c r="G389" s="131"/>
      <c r="H389" s="131"/>
      <c r="I389" s="131"/>
      <c r="J389" s="131"/>
      <c r="K389" s="131"/>
      <c r="L389" s="131"/>
      <c r="M389" s="131"/>
      <c r="N389" s="131"/>
      <c r="O389" s="131"/>
      <c r="P389" s="131"/>
      <c r="Q389" s="131"/>
      <c r="R389" s="131"/>
      <c r="S389" s="131"/>
      <c r="T389" s="131"/>
      <c r="U389" s="131"/>
      <c r="V389" s="131"/>
      <c r="W389" s="131"/>
      <c r="X389" s="131"/>
      <c r="Y389" s="131"/>
    </row>
    <row r="390">
      <c r="A390" s="131"/>
      <c r="B390" s="131"/>
      <c r="C390" s="131"/>
      <c r="D390" s="81"/>
      <c r="E390" s="81"/>
      <c r="F390" s="131"/>
      <c r="G390" s="131"/>
      <c r="H390" s="131"/>
      <c r="I390" s="131"/>
      <c r="J390" s="131"/>
      <c r="K390" s="131"/>
      <c r="L390" s="131"/>
      <c r="M390" s="131"/>
      <c r="N390" s="131"/>
      <c r="O390" s="131"/>
      <c r="P390" s="131"/>
      <c r="Q390" s="131"/>
      <c r="R390" s="131"/>
      <c r="S390" s="131"/>
      <c r="T390" s="131"/>
      <c r="U390" s="131"/>
      <c r="V390" s="131"/>
      <c r="W390" s="131"/>
      <c r="X390" s="131"/>
      <c r="Y390" s="131"/>
    </row>
    <row r="391">
      <c r="A391" s="131"/>
      <c r="B391" s="131"/>
      <c r="C391" s="131"/>
      <c r="D391" s="81"/>
      <c r="E391" s="81"/>
      <c r="F391" s="131"/>
      <c r="G391" s="131"/>
      <c r="H391" s="131"/>
      <c r="I391" s="131"/>
      <c r="J391" s="131"/>
      <c r="K391" s="131"/>
      <c r="L391" s="131"/>
      <c r="M391" s="131"/>
      <c r="N391" s="131"/>
      <c r="O391" s="131"/>
      <c r="P391" s="131"/>
      <c r="Q391" s="131"/>
      <c r="R391" s="131"/>
      <c r="S391" s="131"/>
      <c r="T391" s="131"/>
      <c r="U391" s="131"/>
      <c r="V391" s="131"/>
      <c r="W391" s="131"/>
      <c r="X391" s="131"/>
      <c r="Y391" s="131"/>
    </row>
    <row r="392">
      <c r="A392" s="131"/>
      <c r="B392" s="131"/>
      <c r="C392" s="131"/>
      <c r="D392" s="81"/>
      <c r="E392" s="81"/>
      <c r="F392" s="131"/>
      <c r="G392" s="131"/>
      <c r="H392" s="131"/>
      <c r="I392" s="131"/>
      <c r="J392" s="131"/>
      <c r="K392" s="131"/>
      <c r="L392" s="131"/>
      <c r="M392" s="131"/>
      <c r="N392" s="131"/>
      <c r="O392" s="131"/>
      <c r="P392" s="131"/>
      <c r="Q392" s="131"/>
      <c r="R392" s="131"/>
      <c r="S392" s="131"/>
      <c r="T392" s="131"/>
      <c r="U392" s="131"/>
      <c r="V392" s="131"/>
      <c r="W392" s="131"/>
      <c r="X392" s="131"/>
      <c r="Y392" s="131"/>
    </row>
    <row r="393">
      <c r="A393" s="131"/>
      <c r="B393" s="131"/>
      <c r="C393" s="131"/>
      <c r="D393" s="81"/>
      <c r="E393" s="81"/>
      <c r="F393" s="131"/>
      <c r="G393" s="131"/>
      <c r="H393" s="131"/>
      <c r="I393" s="131"/>
      <c r="J393" s="131"/>
      <c r="K393" s="131"/>
      <c r="L393" s="131"/>
      <c r="M393" s="131"/>
      <c r="N393" s="131"/>
      <c r="O393" s="131"/>
      <c r="P393" s="131"/>
      <c r="Q393" s="131"/>
      <c r="R393" s="131"/>
      <c r="S393" s="131"/>
      <c r="T393" s="131"/>
      <c r="U393" s="131"/>
      <c r="V393" s="131"/>
      <c r="W393" s="131"/>
      <c r="X393" s="131"/>
      <c r="Y393" s="131"/>
    </row>
    <row r="394">
      <c r="A394" s="131"/>
      <c r="B394" s="131"/>
      <c r="C394" s="131"/>
      <c r="D394" s="81"/>
      <c r="E394" s="81"/>
      <c r="F394" s="131"/>
      <c r="G394" s="131"/>
      <c r="H394" s="131"/>
      <c r="I394" s="131"/>
      <c r="J394" s="131"/>
      <c r="K394" s="131"/>
      <c r="L394" s="131"/>
      <c r="M394" s="131"/>
      <c r="N394" s="131"/>
      <c r="O394" s="131"/>
      <c r="P394" s="131"/>
      <c r="Q394" s="131"/>
      <c r="R394" s="131"/>
      <c r="S394" s="131"/>
      <c r="T394" s="131"/>
      <c r="U394" s="131"/>
      <c r="V394" s="131"/>
      <c r="W394" s="131"/>
      <c r="X394" s="131"/>
      <c r="Y394" s="131"/>
    </row>
    <row r="395">
      <c r="A395" s="131"/>
      <c r="B395" s="131"/>
      <c r="C395" s="131"/>
      <c r="D395" s="81"/>
      <c r="E395" s="81"/>
      <c r="F395" s="131"/>
      <c r="G395" s="131"/>
      <c r="H395" s="131"/>
      <c r="I395" s="131"/>
      <c r="J395" s="131"/>
      <c r="K395" s="131"/>
      <c r="L395" s="131"/>
      <c r="M395" s="131"/>
      <c r="N395" s="131"/>
      <c r="O395" s="131"/>
      <c r="P395" s="131"/>
      <c r="Q395" s="131"/>
      <c r="R395" s="131"/>
      <c r="S395" s="131"/>
      <c r="T395" s="131"/>
      <c r="U395" s="131"/>
      <c r="V395" s="131"/>
      <c r="W395" s="131"/>
      <c r="X395" s="131"/>
      <c r="Y395" s="131"/>
    </row>
    <row r="396">
      <c r="A396" s="131"/>
      <c r="B396" s="131"/>
      <c r="C396" s="131"/>
      <c r="D396" s="81"/>
      <c r="E396" s="81"/>
      <c r="F396" s="131"/>
      <c r="G396" s="131"/>
      <c r="H396" s="131"/>
      <c r="I396" s="131"/>
      <c r="J396" s="131"/>
      <c r="K396" s="131"/>
      <c r="L396" s="131"/>
      <c r="M396" s="131"/>
      <c r="N396" s="131"/>
      <c r="O396" s="131"/>
      <c r="P396" s="131"/>
      <c r="Q396" s="131"/>
      <c r="R396" s="131"/>
      <c r="S396" s="131"/>
      <c r="T396" s="131"/>
      <c r="U396" s="131"/>
      <c r="V396" s="131"/>
      <c r="W396" s="131"/>
      <c r="X396" s="131"/>
      <c r="Y396" s="131"/>
    </row>
    <row r="397">
      <c r="A397" s="131"/>
      <c r="B397" s="131"/>
      <c r="C397" s="131"/>
      <c r="D397" s="81"/>
      <c r="E397" s="81"/>
      <c r="F397" s="131"/>
      <c r="G397" s="131"/>
      <c r="H397" s="131"/>
      <c r="I397" s="131"/>
      <c r="J397" s="131"/>
      <c r="K397" s="131"/>
      <c r="L397" s="131"/>
      <c r="M397" s="131"/>
      <c r="N397" s="131"/>
      <c r="O397" s="131"/>
      <c r="P397" s="131"/>
      <c r="Q397" s="131"/>
      <c r="R397" s="131"/>
      <c r="S397" s="131"/>
      <c r="T397" s="131"/>
      <c r="U397" s="131"/>
      <c r="V397" s="131"/>
      <c r="W397" s="131"/>
      <c r="X397" s="131"/>
      <c r="Y397" s="131"/>
    </row>
    <row r="398">
      <c r="A398" s="131"/>
      <c r="B398" s="131"/>
      <c r="C398" s="131"/>
      <c r="D398" s="81"/>
      <c r="E398" s="81"/>
      <c r="F398" s="131"/>
      <c r="G398" s="131"/>
      <c r="H398" s="131"/>
      <c r="I398" s="131"/>
      <c r="J398" s="131"/>
      <c r="K398" s="131"/>
      <c r="L398" s="131"/>
      <c r="M398" s="131"/>
      <c r="N398" s="131"/>
      <c r="O398" s="131"/>
      <c r="P398" s="131"/>
      <c r="Q398" s="131"/>
      <c r="R398" s="131"/>
      <c r="S398" s="131"/>
      <c r="T398" s="131"/>
      <c r="U398" s="131"/>
      <c r="V398" s="131"/>
      <c r="W398" s="131"/>
      <c r="X398" s="131"/>
      <c r="Y398" s="131"/>
    </row>
    <row r="399">
      <c r="A399" s="131"/>
      <c r="B399" s="131"/>
      <c r="C399" s="131"/>
      <c r="D399" s="81"/>
      <c r="E399" s="81"/>
      <c r="F399" s="131"/>
      <c r="G399" s="131"/>
      <c r="H399" s="131"/>
      <c r="I399" s="131"/>
      <c r="J399" s="131"/>
      <c r="K399" s="131"/>
      <c r="L399" s="131"/>
      <c r="M399" s="131"/>
      <c r="N399" s="131"/>
      <c r="O399" s="131"/>
      <c r="P399" s="131"/>
      <c r="Q399" s="131"/>
      <c r="R399" s="131"/>
      <c r="S399" s="131"/>
      <c r="T399" s="131"/>
      <c r="U399" s="131"/>
      <c r="V399" s="131"/>
      <c r="W399" s="131"/>
      <c r="X399" s="131"/>
      <c r="Y399" s="131"/>
    </row>
    <row r="400">
      <c r="A400" s="131"/>
      <c r="B400" s="131"/>
      <c r="C400" s="131"/>
      <c r="D400" s="81"/>
      <c r="E400" s="81"/>
      <c r="F400" s="131"/>
      <c r="G400" s="131"/>
      <c r="H400" s="131"/>
      <c r="I400" s="131"/>
      <c r="J400" s="131"/>
      <c r="K400" s="131"/>
      <c r="L400" s="131"/>
      <c r="M400" s="131"/>
      <c r="N400" s="131"/>
      <c r="O400" s="131"/>
      <c r="P400" s="131"/>
      <c r="Q400" s="131"/>
      <c r="R400" s="131"/>
      <c r="S400" s="131"/>
      <c r="T400" s="131"/>
      <c r="U400" s="131"/>
      <c r="V400" s="131"/>
      <c r="W400" s="131"/>
      <c r="X400" s="131"/>
      <c r="Y400" s="131"/>
    </row>
    <row r="401">
      <c r="A401" s="131"/>
      <c r="B401" s="131"/>
      <c r="C401" s="131"/>
      <c r="D401" s="81"/>
      <c r="E401" s="81"/>
      <c r="F401" s="131"/>
      <c r="G401" s="131"/>
      <c r="H401" s="131"/>
      <c r="I401" s="131"/>
      <c r="J401" s="131"/>
      <c r="K401" s="131"/>
      <c r="L401" s="131"/>
      <c r="M401" s="131"/>
      <c r="N401" s="131"/>
      <c r="O401" s="131"/>
      <c r="P401" s="131"/>
      <c r="Q401" s="131"/>
      <c r="R401" s="131"/>
      <c r="S401" s="131"/>
      <c r="T401" s="131"/>
      <c r="U401" s="131"/>
      <c r="V401" s="131"/>
      <c r="W401" s="131"/>
      <c r="X401" s="131"/>
      <c r="Y401" s="131"/>
    </row>
    <row r="402">
      <c r="A402" s="131"/>
      <c r="B402" s="131"/>
      <c r="C402" s="131"/>
      <c r="D402" s="81"/>
      <c r="E402" s="81"/>
      <c r="F402" s="131"/>
      <c r="G402" s="131"/>
      <c r="H402" s="131"/>
      <c r="I402" s="131"/>
      <c r="J402" s="131"/>
      <c r="K402" s="131"/>
      <c r="L402" s="131"/>
      <c r="M402" s="131"/>
      <c r="N402" s="131"/>
      <c r="O402" s="131"/>
      <c r="P402" s="131"/>
      <c r="Q402" s="131"/>
      <c r="R402" s="131"/>
      <c r="S402" s="131"/>
      <c r="T402" s="131"/>
      <c r="U402" s="131"/>
      <c r="V402" s="131"/>
      <c r="W402" s="131"/>
      <c r="X402" s="131"/>
      <c r="Y402" s="131"/>
    </row>
    <row r="403">
      <c r="A403" s="131"/>
      <c r="B403" s="131"/>
      <c r="C403" s="131"/>
      <c r="D403" s="81"/>
      <c r="E403" s="81"/>
      <c r="F403" s="131"/>
      <c r="G403" s="131"/>
      <c r="H403" s="131"/>
      <c r="I403" s="131"/>
      <c r="J403" s="131"/>
      <c r="K403" s="131"/>
      <c r="L403" s="131"/>
      <c r="M403" s="131"/>
      <c r="N403" s="131"/>
      <c r="O403" s="131"/>
      <c r="P403" s="131"/>
      <c r="Q403" s="131"/>
      <c r="R403" s="131"/>
      <c r="S403" s="131"/>
      <c r="T403" s="131"/>
      <c r="U403" s="131"/>
      <c r="V403" s="131"/>
      <c r="W403" s="131"/>
      <c r="X403" s="131"/>
      <c r="Y403" s="131"/>
    </row>
    <row r="404">
      <c r="A404" s="131"/>
      <c r="B404" s="131"/>
      <c r="C404" s="131"/>
      <c r="D404" s="81"/>
      <c r="E404" s="81"/>
      <c r="F404" s="131"/>
      <c r="G404" s="131"/>
      <c r="H404" s="131"/>
      <c r="I404" s="131"/>
      <c r="J404" s="131"/>
      <c r="K404" s="131"/>
      <c r="L404" s="131"/>
      <c r="M404" s="131"/>
      <c r="N404" s="131"/>
      <c r="O404" s="131"/>
      <c r="P404" s="131"/>
      <c r="Q404" s="131"/>
      <c r="R404" s="131"/>
      <c r="S404" s="131"/>
      <c r="T404" s="131"/>
      <c r="U404" s="131"/>
      <c r="V404" s="131"/>
      <c r="W404" s="131"/>
      <c r="X404" s="131"/>
      <c r="Y404" s="131"/>
    </row>
    <row r="405">
      <c r="A405" s="131"/>
      <c r="B405" s="131"/>
      <c r="C405" s="131"/>
      <c r="D405" s="81"/>
      <c r="E405" s="81"/>
      <c r="F405" s="131"/>
      <c r="G405" s="131"/>
      <c r="H405" s="131"/>
      <c r="I405" s="131"/>
      <c r="J405" s="131"/>
      <c r="K405" s="131"/>
      <c r="L405" s="131"/>
      <c r="M405" s="131"/>
      <c r="N405" s="131"/>
      <c r="O405" s="131"/>
      <c r="P405" s="131"/>
      <c r="Q405" s="131"/>
      <c r="R405" s="131"/>
      <c r="S405" s="131"/>
      <c r="T405" s="131"/>
      <c r="U405" s="131"/>
      <c r="V405" s="131"/>
      <c r="W405" s="131"/>
      <c r="X405" s="131"/>
      <c r="Y405" s="131"/>
    </row>
    <row r="406">
      <c r="A406" s="131"/>
      <c r="B406" s="131"/>
      <c r="C406" s="131"/>
      <c r="D406" s="81"/>
      <c r="E406" s="81"/>
      <c r="F406" s="131"/>
      <c r="G406" s="131"/>
      <c r="H406" s="131"/>
      <c r="I406" s="131"/>
      <c r="J406" s="131"/>
      <c r="K406" s="131"/>
      <c r="L406" s="131"/>
      <c r="M406" s="131"/>
      <c r="N406" s="131"/>
      <c r="O406" s="131"/>
      <c r="P406" s="131"/>
      <c r="Q406" s="131"/>
      <c r="R406" s="131"/>
      <c r="S406" s="131"/>
      <c r="T406" s="131"/>
      <c r="U406" s="131"/>
      <c r="V406" s="131"/>
      <c r="W406" s="131"/>
      <c r="X406" s="131"/>
      <c r="Y406" s="131"/>
    </row>
    <row r="407">
      <c r="A407" s="131"/>
      <c r="B407" s="131"/>
      <c r="C407" s="131"/>
      <c r="D407" s="81"/>
      <c r="E407" s="81"/>
      <c r="F407" s="131"/>
      <c r="G407" s="131"/>
      <c r="H407" s="131"/>
      <c r="I407" s="131"/>
      <c r="J407" s="131"/>
      <c r="K407" s="131"/>
      <c r="L407" s="131"/>
      <c r="M407" s="131"/>
      <c r="N407" s="131"/>
      <c r="O407" s="131"/>
      <c r="P407" s="131"/>
      <c r="Q407" s="131"/>
      <c r="R407" s="131"/>
      <c r="S407" s="131"/>
      <c r="T407" s="131"/>
      <c r="U407" s="131"/>
      <c r="V407" s="131"/>
      <c r="W407" s="131"/>
      <c r="X407" s="131"/>
      <c r="Y407" s="131"/>
    </row>
    <row r="408">
      <c r="A408" s="131"/>
      <c r="B408" s="131"/>
      <c r="C408" s="131"/>
      <c r="D408" s="81"/>
      <c r="E408" s="81"/>
      <c r="F408" s="131"/>
      <c r="G408" s="131"/>
      <c r="H408" s="131"/>
      <c r="I408" s="131"/>
      <c r="J408" s="131"/>
      <c r="K408" s="131"/>
      <c r="L408" s="131"/>
      <c r="M408" s="131"/>
      <c r="N408" s="131"/>
      <c r="O408" s="131"/>
      <c r="P408" s="131"/>
      <c r="Q408" s="131"/>
      <c r="R408" s="131"/>
      <c r="S408" s="131"/>
      <c r="T408" s="131"/>
      <c r="U408" s="131"/>
      <c r="V408" s="131"/>
      <c r="W408" s="131"/>
      <c r="X408" s="131"/>
      <c r="Y408" s="131"/>
    </row>
    <row r="409">
      <c r="A409" s="131"/>
      <c r="B409" s="131"/>
      <c r="C409" s="131"/>
      <c r="D409" s="81"/>
      <c r="E409" s="81"/>
      <c r="F409" s="131"/>
      <c r="G409" s="131"/>
      <c r="H409" s="131"/>
      <c r="I409" s="131"/>
      <c r="J409" s="131"/>
      <c r="K409" s="131"/>
      <c r="L409" s="131"/>
      <c r="M409" s="131"/>
      <c r="N409" s="131"/>
      <c r="O409" s="131"/>
      <c r="P409" s="131"/>
      <c r="Q409" s="131"/>
      <c r="R409" s="131"/>
      <c r="S409" s="131"/>
      <c r="T409" s="131"/>
      <c r="U409" s="131"/>
      <c r="V409" s="131"/>
      <c r="W409" s="131"/>
      <c r="X409" s="131"/>
      <c r="Y409" s="131"/>
    </row>
    <row r="410">
      <c r="A410" s="131"/>
      <c r="B410" s="131"/>
      <c r="C410" s="131"/>
      <c r="D410" s="81"/>
      <c r="E410" s="81"/>
      <c r="F410" s="131"/>
      <c r="G410" s="131"/>
      <c r="H410" s="131"/>
      <c r="I410" s="131"/>
      <c r="J410" s="131"/>
      <c r="K410" s="131"/>
      <c r="L410" s="131"/>
      <c r="M410" s="131"/>
      <c r="N410" s="131"/>
      <c r="O410" s="131"/>
      <c r="P410" s="131"/>
      <c r="Q410" s="131"/>
      <c r="R410" s="131"/>
      <c r="S410" s="131"/>
      <c r="T410" s="131"/>
      <c r="U410" s="131"/>
      <c r="V410" s="131"/>
      <c r="W410" s="131"/>
      <c r="X410" s="131"/>
      <c r="Y410" s="131"/>
    </row>
    <row r="411">
      <c r="A411" s="131"/>
      <c r="B411" s="131"/>
      <c r="C411" s="131"/>
      <c r="D411" s="81"/>
      <c r="E411" s="81"/>
      <c r="F411" s="131"/>
      <c r="G411" s="131"/>
      <c r="H411" s="131"/>
      <c r="I411" s="131"/>
      <c r="J411" s="131"/>
      <c r="K411" s="131"/>
      <c r="L411" s="131"/>
      <c r="M411" s="131"/>
      <c r="N411" s="131"/>
      <c r="O411" s="131"/>
      <c r="P411" s="131"/>
      <c r="Q411" s="131"/>
      <c r="R411" s="131"/>
      <c r="S411" s="131"/>
      <c r="T411" s="131"/>
      <c r="U411" s="131"/>
      <c r="V411" s="131"/>
      <c r="W411" s="131"/>
      <c r="X411" s="131"/>
      <c r="Y411" s="131"/>
    </row>
    <row r="412">
      <c r="A412" s="131"/>
      <c r="B412" s="131"/>
      <c r="C412" s="131"/>
      <c r="D412" s="81"/>
      <c r="E412" s="81"/>
      <c r="F412" s="131"/>
      <c r="G412" s="131"/>
      <c r="H412" s="131"/>
      <c r="I412" s="131"/>
      <c r="J412" s="131"/>
      <c r="K412" s="131"/>
      <c r="L412" s="131"/>
      <c r="M412" s="131"/>
      <c r="N412" s="131"/>
      <c r="O412" s="131"/>
      <c r="P412" s="131"/>
      <c r="Q412" s="131"/>
      <c r="R412" s="131"/>
      <c r="S412" s="131"/>
      <c r="T412" s="131"/>
      <c r="U412" s="131"/>
      <c r="V412" s="131"/>
      <c r="W412" s="131"/>
      <c r="X412" s="131"/>
      <c r="Y412" s="131"/>
    </row>
    <row r="413">
      <c r="A413" s="131"/>
      <c r="B413" s="131"/>
      <c r="C413" s="131"/>
      <c r="D413" s="81"/>
      <c r="E413" s="81"/>
      <c r="F413" s="131"/>
      <c r="G413" s="131"/>
      <c r="H413" s="131"/>
      <c r="I413" s="131"/>
      <c r="J413" s="131"/>
      <c r="K413" s="131"/>
      <c r="L413" s="131"/>
      <c r="M413" s="131"/>
      <c r="N413" s="131"/>
      <c r="O413" s="131"/>
      <c r="P413" s="131"/>
      <c r="Q413" s="131"/>
      <c r="R413" s="131"/>
      <c r="S413" s="131"/>
      <c r="T413" s="131"/>
      <c r="U413" s="131"/>
      <c r="V413" s="131"/>
      <c r="W413" s="131"/>
      <c r="X413" s="131"/>
      <c r="Y413" s="131"/>
    </row>
    <row r="414">
      <c r="A414" s="131"/>
      <c r="B414" s="131"/>
      <c r="C414" s="131"/>
      <c r="D414" s="81"/>
      <c r="E414" s="81"/>
      <c r="F414" s="131"/>
      <c r="G414" s="131"/>
      <c r="H414" s="131"/>
      <c r="I414" s="131"/>
      <c r="J414" s="131"/>
      <c r="K414" s="131"/>
      <c r="L414" s="131"/>
      <c r="M414" s="131"/>
      <c r="N414" s="131"/>
      <c r="O414" s="131"/>
      <c r="P414" s="131"/>
      <c r="Q414" s="131"/>
      <c r="R414" s="131"/>
      <c r="S414" s="131"/>
      <c r="T414" s="131"/>
      <c r="U414" s="131"/>
      <c r="V414" s="131"/>
      <c r="W414" s="131"/>
      <c r="X414" s="131"/>
      <c r="Y414" s="131"/>
    </row>
    <row r="415">
      <c r="A415" s="131"/>
      <c r="B415" s="131"/>
      <c r="C415" s="131"/>
      <c r="D415" s="81"/>
      <c r="E415" s="81"/>
      <c r="F415" s="131"/>
      <c r="G415" s="131"/>
      <c r="H415" s="131"/>
      <c r="I415" s="131"/>
      <c r="J415" s="131"/>
      <c r="K415" s="131"/>
      <c r="L415" s="131"/>
      <c r="M415" s="131"/>
      <c r="N415" s="131"/>
      <c r="O415" s="131"/>
      <c r="P415" s="131"/>
      <c r="Q415" s="131"/>
      <c r="R415" s="131"/>
      <c r="S415" s="131"/>
      <c r="T415" s="131"/>
      <c r="U415" s="131"/>
      <c r="V415" s="131"/>
      <c r="W415" s="131"/>
      <c r="X415" s="131"/>
      <c r="Y415" s="131"/>
    </row>
    <row r="416">
      <c r="A416" s="131"/>
      <c r="B416" s="131"/>
      <c r="C416" s="131"/>
      <c r="D416" s="81"/>
      <c r="E416" s="81"/>
      <c r="F416" s="131"/>
      <c r="G416" s="131"/>
      <c r="H416" s="131"/>
      <c r="I416" s="131"/>
      <c r="J416" s="131"/>
      <c r="K416" s="131"/>
      <c r="L416" s="131"/>
      <c r="M416" s="131"/>
      <c r="N416" s="131"/>
      <c r="O416" s="131"/>
      <c r="P416" s="131"/>
      <c r="Q416" s="131"/>
      <c r="R416" s="131"/>
      <c r="S416" s="131"/>
      <c r="T416" s="131"/>
      <c r="U416" s="131"/>
      <c r="V416" s="131"/>
      <c r="W416" s="131"/>
      <c r="X416" s="131"/>
      <c r="Y416" s="131"/>
    </row>
    <row r="417">
      <c r="A417" s="131"/>
      <c r="B417" s="131"/>
      <c r="C417" s="131"/>
      <c r="D417" s="81"/>
      <c r="E417" s="81"/>
      <c r="F417" s="131"/>
      <c r="G417" s="131"/>
      <c r="H417" s="131"/>
      <c r="I417" s="131"/>
      <c r="J417" s="131"/>
      <c r="K417" s="131"/>
      <c r="L417" s="131"/>
      <c r="M417" s="131"/>
      <c r="N417" s="131"/>
      <c r="O417" s="131"/>
      <c r="P417" s="131"/>
      <c r="Q417" s="131"/>
      <c r="R417" s="131"/>
      <c r="S417" s="131"/>
      <c r="T417" s="131"/>
      <c r="U417" s="131"/>
      <c r="V417" s="131"/>
      <c r="W417" s="131"/>
      <c r="X417" s="131"/>
      <c r="Y417" s="131"/>
    </row>
    <row r="418">
      <c r="A418" s="131"/>
      <c r="B418" s="131"/>
      <c r="C418" s="131"/>
      <c r="D418" s="81"/>
      <c r="E418" s="81"/>
      <c r="F418" s="131"/>
      <c r="G418" s="131"/>
      <c r="H418" s="131"/>
      <c r="I418" s="131"/>
      <c r="J418" s="131"/>
      <c r="K418" s="131"/>
      <c r="L418" s="131"/>
      <c r="M418" s="131"/>
      <c r="N418" s="131"/>
      <c r="O418" s="131"/>
      <c r="P418" s="131"/>
      <c r="Q418" s="131"/>
      <c r="R418" s="131"/>
      <c r="S418" s="131"/>
      <c r="T418" s="131"/>
      <c r="U418" s="131"/>
      <c r="V418" s="131"/>
      <c r="W418" s="131"/>
      <c r="X418" s="131"/>
      <c r="Y418" s="131"/>
    </row>
    <row r="419">
      <c r="A419" s="131"/>
      <c r="B419" s="131"/>
      <c r="C419" s="131"/>
      <c r="D419" s="81"/>
      <c r="E419" s="81"/>
      <c r="F419" s="131"/>
      <c r="G419" s="131"/>
      <c r="H419" s="131"/>
      <c r="I419" s="131"/>
      <c r="J419" s="131"/>
      <c r="K419" s="131"/>
      <c r="L419" s="131"/>
      <c r="M419" s="131"/>
      <c r="N419" s="131"/>
      <c r="O419" s="131"/>
      <c r="P419" s="131"/>
      <c r="Q419" s="131"/>
      <c r="R419" s="131"/>
      <c r="S419" s="131"/>
      <c r="T419" s="131"/>
      <c r="U419" s="131"/>
      <c r="V419" s="131"/>
      <c r="W419" s="131"/>
      <c r="X419" s="131"/>
      <c r="Y419" s="131"/>
    </row>
    <row r="420">
      <c r="A420" s="131"/>
      <c r="B420" s="131"/>
      <c r="C420" s="131"/>
      <c r="D420" s="81"/>
      <c r="E420" s="81"/>
      <c r="F420" s="131"/>
      <c r="G420" s="131"/>
      <c r="H420" s="131"/>
      <c r="I420" s="131"/>
      <c r="J420" s="131"/>
      <c r="K420" s="131"/>
      <c r="L420" s="131"/>
      <c r="M420" s="131"/>
      <c r="N420" s="131"/>
      <c r="O420" s="131"/>
      <c r="P420" s="131"/>
      <c r="Q420" s="131"/>
      <c r="R420" s="131"/>
      <c r="S420" s="131"/>
      <c r="T420" s="131"/>
      <c r="U420" s="131"/>
      <c r="V420" s="131"/>
      <c r="W420" s="131"/>
      <c r="X420" s="131"/>
      <c r="Y420" s="131"/>
    </row>
    <row r="421">
      <c r="A421" s="131"/>
      <c r="B421" s="131"/>
      <c r="C421" s="131"/>
      <c r="D421" s="81"/>
      <c r="E421" s="81"/>
      <c r="F421" s="131"/>
      <c r="G421" s="131"/>
      <c r="H421" s="131"/>
      <c r="I421" s="131"/>
      <c r="J421" s="131"/>
      <c r="K421" s="131"/>
      <c r="L421" s="131"/>
      <c r="M421" s="131"/>
      <c r="N421" s="131"/>
      <c r="O421" s="131"/>
      <c r="P421" s="131"/>
      <c r="Q421" s="131"/>
      <c r="R421" s="131"/>
      <c r="S421" s="131"/>
      <c r="T421" s="131"/>
      <c r="U421" s="131"/>
      <c r="V421" s="131"/>
      <c r="W421" s="131"/>
      <c r="X421" s="131"/>
      <c r="Y421" s="131"/>
    </row>
    <row r="422">
      <c r="A422" s="131"/>
      <c r="B422" s="131"/>
      <c r="C422" s="131"/>
      <c r="D422" s="81"/>
      <c r="E422" s="81"/>
      <c r="F422" s="131"/>
      <c r="G422" s="131"/>
      <c r="H422" s="131"/>
      <c r="I422" s="131"/>
      <c r="J422" s="131"/>
      <c r="K422" s="131"/>
      <c r="L422" s="131"/>
      <c r="M422" s="131"/>
      <c r="N422" s="131"/>
      <c r="O422" s="131"/>
      <c r="P422" s="131"/>
      <c r="Q422" s="131"/>
      <c r="R422" s="131"/>
      <c r="S422" s="131"/>
      <c r="T422" s="131"/>
      <c r="U422" s="131"/>
      <c r="V422" s="131"/>
      <c r="W422" s="131"/>
      <c r="X422" s="131"/>
      <c r="Y422" s="131"/>
    </row>
    <row r="423">
      <c r="A423" s="131"/>
      <c r="B423" s="131"/>
      <c r="C423" s="131"/>
      <c r="D423" s="81"/>
      <c r="E423" s="81"/>
      <c r="F423" s="131"/>
      <c r="G423" s="131"/>
      <c r="H423" s="131"/>
      <c r="I423" s="131"/>
      <c r="J423" s="131"/>
      <c r="K423" s="131"/>
      <c r="L423" s="131"/>
      <c r="M423" s="131"/>
      <c r="N423" s="131"/>
      <c r="O423" s="131"/>
      <c r="P423" s="131"/>
      <c r="Q423" s="131"/>
      <c r="R423" s="131"/>
      <c r="S423" s="131"/>
      <c r="T423" s="131"/>
      <c r="U423" s="131"/>
      <c r="V423" s="131"/>
      <c r="W423" s="131"/>
      <c r="X423" s="131"/>
      <c r="Y423" s="131"/>
    </row>
    <row r="424">
      <c r="A424" s="131"/>
      <c r="B424" s="131"/>
      <c r="C424" s="131"/>
      <c r="D424" s="81"/>
      <c r="E424" s="81"/>
      <c r="F424" s="131"/>
      <c r="G424" s="131"/>
      <c r="H424" s="131"/>
      <c r="I424" s="131"/>
      <c r="J424" s="131"/>
      <c r="K424" s="131"/>
      <c r="L424" s="131"/>
      <c r="M424" s="131"/>
      <c r="N424" s="131"/>
      <c r="O424" s="131"/>
      <c r="P424" s="131"/>
      <c r="Q424" s="131"/>
      <c r="R424" s="131"/>
      <c r="S424" s="131"/>
      <c r="T424" s="131"/>
      <c r="U424" s="131"/>
      <c r="V424" s="131"/>
      <c r="W424" s="131"/>
      <c r="X424" s="131"/>
      <c r="Y424" s="131"/>
    </row>
    <row r="425">
      <c r="A425" s="131"/>
      <c r="B425" s="131"/>
      <c r="C425" s="131"/>
      <c r="D425" s="81"/>
      <c r="E425" s="81"/>
      <c r="F425" s="131"/>
      <c r="G425" s="131"/>
      <c r="H425" s="131"/>
      <c r="I425" s="131"/>
      <c r="J425" s="131"/>
      <c r="K425" s="131"/>
      <c r="L425" s="131"/>
      <c r="M425" s="131"/>
      <c r="N425" s="131"/>
      <c r="O425" s="131"/>
      <c r="P425" s="131"/>
      <c r="Q425" s="131"/>
      <c r="R425" s="131"/>
      <c r="S425" s="131"/>
      <c r="T425" s="131"/>
      <c r="U425" s="131"/>
      <c r="V425" s="131"/>
      <c r="W425" s="131"/>
      <c r="X425" s="131"/>
      <c r="Y425" s="131"/>
    </row>
    <row r="426">
      <c r="A426" s="131"/>
      <c r="B426" s="131"/>
      <c r="C426" s="131"/>
      <c r="D426" s="81"/>
      <c r="E426" s="81"/>
      <c r="F426" s="131"/>
      <c r="G426" s="131"/>
      <c r="H426" s="131"/>
      <c r="I426" s="131"/>
      <c r="J426" s="131"/>
      <c r="K426" s="131"/>
      <c r="L426" s="131"/>
      <c r="M426" s="131"/>
      <c r="N426" s="131"/>
      <c r="O426" s="131"/>
      <c r="P426" s="131"/>
      <c r="Q426" s="131"/>
      <c r="R426" s="131"/>
      <c r="S426" s="131"/>
      <c r="T426" s="131"/>
      <c r="U426" s="131"/>
      <c r="V426" s="131"/>
      <c r="W426" s="131"/>
      <c r="X426" s="131"/>
      <c r="Y426" s="131"/>
    </row>
    <row r="427">
      <c r="A427" s="131"/>
      <c r="B427" s="131"/>
      <c r="C427" s="131"/>
      <c r="D427" s="81"/>
      <c r="E427" s="81"/>
      <c r="F427" s="131"/>
      <c r="G427" s="131"/>
      <c r="H427" s="131"/>
      <c r="I427" s="131"/>
      <c r="J427" s="131"/>
      <c r="K427" s="131"/>
      <c r="L427" s="131"/>
      <c r="M427" s="131"/>
      <c r="N427" s="131"/>
      <c r="O427" s="131"/>
      <c r="P427" s="131"/>
      <c r="Q427" s="131"/>
      <c r="R427" s="131"/>
      <c r="S427" s="131"/>
      <c r="T427" s="131"/>
      <c r="U427" s="131"/>
      <c r="V427" s="131"/>
      <c r="W427" s="131"/>
      <c r="X427" s="131"/>
      <c r="Y427" s="131"/>
    </row>
    <row r="428">
      <c r="A428" s="131"/>
      <c r="B428" s="131"/>
      <c r="C428" s="131"/>
      <c r="D428" s="81"/>
      <c r="E428" s="81"/>
      <c r="F428" s="131"/>
      <c r="G428" s="131"/>
      <c r="H428" s="131"/>
      <c r="I428" s="131"/>
      <c r="J428" s="131"/>
      <c r="K428" s="131"/>
      <c r="L428" s="131"/>
      <c r="M428" s="131"/>
      <c r="N428" s="131"/>
      <c r="O428" s="131"/>
      <c r="P428" s="131"/>
      <c r="Q428" s="131"/>
      <c r="R428" s="131"/>
      <c r="S428" s="131"/>
      <c r="T428" s="131"/>
      <c r="U428" s="131"/>
      <c r="V428" s="131"/>
      <c r="W428" s="131"/>
      <c r="X428" s="131"/>
      <c r="Y428" s="131"/>
    </row>
    <row r="429">
      <c r="A429" s="131"/>
      <c r="B429" s="131"/>
      <c r="C429" s="131"/>
      <c r="D429" s="81"/>
      <c r="E429" s="81"/>
      <c r="F429" s="131"/>
      <c r="G429" s="131"/>
      <c r="H429" s="131"/>
      <c r="I429" s="131"/>
      <c r="J429" s="131"/>
      <c r="K429" s="131"/>
      <c r="L429" s="131"/>
      <c r="M429" s="131"/>
      <c r="N429" s="131"/>
      <c r="O429" s="131"/>
      <c r="P429" s="131"/>
      <c r="Q429" s="131"/>
      <c r="R429" s="131"/>
      <c r="S429" s="131"/>
      <c r="T429" s="131"/>
      <c r="U429" s="131"/>
      <c r="V429" s="131"/>
      <c r="W429" s="131"/>
      <c r="X429" s="131"/>
      <c r="Y429" s="131"/>
    </row>
    <row r="430">
      <c r="A430" s="131"/>
      <c r="B430" s="131"/>
      <c r="C430" s="131"/>
      <c r="D430" s="81"/>
      <c r="E430" s="81"/>
      <c r="F430" s="131"/>
      <c r="G430" s="131"/>
      <c r="H430" s="131"/>
      <c r="I430" s="131"/>
      <c r="J430" s="131"/>
      <c r="K430" s="131"/>
      <c r="L430" s="131"/>
      <c r="M430" s="131"/>
      <c r="N430" s="131"/>
      <c r="O430" s="131"/>
      <c r="P430" s="131"/>
      <c r="Q430" s="131"/>
      <c r="R430" s="131"/>
      <c r="S430" s="131"/>
      <c r="T430" s="131"/>
      <c r="U430" s="131"/>
      <c r="V430" s="131"/>
      <c r="W430" s="131"/>
      <c r="X430" s="131"/>
      <c r="Y430" s="131"/>
    </row>
    <row r="431">
      <c r="A431" s="131"/>
      <c r="B431" s="131"/>
      <c r="C431" s="131"/>
      <c r="D431" s="81"/>
      <c r="E431" s="81"/>
      <c r="F431" s="131"/>
      <c r="G431" s="131"/>
      <c r="H431" s="131"/>
      <c r="I431" s="131"/>
      <c r="J431" s="131"/>
      <c r="K431" s="131"/>
      <c r="L431" s="131"/>
      <c r="M431" s="131"/>
      <c r="N431" s="131"/>
      <c r="O431" s="131"/>
      <c r="P431" s="131"/>
      <c r="Q431" s="131"/>
      <c r="R431" s="131"/>
      <c r="S431" s="131"/>
      <c r="T431" s="131"/>
      <c r="U431" s="131"/>
      <c r="V431" s="131"/>
      <c r="W431" s="131"/>
      <c r="X431" s="131"/>
      <c r="Y431" s="131"/>
    </row>
    <row r="432">
      <c r="A432" s="131"/>
      <c r="B432" s="131"/>
      <c r="C432" s="131"/>
      <c r="D432" s="81"/>
      <c r="E432" s="81"/>
      <c r="F432" s="131"/>
      <c r="G432" s="131"/>
      <c r="H432" s="131"/>
      <c r="I432" s="131"/>
      <c r="J432" s="131"/>
      <c r="K432" s="131"/>
      <c r="L432" s="131"/>
      <c r="M432" s="131"/>
      <c r="N432" s="131"/>
      <c r="O432" s="131"/>
      <c r="P432" s="131"/>
      <c r="Q432" s="131"/>
      <c r="R432" s="131"/>
      <c r="S432" s="131"/>
      <c r="T432" s="131"/>
      <c r="U432" s="131"/>
      <c r="V432" s="131"/>
      <c r="W432" s="131"/>
      <c r="X432" s="131"/>
      <c r="Y432" s="131"/>
    </row>
    <row r="433">
      <c r="A433" s="131"/>
      <c r="B433" s="131"/>
      <c r="C433" s="131"/>
      <c r="D433" s="81"/>
      <c r="E433" s="81"/>
      <c r="F433" s="131"/>
      <c r="G433" s="131"/>
      <c r="H433" s="131"/>
      <c r="I433" s="131"/>
      <c r="J433" s="131"/>
      <c r="K433" s="131"/>
      <c r="L433" s="131"/>
      <c r="M433" s="131"/>
      <c r="N433" s="131"/>
      <c r="O433" s="131"/>
      <c r="P433" s="131"/>
      <c r="Q433" s="131"/>
      <c r="R433" s="131"/>
      <c r="S433" s="131"/>
      <c r="T433" s="131"/>
      <c r="U433" s="131"/>
      <c r="V433" s="131"/>
      <c r="W433" s="131"/>
      <c r="X433" s="131"/>
      <c r="Y433" s="131"/>
    </row>
    <row r="434">
      <c r="A434" s="131"/>
      <c r="B434" s="131"/>
      <c r="C434" s="131"/>
      <c r="D434" s="81"/>
      <c r="E434" s="81"/>
      <c r="F434" s="131"/>
      <c r="G434" s="131"/>
      <c r="H434" s="131"/>
      <c r="I434" s="131"/>
      <c r="J434" s="131"/>
      <c r="K434" s="131"/>
      <c r="L434" s="131"/>
      <c r="M434" s="131"/>
      <c r="N434" s="131"/>
      <c r="O434" s="131"/>
      <c r="P434" s="131"/>
      <c r="Q434" s="131"/>
      <c r="R434" s="131"/>
      <c r="S434" s="131"/>
      <c r="T434" s="131"/>
      <c r="U434" s="131"/>
      <c r="V434" s="131"/>
      <c r="W434" s="131"/>
      <c r="X434" s="131"/>
      <c r="Y434" s="131"/>
    </row>
    <row r="435">
      <c r="A435" s="131"/>
      <c r="B435" s="131"/>
      <c r="C435" s="131"/>
      <c r="D435" s="81"/>
      <c r="E435" s="81"/>
      <c r="F435" s="131"/>
      <c r="G435" s="131"/>
      <c r="H435" s="131"/>
      <c r="I435" s="131"/>
      <c r="J435" s="131"/>
      <c r="K435" s="131"/>
      <c r="L435" s="131"/>
      <c r="M435" s="131"/>
      <c r="N435" s="131"/>
      <c r="O435" s="131"/>
      <c r="P435" s="131"/>
      <c r="Q435" s="131"/>
      <c r="R435" s="131"/>
      <c r="S435" s="131"/>
      <c r="T435" s="131"/>
      <c r="U435" s="131"/>
      <c r="V435" s="131"/>
      <c r="W435" s="131"/>
      <c r="X435" s="131"/>
      <c r="Y435" s="131"/>
    </row>
    <row r="436">
      <c r="A436" s="131"/>
      <c r="B436" s="131"/>
      <c r="C436" s="131"/>
      <c r="D436" s="81"/>
      <c r="E436" s="81"/>
      <c r="F436" s="131"/>
      <c r="G436" s="131"/>
      <c r="H436" s="131"/>
      <c r="I436" s="131"/>
      <c r="J436" s="131"/>
      <c r="K436" s="131"/>
      <c r="L436" s="131"/>
      <c r="M436" s="131"/>
      <c r="N436" s="131"/>
      <c r="O436" s="131"/>
      <c r="P436" s="131"/>
      <c r="Q436" s="131"/>
      <c r="R436" s="131"/>
      <c r="S436" s="131"/>
      <c r="T436" s="131"/>
      <c r="U436" s="131"/>
      <c r="V436" s="131"/>
      <c r="W436" s="131"/>
      <c r="X436" s="131"/>
      <c r="Y436" s="131"/>
    </row>
    <row r="437">
      <c r="A437" s="131"/>
      <c r="B437" s="131"/>
      <c r="C437" s="131"/>
      <c r="D437" s="81"/>
      <c r="E437" s="81"/>
      <c r="F437" s="131"/>
      <c r="G437" s="131"/>
      <c r="H437" s="131"/>
      <c r="I437" s="131"/>
      <c r="J437" s="131"/>
      <c r="K437" s="131"/>
      <c r="L437" s="131"/>
      <c r="M437" s="131"/>
      <c r="N437" s="131"/>
      <c r="O437" s="131"/>
      <c r="P437" s="131"/>
      <c r="Q437" s="131"/>
      <c r="R437" s="131"/>
      <c r="S437" s="131"/>
      <c r="T437" s="131"/>
      <c r="U437" s="131"/>
      <c r="V437" s="131"/>
      <c r="W437" s="131"/>
      <c r="X437" s="131"/>
      <c r="Y437" s="131"/>
    </row>
    <row r="438">
      <c r="A438" s="131"/>
      <c r="B438" s="131"/>
      <c r="C438" s="131"/>
      <c r="D438" s="81"/>
      <c r="E438" s="81"/>
      <c r="F438" s="131"/>
      <c r="G438" s="131"/>
      <c r="H438" s="131"/>
      <c r="I438" s="131"/>
      <c r="J438" s="131"/>
      <c r="K438" s="131"/>
      <c r="L438" s="131"/>
      <c r="M438" s="131"/>
      <c r="N438" s="131"/>
      <c r="O438" s="131"/>
      <c r="P438" s="131"/>
      <c r="Q438" s="131"/>
      <c r="R438" s="131"/>
      <c r="S438" s="131"/>
      <c r="T438" s="131"/>
      <c r="U438" s="131"/>
      <c r="V438" s="131"/>
      <c r="W438" s="131"/>
      <c r="X438" s="131"/>
      <c r="Y438" s="131"/>
    </row>
    <row r="439">
      <c r="A439" s="131"/>
      <c r="B439" s="131"/>
      <c r="C439" s="131"/>
      <c r="D439" s="81"/>
      <c r="E439" s="81"/>
      <c r="F439" s="131"/>
      <c r="G439" s="131"/>
      <c r="H439" s="131"/>
      <c r="I439" s="131"/>
      <c r="J439" s="131"/>
      <c r="K439" s="131"/>
      <c r="L439" s="131"/>
      <c r="M439" s="131"/>
      <c r="N439" s="131"/>
      <c r="O439" s="131"/>
      <c r="P439" s="131"/>
      <c r="Q439" s="131"/>
      <c r="R439" s="131"/>
      <c r="S439" s="131"/>
      <c r="T439" s="131"/>
      <c r="U439" s="131"/>
      <c r="V439" s="131"/>
      <c r="W439" s="131"/>
      <c r="X439" s="131"/>
      <c r="Y439" s="131"/>
    </row>
    <row r="440">
      <c r="A440" s="131"/>
      <c r="B440" s="131"/>
      <c r="C440" s="131"/>
      <c r="D440" s="81"/>
      <c r="E440" s="81"/>
      <c r="F440" s="131"/>
      <c r="G440" s="131"/>
      <c r="H440" s="131"/>
      <c r="I440" s="131"/>
      <c r="J440" s="131"/>
      <c r="K440" s="131"/>
      <c r="L440" s="131"/>
      <c r="M440" s="131"/>
      <c r="N440" s="131"/>
      <c r="O440" s="131"/>
      <c r="P440" s="131"/>
      <c r="Q440" s="131"/>
      <c r="R440" s="131"/>
      <c r="S440" s="131"/>
      <c r="T440" s="131"/>
      <c r="U440" s="131"/>
      <c r="V440" s="131"/>
      <c r="W440" s="131"/>
      <c r="X440" s="131"/>
      <c r="Y440" s="131"/>
    </row>
    <row r="441">
      <c r="A441" s="131"/>
      <c r="B441" s="131"/>
      <c r="C441" s="131"/>
      <c r="D441" s="81"/>
      <c r="E441" s="81"/>
      <c r="F441" s="131"/>
      <c r="G441" s="131"/>
      <c r="H441" s="131"/>
      <c r="I441" s="131"/>
      <c r="J441" s="131"/>
      <c r="K441" s="131"/>
      <c r="L441" s="131"/>
      <c r="M441" s="131"/>
      <c r="N441" s="131"/>
      <c r="O441" s="131"/>
      <c r="P441" s="131"/>
      <c r="Q441" s="131"/>
      <c r="R441" s="131"/>
      <c r="S441" s="131"/>
      <c r="T441" s="131"/>
      <c r="U441" s="131"/>
      <c r="V441" s="131"/>
      <c r="W441" s="131"/>
      <c r="X441" s="131"/>
      <c r="Y441" s="131"/>
    </row>
    <row r="442">
      <c r="A442" s="131"/>
      <c r="B442" s="131"/>
      <c r="C442" s="131"/>
      <c r="D442" s="81"/>
      <c r="E442" s="81"/>
      <c r="F442" s="131"/>
      <c r="G442" s="131"/>
      <c r="H442" s="131"/>
      <c r="I442" s="131"/>
      <c r="J442" s="131"/>
      <c r="K442" s="131"/>
      <c r="L442" s="131"/>
      <c r="M442" s="131"/>
      <c r="N442" s="131"/>
      <c r="O442" s="131"/>
      <c r="P442" s="131"/>
      <c r="Q442" s="131"/>
      <c r="R442" s="131"/>
      <c r="S442" s="131"/>
      <c r="T442" s="131"/>
      <c r="U442" s="131"/>
      <c r="V442" s="131"/>
      <c r="W442" s="131"/>
      <c r="X442" s="131"/>
      <c r="Y442" s="131"/>
    </row>
    <row r="443">
      <c r="A443" s="131"/>
      <c r="B443" s="131"/>
      <c r="C443" s="131"/>
      <c r="D443" s="81"/>
      <c r="E443" s="81"/>
      <c r="F443" s="131"/>
      <c r="G443" s="131"/>
      <c r="H443" s="131"/>
      <c r="I443" s="131"/>
      <c r="J443" s="131"/>
      <c r="K443" s="131"/>
      <c r="L443" s="131"/>
      <c r="M443" s="131"/>
      <c r="N443" s="131"/>
      <c r="O443" s="131"/>
      <c r="P443" s="131"/>
      <c r="Q443" s="131"/>
      <c r="R443" s="131"/>
      <c r="S443" s="131"/>
      <c r="T443" s="131"/>
      <c r="U443" s="131"/>
      <c r="V443" s="131"/>
      <c r="W443" s="131"/>
      <c r="X443" s="131"/>
      <c r="Y443" s="131"/>
    </row>
    <row r="444">
      <c r="A444" s="131"/>
      <c r="B444" s="131"/>
      <c r="C444" s="131"/>
      <c r="D444" s="81"/>
      <c r="E444" s="81"/>
      <c r="F444" s="131"/>
      <c r="G444" s="131"/>
      <c r="H444" s="131"/>
      <c r="I444" s="131"/>
      <c r="J444" s="131"/>
      <c r="K444" s="131"/>
      <c r="L444" s="131"/>
      <c r="M444" s="131"/>
      <c r="N444" s="131"/>
      <c r="O444" s="131"/>
      <c r="P444" s="131"/>
      <c r="Q444" s="131"/>
      <c r="R444" s="131"/>
      <c r="S444" s="131"/>
      <c r="T444" s="131"/>
      <c r="U444" s="131"/>
      <c r="V444" s="131"/>
      <c r="W444" s="131"/>
      <c r="X444" s="131"/>
      <c r="Y444" s="131"/>
    </row>
    <row r="445">
      <c r="A445" s="131"/>
      <c r="B445" s="131"/>
      <c r="C445" s="131"/>
      <c r="D445" s="81"/>
      <c r="E445" s="81"/>
      <c r="F445" s="131"/>
      <c r="G445" s="131"/>
      <c r="H445" s="131"/>
      <c r="I445" s="131"/>
      <c r="J445" s="131"/>
      <c r="K445" s="131"/>
      <c r="L445" s="131"/>
      <c r="M445" s="131"/>
      <c r="N445" s="131"/>
      <c r="O445" s="131"/>
      <c r="P445" s="131"/>
      <c r="Q445" s="131"/>
      <c r="R445" s="131"/>
      <c r="S445" s="131"/>
      <c r="T445" s="131"/>
      <c r="U445" s="131"/>
      <c r="V445" s="131"/>
      <c r="W445" s="131"/>
      <c r="X445" s="131"/>
      <c r="Y445" s="131"/>
    </row>
    <row r="446">
      <c r="A446" s="131"/>
      <c r="B446" s="131"/>
      <c r="C446" s="131"/>
      <c r="D446" s="81"/>
      <c r="E446" s="81"/>
      <c r="F446" s="131"/>
      <c r="G446" s="131"/>
      <c r="H446" s="131"/>
      <c r="I446" s="131"/>
      <c r="J446" s="131"/>
      <c r="K446" s="131"/>
      <c r="L446" s="131"/>
      <c r="M446" s="131"/>
      <c r="N446" s="131"/>
      <c r="O446" s="131"/>
      <c r="P446" s="131"/>
      <c r="Q446" s="131"/>
      <c r="R446" s="131"/>
      <c r="S446" s="131"/>
      <c r="T446" s="131"/>
      <c r="U446" s="131"/>
      <c r="V446" s="131"/>
      <c r="W446" s="131"/>
      <c r="X446" s="131"/>
      <c r="Y446" s="131"/>
    </row>
    <row r="447">
      <c r="A447" s="131"/>
      <c r="B447" s="131"/>
      <c r="C447" s="131"/>
      <c r="D447" s="81"/>
      <c r="E447" s="81"/>
      <c r="F447" s="131"/>
      <c r="G447" s="131"/>
      <c r="H447" s="131"/>
      <c r="I447" s="131"/>
      <c r="J447" s="131"/>
      <c r="K447" s="131"/>
      <c r="L447" s="131"/>
      <c r="M447" s="131"/>
      <c r="N447" s="131"/>
      <c r="O447" s="131"/>
      <c r="P447" s="131"/>
      <c r="Q447" s="131"/>
      <c r="R447" s="131"/>
      <c r="S447" s="131"/>
      <c r="T447" s="131"/>
      <c r="U447" s="131"/>
      <c r="V447" s="131"/>
      <c r="W447" s="131"/>
      <c r="X447" s="131"/>
      <c r="Y447" s="131"/>
    </row>
    <row r="448">
      <c r="A448" s="131"/>
      <c r="B448" s="131"/>
      <c r="C448" s="131"/>
      <c r="D448" s="81"/>
      <c r="E448" s="81"/>
      <c r="F448" s="131"/>
      <c r="G448" s="131"/>
      <c r="H448" s="131"/>
      <c r="I448" s="131"/>
      <c r="J448" s="131"/>
      <c r="K448" s="131"/>
      <c r="L448" s="131"/>
      <c r="M448" s="131"/>
      <c r="N448" s="131"/>
      <c r="O448" s="131"/>
      <c r="P448" s="131"/>
      <c r="Q448" s="131"/>
      <c r="R448" s="131"/>
      <c r="S448" s="131"/>
      <c r="T448" s="131"/>
      <c r="U448" s="131"/>
      <c r="V448" s="131"/>
      <c r="W448" s="131"/>
      <c r="X448" s="131"/>
      <c r="Y448" s="131"/>
    </row>
    <row r="449">
      <c r="A449" s="131"/>
      <c r="B449" s="131"/>
      <c r="C449" s="131"/>
      <c r="D449" s="81"/>
      <c r="E449" s="81"/>
      <c r="F449" s="131"/>
      <c r="G449" s="131"/>
      <c r="H449" s="131"/>
      <c r="I449" s="131"/>
      <c r="J449" s="131"/>
      <c r="K449" s="131"/>
      <c r="L449" s="131"/>
      <c r="M449" s="131"/>
      <c r="N449" s="131"/>
      <c r="O449" s="131"/>
      <c r="P449" s="131"/>
      <c r="Q449" s="131"/>
      <c r="R449" s="131"/>
      <c r="S449" s="131"/>
      <c r="T449" s="131"/>
      <c r="U449" s="131"/>
      <c r="V449" s="131"/>
      <c r="W449" s="131"/>
      <c r="X449" s="131"/>
      <c r="Y449" s="131"/>
    </row>
    <row r="450">
      <c r="A450" s="131"/>
      <c r="B450" s="131"/>
      <c r="C450" s="131"/>
      <c r="D450" s="81"/>
      <c r="E450" s="81"/>
      <c r="F450" s="131"/>
      <c r="G450" s="131"/>
      <c r="H450" s="131"/>
      <c r="I450" s="131"/>
      <c r="J450" s="131"/>
      <c r="K450" s="131"/>
      <c r="L450" s="131"/>
      <c r="M450" s="131"/>
      <c r="N450" s="131"/>
      <c r="O450" s="131"/>
      <c r="P450" s="131"/>
      <c r="Q450" s="131"/>
      <c r="R450" s="131"/>
      <c r="S450" s="131"/>
      <c r="T450" s="131"/>
      <c r="U450" s="131"/>
      <c r="V450" s="131"/>
      <c r="W450" s="131"/>
      <c r="X450" s="131"/>
      <c r="Y450" s="131"/>
    </row>
    <row r="451">
      <c r="A451" s="131"/>
      <c r="B451" s="131"/>
      <c r="C451" s="131"/>
      <c r="D451" s="81"/>
      <c r="E451" s="81"/>
      <c r="F451" s="131"/>
      <c r="G451" s="131"/>
      <c r="H451" s="131"/>
      <c r="I451" s="131"/>
      <c r="J451" s="131"/>
      <c r="K451" s="131"/>
      <c r="L451" s="131"/>
      <c r="M451" s="131"/>
      <c r="N451" s="131"/>
      <c r="O451" s="131"/>
      <c r="P451" s="131"/>
      <c r="Q451" s="131"/>
      <c r="R451" s="131"/>
      <c r="S451" s="131"/>
      <c r="T451" s="131"/>
      <c r="U451" s="131"/>
      <c r="V451" s="131"/>
      <c r="W451" s="131"/>
      <c r="X451" s="131"/>
      <c r="Y451" s="131"/>
    </row>
    <row r="452">
      <c r="A452" s="131"/>
      <c r="B452" s="131"/>
      <c r="C452" s="131"/>
      <c r="D452" s="81"/>
      <c r="E452" s="81"/>
      <c r="F452" s="131"/>
      <c r="G452" s="131"/>
      <c r="H452" s="131"/>
      <c r="I452" s="131"/>
      <c r="J452" s="131"/>
      <c r="K452" s="131"/>
      <c r="L452" s="131"/>
      <c r="M452" s="131"/>
      <c r="N452" s="131"/>
      <c r="O452" s="131"/>
      <c r="P452" s="131"/>
      <c r="Q452" s="131"/>
      <c r="R452" s="131"/>
      <c r="S452" s="131"/>
      <c r="T452" s="131"/>
      <c r="U452" s="131"/>
      <c r="V452" s="131"/>
      <c r="W452" s="131"/>
      <c r="X452" s="131"/>
      <c r="Y452" s="131"/>
    </row>
    <row r="453">
      <c r="A453" s="131"/>
      <c r="B453" s="131"/>
      <c r="C453" s="131"/>
      <c r="D453" s="81"/>
      <c r="E453" s="81"/>
      <c r="F453" s="131"/>
      <c r="G453" s="131"/>
      <c r="H453" s="131"/>
      <c r="I453" s="131"/>
      <c r="J453" s="131"/>
      <c r="K453" s="131"/>
      <c r="L453" s="131"/>
      <c r="M453" s="131"/>
      <c r="N453" s="131"/>
      <c r="O453" s="131"/>
      <c r="P453" s="131"/>
      <c r="Q453" s="131"/>
      <c r="R453" s="131"/>
      <c r="S453" s="131"/>
      <c r="T453" s="131"/>
      <c r="U453" s="131"/>
      <c r="V453" s="131"/>
      <c r="W453" s="131"/>
      <c r="X453" s="131"/>
      <c r="Y453" s="131"/>
    </row>
    <row r="454">
      <c r="A454" s="131"/>
      <c r="B454" s="131"/>
      <c r="C454" s="131"/>
      <c r="D454" s="81"/>
      <c r="E454" s="81"/>
      <c r="F454" s="131"/>
      <c r="G454" s="131"/>
      <c r="H454" s="131"/>
      <c r="I454" s="131"/>
      <c r="J454" s="131"/>
      <c r="K454" s="131"/>
      <c r="L454" s="131"/>
      <c r="M454" s="131"/>
      <c r="N454" s="131"/>
      <c r="O454" s="131"/>
      <c r="P454" s="131"/>
      <c r="Q454" s="131"/>
      <c r="R454" s="131"/>
      <c r="S454" s="131"/>
      <c r="T454" s="131"/>
      <c r="U454" s="131"/>
      <c r="V454" s="131"/>
      <c r="W454" s="131"/>
      <c r="X454" s="131"/>
      <c r="Y454" s="131"/>
    </row>
    <row r="455">
      <c r="A455" s="131"/>
      <c r="B455" s="131"/>
      <c r="C455" s="131"/>
      <c r="D455" s="81"/>
      <c r="E455" s="81"/>
      <c r="F455" s="131"/>
      <c r="G455" s="131"/>
      <c r="H455" s="131"/>
      <c r="I455" s="131"/>
      <c r="J455" s="131"/>
      <c r="K455" s="131"/>
      <c r="L455" s="131"/>
      <c r="M455" s="131"/>
      <c r="N455" s="131"/>
      <c r="O455" s="131"/>
      <c r="P455" s="131"/>
      <c r="Q455" s="131"/>
      <c r="R455" s="131"/>
      <c r="S455" s="131"/>
      <c r="T455" s="131"/>
      <c r="U455" s="131"/>
      <c r="V455" s="131"/>
      <c r="W455" s="131"/>
      <c r="X455" s="131"/>
      <c r="Y455" s="131"/>
    </row>
    <row r="456">
      <c r="A456" s="131"/>
      <c r="B456" s="131"/>
      <c r="C456" s="131"/>
      <c r="D456" s="81"/>
      <c r="E456" s="81"/>
      <c r="F456" s="131"/>
      <c r="G456" s="131"/>
      <c r="H456" s="131"/>
      <c r="I456" s="131"/>
      <c r="J456" s="131"/>
      <c r="K456" s="131"/>
      <c r="L456" s="131"/>
      <c r="M456" s="131"/>
      <c r="N456" s="131"/>
      <c r="O456" s="131"/>
      <c r="P456" s="131"/>
      <c r="Q456" s="131"/>
      <c r="R456" s="131"/>
      <c r="S456" s="131"/>
      <c r="T456" s="131"/>
      <c r="U456" s="131"/>
      <c r="V456" s="131"/>
      <c r="W456" s="131"/>
      <c r="X456" s="131"/>
      <c r="Y456" s="131"/>
    </row>
    <row r="457">
      <c r="A457" s="131"/>
      <c r="B457" s="131"/>
      <c r="C457" s="131"/>
      <c r="D457" s="81"/>
      <c r="E457" s="81"/>
      <c r="F457" s="131"/>
      <c r="G457" s="131"/>
      <c r="H457" s="131"/>
      <c r="I457" s="131"/>
      <c r="J457" s="131"/>
      <c r="K457" s="131"/>
      <c r="L457" s="131"/>
      <c r="M457" s="131"/>
      <c r="N457" s="131"/>
      <c r="O457" s="131"/>
      <c r="P457" s="131"/>
      <c r="Q457" s="131"/>
      <c r="R457" s="131"/>
      <c r="S457" s="131"/>
      <c r="T457" s="131"/>
      <c r="U457" s="131"/>
      <c r="V457" s="131"/>
      <c r="W457" s="131"/>
      <c r="X457" s="131"/>
      <c r="Y457" s="131"/>
    </row>
    <row r="458">
      <c r="A458" s="131"/>
      <c r="B458" s="131"/>
      <c r="C458" s="131"/>
      <c r="D458" s="81"/>
      <c r="E458" s="81"/>
      <c r="F458" s="131"/>
      <c r="G458" s="131"/>
      <c r="H458" s="131"/>
      <c r="I458" s="131"/>
      <c r="J458" s="131"/>
      <c r="K458" s="131"/>
      <c r="L458" s="131"/>
      <c r="M458" s="131"/>
      <c r="N458" s="131"/>
      <c r="O458" s="131"/>
      <c r="P458" s="131"/>
      <c r="Q458" s="131"/>
      <c r="R458" s="131"/>
      <c r="S458" s="131"/>
      <c r="T458" s="131"/>
      <c r="U458" s="131"/>
      <c r="V458" s="131"/>
      <c r="W458" s="131"/>
      <c r="X458" s="131"/>
      <c r="Y458" s="131"/>
    </row>
    <row r="459">
      <c r="A459" s="131"/>
      <c r="B459" s="131"/>
      <c r="C459" s="131"/>
      <c r="D459" s="81"/>
      <c r="E459" s="81"/>
      <c r="F459" s="131"/>
      <c r="G459" s="131"/>
      <c r="H459" s="131"/>
      <c r="I459" s="131"/>
      <c r="J459" s="131"/>
      <c r="K459" s="131"/>
      <c r="L459" s="131"/>
      <c r="M459" s="131"/>
      <c r="N459" s="131"/>
      <c r="O459" s="131"/>
      <c r="P459" s="131"/>
      <c r="Q459" s="131"/>
      <c r="R459" s="131"/>
      <c r="S459" s="131"/>
      <c r="T459" s="131"/>
      <c r="U459" s="131"/>
      <c r="V459" s="131"/>
      <c r="W459" s="131"/>
      <c r="X459" s="131"/>
      <c r="Y459" s="131"/>
    </row>
    <row r="460">
      <c r="A460" s="131"/>
      <c r="B460" s="131"/>
      <c r="C460" s="131"/>
      <c r="D460" s="81"/>
      <c r="E460" s="81"/>
      <c r="F460" s="131"/>
      <c r="G460" s="131"/>
      <c r="H460" s="131"/>
      <c r="I460" s="131"/>
      <c r="J460" s="131"/>
      <c r="K460" s="131"/>
      <c r="L460" s="131"/>
      <c r="M460" s="131"/>
      <c r="N460" s="131"/>
      <c r="O460" s="131"/>
      <c r="P460" s="131"/>
      <c r="Q460" s="131"/>
      <c r="R460" s="131"/>
      <c r="S460" s="131"/>
      <c r="T460" s="131"/>
      <c r="U460" s="131"/>
      <c r="V460" s="131"/>
      <c r="W460" s="131"/>
      <c r="X460" s="131"/>
      <c r="Y460" s="131"/>
    </row>
    <row r="461">
      <c r="A461" s="131"/>
      <c r="B461" s="131"/>
      <c r="C461" s="131"/>
      <c r="D461" s="81"/>
      <c r="E461" s="81"/>
      <c r="F461" s="131"/>
      <c r="G461" s="131"/>
      <c r="H461" s="131"/>
      <c r="I461" s="131"/>
      <c r="J461" s="131"/>
      <c r="K461" s="131"/>
      <c r="L461" s="131"/>
      <c r="M461" s="131"/>
      <c r="N461" s="131"/>
      <c r="O461" s="131"/>
      <c r="P461" s="131"/>
      <c r="Q461" s="131"/>
      <c r="R461" s="131"/>
      <c r="S461" s="131"/>
      <c r="T461" s="131"/>
      <c r="U461" s="131"/>
      <c r="V461" s="131"/>
      <c r="W461" s="131"/>
      <c r="X461" s="131"/>
      <c r="Y461" s="131"/>
    </row>
    <row r="462">
      <c r="A462" s="131"/>
      <c r="B462" s="131"/>
      <c r="C462" s="131"/>
      <c r="D462" s="81"/>
      <c r="E462" s="81"/>
      <c r="F462" s="131"/>
      <c r="G462" s="131"/>
      <c r="H462" s="131"/>
      <c r="I462" s="131"/>
      <c r="J462" s="131"/>
      <c r="K462" s="131"/>
      <c r="L462" s="131"/>
      <c r="M462" s="131"/>
      <c r="N462" s="131"/>
      <c r="O462" s="131"/>
      <c r="P462" s="131"/>
      <c r="Q462" s="131"/>
      <c r="R462" s="131"/>
      <c r="S462" s="131"/>
      <c r="T462" s="131"/>
      <c r="U462" s="131"/>
      <c r="V462" s="131"/>
      <c r="W462" s="131"/>
      <c r="X462" s="131"/>
      <c r="Y462" s="131"/>
    </row>
    <row r="463">
      <c r="A463" s="131"/>
      <c r="B463" s="131"/>
      <c r="C463" s="131"/>
      <c r="D463" s="81"/>
      <c r="E463" s="81"/>
      <c r="F463" s="131"/>
      <c r="G463" s="131"/>
      <c r="H463" s="131"/>
      <c r="I463" s="131"/>
      <c r="J463" s="131"/>
      <c r="K463" s="131"/>
      <c r="L463" s="131"/>
      <c r="M463" s="131"/>
      <c r="N463" s="131"/>
      <c r="O463" s="131"/>
      <c r="P463" s="131"/>
      <c r="Q463" s="131"/>
      <c r="R463" s="131"/>
      <c r="S463" s="131"/>
      <c r="T463" s="131"/>
      <c r="U463" s="131"/>
      <c r="V463" s="131"/>
      <c r="W463" s="131"/>
      <c r="X463" s="131"/>
      <c r="Y463" s="131"/>
    </row>
    <row r="464">
      <c r="A464" s="131"/>
      <c r="B464" s="131"/>
      <c r="C464" s="131"/>
      <c r="D464" s="81"/>
      <c r="E464" s="81"/>
      <c r="F464" s="131"/>
      <c r="G464" s="131"/>
      <c r="H464" s="131"/>
      <c r="I464" s="131"/>
      <c r="J464" s="131"/>
      <c r="K464" s="131"/>
      <c r="L464" s="131"/>
      <c r="M464" s="131"/>
      <c r="N464" s="131"/>
      <c r="O464" s="131"/>
      <c r="P464" s="131"/>
      <c r="Q464" s="131"/>
      <c r="R464" s="131"/>
      <c r="S464" s="131"/>
      <c r="T464" s="131"/>
      <c r="U464" s="131"/>
      <c r="V464" s="131"/>
      <c r="W464" s="131"/>
      <c r="X464" s="131"/>
      <c r="Y464" s="131"/>
    </row>
    <row r="465">
      <c r="A465" s="131"/>
      <c r="B465" s="131"/>
      <c r="C465" s="131"/>
      <c r="D465" s="81"/>
      <c r="E465" s="81"/>
      <c r="F465" s="131"/>
      <c r="G465" s="131"/>
      <c r="H465" s="131"/>
      <c r="I465" s="131"/>
      <c r="J465" s="131"/>
      <c r="K465" s="131"/>
      <c r="L465" s="131"/>
      <c r="M465" s="131"/>
      <c r="N465" s="131"/>
      <c r="O465" s="131"/>
      <c r="P465" s="131"/>
      <c r="Q465" s="131"/>
      <c r="R465" s="131"/>
      <c r="S465" s="131"/>
      <c r="T465" s="131"/>
      <c r="U465" s="131"/>
      <c r="V465" s="131"/>
      <c r="W465" s="131"/>
      <c r="X465" s="131"/>
      <c r="Y465" s="131"/>
    </row>
    <row r="466">
      <c r="A466" s="131"/>
      <c r="B466" s="131"/>
      <c r="C466" s="131"/>
      <c r="D466" s="81"/>
      <c r="E466" s="81"/>
      <c r="F466" s="131"/>
      <c r="G466" s="131"/>
      <c r="H466" s="131"/>
      <c r="I466" s="131"/>
      <c r="J466" s="131"/>
      <c r="K466" s="131"/>
      <c r="L466" s="131"/>
      <c r="M466" s="131"/>
      <c r="N466" s="131"/>
      <c r="O466" s="131"/>
      <c r="P466" s="131"/>
      <c r="Q466" s="131"/>
      <c r="R466" s="131"/>
      <c r="S466" s="131"/>
      <c r="T466" s="131"/>
      <c r="U466" s="131"/>
      <c r="V466" s="131"/>
      <c r="W466" s="131"/>
      <c r="X466" s="131"/>
      <c r="Y466" s="131"/>
    </row>
    <row r="467">
      <c r="A467" s="131"/>
      <c r="B467" s="131"/>
      <c r="C467" s="131"/>
      <c r="D467" s="81"/>
      <c r="E467" s="81"/>
      <c r="F467" s="131"/>
      <c r="G467" s="131"/>
      <c r="H467" s="131"/>
      <c r="I467" s="131"/>
      <c r="J467" s="131"/>
      <c r="K467" s="131"/>
      <c r="L467" s="131"/>
      <c r="M467" s="131"/>
      <c r="N467" s="131"/>
      <c r="O467" s="131"/>
      <c r="P467" s="131"/>
      <c r="Q467" s="131"/>
      <c r="R467" s="131"/>
      <c r="S467" s="131"/>
      <c r="T467" s="131"/>
      <c r="U467" s="131"/>
      <c r="V467" s="131"/>
      <c r="W467" s="131"/>
      <c r="X467" s="131"/>
      <c r="Y467" s="131"/>
    </row>
    <row r="468">
      <c r="A468" s="131"/>
      <c r="B468" s="131"/>
      <c r="C468" s="131"/>
      <c r="D468" s="81"/>
      <c r="E468" s="81"/>
      <c r="F468" s="131"/>
      <c r="G468" s="131"/>
      <c r="H468" s="131"/>
      <c r="I468" s="131"/>
      <c r="J468" s="131"/>
      <c r="K468" s="131"/>
      <c r="L468" s="131"/>
      <c r="M468" s="131"/>
      <c r="N468" s="131"/>
      <c r="O468" s="131"/>
      <c r="P468" s="131"/>
      <c r="Q468" s="131"/>
      <c r="R468" s="131"/>
      <c r="S468" s="131"/>
      <c r="T468" s="131"/>
      <c r="U468" s="131"/>
      <c r="V468" s="131"/>
      <c r="W468" s="131"/>
      <c r="X468" s="131"/>
      <c r="Y468" s="131"/>
    </row>
    <row r="469">
      <c r="A469" s="131"/>
      <c r="B469" s="131"/>
      <c r="C469" s="131"/>
      <c r="D469" s="81"/>
      <c r="E469" s="81"/>
      <c r="F469" s="131"/>
      <c r="G469" s="131"/>
      <c r="H469" s="131"/>
      <c r="I469" s="131"/>
      <c r="J469" s="131"/>
      <c r="K469" s="131"/>
      <c r="L469" s="131"/>
      <c r="M469" s="131"/>
      <c r="N469" s="131"/>
      <c r="O469" s="131"/>
      <c r="P469" s="131"/>
      <c r="Q469" s="131"/>
      <c r="R469" s="131"/>
      <c r="S469" s="131"/>
      <c r="T469" s="131"/>
      <c r="U469" s="131"/>
      <c r="V469" s="131"/>
      <c r="W469" s="131"/>
      <c r="X469" s="131"/>
      <c r="Y469" s="131"/>
    </row>
    <row r="470">
      <c r="A470" s="131"/>
      <c r="B470" s="131"/>
      <c r="C470" s="131"/>
      <c r="D470" s="81"/>
      <c r="E470" s="81"/>
      <c r="F470" s="131"/>
      <c r="G470" s="131"/>
      <c r="H470" s="131"/>
      <c r="I470" s="131"/>
      <c r="J470" s="131"/>
      <c r="K470" s="131"/>
      <c r="L470" s="131"/>
      <c r="M470" s="131"/>
      <c r="N470" s="131"/>
      <c r="O470" s="131"/>
      <c r="P470" s="131"/>
      <c r="Q470" s="131"/>
      <c r="R470" s="131"/>
      <c r="S470" s="131"/>
      <c r="T470" s="131"/>
      <c r="U470" s="131"/>
      <c r="V470" s="131"/>
      <c r="W470" s="131"/>
      <c r="X470" s="131"/>
      <c r="Y470" s="131"/>
    </row>
    <row r="471">
      <c r="A471" s="131"/>
      <c r="B471" s="131"/>
      <c r="C471" s="131"/>
      <c r="D471" s="81"/>
      <c r="E471" s="81"/>
      <c r="F471" s="131"/>
      <c r="G471" s="131"/>
      <c r="H471" s="131"/>
      <c r="I471" s="131"/>
      <c r="J471" s="131"/>
      <c r="K471" s="131"/>
      <c r="L471" s="131"/>
      <c r="M471" s="131"/>
      <c r="N471" s="131"/>
      <c r="O471" s="131"/>
      <c r="P471" s="131"/>
      <c r="Q471" s="131"/>
      <c r="R471" s="131"/>
      <c r="S471" s="131"/>
      <c r="T471" s="131"/>
      <c r="U471" s="131"/>
      <c r="V471" s="131"/>
      <c r="W471" s="131"/>
      <c r="X471" s="131"/>
      <c r="Y471" s="131"/>
    </row>
    <row r="472">
      <c r="A472" s="131"/>
      <c r="B472" s="131"/>
      <c r="C472" s="131"/>
      <c r="D472" s="81"/>
      <c r="E472" s="81"/>
      <c r="F472" s="131"/>
      <c r="G472" s="131"/>
      <c r="H472" s="131"/>
      <c r="I472" s="131"/>
      <c r="J472" s="131"/>
      <c r="K472" s="131"/>
      <c r="L472" s="131"/>
      <c r="M472" s="131"/>
      <c r="N472" s="131"/>
      <c r="O472" s="131"/>
      <c r="P472" s="131"/>
      <c r="Q472" s="131"/>
      <c r="R472" s="131"/>
      <c r="S472" s="131"/>
      <c r="T472" s="131"/>
      <c r="U472" s="131"/>
      <c r="V472" s="131"/>
      <c r="W472" s="131"/>
      <c r="X472" s="131"/>
      <c r="Y472" s="131"/>
    </row>
    <row r="473">
      <c r="A473" s="131"/>
      <c r="B473" s="131"/>
      <c r="C473" s="131"/>
      <c r="D473" s="81"/>
      <c r="E473" s="81"/>
      <c r="F473" s="131"/>
      <c r="G473" s="131"/>
      <c r="H473" s="131"/>
      <c r="I473" s="131"/>
      <c r="J473" s="131"/>
      <c r="K473" s="131"/>
      <c r="L473" s="131"/>
      <c r="M473" s="131"/>
      <c r="N473" s="131"/>
      <c r="O473" s="131"/>
      <c r="P473" s="131"/>
      <c r="Q473" s="131"/>
      <c r="R473" s="131"/>
      <c r="S473" s="131"/>
      <c r="T473" s="131"/>
      <c r="U473" s="131"/>
      <c r="V473" s="131"/>
      <c r="W473" s="131"/>
      <c r="X473" s="131"/>
      <c r="Y473" s="131"/>
    </row>
    <row r="474">
      <c r="A474" s="131"/>
      <c r="B474" s="131"/>
      <c r="C474" s="131"/>
      <c r="D474" s="81"/>
      <c r="E474" s="81"/>
      <c r="F474" s="131"/>
      <c r="G474" s="131"/>
      <c r="H474" s="131"/>
      <c r="I474" s="131"/>
      <c r="J474" s="131"/>
      <c r="K474" s="131"/>
      <c r="L474" s="131"/>
      <c r="M474" s="131"/>
      <c r="N474" s="131"/>
      <c r="O474" s="131"/>
      <c r="P474" s="131"/>
      <c r="Q474" s="131"/>
      <c r="R474" s="131"/>
      <c r="S474" s="131"/>
      <c r="T474" s="131"/>
      <c r="U474" s="131"/>
      <c r="V474" s="131"/>
      <c r="W474" s="131"/>
      <c r="X474" s="131"/>
      <c r="Y474" s="131"/>
    </row>
    <row r="475">
      <c r="A475" s="131"/>
      <c r="B475" s="131"/>
      <c r="C475" s="131"/>
      <c r="D475" s="81"/>
      <c r="E475" s="81"/>
      <c r="F475" s="131"/>
      <c r="G475" s="131"/>
      <c r="H475" s="131"/>
      <c r="I475" s="131"/>
      <c r="J475" s="131"/>
      <c r="K475" s="131"/>
      <c r="L475" s="131"/>
      <c r="M475" s="131"/>
      <c r="N475" s="131"/>
      <c r="O475" s="131"/>
      <c r="P475" s="131"/>
      <c r="Q475" s="131"/>
      <c r="R475" s="131"/>
      <c r="S475" s="131"/>
      <c r="T475" s="131"/>
      <c r="U475" s="131"/>
      <c r="V475" s="131"/>
      <c r="W475" s="131"/>
      <c r="X475" s="131"/>
      <c r="Y475" s="131"/>
    </row>
    <row r="476">
      <c r="A476" s="131"/>
      <c r="B476" s="131"/>
      <c r="C476" s="131"/>
      <c r="D476" s="81"/>
      <c r="E476" s="81"/>
      <c r="F476" s="131"/>
      <c r="G476" s="131"/>
      <c r="H476" s="131"/>
      <c r="I476" s="131"/>
      <c r="J476" s="131"/>
      <c r="K476" s="131"/>
      <c r="L476" s="131"/>
      <c r="M476" s="131"/>
      <c r="N476" s="131"/>
      <c r="O476" s="131"/>
      <c r="P476" s="131"/>
      <c r="Q476" s="131"/>
      <c r="R476" s="131"/>
      <c r="S476" s="131"/>
      <c r="T476" s="131"/>
      <c r="U476" s="131"/>
      <c r="V476" s="131"/>
      <c r="W476" s="131"/>
      <c r="X476" s="131"/>
      <c r="Y476" s="131"/>
    </row>
    <row r="477">
      <c r="A477" s="131"/>
      <c r="B477" s="131"/>
      <c r="C477" s="131"/>
      <c r="D477" s="81"/>
      <c r="E477" s="81"/>
      <c r="F477" s="131"/>
      <c r="G477" s="131"/>
      <c r="H477" s="131"/>
      <c r="I477" s="131"/>
      <c r="J477" s="131"/>
      <c r="K477" s="131"/>
      <c r="L477" s="131"/>
      <c r="M477" s="131"/>
      <c r="N477" s="131"/>
      <c r="O477" s="131"/>
      <c r="P477" s="131"/>
      <c r="Q477" s="131"/>
      <c r="R477" s="131"/>
      <c r="S477" s="131"/>
      <c r="T477" s="131"/>
      <c r="U477" s="131"/>
      <c r="V477" s="131"/>
      <c r="W477" s="131"/>
      <c r="X477" s="131"/>
      <c r="Y477" s="131"/>
    </row>
    <row r="478">
      <c r="A478" s="131"/>
      <c r="B478" s="131"/>
      <c r="C478" s="131"/>
      <c r="D478" s="81"/>
      <c r="E478" s="81"/>
      <c r="F478" s="131"/>
      <c r="G478" s="131"/>
      <c r="H478" s="131"/>
      <c r="I478" s="131"/>
      <c r="J478" s="131"/>
      <c r="K478" s="131"/>
      <c r="L478" s="131"/>
      <c r="M478" s="131"/>
      <c r="N478" s="131"/>
      <c r="O478" s="131"/>
      <c r="P478" s="131"/>
      <c r="Q478" s="131"/>
      <c r="R478" s="131"/>
      <c r="S478" s="131"/>
      <c r="T478" s="131"/>
      <c r="U478" s="131"/>
      <c r="V478" s="131"/>
      <c r="W478" s="131"/>
      <c r="X478" s="131"/>
      <c r="Y478" s="131"/>
    </row>
    <row r="479">
      <c r="A479" s="131"/>
      <c r="B479" s="131"/>
      <c r="C479" s="131"/>
      <c r="D479" s="81"/>
      <c r="E479" s="81"/>
      <c r="F479" s="131"/>
      <c r="G479" s="131"/>
      <c r="H479" s="131"/>
      <c r="I479" s="131"/>
      <c r="J479" s="131"/>
      <c r="K479" s="131"/>
      <c r="L479" s="131"/>
      <c r="M479" s="131"/>
      <c r="N479" s="131"/>
      <c r="O479" s="131"/>
      <c r="P479" s="131"/>
      <c r="Q479" s="131"/>
      <c r="R479" s="131"/>
      <c r="S479" s="131"/>
      <c r="T479" s="131"/>
      <c r="U479" s="131"/>
      <c r="V479" s="131"/>
      <c r="W479" s="131"/>
      <c r="X479" s="131"/>
      <c r="Y479" s="131"/>
    </row>
    <row r="480">
      <c r="A480" s="131"/>
      <c r="B480" s="131"/>
      <c r="C480" s="131"/>
      <c r="D480" s="81"/>
      <c r="E480" s="81"/>
      <c r="F480" s="131"/>
      <c r="G480" s="131"/>
      <c r="H480" s="131"/>
      <c r="I480" s="131"/>
      <c r="J480" s="131"/>
      <c r="K480" s="131"/>
      <c r="L480" s="131"/>
      <c r="M480" s="131"/>
      <c r="N480" s="131"/>
      <c r="O480" s="131"/>
      <c r="P480" s="131"/>
      <c r="Q480" s="131"/>
      <c r="R480" s="131"/>
      <c r="S480" s="131"/>
      <c r="T480" s="131"/>
      <c r="U480" s="131"/>
      <c r="V480" s="131"/>
      <c r="W480" s="131"/>
      <c r="X480" s="131"/>
      <c r="Y480" s="131"/>
    </row>
    <row r="481">
      <c r="A481" s="131"/>
      <c r="B481" s="131"/>
      <c r="C481" s="131"/>
      <c r="D481" s="81"/>
      <c r="E481" s="81"/>
      <c r="F481" s="131"/>
      <c r="G481" s="131"/>
      <c r="H481" s="131"/>
      <c r="I481" s="131"/>
      <c r="J481" s="131"/>
      <c r="K481" s="131"/>
      <c r="L481" s="131"/>
      <c r="M481" s="131"/>
      <c r="N481" s="131"/>
      <c r="O481" s="131"/>
      <c r="P481" s="131"/>
      <c r="Q481" s="131"/>
      <c r="R481" s="131"/>
      <c r="S481" s="131"/>
      <c r="T481" s="131"/>
      <c r="U481" s="131"/>
      <c r="V481" s="131"/>
      <c r="W481" s="131"/>
      <c r="X481" s="131"/>
      <c r="Y481" s="131"/>
    </row>
    <row r="482">
      <c r="A482" s="131"/>
      <c r="B482" s="131"/>
      <c r="C482" s="131"/>
      <c r="D482" s="81"/>
      <c r="E482" s="81"/>
      <c r="F482" s="131"/>
      <c r="G482" s="131"/>
      <c r="H482" s="131"/>
      <c r="I482" s="131"/>
      <c r="J482" s="131"/>
      <c r="K482" s="131"/>
      <c r="L482" s="131"/>
      <c r="M482" s="131"/>
      <c r="N482" s="131"/>
      <c r="O482" s="131"/>
      <c r="P482" s="131"/>
      <c r="Q482" s="131"/>
      <c r="R482" s="131"/>
      <c r="S482" s="131"/>
      <c r="T482" s="131"/>
      <c r="U482" s="131"/>
      <c r="V482" s="131"/>
      <c r="W482" s="131"/>
      <c r="X482" s="131"/>
      <c r="Y482" s="131"/>
    </row>
    <row r="483">
      <c r="A483" s="131"/>
      <c r="B483" s="131"/>
      <c r="C483" s="131"/>
      <c r="D483" s="81"/>
      <c r="E483" s="81"/>
      <c r="F483" s="131"/>
      <c r="G483" s="131"/>
      <c r="H483" s="131"/>
      <c r="I483" s="131"/>
      <c r="J483" s="131"/>
      <c r="K483" s="131"/>
      <c r="L483" s="131"/>
      <c r="M483" s="131"/>
      <c r="N483" s="131"/>
      <c r="O483" s="131"/>
      <c r="P483" s="131"/>
      <c r="Q483" s="131"/>
      <c r="R483" s="131"/>
      <c r="S483" s="131"/>
      <c r="T483" s="131"/>
      <c r="U483" s="131"/>
      <c r="V483" s="131"/>
      <c r="W483" s="131"/>
      <c r="X483" s="131"/>
      <c r="Y483" s="131"/>
    </row>
    <row r="484">
      <c r="A484" s="131"/>
      <c r="B484" s="131"/>
      <c r="C484" s="131"/>
      <c r="D484" s="81"/>
      <c r="E484" s="81"/>
      <c r="F484" s="131"/>
      <c r="G484" s="131"/>
      <c r="H484" s="131"/>
      <c r="I484" s="131"/>
      <c r="J484" s="131"/>
      <c r="K484" s="131"/>
      <c r="L484" s="131"/>
      <c r="M484" s="131"/>
      <c r="N484" s="131"/>
      <c r="O484" s="131"/>
      <c r="P484" s="131"/>
      <c r="Q484" s="131"/>
      <c r="R484" s="131"/>
      <c r="S484" s="131"/>
      <c r="T484" s="131"/>
      <c r="U484" s="131"/>
      <c r="V484" s="131"/>
      <c r="W484" s="131"/>
      <c r="X484" s="131"/>
      <c r="Y484" s="131"/>
    </row>
    <row r="485">
      <c r="A485" s="131"/>
      <c r="B485" s="131"/>
      <c r="C485" s="131"/>
      <c r="D485" s="81"/>
      <c r="E485" s="81"/>
      <c r="F485" s="131"/>
      <c r="G485" s="131"/>
      <c r="H485" s="131"/>
      <c r="I485" s="131"/>
      <c r="J485" s="131"/>
      <c r="K485" s="131"/>
      <c r="L485" s="131"/>
      <c r="M485" s="131"/>
      <c r="N485" s="131"/>
      <c r="O485" s="131"/>
      <c r="P485" s="131"/>
      <c r="Q485" s="131"/>
      <c r="R485" s="131"/>
      <c r="S485" s="131"/>
      <c r="T485" s="131"/>
      <c r="U485" s="131"/>
      <c r="V485" s="131"/>
      <c r="W485" s="131"/>
      <c r="X485" s="131"/>
      <c r="Y485" s="131"/>
    </row>
    <row r="486">
      <c r="A486" s="131"/>
      <c r="B486" s="131"/>
      <c r="C486" s="131"/>
      <c r="D486" s="81"/>
      <c r="E486" s="81"/>
      <c r="F486" s="131"/>
      <c r="G486" s="131"/>
      <c r="H486" s="131"/>
      <c r="I486" s="131"/>
      <c r="J486" s="131"/>
      <c r="K486" s="131"/>
      <c r="L486" s="131"/>
      <c r="M486" s="131"/>
      <c r="N486" s="131"/>
      <c r="O486" s="131"/>
      <c r="P486" s="131"/>
      <c r="Q486" s="131"/>
      <c r="R486" s="131"/>
      <c r="S486" s="131"/>
      <c r="T486" s="131"/>
      <c r="U486" s="131"/>
      <c r="V486" s="131"/>
      <c r="W486" s="131"/>
      <c r="X486" s="131"/>
      <c r="Y486" s="131"/>
    </row>
    <row r="487">
      <c r="A487" s="131"/>
      <c r="B487" s="131"/>
      <c r="C487" s="131"/>
      <c r="D487" s="81"/>
      <c r="E487" s="81"/>
      <c r="F487" s="131"/>
      <c r="G487" s="131"/>
      <c r="H487" s="131"/>
      <c r="I487" s="131"/>
      <c r="J487" s="131"/>
      <c r="K487" s="131"/>
      <c r="L487" s="131"/>
      <c r="M487" s="131"/>
      <c r="N487" s="131"/>
      <c r="O487" s="131"/>
      <c r="P487" s="131"/>
      <c r="Q487" s="131"/>
      <c r="R487" s="131"/>
      <c r="S487" s="131"/>
      <c r="T487" s="131"/>
      <c r="U487" s="131"/>
      <c r="V487" s="131"/>
      <c r="W487" s="131"/>
      <c r="X487" s="131"/>
      <c r="Y487" s="131"/>
    </row>
    <row r="488">
      <c r="A488" s="131"/>
      <c r="B488" s="131"/>
      <c r="C488" s="131"/>
      <c r="D488" s="81"/>
      <c r="E488" s="81"/>
      <c r="F488" s="131"/>
      <c r="G488" s="131"/>
      <c r="H488" s="131"/>
      <c r="I488" s="131"/>
      <c r="J488" s="131"/>
      <c r="K488" s="131"/>
      <c r="L488" s="131"/>
      <c r="M488" s="131"/>
      <c r="N488" s="131"/>
      <c r="O488" s="131"/>
      <c r="P488" s="131"/>
      <c r="Q488" s="131"/>
      <c r="R488" s="131"/>
      <c r="S488" s="131"/>
      <c r="T488" s="131"/>
      <c r="U488" s="131"/>
      <c r="V488" s="131"/>
      <c r="W488" s="131"/>
      <c r="X488" s="131"/>
      <c r="Y488" s="131"/>
    </row>
    <row r="489">
      <c r="A489" s="131"/>
      <c r="B489" s="131"/>
      <c r="C489" s="131"/>
      <c r="D489" s="81"/>
      <c r="E489" s="81"/>
      <c r="F489" s="131"/>
      <c r="G489" s="131"/>
      <c r="H489" s="131"/>
      <c r="I489" s="131"/>
      <c r="J489" s="131"/>
      <c r="K489" s="131"/>
      <c r="L489" s="131"/>
      <c r="M489" s="131"/>
      <c r="N489" s="131"/>
      <c r="O489" s="131"/>
      <c r="P489" s="131"/>
      <c r="Q489" s="131"/>
      <c r="R489" s="131"/>
      <c r="S489" s="131"/>
      <c r="T489" s="131"/>
      <c r="U489" s="131"/>
      <c r="V489" s="131"/>
      <c r="W489" s="131"/>
      <c r="X489" s="131"/>
      <c r="Y489" s="131"/>
    </row>
    <row r="490">
      <c r="A490" s="131"/>
      <c r="B490" s="131"/>
      <c r="C490" s="131"/>
      <c r="D490" s="81"/>
      <c r="E490" s="81"/>
      <c r="F490" s="131"/>
      <c r="G490" s="131"/>
      <c r="H490" s="131"/>
      <c r="I490" s="131"/>
      <c r="J490" s="131"/>
      <c r="K490" s="131"/>
      <c r="L490" s="131"/>
      <c r="M490" s="131"/>
      <c r="N490" s="131"/>
      <c r="O490" s="131"/>
      <c r="P490" s="131"/>
      <c r="Q490" s="131"/>
      <c r="R490" s="131"/>
      <c r="S490" s="131"/>
      <c r="T490" s="131"/>
      <c r="U490" s="131"/>
      <c r="V490" s="131"/>
      <c r="W490" s="131"/>
      <c r="X490" s="131"/>
      <c r="Y490" s="131"/>
    </row>
    <row r="491">
      <c r="A491" s="131"/>
      <c r="B491" s="131"/>
      <c r="C491" s="131"/>
      <c r="D491" s="81"/>
      <c r="E491" s="81"/>
      <c r="F491" s="131"/>
      <c r="G491" s="131"/>
      <c r="H491" s="131"/>
      <c r="I491" s="131"/>
      <c r="J491" s="131"/>
      <c r="K491" s="131"/>
      <c r="L491" s="131"/>
      <c r="M491" s="131"/>
      <c r="N491" s="131"/>
      <c r="O491" s="131"/>
      <c r="P491" s="131"/>
      <c r="Q491" s="131"/>
      <c r="R491" s="131"/>
      <c r="S491" s="131"/>
      <c r="T491" s="131"/>
      <c r="U491" s="131"/>
      <c r="V491" s="131"/>
      <c r="W491" s="131"/>
      <c r="X491" s="131"/>
      <c r="Y491" s="131"/>
    </row>
    <row r="492">
      <c r="A492" s="131"/>
      <c r="B492" s="131"/>
      <c r="C492" s="131"/>
      <c r="D492" s="81"/>
      <c r="E492" s="81"/>
      <c r="F492" s="131"/>
      <c r="G492" s="131"/>
      <c r="H492" s="131"/>
      <c r="I492" s="131"/>
      <c r="J492" s="131"/>
      <c r="K492" s="131"/>
      <c r="L492" s="131"/>
      <c r="M492" s="131"/>
      <c r="N492" s="131"/>
      <c r="O492" s="131"/>
      <c r="P492" s="131"/>
      <c r="Q492" s="131"/>
      <c r="R492" s="131"/>
      <c r="S492" s="131"/>
      <c r="T492" s="131"/>
      <c r="U492" s="131"/>
      <c r="V492" s="131"/>
      <c r="W492" s="131"/>
      <c r="X492" s="131"/>
      <c r="Y492" s="131"/>
    </row>
    <row r="493">
      <c r="A493" s="131"/>
      <c r="B493" s="131"/>
      <c r="C493" s="131"/>
      <c r="D493" s="81"/>
      <c r="E493" s="81"/>
      <c r="F493" s="131"/>
      <c r="G493" s="131"/>
      <c r="H493" s="131"/>
      <c r="I493" s="131"/>
      <c r="J493" s="131"/>
      <c r="K493" s="131"/>
      <c r="L493" s="131"/>
      <c r="M493" s="131"/>
      <c r="N493" s="131"/>
      <c r="O493" s="131"/>
      <c r="P493" s="131"/>
      <c r="Q493" s="131"/>
      <c r="R493" s="131"/>
      <c r="S493" s="131"/>
      <c r="T493" s="131"/>
      <c r="U493" s="131"/>
      <c r="V493" s="131"/>
      <c r="W493" s="131"/>
      <c r="X493" s="131"/>
      <c r="Y493" s="131"/>
    </row>
    <row r="494">
      <c r="A494" s="131"/>
      <c r="B494" s="131"/>
      <c r="C494" s="131"/>
      <c r="D494" s="81"/>
      <c r="E494" s="81"/>
      <c r="F494" s="131"/>
      <c r="G494" s="131"/>
      <c r="H494" s="131"/>
      <c r="I494" s="131"/>
      <c r="J494" s="131"/>
      <c r="K494" s="131"/>
      <c r="L494" s="131"/>
      <c r="M494" s="131"/>
      <c r="N494" s="131"/>
      <c r="O494" s="131"/>
      <c r="P494" s="131"/>
      <c r="Q494" s="131"/>
      <c r="R494" s="131"/>
      <c r="S494" s="131"/>
      <c r="T494" s="131"/>
      <c r="U494" s="131"/>
      <c r="V494" s="131"/>
      <c r="W494" s="131"/>
      <c r="X494" s="131"/>
      <c r="Y494" s="131"/>
    </row>
    <row r="495">
      <c r="A495" s="131"/>
      <c r="B495" s="131"/>
      <c r="C495" s="131"/>
      <c r="D495" s="81"/>
      <c r="E495" s="81"/>
      <c r="F495" s="131"/>
      <c r="G495" s="131"/>
      <c r="H495" s="131"/>
      <c r="I495" s="131"/>
      <c r="J495" s="131"/>
      <c r="K495" s="131"/>
      <c r="L495" s="131"/>
      <c r="M495" s="131"/>
      <c r="N495" s="131"/>
      <c r="O495" s="131"/>
      <c r="P495" s="131"/>
      <c r="Q495" s="131"/>
      <c r="R495" s="131"/>
      <c r="S495" s="131"/>
      <c r="T495" s="131"/>
      <c r="U495" s="131"/>
      <c r="V495" s="131"/>
      <c r="W495" s="131"/>
      <c r="X495" s="131"/>
      <c r="Y495" s="131"/>
    </row>
    <row r="496">
      <c r="A496" s="131"/>
      <c r="B496" s="131"/>
      <c r="C496" s="131"/>
      <c r="D496" s="81"/>
      <c r="E496" s="81"/>
      <c r="F496" s="131"/>
      <c r="G496" s="131"/>
      <c r="H496" s="131"/>
      <c r="I496" s="131"/>
      <c r="J496" s="131"/>
      <c r="K496" s="131"/>
      <c r="L496" s="131"/>
      <c r="M496" s="131"/>
      <c r="N496" s="131"/>
      <c r="O496" s="131"/>
      <c r="P496" s="131"/>
      <c r="Q496" s="131"/>
      <c r="R496" s="131"/>
      <c r="S496" s="131"/>
      <c r="T496" s="131"/>
      <c r="U496" s="131"/>
      <c r="V496" s="131"/>
      <c r="W496" s="131"/>
      <c r="X496" s="131"/>
      <c r="Y496" s="131"/>
    </row>
    <row r="497">
      <c r="A497" s="131"/>
      <c r="B497" s="131"/>
      <c r="C497" s="131"/>
      <c r="D497" s="81"/>
      <c r="E497" s="81"/>
      <c r="F497" s="131"/>
      <c r="G497" s="131"/>
      <c r="H497" s="131"/>
      <c r="I497" s="131"/>
      <c r="J497" s="131"/>
      <c r="K497" s="131"/>
      <c r="L497" s="131"/>
      <c r="M497" s="131"/>
      <c r="N497" s="131"/>
      <c r="O497" s="131"/>
      <c r="P497" s="131"/>
      <c r="Q497" s="131"/>
      <c r="R497" s="131"/>
      <c r="S497" s="131"/>
      <c r="T497" s="131"/>
      <c r="U497" s="131"/>
      <c r="V497" s="131"/>
      <c r="W497" s="131"/>
      <c r="X497" s="131"/>
      <c r="Y497" s="131"/>
    </row>
    <row r="498">
      <c r="A498" s="131"/>
      <c r="B498" s="131"/>
      <c r="C498" s="131"/>
      <c r="D498" s="81"/>
      <c r="E498" s="81"/>
      <c r="F498" s="131"/>
      <c r="G498" s="131"/>
      <c r="H498" s="131"/>
      <c r="I498" s="131"/>
      <c r="J498" s="131"/>
      <c r="K498" s="131"/>
      <c r="L498" s="131"/>
      <c r="M498" s="131"/>
      <c r="N498" s="131"/>
      <c r="O498" s="131"/>
      <c r="P498" s="131"/>
      <c r="Q498" s="131"/>
      <c r="R498" s="131"/>
      <c r="S498" s="131"/>
      <c r="T498" s="131"/>
      <c r="U498" s="131"/>
      <c r="V498" s="131"/>
      <c r="W498" s="131"/>
      <c r="X498" s="131"/>
      <c r="Y498" s="131"/>
    </row>
    <row r="499">
      <c r="A499" s="131"/>
      <c r="B499" s="131"/>
      <c r="C499" s="131"/>
      <c r="D499" s="81"/>
      <c r="E499" s="81"/>
      <c r="F499" s="131"/>
      <c r="G499" s="131"/>
      <c r="H499" s="131"/>
      <c r="I499" s="131"/>
      <c r="J499" s="131"/>
      <c r="K499" s="131"/>
      <c r="L499" s="131"/>
      <c r="M499" s="131"/>
      <c r="N499" s="131"/>
      <c r="O499" s="131"/>
      <c r="P499" s="131"/>
      <c r="Q499" s="131"/>
      <c r="R499" s="131"/>
      <c r="S499" s="131"/>
      <c r="T499" s="131"/>
      <c r="U499" s="131"/>
      <c r="V499" s="131"/>
      <c r="W499" s="131"/>
      <c r="X499" s="131"/>
      <c r="Y499" s="131"/>
    </row>
    <row r="500">
      <c r="A500" s="131"/>
      <c r="B500" s="131"/>
      <c r="C500" s="131"/>
      <c r="D500" s="81"/>
      <c r="E500" s="81"/>
      <c r="F500" s="131"/>
      <c r="G500" s="131"/>
      <c r="H500" s="131"/>
      <c r="I500" s="131"/>
      <c r="J500" s="131"/>
      <c r="K500" s="131"/>
      <c r="L500" s="131"/>
      <c r="M500" s="131"/>
      <c r="N500" s="131"/>
      <c r="O500" s="131"/>
      <c r="P500" s="131"/>
      <c r="Q500" s="131"/>
      <c r="R500" s="131"/>
      <c r="S500" s="131"/>
      <c r="T500" s="131"/>
      <c r="U500" s="131"/>
      <c r="V500" s="131"/>
      <c r="W500" s="131"/>
      <c r="X500" s="131"/>
      <c r="Y500" s="131"/>
    </row>
    <row r="501">
      <c r="A501" s="131"/>
      <c r="B501" s="131"/>
      <c r="C501" s="131"/>
      <c r="D501" s="81"/>
      <c r="E501" s="81"/>
      <c r="F501" s="131"/>
      <c r="G501" s="131"/>
      <c r="H501" s="131"/>
      <c r="I501" s="131"/>
      <c r="J501" s="131"/>
      <c r="K501" s="131"/>
      <c r="L501" s="131"/>
      <c r="M501" s="131"/>
      <c r="N501" s="131"/>
      <c r="O501" s="131"/>
      <c r="P501" s="131"/>
      <c r="Q501" s="131"/>
      <c r="R501" s="131"/>
      <c r="S501" s="131"/>
      <c r="T501" s="131"/>
      <c r="U501" s="131"/>
      <c r="V501" s="131"/>
      <c r="W501" s="131"/>
      <c r="X501" s="131"/>
      <c r="Y501" s="131"/>
    </row>
    <row r="502">
      <c r="A502" s="131"/>
      <c r="B502" s="131"/>
      <c r="C502" s="131"/>
      <c r="D502" s="81"/>
      <c r="E502" s="81"/>
      <c r="F502" s="131"/>
      <c r="G502" s="131"/>
      <c r="H502" s="131"/>
      <c r="I502" s="131"/>
      <c r="J502" s="131"/>
      <c r="K502" s="131"/>
      <c r="L502" s="131"/>
      <c r="M502" s="131"/>
      <c r="N502" s="131"/>
      <c r="O502" s="131"/>
      <c r="P502" s="131"/>
      <c r="Q502" s="131"/>
      <c r="R502" s="131"/>
      <c r="S502" s="131"/>
      <c r="T502" s="131"/>
      <c r="U502" s="131"/>
      <c r="V502" s="131"/>
      <c r="W502" s="131"/>
      <c r="X502" s="131"/>
      <c r="Y502" s="131"/>
    </row>
    <row r="503">
      <c r="A503" s="131"/>
      <c r="B503" s="131"/>
      <c r="C503" s="131"/>
      <c r="D503" s="81"/>
      <c r="E503" s="81"/>
      <c r="F503" s="131"/>
      <c r="G503" s="131"/>
      <c r="H503" s="131"/>
      <c r="I503" s="131"/>
      <c r="J503" s="131"/>
      <c r="K503" s="131"/>
      <c r="L503" s="131"/>
      <c r="M503" s="131"/>
      <c r="N503" s="131"/>
      <c r="O503" s="131"/>
      <c r="P503" s="131"/>
      <c r="Q503" s="131"/>
      <c r="R503" s="131"/>
      <c r="S503" s="131"/>
      <c r="T503" s="131"/>
      <c r="U503" s="131"/>
      <c r="V503" s="131"/>
      <c r="W503" s="131"/>
      <c r="X503" s="131"/>
      <c r="Y503" s="131"/>
    </row>
    <row r="504">
      <c r="A504" s="131"/>
      <c r="B504" s="131"/>
      <c r="C504" s="131"/>
      <c r="D504" s="81"/>
      <c r="E504" s="81"/>
      <c r="F504" s="131"/>
      <c r="G504" s="131"/>
      <c r="H504" s="131"/>
      <c r="I504" s="131"/>
      <c r="J504" s="131"/>
      <c r="K504" s="131"/>
      <c r="L504" s="131"/>
      <c r="M504" s="131"/>
      <c r="N504" s="131"/>
      <c r="O504" s="131"/>
      <c r="P504" s="131"/>
      <c r="Q504" s="131"/>
      <c r="R504" s="131"/>
      <c r="S504" s="131"/>
      <c r="T504" s="131"/>
      <c r="U504" s="131"/>
      <c r="V504" s="131"/>
      <c r="W504" s="131"/>
      <c r="X504" s="131"/>
      <c r="Y504" s="131"/>
    </row>
    <row r="505">
      <c r="A505" s="131"/>
      <c r="B505" s="131"/>
      <c r="C505" s="131"/>
      <c r="D505" s="81"/>
      <c r="E505" s="81"/>
      <c r="F505" s="131"/>
      <c r="G505" s="131"/>
      <c r="H505" s="131"/>
      <c r="I505" s="131"/>
      <c r="J505" s="131"/>
      <c r="K505" s="131"/>
      <c r="L505" s="131"/>
      <c r="M505" s="131"/>
      <c r="N505" s="131"/>
      <c r="O505" s="131"/>
      <c r="P505" s="131"/>
      <c r="Q505" s="131"/>
      <c r="R505" s="131"/>
      <c r="S505" s="131"/>
      <c r="T505" s="131"/>
      <c r="U505" s="131"/>
      <c r="V505" s="131"/>
      <c r="W505" s="131"/>
      <c r="X505" s="131"/>
      <c r="Y505" s="131"/>
    </row>
    <row r="506">
      <c r="A506" s="131"/>
      <c r="B506" s="131"/>
      <c r="C506" s="131"/>
      <c r="D506" s="81"/>
      <c r="E506" s="81"/>
      <c r="F506" s="131"/>
      <c r="G506" s="131"/>
      <c r="H506" s="131"/>
      <c r="I506" s="131"/>
      <c r="J506" s="131"/>
      <c r="K506" s="131"/>
      <c r="L506" s="131"/>
      <c r="M506" s="131"/>
      <c r="N506" s="131"/>
      <c r="O506" s="131"/>
      <c r="P506" s="131"/>
      <c r="Q506" s="131"/>
      <c r="R506" s="131"/>
      <c r="S506" s="131"/>
      <c r="T506" s="131"/>
      <c r="U506" s="131"/>
      <c r="V506" s="131"/>
      <c r="W506" s="131"/>
      <c r="X506" s="131"/>
      <c r="Y506" s="131"/>
    </row>
    <row r="507">
      <c r="A507" s="131"/>
      <c r="B507" s="131"/>
      <c r="C507" s="131"/>
      <c r="D507" s="81"/>
      <c r="E507" s="81"/>
      <c r="F507" s="131"/>
      <c r="G507" s="131"/>
      <c r="H507" s="131"/>
      <c r="I507" s="131"/>
      <c r="J507" s="131"/>
      <c r="K507" s="131"/>
      <c r="L507" s="131"/>
      <c r="M507" s="131"/>
      <c r="N507" s="131"/>
      <c r="O507" s="131"/>
      <c r="P507" s="131"/>
      <c r="Q507" s="131"/>
      <c r="R507" s="131"/>
      <c r="S507" s="131"/>
      <c r="T507" s="131"/>
      <c r="U507" s="131"/>
      <c r="V507" s="131"/>
      <c r="W507" s="131"/>
      <c r="X507" s="131"/>
      <c r="Y507" s="131"/>
    </row>
    <row r="508">
      <c r="A508" s="131"/>
      <c r="B508" s="131"/>
      <c r="C508" s="131"/>
      <c r="D508" s="81"/>
      <c r="E508" s="81"/>
      <c r="F508" s="131"/>
      <c r="G508" s="131"/>
      <c r="H508" s="131"/>
      <c r="I508" s="131"/>
      <c r="J508" s="131"/>
      <c r="K508" s="131"/>
      <c r="L508" s="131"/>
      <c r="M508" s="131"/>
      <c r="N508" s="131"/>
      <c r="O508" s="131"/>
      <c r="P508" s="131"/>
      <c r="Q508" s="131"/>
      <c r="R508" s="131"/>
      <c r="S508" s="131"/>
      <c r="T508" s="131"/>
      <c r="U508" s="131"/>
      <c r="V508" s="131"/>
      <c r="W508" s="131"/>
      <c r="X508" s="131"/>
      <c r="Y508" s="131"/>
    </row>
    <row r="509">
      <c r="A509" s="131"/>
      <c r="B509" s="131"/>
      <c r="C509" s="131"/>
      <c r="D509" s="81"/>
      <c r="E509" s="81"/>
      <c r="F509" s="131"/>
      <c r="G509" s="131"/>
      <c r="H509" s="131"/>
      <c r="I509" s="131"/>
      <c r="J509" s="131"/>
      <c r="K509" s="131"/>
      <c r="L509" s="131"/>
      <c r="M509" s="131"/>
      <c r="N509" s="131"/>
      <c r="O509" s="131"/>
      <c r="P509" s="131"/>
      <c r="Q509" s="131"/>
      <c r="R509" s="131"/>
      <c r="S509" s="131"/>
      <c r="T509" s="131"/>
      <c r="U509" s="131"/>
      <c r="V509" s="131"/>
      <c r="W509" s="131"/>
      <c r="X509" s="131"/>
      <c r="Y509" s="131"/>
    </row>
    <row r="510">
      <c r="A510" s="131"/>
      <c r="B510" s="131"/>
      <c r="C510" s="131"/>
      <c r="D510" s="81"/>
      <c r="E510" s="81"/>
      <c r="F510" s="131"/>
      <c r="G510" s="131"/>
      <c r="H510" s="131"/>
      <c r="I510" s="131"/>
      <c r="J510" s="131"/>
      <c r="K510" s="131"/>
      <c r="L510" s="131"/>
      <c r="M510" s="131"/>
      <c r="N510" s="131"/>
      <c r="O510" s="131"/>
      <c r="P510" s="131"/>
      <c r="Q510" s="131"/>
      <c r="R510" s="131"/>
      <c r="S510" s="131"/>
      <c r="T510" s="131"/>
      <c r="U510" s="131"/>
      <c r="V510" s="131"/>
      <c r="W510" s="131"/>
      <c r="X510" s="131"/>
      <c r="Y510" s="131"/>
    </row>
    <row r="511">
      <c r="A511" s="131"/>
      <c r="B511" s="131"/>
      <c r="C511" s="131"/>
      <c r="D511" s="81"/>
      <c r="E511" s="81"/>
      <c r="F511" s="131"/>
      <c r="G511" s="131"/>
      <c r="H511" s="131"/>
      <c r="I511" s="131"/>
      <c r="J511" s="131"/>
      <c r="K511" s="131"/>
      <c r="L511" s="131"/>
      <c r="M511" s="131"/>
      <c r="N511" s="131"/>
      <c r="O511" s="131"/>
      <c r="P511" s="131"/>
      <c r="Q511" s="131"/>
      <c r="R511" s="131"/>
      <c r="S511" s="131"/>
      <c r="T511" s="131"/>
      <c r="U511" s="131"/>
      <c r="V511" s="131"/>
      <c r="W511" s="131"/>
      <c r="X511" s="131"/>
      <c r="Y511" s="131"/>
    </row>
    <row r="512">
      <c r="A512" s="131"/>
      <c r="B512" s="131"/>
      <c r="C512" s="131"/>
      <c r="D512" s="81"/>
      <c r="E512" s="81"/>
      <c r="F512" s="131"/>
      <c r="G512" s="131"/>
      <c r="H512" s="131"/>
      <c r="I512" s="131"/>
      <c r="J512" s="131"/>
      <c r="K512" s="131"/>
      <c r="L512" s="131"/>
      <c r="M512" s="131"/>
      <c r="N512" s="131"/>
      <c r="O512" s="131"/>
      <c r="P512" s="131"/>
      <c r="Q512" s="131"/>
      <c r="R512" s="131"/>
      <c r="S512" s="131"/>
      <c r="T512" s="131"/>
      <c r="U512" s="131"/>
      <c r="V512" s="131"/>
      <c r="W512" s="131"/>
      <c r="X512" s="131"/>
      <c r="Y512" s="131"/>
    </row>
    <row r="513">
      <c r="A513" s="131"/>
      <c r="B513" s="131"/>
      <c r="C513" s="131"/>
      <c r="D513" s="81"/>
      <c r="E513" s="81"/>
      <c r="F513" s="131"/>
      <c r="G513" s="131"/>
      <c r="H513" s="131"/>
      <c r="I513" s="131"/>
      <c r="J513" s="131"/>
      <c r="K513" s="131"/>
      <c r="L513" s="131"/>
      <c r="M513" s="131"/>
      <c r="N513" s="131"/>
      <c r="O513" s="131"/>
      <c r="P513" s="131"/>
      <c r="Q513" s="131"/>
      <c r="R513" s="131"/>
      <c r="S513" s="131"/>
      <c r="T513" s="131"/>
      <c r="U513" s="131"/>
      <c r="V513" s="131"/>
      <c r="W513" s="131"/>
      <c r="X513" s="131"/>
      <c r="Y513" s="131"/>
    </row>
    <row r="514">
      <c r="A514" s="131"/>
      <c r="B514" s="131"/>
      <c r="C514" s="131"/>
      <c r="D514" s="81"/>
      <c r="E514" s="81"/>
      <c r="F514" s="131"/>
      <c r="G514" s="131"/>
      <c r="H514" s="131"/>
      <c r="I514" s="131"/>
      <c r="J514" s="131"/>
      <c r="K514" s="131"/>
      <c r="L514" s="131"/>
      <c r="M514" s="131"/>
      <c r="N514" s="131"/>
      <c r="O514" s="131"/>
      <c r="P514" s="131"/>
      <c r="Q514" s="131"/>
      <c r="R514" s="131"/>
      <c r="S514" s="131"/>
      <c r="T514" s="131"/>
      <c r="U514" s="131"/>
      <c r="V514" s="131"/>
      <c r="W514" s="131"/>
      <c r="X514" s="131"/>
      <c r="Y514" s="131"/>
    </row>
    <row r="515">
      <c r="A515" s="131"/>
      <c r="B515" s="131"/>
      <c r="C515" s="131"/>
      <c r="D515" s="81"/>
      <c r="E515" s="81"/>
      <c r="F515" s="131"/>
      <c r="G515" s="131"/>
      <c r="H515" s="131"/>
      <c r="I515" s="131"/>
      <c r="J515" s="131"/>
      <c r="K515" s="131"/>
      <c r="L515" s="131"/>
      <c r="M515" s="131"/>
      <c r="N515" s="131"/>
      <c r="O515" s="131"/>
      <c r="P515" s="131"/>
      <c r="Q515" s="131"/>
      <c r="R515" s="131"/>
      <c r="S515" s="131"/>
      <c r="T515" s="131"/>
      <c r="U515" s="131"/>
      <c r="V515" s="131"/>
      <c r="W515" s="131"/>
      <c r="X515" s="131"/>
      <c r="Y515" s="131"/>
    </row>
    <row r="516">
      <c r="A516" s="131"/>
      <c r="B516" s="131"/>
      <c r="C516" s="131"/>
      <c r="D516" s="81"/>
      <c r="E516" s="81"/>
      <c r="F516" s="131"/>
      <c r="G516" s="131"/>
      <c r="H516" s="131"/>
      <c r="I516" s="131"/>
      <c r="J516" s="131"/>
      <c r="K516" s="131"/>
      <c r="L516" s="131"/>
      <c r="M516" s="131"/>
      <c r="N516" s="131"/>
      <c r="O516" s="131"/>
      <c r="P516" s="131"/>
      <c r="Q516" s="131"/>
      <c r="R516" s="131"/>
      <c r="S516" s="131"/>
      <c r="T516" s="131"/>
      <c r="U516" s="131"/>
      <c r="V516" s="131"/>
      <c r="W516" s="131"/>
      <c r="X516" s="131"/>
      <c r="Y516" s="131"/>
    </row>
    <row r="517">
      <c r="A517" s="131"/>
      <c r="B517" s="131"/>
      <c r="C517" s="131"/>
      <c r="D517" s="81"/>
      <c r="E517" s="81"/>
      <c r="F517" s="131"/>
      <c r="G517" s="131"/>
      <c r="H517" s="131"/>
      <c r="I517" s="131"/>
      <c r="J517" s="131"/>
      <c r="K517" s="131"/>
      <c r="L517" s="131"/>
      <c r="M517" s="131"/>
      <c r="N517" s="131"/>
      <c r="O517" s="131"/>
      <c r="P517" s="131"/>
      <c r="Q517" s="131"/>
      <c r="R517" s="131"/>
      <c r="S517" s="131"/>
      <c r="T517" s="131"/>
      <c r="U517" s="131"/>
      <c r="V517" s="131"/>
      <c r="W517" s="131"/>
      <c r="X517" s="131"/>
      <c r="Y517" s="131"/>
    </row>
    <row r="518">
      <c r="A518" s="131"/>
      <c r="B518" s="131"/>
      <c r="C518" s="131"/>
      <c r="D518" s="81"/>
      <c r="E518" s="81"/>
      <c r="F518" s="131"/>
      <c r="G518" s="131"/>
      <c r="H518" s="131"/>
      <c r="I518" s="131"/>
      <c r="J518" s="131"/>
      <c r="K518" s="131"/>
      <c r="L518" s="131"/>
      <c r="M518" s="131"/>
      <c r="N518" s="131"/>
      <c r="O518" s="131"/>
      <c r="P518" s="131"/>
      <c r="Q518" s="131"/>
      <c r="R518" s="131"/>
      <c r="S518" s="131"/>
      <c r="T518" s="131"/>
      <c r="U518" s="131"/>
      <c r="V518" s="131"/>
      <c r="W518" s="131"/>
      <c r="X518" s="131"/>
      <c r="Y518" s="131"/>
    </row>
    <row r="519">
      <c r="A519" s="131"/>
      <c r="B519" s="131"/>
      <c r="C519" s="131"/>
      <c r="D519" s="81"/>
      <c r="E519" s="81"/>
      <c r="F519" s="131"/>
      <c r="G519" s="131"/>
      <c r="H519" s="131"/>
      <c r="I519" s="131"/>
      <c r="J519" s="131"/>
      <c r="K519" s="131"/>
      <c r="L519" s="131"/>
      <c r="M519" s="131"/>
      <c r="N519" s="131"/>
      <c r="O519" s="131"/>
      <c r="P519" s="131"/>
      <c r="Q519" s="131"/>
      <c r="R519" s="131"/>
      <c r="S519" s="131"/>
      <c r="T519" s="131"/>
      <c r="U519" s="131"/>
      <c r="V519" s="131"/>
      <c r="W519" s="131"/>
      <c r="X519" s="131"/>
      <c r="Y519" s="131"/>
    </row>
    <row r="520">
      <c r="A520" s="131"/>
      <c r="B520" s="131"/>
      <c r="C520" s="131"/>
      <c r="D520" s="81"/>
      <c r="E520" s="81"/>
      <c r="F520" s="131"/>
      <c r="G520" s="131"/>
      <c r="H520" s="131"/>
      <c r="I520" s="131"/>
      <c r="J520" s="131"/>
      <c r="K520" s="131"/>
      <c r="L520" s="131"/>
      <c r="M520" s="131"/>
      <c r="N520" s="131"/>
      <c r="O520" s="131"/>
      <c r="P520" s="131"/>
      <c r="Q520" s="131"/>
      <c r="R520" s="131"/>
      <c r="S520" s="131"/>
      <c r="T520" s="131"/>
      <c r="U520" s="131"/>
      <c r="V520" s="131"/>
      <c r="W520" s="131"/>
      <c r="X520" s="131"/>
      <c r="Y520" s="131"/>
    </row>
    <row r="521">
      <c r="A521" s="131"/>
      <c r="B521" s="131"/>
      <c r="C521" s="131"/>
      <c r="D521" s="81"/>
      <c r="E521" s="81"/>
      <c r="F521" s="131"/>
      <c r="G521" s="131"/>
      <c r="H521" s="131"/>
      <c r="I521" s="131"/>
      <c r="J521" s="131"/>
      <c r="K521" s="131"/>
      <c r="L521" s="131"/>
      <c r="M521" s="131"/>
      <c r="N521" s="131"/>
      <c r="O521" s="131"/>
      <c r="P521" s="131"/>
      <c r="Q521" s="131"/>
      <c r="R521" s="131"/>
      <c r="S521" s="131"/>
      <c r="T521" s="131"/>
      <c r="U521" s="131"/>
      <c r="V521" s="131"/>
      <c r="W521" s="131"/>
      <c r="X521" s="131"/>
      <c r="Y521" s="131"/>
    </row>
    <row r="522">
      <c r="A522" s="131"/>
      <c r="B522" s="131"/>
      <c r="C522" s="131"/>
      <c r="D522" s="81"/>
      <c r="E522" s="81"/>
      <c r="F522" s="131"/>
      <c r="G522" s="131"/>
      <c r="H522" s="131"/>
      <c r="I522" s="131"/>
      <c r="J522" s="131"/>
      <c r="K522" s="131"/>
      <c r="L522" s="131"/>
      <c r="M522" s="131"/>
      <c r="N522" s="131"/>
      <c r="O522" s="131"/>
      <c r="P522" s="131"/>
      <c r="Q522" s="131"/>
      <c r="R522" s="131"/>
      <c r="S522" s="131"/>
      <c r="T522" s="131"/>
      <c r="U522" s="131"/>
      <c r="V522" s="131"/>
      <c r="W522" s="131"/>
      <c r="X522" s="131"/>
      <c r="Y522" s="131"/>
    </row>
    <row r="523">
      <c r="A523" s="131"/>
      <c r="B523" s="131"/>
      <c r="C523" s="131"/>
      <c r="D523" s="81"/>
      <c r="E523" s="81"/>
      <c r="F523" s="131"/>
      <c r="G523" s="131"/>
      <c r="H523" s="131"/>
      <c r="I523" s="131"/>
      <c r="J523" s="131"/>
      <c r="K523" s="131"/>
      <c r="L523" s="131"/>
      <c r="M523" s="131"/>
      <c r="N523" s="131"/>
      <c r="O523" s="131"/>
      <c r="P523" s="131"/>
      <c r="Q523" s="131"/>
      <c r="R523" s="131"/>
      <c r="S523" s="131"/>
      <c r="T523" s="131"/>
      <c r="U523" s="131"/>
      <c r="V523" s="131"/>
      <c r="W523" s="131"/>
      <c r="X523" s="131"/>
      <c r="Y523" s="131"/>
    </row>
    <row r="524">
      <c r="A524" s="131"/>
      <c r="B524" s="131"/>
      <c r="C524" s="131"/>
      <c r="D524" s="81"/>
      <c r="E524" s="81"/>
      <c r="F524" s="131"/>
      <c r="G524" s="131"/>
      <c r="H524" s="131"/>
      <c r="I524" s="131"/>
      <c r="J524" s="131"/>
      <c r="K524" s="131"/>
      <c r="L524" s="131"/>
      <c r="M524" s="131"/>
      <c r="N524" s="131"/>
      <c r="O524" s="131"/>
      <c r="P524" s="131"/>
      <c r="Q524" s="131"/>
      <c r="R524" s="131"/>
      <c r="S524" s="131"/>
      <c r="T524" s="131"/>
      <c r="U524" s="131"/>
      <c r="V524" s="131"/>
      <c r="W524" s="131"/>
      <c r="X524" s="131"/>
      <c r="Y524" s="131"/>
    </row>
    <row r="525">
      <c r="A525" s="131"/>
      <c r="B525" s="131"/>
      <c r="C525" s="131"/>
      <c r="D525" s="81"/>
      <c r="E525" s="81"/>
      <c r="F525" s="131"/>
      <c r="G525" s="131"/>
      <c r="H525" s="131"/>
      <c r="I525" s="131"/>
      <c r="J525" s="131"/>
      <c r="K525" s="131"/>
      <c r="L525" s="131"/>
      <c r="M525" s="131"/>
      <c r="N525" s="131"/>
      <c r="O525" s="131"/>
      <c r="P525" s="131"/>
      <c r="Q525" s="131"/>
      <c r="R525" s="131"/>
      <c r="S525" s="131"/>
      <c r="T525" s="131"/>
      <c r="U525" s="131"/>
      <c r="V525" s="131"/>
      <c r="W525" s="131"/>
      <c r="X525" s="131"/>
      <c r="Y525" s="131"/>
    </row>
    <row r="526">
      <c r="A526" s="131"/>
      <c r="B526" s="131"/>
      <c r="C526" s="131"/>
      <c r="D526" s="81"/>
      <c r="E526" s="81"/>
      <c r="F526" s="131"/>
      <c r="G526" s="131"/>
      <c r="H526" s="131"/>
      <c r="I526" s="131"/>
      <c r="J526" s="131"/>
      <c r="K526" s="131"/>
      <c r="L526" s="131"/>
      <c r="M526" s="131"/>
      <c r="N526" s="131"/>
      <c r="O526" s="131"/>
      <c r="P526" s="131"/>
      <c r="Q526" s="131"/>
      <c r="R526" s="131"/>
      <c r="S526" s="131"/>
      <c r="T526" s="131"/>
      <c r="U526" s="131"/>
      <c r="V526" s="131"/>
      <c r="W526" s="131"/>
      <c r="X526" s="131"/>
      <c r="Y526" s="131"/>
    </row>
    <row r="527">
      <c r="A527" s="131"/>
      <c r="B527" s="131"/>
      <c r="C527" s="131"/>
      <c r="D527" s="81"/>
      <c r="E527" s="81"/>
      <c r="F527" s="131"/>
      <c r="G527" s="131"/>
      <c r="H527" s="131"/>
      <c r="I527" s="131"/>
      <c r="J527" s="131"/>
      <c r="K527" s="131"/>
      <c r="L527" s="131"/>
      <c r="M527" s="131"/>
      <c r="N527" s="131"/>
      <c r="O527" s="131"/>
      <c r="P527" s="131"/>
      <c r="Q527" s="131"/>
      <c r="R527" s="131"/>
      <c r="S527" s="131"/>
      <c r="T527" s="131"/>
      <c r="U527" s="131"/>
      <c r="V527" s="131"/>
      <c r="W527" s="131"/>
      <c r="X527" s="131"/>
      <c r="Y527" s="131"/>
    </row>
    <row r="528">
      <c r="A528" s="131"/>
      <c r="B528" s="131"/>
      <c r="C528" s="131"/>
      <c r="D528" s="81"/>
      <c r="E528" s="81"/>
      <c r="F528" s="131"/>
      <c r="G528" s="131"/>
      <c r="H528" s="131"/>
      <c r="I528" s="131"/>
      <c r="J528" s="131"/>
      <c r="K528" s="131"/>
      <c r="L528" s="131"/>
      <c r="M528" s="131"/>
      <c r="N528" s="131"/>
      <c r="O528" s="131"/>
      <c r="P528" s="131"/>
      <c r="Q528" s="131"/>
      <c r="R528" s="131"/>
      <c r="S528" s="131"/>
      <c r="T528" s="131"/>
      <c r="U528" s="131"/>
      <c r="V528" s="131"/>
      <c r="W528" s="131"/>
      <c r="X528" s="131"/>
      <c r="Y528" s="131"/>
    </row>
    <row r="529">
      <c r="A529" s="131"/>
      <c r="B529" s="131"/>
      <c r="C529" s="131"/>
      <c r="D529" s="81"/>
      <c r="E529" s="81"/>
      <c r="F529" s="131"/>
      <c r="G529" s="131"/>
      <c r="H529" s="131"/>
      <c r="I529" s="131"/>
      <c r="J529" s="131"/>
      <c r="K529" s="131"/>
      <c r="L529" s="131"/>
      <c r="M529" s="131"/>
      <c r="N529" s="131"/>
      <c r="O529" s="131"/>
      <c r="P529" s="131"/>
      <c r="Q529" s="131"/>
      <c r="R529" s="131"/>
      <c r="S529" s="131"/>
      <c r="T529" s="131"/>
      <c r="U529" s="131"/>
      <c r="V529" s="131"/>
      <c r="W529" s="131"/>
      <c r="X529" s="131"/>
      <c r="Y529" s="131"/>
    </row>
    <row r="530">
      <c r="A530" s="131"/>
      <c r="B530" s="131"/>
      <c r="C530" s="131"/>
      <c r="D530" s="81"/>
      <c r="E530" s="81"/>
      <c r="F530" s="131"/>
      <c r="G530" s="131"/>
      <c r="H530" s="131"/>
      <c r="I530" s="131"/>
      <c r="J530" s="131"/>
      <c r="K530" s="131"/>
      <c r="L530" s="131"/>
      <c r="M530" s="131"/>
      <c r="N530" s="131"/>
      <c r="O530" s="131"/>
      <c r="P530" s="131"/>
      <c r="Q530" s="131"/>
      <c r="R530" s="131"/>
      <c r="S530" s="131"/>
      <c r="T530" s="131"/>
      <c r="U530" s="131"/>
      <c r="V530" s="131"/>
      <c r="W530" s="131"/>
      <c r="X530" s="131"/>
      <c r="Y530" s="131"/>
    </row>
    <row r="531">
      <c r="A531" s="131"/>
      <c r="B531" s="131"/>
      <c r="C531" s="131"/>
      <c r="D531" s="81"/>
      <c r="E531" s="81"/>
      <c r="F531" s="131"/>
      <c r="G531" s="131"/>
      <c r="H531" s="131"/>
      <c r="I531" s="131"/>
      <c r="J531" s="131"/>
      <c r="K531" s="131"/>
      <c r="L531" s="131"/>
      <c r="M531" s="131"/>
      <c r="N531" s="131"/>
      <c r="O531" s="131"/>
      <c r="P531" s="131"/>
      <c r="Q531" s="131"/>
      <c r="R531" s="131"/>
      <c r="S531" s="131"/>
      <c r="T531" s="131"/>
      <c r="U531" s="131"/>
      <c r="V531" s="131"/>
      <c r="W531" s="131"/>
      <c r="X531" s="131"/>
      <c r="Y531" s="131"/>
    </row>
    <row r="532">
      <c r="A532" s="131"/>
      <c r="B532" s="131"/>
      <c r="C532" s="131"/>
      <c r="D532" s="81"/>
      <c r="E532" s="81"/>
      <c r="F532" s="131"/>
      <c r="G532" s="131"/>
      <c r="H532" s="131"/>
      <c r="I532" s="131"/>
      <c r="J532" s="131"/>
      <c r="K532" s="131"/>
      <c r="L532" s="131"/>
      <c r="M532" s="131"/>
      <c r="N532" s="131"/>
      <c r="O532" s="131"/>
      <c r="P532" s="131"/>
      <c r="Q532" s="131"/>
      <c r="R532" s="131"/>
      <c r="S532" s="131"/>
      <c r="T532" s="131"/>
      <c r="U532" s="131"/>
      <c r="V532" s="131"/>
      <c r="W532" s="131"/>
      <c r="X532" s="131"/>
      <c r="Y532" s="131"/>
    </row>
    <row r="533">
      <c r="A533" s="131"/>
      <c r="B533" s="131"/>
      <c r="C533" s="131"/>
      <c r="D533" s="81"/>
      <c r="E533" s="81"/>
      <c r="F533" s="131"/>
      <c r="G533" s="131"/>
      <c r="H533" s="131"/>
      <c r="I533" s="131"/>
      <c r="J533" s="131"/>
      <c r="K533" s="131"/>
      <c r="L533" s="131"/>
      <c r="M533" s="131"/>
      <c r="N533" s="131"/>
      <c r="O533" s="131"/>
      <c r="P533" s="131"/>
      <c r="Q533" s="131"/>
      <c r="R533" s="131"/>
      <c r="S533" s="131"/>
      <c r="T533" s="131"/>
      <c r="U533" s="131"/>
      <c r="V533" s="131"/>
      <c r="W533" s="131"/>
      <c r="X533" s="131"/>
      <c r="Y533" s="131"/>
    </row>
    <row r="534">
      <c r="A534" s="131"/>
      <c r="B534" s="131"/>
      <c r="C534" s="131"/>
      <c r="D534" s="81"/>
      <c r="E534" s="81"/>
      <c r="F534" s="131"/>
      <c r="G534" s="131"/>
      <c r="H534" s="131"/>
      <c r="I534" s="131"/>
      <c r="J534" s="131"/>
      <c r="K534" s="131"/>
      <c r="L534" s="131"/>
      <c r="M534" s="131"/>
      <c r="N534" s="131"/>
      <c r="O534" s="131"/>
      <c r="P534" s="131"/>
      <c r="Q534" s="131"/>
      <c r="R534" s="131"/>
      <c r="S534" s="131"/>
      <c r="T534" s="131"/>
      <c r="U534" s="131"/>
      <c r="V534" s="131"/>
      <c r="W534" s="131"/>
      <c r="X534" s="131"/>
      <c r="Y534" s="131"/>
    </row>
    <row r="535">
      <c r="A535" s="131"/>
      <c r="B535" s="131"/>
      <c r="C535" s="131"/>
      <c r="D535" s="81"/>
      <c r="E535" s="81"/>
      <c r="F535" s="131"/>
      <c r="G535" s="131"/>
      <c r="H535" s="131"/>
      <c r="I535" s="131"/>
      <c r="J535" s="131"/>
      <c r="K535" s="131"/>
      <c r="L535" s="131"/>
      <c r="M535" s="131"/>
      <c r="N535" s="131"/>
      <c r="O535" s="131"/>
      <c r="P535" s="131"/>
      <c r="Q535" s="131"/>
      <c r="R535" s="131"/>
      <c r="S535" s="131"/>
      <c r="T535" s="131"/>
      <c r="U535" s="131"/>
      <c r="V535" s="131"/>
      <c r="W535" s="131"/>
      <c r="X535" s="131"/>
      <c r="Y535" s="131"/>
    </row>
    <row r="536">
      <c r="A536" s="131"/>
      <c r="B536" s="131"/>
      <c r="C536" s="131"/>
      <c r="D536" s="81"/>
      <c r="E536" s="81"/>
      <c r="F536" s="131"/>
      <c r="G536" s="131"/>
      <c r="H536" s="131"/>
      <c r="I536" s="131"/>
      <c r="J536" s="131"/>
      <c r="K536" s="131"/>
      <c r="L536" s="131"/>
      <c r="M536" s="131"/>
      <c r="N536" s="131"/>
      <c r="O536" s="131"/>
      <c r="P536" s="131"/>
      <c r="Q536" s="131"/>
      <c r="R536" s="131"/>
      <c r="S536" s="131"/>
      <c r="T536" s="131"/>
      <c r="U536" s="131"/>
      <c r="V536" s="131"/>
      <c r="W536" s="131"/>
      <c r="X536" s="131"/>
      <c r="Y536" s="131"/>
    </row>
    <row r="537">
      <c r="A537" s="131"/>
      <c r="B537" s="131"/>
      <c r="C537" s="131"/>
      <c r="D537" s="81"/>
      <c r="E537" s="81"/>
      <c r="F537" s="131"/>
      <c r="G537" s="131"/>
      <c r="H537" s="131"/>
      <c r="I537" s="131"/>
      <c r="J537" s="131"/>
      <c r="K537" s="131"/>
      <c r="L537" s="131"/>
      <c r="M537" s="131"/>
      <c r="N537" s="131"/>
      <c r="O537" s="131"/>
      <c r="P537" s="131"/>
      <c r="Q537" s="131"/>
      <c r="R537" s="131"/>
      <c r="S537" s="131"/>
      <c r="T537" s="131"/>
      <c r="U537" s="131"/>
      <c r="V537" s="131"/>
      <c r="W537" s="131"/>
      <c r="X537" s="131"/>
      <c r="Y537" s="131"/>
    </row>
    <row r="538">
      <c r="A538" s="131"/>
      <c r="B538" s="131"/>
      <c r="C538" s="131"/>
      <c r="D538" s="81"/>
      <c r="E538" s="81"/>
      <c r="F538" s="131"/>
      <c r="G538" s="131"/>
      <c r="H538" s="131"/>
      <c r="I538" s="131"/>
      <c r="J538" s="131"/>
      <c r="K538" s="131"/>
      <c r="L538" s="131"/>
      <c r="M538" s="131"/>
      <c r="N538" s="131"/>
      <c r="O538" s="131"/>
      <c r="P538" s="131"/>
      <c r="Q538" s="131"/>
      <c r="R538" s="131"/>
      <c r="S538" s="131"/>
      <c r="T538" s="131"/>
      <c r="U538" s="131"/>
      <c r="V538" s="131"/>
      <c r="W538" s="131"/>
      <c r="X538" s="131"/>
      <c r="Y538" s="131"/>
    </row>
    <row r="539">
      <c r="A539" s="131"/>
      <c r="B539" s="131"/>
      <c r="C539" s="131"/>
      <c r="D539" s="81"/>
      <c r="E539" s="81"/>
      <c r="F539" s="131"/>
      <c r="G539" s="131"/>
      <c r="H539" s="131"/>
      <c r="I539" s="131"/>
      <c r="J539" s="131"/>
      <c r="K539" s="131"/>
      <c r="L539" s="131"/>
      <c r="M539" s="131"/>
      <c r="N539" s="131"/>
      <c r="O539" s="131"/>
      <c r="P539" s="131"/>
      <c r="Q539" s="131"/>
      <c r="R539" s="131"/>
      <c r="S539" s="131"/>
      <c r="T539" s="131"/>
      <c r="U539" s="131"/>
      <c r="V539" s="131"/>
      <c r="W539" s="131"/>
      <c r="X539" s="131"/>
      <c r="Y539" s="131"/>
    </row>
    <row r="540">
      <c r="A540" s="131"/>
      <c r="B540" s="131"/>
      <c r="C540" s="131"/>
      <c r="D540" s="81"/>
      <c r="E540" s="81"/>
      <c r="F540" s="131"/>
      <c r="G540" s="131"/>
      <c r="H540" s="131"/>
      <c r="I540" s="131"/>
      <c r="J540" s="131"/>
      <c r="K540" s="131"/>
      <c r="L540" s="131"/>
      <c r="M540" s="131"/>
      <c r="N540" s="131"/>
      <c r="O540" s="131"/>
      <c r="P540" s="131"/>
      <c r="Q540" s="131"/>
      <c r="R540" s="131"/>
      <c r="S540" s="131"/>
      <c r="T540" s="131"/>
      <c r="U540" s="131"/>
      <c r="V540" s="131"/>
      <c r="W540" s="131"/>
      <c r="X540" s="131"/>
      <c r="Y540" s="131"/>
    </row>
    <row r="541">
      <c r="A541" s="131"/>
      <c r="B541" s="131"/>
      <c r="C541" s="131"/>
      <c r="D541" s="81"/>
      <c r="E541" s="81"/>
      <c r="F541" s="131"/>
      <c r="G541" s="131"/>
      <c r="H541" s="131"/>
      <c r="I541" s="131"/>
      <c r="J541" s="131"/>
      <c r="K541" s="131"/>
      <c r="L541" s="131"/>
      <c r="M541" s="131"/>
      <c r="N541" s="131"/>
      <c r="O541" s="131"/>
      <c r="P541" s="131"/>
      <c r="Q541" s="131"/>
      <c r="R541" s="131"/>
      <c r="S541" s="131"/>
      <c r="T541" s="131"/>
      <c r="U541" s="131"/>
      <c r="V541" s="131"/>
      <c r="W541" s="131"/>
      <c r="X541" s="131"/>
      <c r="Y541" s="131"/>
    </row>
    <row r="542">
      <c r="A542" s="131"/>
      <c r="B542" s="131"/>
      <c r="C542" s="131"/>
      <c r="D542" s="81"/>
      <c r="E542" s="81"/>
      <c r="F542" s="131"/>
      <c r="G542" s="131"/>
      <c r="H542" s="131"/>
      <c r="I542" s="131"/>
      <c r="J542" s="131"/>
      <c r="K542" s="131"/>
      <c r="L542" s="131"/>
      <c r="M542" s="131"/>
      <c r="N542" s="131"/>
      <c r="O542" s="131"/>
      <c r="P542" s="131"/>
      <c r="Q542" s="131"/>
      <c r="R542" s="131"/>
      <c r="S542" s="131"/>
      <c r="T542" s="131"/>
      <c r="U542" s="131"/>
      <c r="V542" s="131"/>
      <c r="W542" s="131"/>
      <c r="X542" s="131"/>
      <c r="Y542" s="131"/>
    </row>
    <row r="543">
      <c r="A543" s="131"/>
      <c r="B543" s="131"/>
      <c r="C543" s="131"/>
      <c r="D543" s="81"/>
      <c r="E543" s="81"/>
      <c r="F543" s="131"/>
      <c r="G543" s="131"/>
      <c r="H543" s="131"/>
      <c r="I543" s="131"/>
      <c r="J543" s="131"/>
      <c r="K543" s="131"/>
      <c r="L543" s="131"/>
      <c r="M543" s="131"/>
      <c r="N543" s="131"/>
      <c r="O543" s="131"/>
      <c r="P543" s="131"/>
      <c r="Q543" s="131"/>
      <c r="R543" s="131"/>
      <c r="S543" s="131"/>
      <c r="T543" s="131"/>
      <c r="U543" s="131"/>
      <c r="V543" s="131"/>
      <c r="W543" s="131"/>
      <c r="X543" s="131"/>
      <c r="Y543" s="131"/>
    </row>
    <row r="544">
      <c r="A544" s="131"/>
      <c r="B544" s="131"/>
      <c r="C544" s="131"/>
      <c r="D544" s="81"/>
      <c r="E544" s="81"/>
      <c r="F544" s="131"/>
      <c r="G544" s="131"/>
      <c r="H544" s="131"/>
      <c r="I544" s="131"/>
      <c r="J544" s="131"/>
      <c r="K544" s="131"/>
      <c r="L544" s="131"/>
      <c r="M544" s="131"/>
      <c r="N544" s="131"/>
      <c r="O544" s="131"/>
      <c r="P544" s="131"/>
      <c r="Q544" s="131"/>
      <c r="R544" s="131"/>
      <c r="S544" s="131"/>
      <c r="T544" s="131"/>
      <c r="U544" s="131"/>
      <c r="V544" s="131"/>
      <c r="W544" s="131"/>
      <c r="X544" s="131"/>
      <c r="Y544" s="131"/>
    </row>
    <row r="545">
      <c r="A545" s="131"/>
      <c r="B545" s="131"/>
      <c r="C545" s="131"/>
      <c r="D545" s="81"/>
      <c r="E545" s="81"/>
      <c r="F545" s="131"/>
      <c r="G545" s="131"/>
      <c r="H545" s="131"/>
      <c r="I545" s="131"/>
      <c r="J545" s="131"/>
      <c r="K545" s="131"/>
      <c r="L545" s="131"/>
      <c r="M545" s="131"/>
      <c r="N545" s="131"/>
      <c r="O545" s="131"/>
      <c r="P545" s="131"/>
      <c r="Q545" s="131"/>
      <c r="R545" s="131"/>
      <c r="S545" s="131"/>
      <c r="T545" s="131"/>
      <c r="U545" s="131"/>
      <c r="V545" s="131"/>
      <c r="W545" s="131"/>
      <c r="X545" s="131"/>
      <c r="Y545" s="131"/>
    </row>
    <row r="546">
      <c r="A546" s="131"/>
      <c r="B546" s="131"/>
      <c r="C546" s="131"/>
      <c r="D546" s="81"/>
      <c r="E546" s="81"/>
      <c r="F546" s="131"/>
      <c r="G546" s="131"/>
      <c r="H546" s="131"/>
      <c r="I546" s="131"/>
      <c r="J546" s="131"/>
      <c r="K546" s="131"/>
      <c r="L546" s="131"/>
      <c r="M546" s="131"/>
      <c r="N546" s="131"/>
      <c r="O546" s="131"/>
      <c r="P546" s="131"/>
      <c r="Q546" s="131"/>
      <c r="R546" s="131"/>
      <c r="S546" s="131"/>
      <c r="T546" s="131"/>
      <c r="U546" s="131"/>
      <c r="V546" s="131"/>
      <c r="W546" s="131"/>
      <c r="X546" s="131"/>
      <c r="Y546" s="131"/>
    </row>
    <row r="547">
      <c r="A547" s="131"/>
      <c r="B547" s="131"/>
      <c r="C547" s="131"/>
      <c r="D547" s="81"/>
      <c r="E547" s="81"/>
      <c r="F547" s="131"/>
      <c r="G547" s="131"/>
      <c r="H547" s="131"/>
      <c r="I547" s="131"/>
      <c r="J547" s="131"/>
      <c r="K547" s="131"/>
      <c r="L547" s="131"/>
      <c r="M547" s="131"/>
      <c r="N547" s="131"/>
      <c r="O547" s="131"/>
      <c r="P547" s="131"/>
      <c r="Q547" s="131"/>
      <c r="R547" s="131"/>
      <c r="S547" s="131"/>
      <c r="T547" s="131"/>
      <c r="U547" s="131"/>
      <c r="V547" s="131"/>
      <c r="W547" s="131"/>
      <c r="X547" s="131"/>
      <c r="Y547" s="131"/>
    </row>
    <row r="548">
      <c r="A548" s="131"/>
      <c r="B548" s="131"/>
      <c r="C548" s="131"/>
      <c r="D548" s="81"/>
      <c r="E548" s="81"/>
      <c r="F548" s="131"/>
      <c r="G548" s="131"/>
      <c r="H548" s="131"/>
      <c r="I548" s="131"/>
      <c r="J548" s="131"/>
      <c r="K548" s="131"/>
      <c r="L548" s="131"/>
      <c r="M548" s="131"/>
      <c r="N548" s="131"/>
      <c r="O548" s="131"/>
      <c r="P548" s="131"/>
      <c r="Q548" s="131"/>
      <c r="R548" s="131"/>
      <c r="S548" s="131"/>
      <c r="T548" s="131"/>
      <c r="U548" s="131"/>
      <c r="V548" s="131"/>
      <c r="W548" s="131"/>
      <c r="X548" s="131"/>
      <c r="Y548" s="131"/>
    </row>
    <row r="549">
      <c r="A549" s="131"/>
      <c r="B549" s="131"/>
      <c r="C549" s="131"/>
      <c r="D549" s="81"/>
      <c r="E549" s="81"/>
      <c r="F549" s="131"/>
      <c r="G549" s="131"/>
      <c r="H549" s="131"/>
      <c r="I549" s="131"/>
      <c r="J549" s="131"/>
      <c r="K549" s="131"/>
      <c r="L549" s="131"/>
      <c r="M549" s="131"/>
      <c r="N549" s="131"/>
      <c r="O549" s="131"/>
      <c r="P549" s="131"/>
      <c r="Q549" s="131"/>
      <c r="R549" s="131"/>
      <c r="S549" s="131"/>
      <c r="T549" s="131"/>
      <c r="U549" s="131"/>
      <c r="V549" s="131"/>
      <c r="W549" s="131"/>
      <c r="X549" s="131"/>
      <c r="Y549" s="131"/>
    </row>
    <row r="550">
      <c r="A550" s="131"/>
      <c r="B550" s="131"/>
      <c r="C550" s="131"/>
      <c r="D550" s="81"/>
      <c r="E550" s="81"/>
      <c r="F550" s="131"/>
      <c r="G550" s="131"/>
      <c r="H550" s="131"/>
      <c r="I550" s="131"/>
      <c r="J550" s="131"/>
      <c r="K550" s="131"/>
      <c r="L550" s="131"/>
      <c r="M550" s="131"/>
      <c r="N550" s="131"/>
      <c r="O550" s="131"/>
      <c r="P550" s="131"/>
      <c r="Q550" s="131"/>
      <c r="R550" s="131"/>
      <c r="S550" s="131"/>
      <c r="T550" s="131"/>
      <c r="U550" s="131"/>
      <c r="V550" s="131"/>
      <c r="W550" s="131"/>
      <c r="X550" s="131"/>
      <c r="Y550" s="131"/>
    </row>
    <row r="551">
      <c r="A551" s="131"/>
      <c r="B551" s="131"/>
      <c r="C551" s="131"/>
      <c r="D551" s="81"/>
      <c r="E551" s="81"/>
      <c r="F551" s="131"/>
      <c r="G551" s="131"/>
      <c r="H551" s="131"/>
      <c r="I551" s="131"/>
      <c r="J551" s="131"/>
      <c r="K551" s="131"/>
      <c r="L551" s="131"/>
      <c r="M551" s="131"/>
      <c r="N551" s="131"/>
      <c r="O551" s="131"/>
      <c r="P551" s="131"/>
      <c r="Q551" s="131"/>
      <c r="R551" s="131"/>
      <c r="S551" s="131"/>
      <c r="T551" s="131"/>
      <c r="U551" s="131"/>
      <c r="V551" s="131"/>
      <c r="W551" s="131"/>
      <c r="X551" s="131"/>
      <c r="Y551" s="131"/>
    </row>
    <row r="552">
      <c r="A552" s="131"/>
      <c r="B552" s="131"/>
      <c r="C552" s="131"/>
      <c r="D552" s="81"/>
      <c r="E552" s="81"/>
      <c r="F552" s="131"/>
      <c r="G552" s="131"/>
      <c r="H552" s="131"/>
      <c r="I552" s="131"/>
      <c r="J552" s="131"/>
      <c r="K552" s="131"/>
      <c r="L552" s="131"/>
      <c r="M552" s="131"/>
      <c r="N552" s="131"/>
      <c r="O552" s="131"/>
      <c r="P552" s="131"/>
      <c r="Q552" s="131"/>
      <c r="R552" s="131"/>
      <c r="S552" s="131"/>
      <c r="T552" s="131"/>
      <c r="U552" s="131"/>
      <c r="V552" s="131"/>
      <c r="W552" s="131"/>
      <c r="X552" s="131"/>
      <c r="Y552" s="131"/>
    </row>
    <row r="553">
      <c r="A553" s="131"/>
      <c r="B553" s="131"/>
      <c r="C553" s="131"/>
      <c r="D553" s="81"/>
      <c r="E553" s="81"/>
      <c r="F553" s="131"/>
      <c r="G553" s="131"/>
      <c r="H553" s="131"/>
      <c r="I553" s="131"/>
      <c r="J553" s="131"/>
      <c r="K553" s="131"/>
      <c r="L553" s="131"/>
      <c r="M553" s="131"/>
      <c r="N553" s="131"/>
      <c r="O553" s="131"/>
      <c r="P553" s="131"/>
      <c r="Q553" s="131"/>
      <c r="R553" s="131"/>
      <c r="S553" s="131"/>
      <c r="T553" s="131"/>
      <c r="U553" s="131"/>
      <c r="V553" s="131"/>
      <c r="W553" s="131"/>
      <c r="X553" s="131"/>
      <c r="Y553" s="131"/>
    </row>
    <row r="554">
      <c r="A554" s="131"/>
      <c r="B554" s="131"/>
      <c r="C554" s="131"/>
      <c r="D554" s="81"/>
      <c r="E554" s="81"/>
      <c r="F554" s="131"/>
      <c r="G554" s="131"/>
      <c r="H554" s="131"/>
      <c r="I554" s="131"/>
      <c r="J554" s="131"/>
      <c r="K554" s="131"/>
      <c r="L554" s="131"/>
      <c r="M554" s="131"/>
      <c r="N554" s="131"/>
      <c r="O554" s="131"/>
      <c r="P554" s="131"/>
      <c r="Q554" s="131"/>
      <c r="R554" s="131"/>
      <c r="S554" s="131"/>
      <c r="T554" s="131"/>
      <c r="U554" s="131"/>
      <c r="V554" s="131"/>
      <c r="W554" s="131"/>
      <c r="X554" s="131"/>
      <c r="Y554" s="131"/>
    </row>
    <row r="555">
      <c r="A555" s="131"/>
      <c r="B555" s="131"/>
      <c r="C555" s="131"/>
      <c r="D555" s="81"/>
      <c r="E555" s="81"/>
      <c r="F555" s="131"/>
      <c r="G555" s="131"/>
      <c r="H555" s="131"/>
      <c r="I555" s="131"/>
      <c r="J555" s="131"/>
      <c r="K555" s="131"/>
      <c r="L555" s="131"/>
      <c r="M555" s="131"/>
      <c r="N555" s="131"/>
      <c r="O555" s="131"/>
      <c r="P555" s="131"/>
      <c r="Q555" s="131"/>
      <c r="R555" s="131"/>
      <c r="S555" s="131"/>
      <c r="T555" s="131"/>
      <c r="U555" s="131"/>
      <c r="V555" s="131"/>
      <c r="W555" s="131"/>
      <c r="X555" s="131"/>
      <c r="Y555" s="131"/>
    </row>
    <row r="556">
      <c r="A556" s="131"/>
      <c r="B556" s="131"/>
      <c r="C556" s="131"/>
      <c r="D556" s="81"/>
      <c r="E556" s="81"/>
      <c r="F556" s="131"/>
      <c r="G556" s="131"/>
      <c r="H556" s="131"/>
      <c r="I556" s="131"/>
      <c r="J556" s="131"/>
      <c r="K556" s="131"/>
      <c r="L556" s="131"/>
      <c r="M556" s="131"/>
      <c r="N556" s="131"/>
      <c r="O556" s="131"/>
      <c r="P556" s="131"/>
      <c r="Q556" s="131"/>
      <c r="R556" s="131"/>
      <c r="S556" s="131"/>
      <c r="T556" s="131"/>
      <c r="U556" s="131"/>
      <c r="V556" s="131"/>
      <c r="W556" s="131"/>
      <c r="X556" s="131"/>
      <c r="Y556" s="131"/>
    </row>
    <row r="557">
      <c r="A557" s="131"/>
      <c r="B557" s="131"/>
      <c r="C557" s="131"/>
      <c r="D557" s="81"/>
      <c r="E557" s="81"/>
      <c r="F557" s="131"/>
      <c r="G557" s="131"/>
      <c r="H557" s="131"/>
      <c r="I557" s="131"/>
      <c r="J557" s="131"/>
      <c r="K557" s="131"/>
      <c r="L557" s="131"/>
      <c r="M557" s="131"/>
      <c r="N557" s="131"/>
      <c r="O557" s="131"/>
      <c r="P557" s="131"/>
      <c r="Q557" s="131"/>
      <c r="R557" s="131"/>
      <c r="S557" s="131"/>
      <c r="T557" s="131"/>
      <c r="U557" s="131"/>
      <c r="V557" s="131"/>
      <c r="W557" s="131"/>
      <c r="X557" s="131"/>
      <c r="Y557" s="131"/>
    </row>
    <row r="558">
      <c r="A558" s="131"/>
      <c r="B558" s="131"/>
      <c r="C558" s="131"/>
      <c r="D558" s="81"/>
      <c r="E558" s="81"/>
      <c r="F558" s="131"/>
      <c r="G558" s="131"/>
      <c r="H558" s="131"/>
      <c r="I558" s="131"/>
      <c r="J558" s="131"/>
      <c r="K558" s="131"/>
      <c r="L558" s="131"/>
      <c r="M558" s="131"/>
      <c r="N558" s="131"/>
      <c r="O558" s="131"/>
      <c r="P558" s="131"/>
      <c r="Q558" s="131"/>
      <c r="R558" s="131"/>
      <c r="S558" s="131"/>
      <c r="T558" s="131"/>
      <c r="U558" s="131"/>
      <c r="V558" s="131"/>
      <c r="W558" s="131"/>
      <c r="X558" s="131"/>
      <c r="Y558" s="131"/>
    </row>
    <row r="559">
      <c r="A559" s="131"/>
      <c r="B559" s="131"/>
      <c r="C559" s="131"/>
      <c r="D559" s="81"/>
      <c r="E559" s="81"/>
      <c r="F559" s="131"/>
      <c r="G559" s="131"/>
      <c r="H559" s="131"/>
      <c r="I559" s="131"/>
      <c r="J559" s="131"/>
      <c r="K559" s="131"/>
      <c r="L559" s="131"/>
      <c r="M559" s="131"/>
      <c r="N559" s="131"/>
      <c r="O559" s="131"/>
      <c r="P559" s="131"/>
      <c r="Q559" s="131"/>
      <c r="R559" s="131"/>
      <c r="S559" s="131"/>
      <c r="T559" s="131"/>
      <c r="U559" s="131"/>
      <c r="V559" s="131"/>
      <c r="W559" s="131"/>
      <c r="X559" s="131"/>
      <c r="Y559" s="131"/>
    </row>
    <row r="560">
      <c r="A560" s="131"/>
      <c r="B560" s="131"/>
      <c r="C560" s="131"/>
      <c r="D560" s="81"/>
      <c r="E560" s="81"/>
      <c r="F560" s="131"/>
      <c r="G560" s="131"/>
      <c r="H560" s="131"/>
      <c r="I560" s="131"/>
      <c r="J560" s="131"/>
      <c r="K560" s="131"/>
      <c r="L560" s="131"/>
      <c r="M560" s="131"/>
      <c r="N560" s="131"/>
      <c r="O560" s="131"/>
      <c r="P560" s="131"/>
      <c r="Q560" s="131"/>
      <c r="R560" s="131"/>
      <c r="S560" s="131"/>
      <c r="T560" s="131"/>
      <c r="U560" s="131"/>
      <c r="V560" s="131"/>
      <c r="W560" s="131"/>
      <c r="X560" s="131"/>
      <c r="Y560" s="131"/>
    </row>
    <row r="561">
      <c r="A561" s="131"/>
      <c r="B561" s="131"/>
      <c r="C561" s="131"/>
      <c r="D561" s="81"/>
      <c r="E561" s="81"/>
      <c r="F561" s="131"/>
      <c r="G561" s="131"/>
      <c r="H561" s="131"/>
      <c r="I561" s="131"/>
      <c r="J561" s="131"/>
      <c r="K561" s="131"/>
      <c r="L561" s="131"/>
      <c r="M561" s="131"/>
      <c r="N561" s="131"/>
      <c r="O561" s="131"/>
      <c r="P561" s="131"/>
      <c r="Q561" s="131"/>
      <c r="R561" s="131"/>
      <c r="S561" s="131"/>
      <c r="T561" s="131"/>
      <c r="U561" s="131"/>
      <c r="V561" s="131"/>
      <c r="W561" s="131"/>
      <c r="X561" s="131"/>
      <c r="Y561" s="131"/>
    </row>
    <row r="562">
      <c r="A562" s="131"/>
      <c r="B562" s="131"/>
      <c r="C562" s="131"/>
      <c r="D562" s="81"/>
      <c r="E562" s="81"/>
      <c r="F562" s="131"/>
      <c r="G562" s="131"/>
      <c r="H562" s="131"/>
      <c r="I562" s="131"/>
      <c r="J562" s="131"/>
      <c r="K562" s="131"/>
      <c r="L562" s="131"/>
      <c r="M562" s="131"/>
      <c r="N562" s="131"/>
      <c r="O562" s="131"/>
      <c r="P562" s="131"/>
      <c r="Q562" s="131"/>
      <c r="R562" s="131"/>
      <c r="S562" s="131"/>
      <c r="T562" s="131"/>
      <c r="U562" s="131"/>
      <c r="V562" s="131"/>
      <c r="W562" s="131"/>
      <c r="X562" s="131"/>
      <c r="Y562" s="131"/>
    </row>
    <row r="563">
      <c r="A563" s="131"/>
      <c r="B563" s="131"/>
      <c r="C563" s="131"/>
      <c r="D563" s="81"/>
      <c r="E563" s="81"/>
      <c r="F563" s="131"/>
      <c r="G563" s="131"/>
      <c r="H563" s="131"/>
      <c r="I563" s="131"/>
      <c r="J563" s="131"/>
      <c r="K563" s="131"/>
      <c r="L563" s="131"/>
      <c r="M563" s="131"/>
      <c r="N563" s="131"/>
      <c r="O563" s="131"/>
      <c r="P563" s="131"/>
      <c r="Q563" s="131"/>
      <c r="R563" s="131"/>
      <c r="S563" s="131"/>
      <c r="T563" s="131"/>
      <c r="U563" s="131"/>
      <c r="V563" s="131"/>
      <c r="W563" s="131"/>
      <c r="X563" s="131"/>
      <c r="Y563" s="131"/>
    </row>
    <row r="564">
      <c r="A564" s="131"/>
      <c r="B564" s="131"/>
      <c r="C564" s="131"/>
      <c r="D564" s="81"/>
      <c r="E564" s="81"/>
      <c r="F564" s="131"/>
      <c r="G564" s="131"/>
      <c r="H564" s="131"/>
      <c r="I564" s="131"/>
      <c r="J564" s="131"/>
      <c r="K564" s="131"/>
      <c r="L564" s="131"/>
      <c r="M564" s="131"/>
      <c r="N564" s="131"/>
      <c r="O564" s="131"/>
      <c r="P564" s="131"/>
      <c r="Q564" s="131"/>
      <c r="R564" s="131"/>
      <c r="S564" s="131"/>
      <c r="T564" s="131"/>
      <c r="U564" s="131"/>
      <c r="V564" s="131"/>
      <c r="W564" s="131"/>
      <c r="X564" s="131"/>
      <c r="Y564" s="131"/>
    </row>
    <row r="565">
      <c r="A565" s="131"/>
      <c r="B565" s="131"/>
      <c r="C565" s="131"/>
      <c r="D565" s="81"/>
      <c r="E565" s="81"/>
      <c r="F565" s="131"/>
      <c r="G565" s="131"/>
      <c r="H565" s="131"/>
      <c r="I565" s="131"/>
      <c r="J565" s="131"/>
      <c r="K565" s="131"/>
      <c r="L565" s="131"/>
      <c r="M565" s="131"/>
      <c r="N565" s="131"/>
      <c r="O565" s="131"/>
      <c r="P565" s="131"/>
      <c r="Q565" s="131"/>
      <c r="R565" s="131"/>
      <c r="S565" s="131"/>
      <c r="T565" s="131"/>
      <c r="U565" s="131"/>
      <c r="V565" s="131"/>
      <c r="W565" s="131"/>
      <c r="X565" s="131"/>
      <c r="Y565" s="131"/>
    </row>
    <row r="566">
      <c r="A566" s="131"/>
      <c r="B566" s="131"/>
      <c r="C566" s="131"/>
      <c r="D566" s="81"/>
      <c r="E566" s="81"/>
      <c r="F566" s="131"/>
      <c r="G566" s="131"/>
      <c r="H566" s="131"/>
      <c r="I566" s="131"/>
      <c r="J566" s="131"/>
      <c r="K566" s="131"/>
      <c r="L566" s="131"/>
      <c r="M566" s="131"/>
      <c r="N566" s="131"/>
      <c r="O566" s="131"/>
      <c r="P566" s="131"/>
      <c r="Q566" s="131"/>
      <c r="R566" s="131"/>
      <c r="S566" s="131"/>
      <c r="T566" s="131"/>
      <c r="U566" s="131"/>
      <c r="V566" s="131"/>
      <c r="W566" s="131"/>
      <c r="X566" s="131"/>
      <c r="Y566" s="131"/>
    </row>
    <row r="567">
      <c r="A567" s="131"/>
      <c r="B567" s="131"/>
      <c r="C567" s="131"/>
      <c r="D567" s="81"/>
      <c r="E567" s="81"/>
      <c r="F567" s="131"/>
      <c r="G567" s="131"/>
      <c r="H567" s="131"/>
      <c r="I567" s="131"/>
      <c r="J567" s="131"/>
      <c r="K567" s="131"/>
      <c r="L567" s="131"/>
      <c r="M567" s="131"/>
      <c r="N567" s="131"/>
      <c r="O567" s="131"/>
      <c r="P567" s="131"/>
      <c r="Q567" s="131"/>
      <c r="R567" s="131"/>
      <c r="S567" s="131"/>
      <c r="T567" s="131"/>
      <c r="U567" s="131"/>
      <c r="V567" s="131"/>
      <c r="W567" s="131"/>
      <c r="X567" s="131"/>
      <c r="Y567" s="131"/>
    </row>
    <row r="568">
      <c r="A568" s="131"/>
      <c r="B568" s="131"/>
      <c r="C568" s="131"/>
      <c r="D568" s="81"/>
      <c r="E568" s="81"/>
      <c r="F568" s="131"/>
      <c r="G568" s="131"/>
      <c r="H568" s="131"/>
      <c r="I568" s="131"/>
      <c r="J568" s="131"/>
      <c r="K568" s="131"/>
      <c r="L568" s="131"/>
      <c r="M568" s="131"/>
      <c r="N568" s="131"/>
      <c r="O568" s="131"/>
      <c r="P568" s="131"/>
      <c r="Q568" s="131"/>
      <c r="R568" s="131"/>
      <c r="S568" s="131"/>
      <c r="T568" s="131"/>
      <c r="U568" s="131"/>
      <c r="V568" s="131"/>
      <c r="W568" s="131"/>
      <c r="X568" s="131"/>
      <c r="Y568" s="131"/>
    </row>
    <row r="569">
      <c r="A569" s="131"/>
      <c r="B569" s="131"/>
      <c r="C569" s="131"/>
      <c r="D569" s="81"/>
      <c r="E569" s="81"/>
      <c r="F569" s="131"/>
      <c r="G569" s="131"/>
      <c r="H569" s="131"/>
      <c r="I569" s="131"/>
      <c r="J569" s="131"/>
      <c r="K569" s="131"/>
      <c r="L569" s="131"/>
      <c r="M569" s="131"/>
      <c r="N569" s="131"/>
      <c r="O569" s="131"/>
      <c r="P569" s="131"/>
      <c r="Q569" s="131"/>
      <c r="R569" s="131"/>
      <c r="S569" s="131"/>
      <c r="T569" s="131"/>
      <c r="U569" s="131"/>
      <c r="V569" s="131"/>
      <c r="W569" s="131"/>
      <c r="X569" s="131"/>
      <c r="Y569" s="131"/>
    </row>
    <row r="570">
      <c r="A570" s="131"/>
      <c r="B570" s="131"/>
      <c r="C570" s="131"/>
      <c r="D570" s="81"/>
      <c r="E570" s="81"/>
      <c r="F570" s="131"/>
      <c r="G570" s="131"/>
      <c r="H570" s="131"/>
      <c r="I570" s="131"/>
      <c r="J570" s="131"/>
      <c r="K570" s="131"/>
      <c r="L570" s="131"/>
      <c r="M570" s="131"/>
      <c r="N570" s="131"/>
      <c r="O570" s="131"/>
      <c r="P570" s="131"/>
      <c r="Q570" s="131"/>
      <c r="R570" s="131"/>
      <c r="S570" s="131"/>
      <c r="T570" s="131"/>
      <c r="U570" s="131"/>
      <c r="V570" s="131"/>
      <c r="W570" s="131"/>
      <c r="X570" s="131"/>
      <c r="Y570" s="131"/>
    </row>
    <row r="571">
      <c r="A571" s="131"/>
      <c r="B571" s="131"/>
      <c r="C571" s="131"/>
      <c r="D571" s="81"/>
      <c r="E571" s="81"/>
      <c r="F571" s="131"/>
      <c r="G571" s="131"/>
      <c r="H571" s="131"/>
      <c r="I571" s="131"/>
      <c r="J571" s="131"/>
      <c r="K571" s="131"/>
      <c r="L571" s="131"/>
      <c r="M571" s="131"/>
      <c r="N571" s="131"/>
      <c r="O571" s="131"/>
      <c r="P571" s="131"/>
      <c r="Q571" s="131"/>
      <c r="R571" s="131"/>
      <c r="S571" s="131"/>
      <c r="T571" s="131"/>
      <c r="U571" s="131"/>
      <c r="V571" s="131"/>
      <c r="W571" s="131"/>
      <c r="X571" s="131"/>
      <c r="Y571" s="131"/>
    </row>
    <row r="572">
      <c r="A572" s="131"/>
      <c r="B572" s="131"/>
      <c r="C572" s="131"/>
      <c r="D572" s="81"/>
      <c r="E572" s="81"/>
      <c r="F572" s="131"/>
      <c r="G572" s="131"/>
      <c r="H572" s="131"/>
      <c r="I572" s="131"/>
      <c r="J572" s="131"/>
      <c r="K572" s="131"/>
      <c r="L572" s="131"/>
      <c r="M572" s="131"/>
      <c r="N572" s="131"/>
      <c r="O572" s="131"/>
      <c r="P572" s="131"/>
      <c r="Q572" s="131"/>
      <c r="R572" s="131"/>
      <c r="S572" s="131"/>
      <c r="T572" s="131"/>
      <c r="U572" s="131"/>
      <c r="V572" s="131"/>
      <c r="W572" s="131"/>
      <c r="X572" s="131"/>
      <c r="Y572" s="131"/>
    </row>
    <row r="573">
      <c r="A573" s="131"/>
      <c r="B573" s="131"/>
      <c r="C573" s="131"/>
      <c r="D573" s="81"/>
      <c r="E573" s="81"/>
      <c r="F573" s="131"/>
      <c r="G573" s="131"/>
      <c r="H573" s="131"/>
      <c r="I573" s="131"/>
      <c r="J573" s="131"/>
      <c r="K573" s="131"/>
      <c r="L573" s="131"/>
      <c r="M573" s="131"/>
      <c r="N573" s="131"/>
      <c r="O573" s="131"/>
      <c r="P573" s="131"/>
      <c r="Q573" s="131"/>
      <c r="R573" s="131"/>
      <c r="S573" s="131"/>
      <c r="T573" s="131"/>
      <c r="U573" s="131"/>
      <c r="V573" s="131"/>
      <c r="W573" s="131"/>
      <c r="X573" s="131"/>
      <c r="Y573" s="131"/>
    </row>
    <row r="574">
      <c r="A574" s="131"/>
      <c r="B574" s="131"/>
      <c r="C574" s="131"/>
      <c r="D574" s="81"/>
      <c r="E574" s="81"/>
      <c r="F574" s="131"/>
      <c r="G574" s="131"/>
      <c r="H574" s="131"/>
      <c r="I574" s="131"/>
      <c r="J574" s="131"/>
      <c r="K574" s="131"/>
      <c r="L574" s="131"/>
      <c r="M574" s="131"/>
      <c r="N574" s="131"/>
      <c r="O574" s="131"/>
      <c r="P574" s="131"/>
      <c r="Q574" s="131"/>
      <c r="R574" s="131"/>
      <c r="S574" s="131"/>
      <c r="T574" s="131"/>
      <c r="U574" s="131"/>
      <c r="V574" s="131"/>
      <c r="W574" s="131"/>
      <c r="X574" s="131"/>
      <c r="Y574" s="131"/>
    </row>
    <row r="575">
      <c r="A575" s="131"/>
      <c r="B575" s="131"/>
      <c r="C575" s="131"/>
      <c r="D575" s="81"/>
      <c r="E575" s="81"/>
      <c r="F575" s="131"/>
      <c r="G575" s="131"/>
      <c r="H575" s="131"/>
      <c r="I575" s="131"/>
      <c r="J575" s="131"/>
      <c r="K575" s="131"/>
      <c r="L575" s="131"/>
      <c r="M575" s="131"/>
      <c r="N575" s="131"/>
      <c r="O575" s="131"/>
      <c r="P575" s="131"/>
      <c r="Q575" s="131"/>
      <c r="R575" s="131"/>
      <c r="S575" s="131"/>
      <c r="T575" s="131"/>
      <c r="U575" s="131"/>
      <c r="V575" s="131"/>
      <c r="W575" s="131"/>
      <c r="X575" s="131"/>
      <c r="Y575" s="131"/>
    </row>
    <row r="576">
      <c r="A576" s="131"/>
      <c r="B576" s="131"/>
      <c r="C576" s="131"/>
      <c r="D576" s="81"/>
      <c r="E576" s="81"/>
      <c r="F576" s="131"/>
      <c r="G576" s="131"/>
      <c r="H576" s="131"/>
      <c r="I576" s="131"/>
      <c r="J576" s="131"/>
      <c r="K576" s="131"/>
      <c r="L576" s="131"/>
      <c r="M576" s="131"/>
      <c r="N576" s="131"/>
      <c r="O576" s="131"/>
      <c r="P576" s="131"/>
      <c r="Q576" s="131"/>
      <c r="R576" s="131"/>
      <c r="S576" s="131"/>
      <c r="T576" s="131"/>
      <c r="U576" s="131"/>
      <c r="V576" s="131"/>
      <c r="W576" s="131"/>
      <c r="X576" s="131"/>
      <c r="Y576" s="131"/>
    </row>
    <row r="577">
      <c r="A577" s="131"/>
      <c r="B577" s="131"/>
      <c r="C577" s="131"/>
      <c r="D577" s="81"/>
      <c r="E577" s="81"/>
      <c r="F577" s="131"/>
      <c r="G577" s="131"/>
      <c r="H577" s="131"/>
      <c r="I577" s="131"/>
      <c r="J577" s="131"/>
      <c r="K577" s="131"/>
      <c r="L577" s="131"/>
      <c r="M577" s="131"/>
      <c r="N577" s="131"/>
      <c r="O577" s="131"/>
      <c r="P577" s="131"/>
      <c r="Q577" s="131"/>
      <c r="R577" s="131"/>
      <c r="S577" s="131"/>
      <c r="T577" s="131"/>
      <c r="U577" s="131"/>
      <c r="V577" s="131"/>
      <c r="W577" s="131"/>
      <c r="X577" s="131"/>
      <c r="Y577" s="131"/>
    </row>
    <row r="578">
      <c r="A578" s="131"/>
      <c r="B578" s="131"/>
      <c r="C578" s="131"/>
      <c r="D578" s="81"/>
      <c r="E578" s="81"/>
      <c r="F578" s="131"/>
      <c r="G578" s="131"/>
      <c r="H578" s="131"/>
      <c r="I578" s="131"/>
      <c r="J578" s="131"/>
      <c r="K578" s="131"/>
      <c r="L578" s="131"/>
      <c r="M578" s="131"/>
      <c r="N578" s="131"/>
      <c r="O578" s="131"/>
      <c r="P578" s="131"/>
      <c r="Q578" s="131"/>
      <c r="R578" s="131"/>
      <c r="S578" s="131"/>
      <c r="T578" s="131"/>
      <c r="U578" s="131"/>
      <c r="V578" s="131"/>
      <c r="W578" s="131"/>
      <c r="X578" s="131"/>
      <c r="Y578" s="131"/>
    </row>
    <row r="579">
      <c r="A579" s="131"/>
      <c r="B579" s="131"/>
      <c r="C579" s="131"/>
      <c r="D579" s="81"/>
      <c r="E579" s="81"/>
      <c r="F579" s="131"/>
      <c r="G579" s="131"/>
      <c r="H579" s="131"/>
      <c r="I579" s="131"/>
      <c r="J579" s="131"/>
      <c r="K579" s="131"/>
      <c r="L579" s="131"/>
      <c r="M579" s="131"/>
      <c r="N579" s="131"/>
      <c r="O579" s="131"/>
      <c r="P579" s="131"/>
      <c r="Q579" s="131"/>
      <c r="R579" s="131"/>
      <c r="S579" s="131"/>
      <c r="T579" s="131"/>
      <c r="U579" s="131"/>
      <c r="V579" s="131"/>
      <c r="W579" s="131"/>
      <c r="X579" s="131"/>
      <c r="Y579" s="131"/>
    </row>
    <row r="580">
      <c r="A580" s="131"/>
      <c r="B580" s="131"/>
      <c r="C580" s="131"/>
      <c r="D580" s="81"/>
      <c r="E580" s="81"/>
      <c r="F580" s="131"/>
      <c r="G580" s="131"/>
      <c r="H580" s="131"/>
      <c r="I580" s="131"/>
      <c r="J580" s="131"/>
      <c r="K580" s="131"/>
      <c r="L580" s="131"/>
      <c r="M580" s="131"/>
      <c r="N580" s="131"/>
      <c r="O580" s="131"/>
      <c r="P580" s="131"/>
      <c r="Q580" s="131"/>
      <c r="R580" s="131"/>
      <c r="S580" s="131"/>
      <c r="T580" s="131"/>
      <c r="U580" s="131"/>
      <c r="V580" s="131"/>
      <c r="W580" s="131"/>
      <c r="X580" s="131"/>
      <c r="Y580" s="131"/>
    </row>
    <row r="581">
      <c r="A581" s="131"/>
      <c r="B581" s="131"/>
      <c r="C581" s="131"/>
      <c r="D581" s="81"/>
      <c r="E581" s="81"/>
      <c r="F581" s="131"/>
      <c r="G581" s="131"/>
      <c r="H581" s="131"/>
      <c r="I581" s="131"/>
      <c r="J581" s="131"/>
      <c r="K581" s="131"/>
      <c r="L581" s="131"/>
      <c r="M581" s="131"/>
      <c r="N581" s="131"/>
      <c r="O581" s="131"/>
      <c r="P581" s="131"/>
      <c r="Q581" s="131"/>
      <c r="R581" s="131"/>
      <c r="S581" s="131"/>
      <c r="T581" s="131"/>
      <c r="U581" s="131"/>
      <c r="V581" s="131"/>
      <c r="W581" s="131"/>
      <c r="X581" s="131"/>
      <c r="Y581" s="131"/>
    </row>
    <row r="582">
      <c r="A582" s="131"/>
      <c r="B582" s="131"/>
      <c r="C582" s="131"/>
      <c r="D582" s="81"/>
      <c r="E582" s="81"/>
      <c r="F582" s="131"/>
      <c r="G582" s="131"/>
      <c r="H582" s="131"/>
      <c r="I582" s="131"/>
      <c r="J582" s="131"/>
      <c r="K582" s="131"/>
      <c r="L582" s="131"/>
      <c r="M582" s="131"/>
      <c r="N582" s="131"/>
      <c r="O582" s="131"/>
      <c r="P582" s="131"/>
      <c r="Q582" s="131"/>
      <c r="R582" s="131"/>
      <c r="S582" s="131"/>
      <c r="T582" s="131"/>
      <c r="U582" s="131"/>
      <c r="V582" s="131"/>
      <c r="W582" s="131"/>
      <c r="X582" s="131"/>
      <c r="Y582" s="131"/>
    </row>
    <row r="583">
      <c r="A583" s="131"/>
      <c r="B583" s="131"/>
      <c r="C583" s="131"/>
      <c r="D583" s="81"/>
      <c r="E583" s="81"/>
      <c r="F583" s="131"/>
      <c r="G583" s="131"/>
      <c r="H583" s="131"/>
      <c r="I583" s="131"/>
      <c r="J583" s="131"/>
      <c r="K583" s="131"/>
      <c r="L583" s="131"/>
      <c r="M583" s="131"/>
      <c r="N583" s="131"/>
      <c r="O583" s="131"/>
      <c r="P583" s="131"/>
      <c r="Q583" s="131"/>
      <c r="R583" s="131"/>
      <c r="S583" s="131"/>
      <c r="T583" s="131"/>
      <c r="U583" s="131"/>
      <c r="V583" s="131"/>
      <c r="W583" s="131"/>
      <c r="X583" s="131"/>
      <c r="Y583" s="131"/>
    </row>
    <row r="584">
      <c r="A584" s="131"/>
      <c r="B584" s="131"/>
      <c r="C584" s="131"/>
      <c r="D584" s="81"/>
      <c r="E584" s="81"/>
      <c r="F584" s="131"/>
      <c r="G584" s="131"/>
      <c r="H584" s="131"/>
      <c r="I584" s="131"/>
      <c r="J584" s="131"/>
      <c r="K584" s="131"/>
      <c r="L584" s="131"/>
      <c r="M584" s="131"/>
      <c r="N584" s="131"/>
      <c r="O584" s="131"/>
      <c r="P584" s="131"/>
      <c r="Q584" s="131"/>
      <c r="R584" s="131"/>
      <c r="S584" s="131"/>
      <c r="T584" s="131"/>
      <c r="U584" s="131"/>
      <c r="V584" s="131"/>
      <c r="W584" s="131"/>
      <c r="X584" s="131"/>
      <c r="Y584" s="131"/>
    </row>
    <row r="585">
      <c r="A585" s="131"/>
      <c r="B585" s="131"/>
      <c r="C585" s="131"/>
      <c r="D585" s="81"/>
      <c r="E585" s="81"/>
      <c r="F585" s="131"/>
      <c r="G585" s="131"/>
      <c r="H585" s="131"/>
      <c r="I585" s="131"/>
      <c r="J585" s="131"/>
      <c r="K585" s="131"/>
      <c r="L585" s="131"/>
      <c r="M585" s="131"/>
      <c r="N585" s="131"/>
      <c r="O585" s="131"/>
      <c r="P585" s="131"/>
      <c r="Q585" s="131"/>
      <c r="R585" s="131"/>
      <c r="S585" s="131"/>
      <c r="T585" s="131"/>
      <c r="U585" s="131"/>
      <c r="V585" s="131"/>
      <c r="W585" s="131"/>
      <c r="X585" s="131"/>
      <c r="Y585" s="131"/>
    </row>
    <row r="586">
      <c r="A586" s="131"/>
      <c r="B586" s="131"/>
      <c r="C586" s="131"/>
      <c r="D586" s="81"/>
      <c r="E586" s="81"/>
      <c r="F586" s="131"/>
      <c r="G586" s="131"/>
      <c r="H586" s="131"/>
      <c r="I586" s="131"/>
      <c r="J586" s="131"/>
      <c r="K586" s="131"/>
      <c r="L586" s="131"/>
      <c r="M586" s="131"/>
      <c r="N586" s="131"/>
      <c r="O586" s="131"/>
      <c r="P586" s="131"/>
      <c r="Q586" s="131"/>
      <c r="R586" s="131"/>
      <c r="S586" s="131"/>
      <c r="T586" s="131"/>
      <c r="U586" s="131"/>
      <c r="V586" s="131"/>
      <c r="W586" s="131"/>
      <c r="X586" s="131"/>
      <c r="Y586" s="131"/>
    </row>
    <row r="587">
      <c r="A587" s="131"/>
      <c r="B587" s="131"/>
      <c r="C587" s="131"/>
      <c r="D587" s="81"/>
      <c r="E587" s="81"/>
      <c r="F587" s="131"/>
      <c r="G587" s="131"/>
      <c r="H587" s="131"/>
      <c r="I587" s="131"/>
      <c r="J587" s="131"/>
      <c r="K587" s="131"/>
      <c r="L587" s="131"/>
      <c r="M587" s="131"/>
      <c r="N587" s="131"/>
      <c r="O587" s="131"/>
      <c r="P587" s="131"/>
      <c r="Q587" s="131"/>
      <c r="R587" s="131"/>
      <c r="S587" s="131"/>
      <c r="T587" s="131"/>
      <c r="U587" s="131"/>
      <c r="V587" s="131"/>
      <c r="W587" s="131"/>
      <c r="X587" s="131"/>
      <c r="Y587" s="131"/>
    </row>
    <row r="588">
      <c r="A588" s="131"/>
      <c r="B588" s="131"/>
      <c r="C588" s="131"/>
      <c r="D588" s="81"/>
      <c r="E588" s="81"/>
      <c r="F588" s="131"/>
      <c r="G588" s="131"/>
      <c r="H588" s="131"/>
      <c r="I588" s="131"/>
      <c r="J588" s="131"/>
      <c r="K588" s="131"/>
      <c r="L588" s="131"/>
      <c r="M588" s="131"/>
      <c r="N588" s="131"/>
      <c r="O588" s="131"/>
      <c r="P588" s="131"/>
      <c r="Q588" s="131"/>
      <c r="R588" s="131"/>
      <c r="S588" s="131"/>
      <c r="T588" s="131"/>
      <c r="U588" s="131"/>
      <c r="V588" s="131"/>
      <c r="W588" s="131"/>
      <c r="X588" s="131"/>
      <c r="Y588" s="131"/>
    </row>
    <row r="589">
      <c r="A589" s="131"/>
      <c r="B589" s="131"/>
      <c r="C589" s="131"/>
      <c r="D589" s="81"/>
      <c r="E589" s="81"/>
      <c r="F589" s="131"/>
      <c r="G589" s="131"/>
      <c r="H589" s="131"/>
      <c r="I589" s="131"/>
      <c r="J589" s="131"/>
      <c r="K589" s="131"/>
      <c r="L589" s="131"/>
      <c r="M589" s="131"/>
      <c r="N589" s="131"/>
      <c r="O589" s="131"/>
      <c r="P589" s="131"/>
      <c r="Q589" s="131"/>
      <c r="R589" s="131"/>
      <c r="S589" s="131"/>
      <c r="T589" s="131"/>
      <c r="U589" s="131"/>
      <c r="V589" s="131"/>
      <c r="W589" s="131"/>
      <c r="X589" s="131"/>
      <c r="Y589" s="131"/>
    </row>
    <row r="590">
      <c r="A590" s="131"/>
      <c r="B590" s="131"/>
      <c r="C590" s="131"/>
      <c r="D590" s="81"/>
      <c r="E590" s="81"/>
      <c r="F590" s="131"/>
      <c r="G590" s="131"/>
      <c r="H590" s="131"/>
      <c r="I590" s="131"/>
      <c r="J590" s="131"/>
      <c r="K590" s="131"/>
      <c r="L590" s="131"/>
      <c r="M590" s="131"/>
      <c r="N590" s="131"/>
      <c r="O590" s="131"/>
      <c r="P590" s="131"/>
      <c r="Q590" s="131"/>
      <c r="R590" s="131"/>
      <c r="S590" s="131"/>
      <c r="T590" s="131"/>
      <c r="U590" s="131"/>
      <c r="V590" s="131"/>
      <c r="W590" s="131"/>
      <c r="X590" s="131"/>
      <c r="Y590" s="131"/>
    </row>
    <row r="591">
      <c r="A591" s="131"/>
      <c r="B591" s="131"/>
      <c r="C591" s="131"/>
      <c r="D591" s="81"/>
      <c r="E591" s="81"/>
      <c r="F591" s="131"/>
      <c r="G591" s="131"/>
      <c r="H591" s="131"/>
      <c r="I591" s="131"/>
      <c r="J591" s="131"/>
      <c r="K591" s="131"/>
      <c r="L591" s="131"/>
      <c r="M591" s="131"/>
      <c r="N591" s="131"/>
      <c r="O591" s="131"/>
      <c r="P591" s="131"/>
      <c r="Q591" s="131"/>
      <c r="R591" s="131"/>
      <c r="S591" s="131"/>
      <c r="T591" s="131"/>
      <c r="U591" s="131"/>
      <c r="V591" s="131"/>
      <c r="W591" s="131"/>
      <c r="X591" s="131"/>
      <c r="Y591" s="131"/>
    </row>
    <row r="592">
      <c r="A592" s="131"/>
      <c r="B592" s="131"/>
      <c r="C592" s="131"/>
      <c r="D592" s="81"/>
      <c r="E592" s="81"/>
      <c r="F592" s="131"/>
      <c r="G592" s="131"/>
      <c r="H592" s="131"/>
      <c r="I592" s="131"/>
      <c r="J592" s="131"/>
      <c r="K592" s="131"/>
      <c r="L592" s="131"/>
      <c r="M592" s="131"/>
      <c r="N592" s="131"/>
      <c r="O592" s="131"/>
      <c r="P592" s="131"/>
      <c r="Q592" s="131"/>
      <c r="R592" s="131"/>
      <c r="S592" s="131"/>
      <c r="T592" s="131"/>
      <c r="U592" s="131"/>
      <c r="V592" s="131"/>
      <c r="W592" s="131"/>
      <c r="X592" s="131"/>
      <c r="Y592" s="131"/>
    </row>
    <row r="593">
      <c r="A593" s="131"/>
      <c r="B593" s="131"/>
      <c r="C593" s="131"/>
      <c r="D593" s="81"/>
      <c r="E593" s="81"/>
      <c r="F593" s="131"/>
      <c r="G593" s="131"/>
      <c r="H593" s="131"/>
      <c r="I593" s="131"/>
      <c r="J593" s="131"/>
      <c r="K593" s="131"/>
      <c r="L593" s="131"/>
      <c r="M593" s="131"/>
      <c r="N593" s="131"/>
      <c r="O593" s="131"/>
      <c r="P593" s="131"/>
      <c r="Q593" s="131"/>
      <c r="R593" s="131"/>
      <c r="S593" s="131"/>
      <c r="T593" s="131"/>
      <c r="U593" s="131"/>
      <c r="V593" s="131"/>
      <c r="W593" s="131"/>
      <c r="X593" s="131"/>
      <c r="Y593" s="131"/>
    </row>
    <row r="594">
      <c r="A594" s="131"/>
      <c r="B594" s="131"/>
      <c r="C594" s="131"/>
      <c r="D594" s="81"/>
      <c r="E594" s="81"/>
      <c r="F594" s="131"/>
      <c r="G594" s="131"/>
      <c r="H594" s="131"/>
      <c r="I594" s="131"/>
      <c r="J594" s="131"/>
      <c r="K594" s="131"/>
      <c r="L594" s="131"/>
      <c r="M594" s="131"/>
      <c r="N594" s="131"/>
      <c r="O594" s="131"/>
      <c r="P594" s="131"/>
      <c r="Q594" s="131"/>
      <c r="R594" s="131"/>
      <c r="S594" s="131"/>
      <c r="T594" s="131"/>
      <c r="U594" s="131"/>
      <c r="V594" s="131"/>
      <c r="W594" s="131"/>
      <c r="X594" s="131"/>
      <c r="Y594" s="131"/>
    </row>
    <row r="595">
      <c r="A595" s="131"/>
      <c r="B595" s="131"/>
      <c r="C595" s="131"/>
      <c r="D595" s="81"/>
      <c r="E595" s="81"/>
      <c r="F595" s="131"/>
      <c r="G595" s="131"/>
      <c r="H595" s="131"/>
      <c r="I595" s="131"/>
      <c r="J595" s="131"/>
      <c r="K595" s="131"/>
      <c r="L595" s="131"/>
      <c r="M595" s="131"/>
      <c r="N595" s="131"/>
      <c r="O595" s="131"/>
      <c r="P595" s="131"/>
      <c r="Q595" s="131"/>
      <c r="R595" s="131"/>
      <c r="S595" s="131"/>
      <c r="T595" s="131"/>
      <c r="U595" s="131"/>
      <c r="V595" s="131"/>
      <c r="W595" s="131"/>
      <c r="X595" s="131"/>
      <c r="Y595" s="131"/>
    </row>
    <row r="596">
      <c r="A596" s="131"/>
      <c r="B596" s="131"/>
      <c r="C596" s="131"/>
      <c r="D596" s="81"/>
      <c r="E596" s="81"/>
      <c r="F596" s="131"/>
      <c r="G596" s="131"/>
      <c r="H596" s="131"/>
      <c r="I596" s="131"/>
      <c r="J596" s="131"/>
      <c r="K596" s="131"/>
      <c r="L596" s="131"/>
      <c r="M596" s="131"/>
      <c r="N596" s="131"/>
      <c r="O596" s="131"/>
      <c r="P596" s="131"/>
      <c r="Q596" s="131"/>
      <c r="R596" s="131"/>
      <c r="S596" s="131"/>
      <c r="T596" s="131"/>
      <c r="U596" s="131"/>
      <c r="V596" s="131"/>
      <c r="W596" s="131"/>
      <c r="X596" s="131"/>
      <c r="Y596" s="131"/>
    </row>
    <row r="597">
      <c r="A597" s="131"/>
      <c r="B597" s="131"/>
      <c r="C597" s="131"/>
      <c r="D597" s="81"/>
      <c r="E597" s="81"/>
      <c r="F597" s="131"/>
      <c r="G597" s="131"/>
      <c r="H597" s="131"/>
      <c r="I597" s="131"/>
      <c r="J597" s="131"/>
      <c r="K597" s="131"/>
      <c r="L597" s="131"/>
      <c r="M597" s="131"/>
      <c r="N597" s="131"/>
      <c r="O597" s="131"/>
      <c r="P597" s="131"/>
      <c r="Q597" s="131"/>
      <c r="R597" s="131"/>
      <c r="S597" s="131"/>
      <c r="T597" s="131"/>
      <c r="U597" s="131"/>
      <c r="V597" s="131"/>
      <c r="W597" s="131"/>
      <c r="X597" s="131"/>
      <c r="Y597" s="131"/>
    </row>
    <row r="598">
      <c r="A598" s="131"/>
      <c r="B598" s="131"/>
      <c r="C598" s="131"/>
      <c r="D598" s="81"/>
      <c r="E598" s="81"/>
      <c r="F598" s="131"/>
      <c r="G598" s="131"/>
      <c r="H598" s="131"/>
      <c r="I598" s="131"/>
      <c r="J598" s="131"/>
      <c r="K598" s="131"/>
      <c r="L598" s="131"/>
      <c r="M598" s="131"/>
      <c r="N598" s="131"/>
      <c r="O598" s="131"/>
      <c r="P598" s="131"/>
      <c r="Q598" s="131"/>
      <c r="R598" s="131"/>
      <c r="S598" s="131"/>
      <c r="T598" s="131"/>
      <c r="U598" s="131"/>
      <c r="V598" s="131"/>
      <c r="W598" s="131"/>
      <c r="X598" s="131"/>
      <c r="Y598" s="131"/>
    </row>
    <row r="599">
      <c r="A599" s="131"/>
      <c r="B599" s="131"/>
      <c r="C599" s="131"/>
      <c r="D599" s="81"/>
      <c r="E599" s="81"/>
      <c r="F599" s="131"/>
      <c r="G599" s="131"/>
      <c r="H599" s="131"/>
      <c r="I599" s="131"/>
      <c r="J599" s="131"/>
      <c r="K599" s="131"/>
      <c r="L599" s="131"/>
      <c r="M599" s="131"/>
      <c r="N599" s="131"/>
      <c r="O599" s="131"/>
      <c r="P599" s="131"/>
      <c r="Q599" s="131"/>
      <c r="R599" s="131"/>
      <c r="S599" s="131"/>
      <c r="T599" s="131"/>
      <c r="U599" s="131"/>
      <c r="V599" s="131"/>
      <c r="W599" s="131"/>
      <c r="X599" s="131"/>
      <c r="Y599" s="131"/>
    </row>
    <row r="600">
      <c r="A600" s="131"/>
      <c r="B600" s="131"/>
      <c r="C600" s="131"/>
      <c r="D600" s="81"/>
      <c r="E600" s="81"/>
      <c r="F600" s="131"/>
      <c r="G600" s="131"/>
      <c r="H600" s="131"/>
      <c r="I600" s="131"/>
      <c r="J600" s="131"/>
      <c r="K600" s="131"/>
      <c r="L600" s="131"/>
      <c r="M600" s="131"/>
      <c r="N600" s="131"/>
      <c r="O600" s="131"/>
      <c r="P600" s="131"/>
      <c r="Q600" s="131"/>
      <c r="R600" s="131"/>
      <c r="S600" s="131"/>
      <c r="T600" s="131"/>
      <c r="U600" s="131"/>
      <c r="V600" s="131"/>
      <c r="W600" s="131"/>
      <c r="X600" s="131"/>
      <c r="Y600" s="131"/>
    </row>
    <row r="601">
      <c r="A601" s="131"/>
      <c r="B601" s="131"/>
      <c r="C601" s="131"/>
      <c r="D601" s="81"/>
      <c r="E601" s="81"/>
      <c r="F601" s="131"/>
      <c r="G601" s="131"/>
      <c r="H601" s="131"/>
      <c r="I601" s="131"/>
      <c r="J601" s="131"/>
      <c r="K601" s="131"/>
      <c r="L601" s="131"/>
      <c r="M601" s="131"/>
      <c r="N601" s="131"/>
      <c r="O601" s="131"/>
      <c r="P601" s="131"/>
      <c r="Q601" s="131"/>
      <c r="R601" s="131"/>
      <c r="S601" s="131"/>
      <c r="T601" s="131"/>
      <c r="U601" s="131"/>
      <c r="V601" s="131"/>
      <c r="W601" s="131"/>
      <c r="X601" s="131"/>
      <c r="Y601" s="131"/>
    </row>
    <row r="602">
      <c r="A602" s="131"/>
      <c r="B602" s="131"/>
      <c r="C602" s="131"/>
      <c r="D602" s="81"/>
      <c r="E602" s="81"/>
      <c r="F602" s="131"/>
      <c r="G602" s="131"/>
      <c r="H602" s="131"/>
      <c r="I602" s="131"/>
      <c r="J602" s="131"/>
      <c r="K602" s="131"/>
      <c r="L602" s="131"/>
      <c r="M602" s="131"/>
      <c r="N602" s="131"/>
      <c r="O602" s="131"/>
      <c r="P602" s="131"/>
      <c r="Q602" s="131"/>
      <c r="R602" s="131"/>
      <c r="S602" s="131"/>
      <c r="T602" s="131"/>
      <c r="U602" s="131"/>
      <c r="V602" s="131"/>
      <c r="W602" s="131"/>
      <c r="X602" s="131"/>
      <c r="Y602" s="131"/>
    </row>
    <row r="603">
      <c r="A603" s="131"/>
      <c r="B603" s="131"/>
      <c r="C603" s="131"/>
      <c r="D603" s="81"/>
      <c r="E603" s="81"/>
      <c r="F603" s="131"/>
      <c r="G603" s="131"/>
      <c r="H603" s="131"/>
      <c r="I603" s="131"/>
      <c r="J603" s="131"/>
      <c r="K603" s="131"/>
      <c r="L603" s="131"/>
      <c r="M603" s="131"/>
      <c r="N603" s="131"/>
      <c r="O603" s="131"/>
      <c r="P603" s="131"/>
      <c r="Q603" s="131"/>
      <c r="R603" s="131"/>
      <c r="S603" s="131"/>
      <c r="T603" s="131"/>
      <c r="U603" s="131"/>
      <c r="V603" s="131"/>
      <c r="W603" s="131"/>
      <c r="X603" s="131"/>
      <c r="Y603" s="131"/>
    </row>
    <row r="604">
      <c r="A604" s="131"/>
      <c r="B604" s="131"/>
      <c r="C604" s="131"/>
      <c r="D604" s="81"/>
      <c r="E604" s="81"/>
      <c r="F604" s="131"/>
      <c r="G604" s="131"/>
      <c r="H604" s="131"/>
      <c r="I604" s="131"/>
      <c r="J604" s="131"/>
      <c r="K604" s="131"/>
      <c r="L604" s="131"/>
      <c r="M604" s="131"/>
      <c r="N604" s="131"/>
      <c r="O604" s="131"/>
      <c r="P604" s="131"/>
      <c r="Q604" s="131"/>
      <c r="R604" s="131"/>
      <c r="S604" s="131"/>
      <c r="T604" s="131"/>
      <c r="U604" s="131"/>
      <c r="V604" s="131"/>
      <c r="W604" s="131"/>
      <c r="X604" s="131"/>
      <c r="Y604" s="131"/>
    </row>
    <row r="605">
      <c r="A605" s="131"/>
      <c r="B605" s="131"/>
      <c r="C605" s="131"/>
      <c r="D605" s="81"/>
      <c r="E605" s="81"/>
      <c r="F605" s="131"/>
      <c r="G605" s="131"/>
      <c r="H605" s="131"/>
      <c r="I605" s="131"/>
      <c r="J605" s="131"/>
      <c r="K605" s="131"/>
      <c r="L605" s="131"/>
      <c r="M605" s="131"/>
      <c r="N605" s="131"/>
      <c r="O605" s="131"/>
      <c r="P605" s="131"/>
      <c r="Q605" s="131"/>
      <c r="R605" s="131"/>
      <c r="S605" s="131"/>
      <c r="T605" s="131"/>
      <c r="U605" s="131"/>
      <c r="V605" s="131"/>
      <c r="W605" s="131"/>
      <c r="X605" s="131"/>
      <c r="Y605" s="131"/>
    </row>
    <row r="606">
      <c r="A606" s="131"/>
      <c r="B606" s="131"/>
      <c r="C606" s="131"/>
      <c r="D606" s="81"/>
      <c r="E606" s="81"/>
      <c r="F606" s="131"/>
      <c r="G606" s="131"/>
      <c r="H606" s="131"/>
      <c r="I606" s="131"/>
      <c r="J606" s="131"/>
      <c r="K606" s="131"/>
      <c r="L606" s="131"/>
      <c r="M606" s="131"/>
      <c r="N606" s="131"/>
      <c r="O606" s="131"/>
      <c r="P606" s="131"/>
      <c r="Q606" s="131"/>
      <c r="R606" s="131"/>
      <c r="S606" s="131"/>
      <c r="T606" s="131"/>
      <c r="U606" s="131"/>
      <c r="V606" s="131"/>
      <c r="W606" s="131"/>
      <c r="X606" s="131"/>
      <c r="Y606" s="131"/>
    </row>
    <row r="607">
      <c r="A607" s="131"/>
      <c r="B607" s="131"/>
      <c r="C607" s="131"/>
      <c r="D607" s="81"/>
      <c r="E607" s="81"/>
      <c r="F607" s="131"/>
      <c r="G607" s="131"/>
      <c r="H607" s="131"/>
      <c r="I607" s="131"/>
      <c r="J607" s="131"/>
      <c r="K607" s="131"/>
      <c r="L607" s="131"/>
      <c r="M607" s="131"/>
      <c r="N607" s="131"/>
      <c r="O607" s="131"/>
      <c r="P607" s="131"/>
      <c r="Q607" s="131"/>
      <c r="R607" s="131"/>
      <c r="S607" s="131"/>
      <c r="T607" s="131"/>
      <c r="U607" s="131"/>
      <c r="V607" s="131"/>
      <c r="W607" s="131"/>
      <c r="X607" s="131"/>
      <c r="Y607" s="131"/>
    </row>
    <row r="608">
      <c r="A608" s="131"/>
      <c r="B608" s="131"/>
      <c r="C608" s="131"/>
      <c r="D608" s="81"/>
      <c r="E608" s="81"/>
      <c r="F608" s="131"/>
      <c r="G608" s="131"/>
      <c r="H608" s="131"/>
      <c r="I608" s="131"/>
      <c r="J608" s="131"/>
      <c r="K608" s="131"/>
      <c r="L608" s="131"/>
      <c r="M608" s="131"/>
      <c r="N608" s="131"/>
      <c r="O608" s="131"/>
      <c r="P608" s="131"/>
      <c r="Q608" s="131"/>
      <c r="R608" s="131"/>
      <c r="S608" s="131"/>
      <c r="T608" s="131"/>
      <c r="U608" s="131"/>
      <c r="V608" s="131"/>
      <c r="W608" s="131"/>
      <c r="X608" s="131"/>
      <c r="Y608" s="131"/>
    </row>
    <row r="609">
      <c r="A609" s="131"/>
      <c r="B609" s="131"/>
      <c r="C609" s="131"/>
      <c r="D609" s="81"/>
      <c r="E609" s="81"/>
      <c r="F609" s="131"/>
      <c r="G609" s="131"/>
      <c r="H609" s="131"/>
      <c r="I609" s="131"/>
      <c r="J609" s="131"/>
      <c r="K609" s="131"/>
      <c r="L609" s="131"/>
      <c r="M609" s="131"/>
      <c r="N609" s="131"/>
      <c r="O609" s="131"/>
      <c r="P609" s="131"/>
      <c r="Q609" s="131"/>
      <c r="R609" s="131"/>
      <c r="S609" s="131"/>
      <c r="T609" s="131"/>
      <c r="U609" s="131"/>
      <c r="V609" s="131"/>
      <c r="W609" s="131"/>
      <c r="X609" s="131"/>
      <c r="Y609" s="131"/>
    </row>
    <row r="610">
      <c r="A610" s="131"/>
      <c r="B610" s="131"/>
      <c r="C610" s="131"/>
      <c r="D610" s="81"/>
      <c r="E610" s="81"/>
      <c r="F610" s="131"/>
      <c r="G610" s="131"/>
      <c r="H610" s="131"/>
      <c r="I610" s="131"/>
      <c r="J610" s="131"/>
      <c r="K610" s="131"/>
      <c r="L610" s="131"/>
      <c r="M610" s="131"/>
      <c r="N610" s="131"/>
      <c r="O610" s="131"/>
      <c r="P610" s="131"/>
      <c r="Q610" s="131"/>
      <c r="R610" s="131"/>
      <c r="S610" s="131"/>
      <c r="T610" s="131"/>
      <c r="U610" s="131"/>
      <c r="V610" s="131"/>
      <c r="W610" s="131"/>
      <c r="X610" s="131"/>
      <c r="Y610" s="131"/>
    </row>
    <row r="611">
      <c r="A611" s="131"/>
      <c r="B611" s="131"/>
      <c r="C611" s="131"/>
      <c r="D611" s="81"/>
      <c r="E611" s="81"/>
      <c r="F611" s="131"/>
      <c r="G611" s="131"/>
      <c r="H611" s="131"/>
      <c r="I611" s="131"/>
      <c r="J611" s="131"/>
      <c r="K611" s="131"/>
      <c r="L611" s="131"/>
      <c r="M611" s="131"/>
      <c r="N611" s="131"/>
      <c r="O611" s="131"/>
      <c r="P611" s="131"/>
      <c r="Q611" s="131"/>
      <c r="R611" s="131"/>
      <c r="S611" s="131"/>
      <c r="T611" s="131"/>
      <c r="U611" s="131"/>
      <c r="V611" s="131"/>
      <c r="W611" s="131"/>
      <c r="X611" s="131"/>
      <c r="Y611" s="131"/>
    </row>
    <row r="612">
      <c r="A612" s="131"/>
      <c r="B612" s="131"/>
      <c r="C612" s="131"/>
      <c r="D612" s="81"/>
      <c r="E612" s="81"/>
      <c r="F612" s="131"/>
      <c r="G612" s="131"/>
      <c r="H612" s="131"/>
      <c r="I612" s="131"/>
      <c r="J612" s="131"/>
      <c r="K612" s="131"/>
      <c r="L612" s="131"/>
      <c r="M612" s="131"/>
      <c r="N612" s="131"/>
      <c r="O612" s="131"/>
      <c r="P612" s="131"/>
      <c r="Q612" s="131"/>
      <c r="R612" s="131"/>
      <c r="S612" s="131"/>
      <c r="T612" s="131"/>
      <c r="U612" s="131"/>
      <c r="V612" s="131"/>
      <c r="W612" s="131"/>
      <c r="X612" s="131"/>
      <c r="Y612" s="131"/>
    </row>
    <row r="613">
      <c r="A613" s="131"/>
      <c r="B613" s="131"/>
      <c r="C613" s="131"/>
      <c r="D613" s="81"/>
      <c r="E613" s="81"/>
      <c r="F613" s="131"/>
      <c r="G613" s="131"/>
      <c r="H613" s="131"/>
      <c r="I613" s="131"/>
      <c r="J613" s="131"/>
      <c r="K613" s="131"/>
      <c r="L613" s="131"/>
      <c r="M613" s="131"/>
      <c r="N613" s="131"/>
      <c r="O613" s="131"/>
      <c r="P613" s="131"/>
      <c r="Q613" s="131"/>
      <c r="R613" s="131"/>
      <c r="S613" s="131"/>
      <c r="T613" s="131"/>
      <c r="U613" s="131"/>
      <c r="V613" s="131"/>
      <c r="W613" s="131"/>
      <c r="X613" s="131"/>
      <c r="Y613" s="131"/>
    </row>
    <row r="614">
      <c r="A614" s="131"/>
      <c r="B614" s="131"/>
      <c r="C614" s="131"/>
      <c r="D614" s="81"/>
      <c r="E614" s="81"/>
      <c r="F614" s="131"/>
      <c r="G614" s="131"/>
      <c r="H614" s="131"/>
      <c r="I614" s="131"/>
      <c r="J614" s="131"/>
      <c r="K614" s="131"/>
      <c r="L614" s="131"/>
      <c r="M614" s="131"/>
      <c r="N614" s="131"/>
      <c r="O614" s="131"/>
      <c r="P614" s="131"/>
      <c r="Q614" s="131"/>
      <c r="R614" s="131"/>
      <c r="S614" s="131"/>
      <c r="T614" s="131"/>
      <c r="U614" s="131"/>
      <c r="V614" s="131"/>
      <c r="W614" s="131"/>
      <c r="X614" s="131"/>
      <c r="Y614" s="131"/>
    </row>
    <row r="615">
      <c r="A615" s="131"/>
      <c r="B615" s="131"/>
      <c r="C615" s="131"/>
      <c r="D615" s="81"/>
      <c r="E615" s="81"/>
      <c r="F615" s="131"/>
      <c r="G615" s="131"/>
      <c r="H615" s="131"/>
      <c r="I615" s="131"/>
      <c r="J615" s="131"/>
      <c r="K615" s="131"/>
      <c r="L615" s="131"/>
      <c r="M615" s="131"/>
      <c r="N615" s="131"/>
      <c r="O615" s="131"/>
      <c r="P615" s="131"/>
      <c r="Q615" s="131"/>
      <c r="R615" s="131"/>
      <c r="S615" s="131"/>
      <c r="T615" s="131"/>
      <c r="U615" s="131"/>
      <c r="V615" s="131"/>
      <c r="W615" s="131"/>
      <c r="X615" s="131"/>
      <c r="Y615" s="131"/>
    </row>
    <row r="616">
      <c r="A616" s="131"/>
      <c r="B616" s="131"/>
      <c r="C616" s="131"/>
      <c r="D616" s="81"/>
      <c r="E616" s="81"/>
      <c r="F616" s="131"/>
      <c r="G616" s="131"/>
      <c r="H616" s="131"/>
      <c r="I616" s="131"/>
      <c r="J616" s="131"/>
      <c r="K616" s="131"/>
      <c r="L616" s="131"/>
      <c r="M616" s="131"/>
      <c r="N616" s="131"/>
      <c r="O616" s="131"/>
      <c r="P616" s="131"/>
      <c r="Q616" s="131"/>
      <c r="R616" s="131"/>
      <c r="S616" s="131"/>
      <c r="T616" s="131"/>
      <c r="U616" s="131"/>
      <c r="V616" s="131"/>
      <c r="W616" s="131"/>
      <c r="X616" s="131"/>
      <c r="Y616" s="131"/>
    </row>
    <row r="617">
      <c r="A617" s="131"/>
      <c r="B617" s="131"/>
      <c r="C617" s="131"/>
      <c r="D617" s="81"/>
      <c r="E617" s="81"/>
      <c r="F617" s="131"/>
      <c r="G617" s="131"/>
      <c r="H617" s="131"/>
      <c r="I617" s="131"/>
      <c r="J617" s="131"/>
      <c r="K617" s="131"/>
      <c r="L617" s="131"/>
      <c r="M617" s="131"/>
      <c r="N617" s="131"/>
      <c r="O617" s="131"/>
      <c r="P617" s="131"/>
      <c r="Q617" s="131"/>
      <c r="R617" s="131"/>
      <c r="S617" s="131"/>
      <c r="T617" s="131"/>
      <c r="U617" s="131"/>
      <c r="V617" s="131"/>
      <c r="W617" s="131"/>
      <c r="X617" s="131"/>
      <c r="Y617" s="131"/>
    </row>
    <row r="618">
      <c r="A618" s="131"/>
      <c r="B618" s="131"/>
      <c r="C618" s="131"/>
      <c r="D618" s="81"/>
      <c r="E618" s="81"/>
      <c r="F618" s="131"/>
      <c r="G618" s="131"/>
      <c r="H618" s="131"/>
      <c r="I618" s="131"/>
      <c r="J618" s="131"/>
      <c r="K618" s="131"/>
      <c r="L618" s="131"/>
      <c r="M618" s="131"/>
      <c r="N618" s="131"/>
      <c r="O618" s="131"/>
      <c r="P618" s="131"/>
      <c r="Q618" s="131"/>
      <c r="R618" s="131"/>
      <c r="S618" s="131"/>
      <c r="T618" s="131"/>
      <c r="U618" s="131"/>
      <c r="V618" s="131"/>
      <c r="W618" s="131"/>
      <c r="X618" s="131"/>
      <c r="Y618" s="131"/>
    </row>
    <row r="619">
      <c r="A619" s="131"/>
      <c r="B619" s="131"/>
      <c r="C619" s="131"/>
      <c r="D619" s="81"/>
      <c r="E619" s="81"/>
      <c r="F619" s="131"/>
      <c r="G619" s="131"/>
      <c r="H619" s="131"/>
      <c r="I619" s="131"/>
      <c r="J619" s="131"/>
      <c r="K619" s="131"/>
      <c r="L619" s="131"/>
      <c r="M619" s="131"/>
      <c r="N619" s="131"/>
      <c r="O619" s="131"/>
      <c r="P619" s="131"/>
      <c r="Q619" s="131"/>
      <c r="R619" s="131"/>
      <c r="S619" s="131"/>
      <c r="T619" s="131"/>
      <c r="U619" s="131"/>
      <c r="V619" s="131"/>
      <c r="W619" s="131"/>
      <c r="X619" s="131"/>
      <c r="Y619" s="131"/>
    </row>
    <row r="620">
      <c r="A620" s="131"/>
      <c r="B620" s="131"/>
      <c r="C620" s="131"/>
      <c r="D620" s="81"/>
      <c r="E620" s="81"/>
      <c r="F620" s="131"/>
      <c r="G620" s="131"/>
      <c r="H620" s="131"/>
      <c r="I620" s="131"/>
      <c r="J620" s="131"/>
      <c r="K620" s="131"/>
      <c r="L620" s="131"/>
      <c r="M620" s="131"/>
      <c r="N620" s="131"/>
      <c r="O620" s="131"/>
      <c r="P620" s="131"/>
      <c r="Q620" s="131"/>
      <c r="R620" s="131"/>
      <c r="S620" s="131"/>
      <c r="T620" s="131"/>
      <c r="U620" s="131"/>
      <c r="V620" s="131"/>
      <c r="W620" s="131"/>
      <c r="X620" s="131"/>
      <c r="Y620" s="131"/>
    </row>
    <row r="621">
      <c r="A621" s="131"/>
      <c r="B621" s="131"/>
      <c r="C621" s="131"/>
      <c r="D621" s="81"/>
      <c r="E621" s="81"/>
      <c r="F621" s="131"/>
      <c r="G621" s="131"/>
      <c r="H621" s="131"/>
      <c r="I621" s="131"/>
      <c r="J621" s="131"/>
      <c r="K621" s="131"/>
      <c r="L621" s="131"/>
      <c r="M621" s="131"/>
      <c r="N621" s="131"/>
      <c r="O621" s="131"/>
      <c r="P621" s="131"/>
      <c r="Q621" s="131"/>
      <c r="R621" s="131"/>
      <c r="S621" s="131"/>
      <c r="T621" s="131"/>
      <c r="U621" s="131"/>
      <c r="V621" s="131"/>
      <c r="W621" s="131"/>
      <c r="X621" s="131"/>
      <c r="Y621" s="131"/>
    </row>
    <row r="622">
      <c r="A622" s="131"/>
      <c r="B622" s="131"/>
      <c r="C622" s="131"/>
      <c r="D622" s="81"/>
      <c r="E622" s="81"/>
      <c r="F622" s="131"/>
      <c r="G622" s="131"/>
      <c r="H622" s="131"/>
      <c r="I622" s="131"/>
      <c r="J622" s="131"/>
      <c r="K622" s="131"/>
      <c r="L622" s="131"/>
      <c r="M622" s="131"/>
      <c r="N622" s="131"/>
      <c r="O622" s="131"/>
      <c r="P622" s="131"/>
      <c r="Q622" s="131"/>
      <c r="R622" s="131"/>
      <c r="S622" s="131"/>
      <c r="T622" s="131"/>
      <c r="U622" s="131"/>
      <c r="V622" s="131"/>
      <c r="W622" s="131"/>
      <c r="X622" s="131"/>
      <c r="Y622" s="131"/>
    </row>
    <row r="623">
      <c r="A623" s="131"/>
      <c r="B623" s="131"/>
      <c r="C623" s="131"/>
      <c r="D623" s="81"/>
      <c r="E623" s="81"/>
      <c r="F623" s="131"/>
      <c r="G623" s="131"/>
      <c r="H623" s="131"/>
      <c r="I623" s="131"/>
      <c r="J623" s="131"/>
      <c r="K623" s="131"/>
      <c r="L623" s="131"/>
      <c r="M623" s="131"/>
      <c r="N623" s="131"/>
      <c r="O623" s="131"/>
      <c r="P623" s="131"/>
      <c r="Q623" s="131"/>
      <c r="R623" s="131"/>
      <c r="S623" s="131"/>
      <c r="T623" s="131"/>
      <c r="U623" s="131"/>
      <c r="V623" s="131"/>
      <c r="W623" s="131"/>
      <c r="X623" s="131"/>
      <c r="Y623" s="131"/>
    </row>
    <row r="624">
      <c r="A624" s="131"/>
      <c r="B624" s="131"/>
      <c r="C624" s="131"/>
      <c r="D624" s="81"/>
      <c r="E624" s="81"/>
      <c r="F624" s="131"/>
      <c r="G624" s="131"/>
      <c r="H624" s="131"/>
      <c r="I624" s="131"/>
      <c r="J624" s="131"/>
      <c r="K624" s="131"/>
      <c r="L624" s="131"/>
      <c r="M624" s="131"/>
      <c r="N624" s="131"/>
      <c r="O624" s="131"/>
      <c r="P624" s="131"/>
      <c r="Q624" s="131"/>
      <c r="R624" s="131"/>
      <c r="S624" s="131"/>
      <c r="T624" s="131"/>
      <c r="U624" s="131"/>
      <c r="V624" s="131"/>
      <c r="W624" s="131"/>
      <c r="X624" s="131"/>
      <c r="Y624" s="131"/>
    </row>
    <row r="625">
      <c r="A625" s="131"/>
      <c r="B625" s="131"/>
      <c r="C625" s="131"/>
      <c r="D625" s="81"/>
      <c r="E625" s="81"/>
      <c r="F625" s="131"/>
      <c r="G625" s="131"/>
      <c r="H625" s="131"/>
      <c r="I625" s="131"/>
      <c r="J625" s="131"/>
      <c r="K625" s="131"/>
      <c r="L625" s="131"/>
      <c r="M625" s="131"/>
      <c r="N625" s="131"/>
      <c r="O625" s="131"/>
      <c r="P625" s="131"/>
      <c r="Q625" s="131"/>
      <c r="R625" s="131"/>
      <c r="S625" s="131"/>
      <c r="T625" s="131"/>
      <c r="U625" s="131"/>
      <c r="V625" s="131"/>
      <c r="W625" s="131"/>
      <c r="X625" s="131"/>
      <c r="Y625" s="131"/>
    </row>
    <row r="626">
      <c r="A626" s="131"/>
      <c r="B626" s="131"/>
      <c r="C626" s="131"/>
      <c r="D626" s="81"/>
      <c r="E626" s="81"/>
      <c r="F626" s="131"/>
      <c r="G626" s="131"/>
      <c r="H626" s="131"/>
      <c r="I626" s="131"/>
      <c r="J626" s="131"/>
      <c r="K626" s="131"/>
      <c r="L626" s="131"/>
      <c r="M626" s="131"/>
      <c r="N626" s="131"/>
      <c r="O626" s="131"/>
      <c r="P626" s="131"/>
      <c r="Q626" s="131"/>
      <c r="R626" s="131"/>
      <c r="S626" s="131"/>
      <c r="T626" s="131"/>
      <c r="U626" s="131"/>
      <c r="V626" s="131"/>
      <c r="W626" s="131"/>
      <c r="X626" s="131"/>
      <c r="Y626" s="131"/>
    </row>
    <row r="627">
      <c r="A627" s="131"/>
      <c r="B627" s="131"/>
      <c r="C627" s="131"/>
      <c r="D627" s="81"/>
      <c r="E627" s="81"/>
      <c r="F627" s="131"/>
      <c r="G627" s="131"/>
      <c r="H627" s="131"/>
      <c r="I627" s="131"/>
      <c r="J627" s="131"/>
      <c r="K627" s="131"/>
      <c r="L627" s="131"/>
      <c r="M627" s="131"/>
      <c r="N627" s="131"/>
      <c r="O627" s="131"/>
      <c r="P627" s="131"/>
      <c r="Q627" s="131"/>
      <c r="R627" s="131"/>
      <c r="S627" s="131"/>
      <c r="T627" s="131"/>
      <c r="U627" s="131"/>
      <c r="V627" s="131"/>
      <c r="W627" s="131"/>
      <c r="X627" s="131"/>
      <c r="Y627" s="131"/>
    </row>
    <row r="628">
      <c r="A628" s="131"/>
      <c r="B628" s="131"/>
      <c r="C628" s="131"/>
      <c r="D628" s="81"/>
      <c r="E628" s="81"/>
      <c r="F628" s="131"/>
      <c r="G628" s="131"/>
      <c r="H628" s="131"/>
      <c r="I628" s="131"/>
      <c r="J628" s="131"/>
      <c r="K628" s="131"/>
      <c r="L628" s="131"/>
      <c r="M628" s="131"/>
      <c r="N628" s="131"/>
      <c r="O628" s="131"/>
      <c r="P628" s="131"/>
      <c r="Q628" s="131"/>
      <c r="R628" s="131"/>
      <c r="S628" s="131"/>
      <c r="T628" s="131"/>
      <c r="U628" s="131"/>
      <c r="V628" s="131"/>
      <c r="W628" s="131"/>
      <c r="X628" s="131"/>
      <c r="Y628" s="131"/>
    </row>
    <row r="629">
      <c r="A629" s="131"/>
      <c r="B629" s="131"/>
      <c r="C629" s="131"/>
      <c r="D629" s="81"/>
      <c r="E629" s="81"/>
      <c r="F629" s="131"/>
      <c r="G629" s="131"/>
      <c r="H629" s="131"/>
      <c r="I629" s="131"/>
      <c r="J629" s="131"/>
      <c r="K629" s="131"/>
      <c r="L629" s="131"/>
      <c r="M629" s="131"/>
      <c r="N629" s="131"/>
      <c r="O629" s="131"/>
      <c r="P629" s="131"/>
      <c r="Q629" s="131"/>
      <c r="R629" s="131"/>
      <c r="S629" s="131"/>
      <c r="T629" s="131"/>
      <c r="U629" s="131"/>
      <c r="V629" s="131"/>
      <c r="W629" s="131"/>
      <c r="X629" s="131"/>
      <c r="Y629" s="131"/>
    </row>
    <row r="630">
      <c r="A630" s="131"/>
      <c r="B630" s="131"/>
      <c r="C630" s="131"/>
      <c r="D630" s="81"/>
      <c r="E630" s="81"/>
      <c r="F630" s="131"/>
      <c r="G630" s="131"/>
      <c r="H630" s="131"/>
      <c r="I630" s="131"/>
      <c r="J630" s="131"/>
      <c r="K630" s="131"/>
      <c r="L630" s="131"/>
      <c r="M630" s="131"/>
      <c r="N630" s="131"/>
      <c r="O630" s="131"/>
      <c r="P630" s="131"/>
      <c r="Q630" s="131"/>
      <c r="R630" s="131"/>
      <c r="S630" s="131"/>
      <c r="T630" s="131"/>
      <c r="U630" s="131"/>
      <c r="V630" s="131"/>
      <c r="W630" s="131"/>
      <c r="X630" s="131"/>
      <c r="Y630" s="131"/>
    </row>
    <row r="631">
      <c r="A631" s="131"/>
      <c r="B631" s="131"/>
      <c r="C631" s="131"/>
      <c r="D631" s="81"/>
      <c r="E631" s="81"/>
      <c r="F631" s="131"/>
      <c r="G631" s="131"/>
      <c r="H631" s="131"/>
      <c r="I631" s="131"/>
      <c r="J631" s="131"/>
      <c r="K631" s="131"/>
      <c r="L631" s="131"/>
      <c r="M631" s="131"/>
      <c r="N631" s="131"/>
      <c r="O631" s="131"/>
      <c r="P631" s="131"/>
      <c r="Q631" s="131"/>
      <c r="R631" s="131"/>
      <c r="S631" s="131"/>
      <c r="T631" s="131"/>
      <c r="U631" s="131"/>
      <c r="V631" s="131"/>
      <c r="W631" s="131"/>
      <c r="X631" s="131"/>
      <c r="Y631" s="131"/>
    </row>
    <row r="632">
      <c r="A632" s="131"/>
      <c r="B632" s="131"/>
      <c r="C632" s="131"/>
      <c r="D632" s="81"/>
      <c r="E632" s="81"/>
      <c r="F632" s="131"/>
      <c r="G632" s="131"/>
      <c r="H632" s="131"/>
      <c r="I632" s="131"/>
      <c r="J632" s="131"/>
      <c r="K632" s="131"/>
      <c r="L632" s="131"/>
      <c r="M632" s="131"/>
      <c r="N632" s="131"/>
      <c r="O632" s="131"/>
      <c r="P632" s="131"/>
      <c r="Q632" s="131"/>
      <c r="R632" s="131"/>
      <c r="S632" s="131"/>
      <c r="T632" s="131"/>
      <c r="U632" s="131"/>
      <c r="V632" s="131"/>
      <c r="W632" s="131"/>
      <c r="X632" s="131"/>
      <c r="Y632" s="131"/>
    </row>
    <row r="633">
      <c r="A633" s="131"/>
      <c r="B633" s="131"/>
      <c r="C633" s="131"/>
      <c r="D633" s="81"/>
      <c r="E633" s="81"/>
      <c r="F633" s="131"/>
      <c r="G633" s="131"/>
      <c r="H633" s="131"/>
      <c r="I633" s="131"/>
      <c r="J633" s="131"/>
      <c r="K633" s="131"/>
      <c r="L633" s="131"/>
      <c r="M633" s="131"/>
      <c r="N633" s="131"/>
      <c r="O633" s="131"/>
      <c r="P633" s="131"/>
      <c r="Q633" s="131"/>
      <c r="R633" s="131"/>
      <c r="S633" s="131"/>
      <c r="T633" s="131"/>
      <c r="U633" s="131"/>
      <c r="V633" s="131"/>
      <c r="W633" s="131"/>
      <c r="X633" s="131"/>
      <c r="Y633" s="131"/>
    </row>
    <row r="634">
      <c r="A634" s="131"/>
      <c r="B634" s="131"/>
      <c r="C634" s="131"/>
      <c r="D634" s="81"/>
      <c r="E634" s="81"/>
      <c r="F634" s="131"/>
      <c r="G634" s="131"/>
      <c r="H634" s="131"/>
      <c r="I634" s="131"/>
      <c r="J634" s="131"/>
      <c r="K634" s="131"/>
      <c r="L634" s="131"/>
      <c r="M634" s="131"/>
      <c r="N634" s="131"/>
      <c r="O634" s="131"/>
      <c r="P634" s="131"/>
      <c r="Q634" s="131"/>
      <c r="R634" s="131"/>
      <c r="S634" s="131"/>
      <c r="T634" s="131"/>
      <c r="U634" s="131"/>
      <c r="V634" s="131"/>
      <c r="W634" s="131"/>
      <c r="X634" s="131"/>
      <c r="Y634" s="131"/>
    </row>
    <row r="635">
      <c r="A635" s="131"/>
      <c r="B635" s="131"/>
      <c r="C635" s="131"/>
      <c r="D635" s="81"/>
      <c r="E635" s="81"/>
      <c r="F635" s="131"/>
      <c r="G635" s="131"/>
      <c r="H635" s="131"/>
      <c r="I635" s="131"/>
      <c r="J635" s="131"/>
      <c r="K635" s="131"/>
      <c r="L635" s="131"/>
      <c r="M635" s="131"/>
      <c r="N635" s="131"/>
      <c r="O635" s="131"/>
      <c r="P635" s="131"/>
      <c r="Q635" s="131"/>
      <c r="R635" s="131"/>
      <c r="S635" s="131"/>
      <c r="T635" s="131"/>
      <c r="U635" s="131"/>
      <c r="V635" s="131"/>
      <c r="W635" s="131"/>
      <c r="X635" s="131"/>
      <c r="Y635" s="131"/>
    </row>
    <row r="636">
      <c r="A636" s="131"/>
      <c r="B636" s="131"/>
      <c r="C636" s="131"/>
      <c r="D636" s="81"/>
      <c r="E636" s="81"/>
      <c r="F636" s="131"/>
      <c r="G636" s="131"/>
      <c r="H636" s="131"/>
      <c r="I636" s="131"/>
      <c r="J636" s="131"/>
      <c r="K636" s="131"/>
      <c r="L636" s="131"/>
      <c r="M636" s="131"/>
      <c r="N636" s="131"/>
      <c r="O636" s="131"/>
      <c r="P636" s="131"/>
      <c r="Q636" s="131"/>
      <c r="R636" s="131"/>
      <c r="S636" s="131"/>
      <c r="T636" s="131"/>
      <c r="U636" s="131"/>
      <c r="V636" s="131"/>
      <c r="W636" s="131"/>
      <c r="X636" s="131"/>
      <c r="Y636" s="131"/>
    </row>
    <row r="637">
      <c r="A637" s="131"/>
      <c r="B637" s="131"/>
      <c r="C637" s="131"/>
      <c r="D637" s="81"/>
      <c r="E637" s="81"/>
      <c r="F637" s="131"/>
      <c r="G637" s="131"/>
      <c r="H637" s="131"/>
      <c r="I637" s="131"/>
      <c r="J637" s="131"/>
      <c r="K637" s="131"/>
      <c r="L637" s="131"/>
      <c r="M637" s="131"/>
      <c r="N637" s="131"/>
      <c r="O637" s="131"/>
      <c r="P637" s="131"/>
      <c r="Q637" s="131"/>
      <c r="R637" s="131"/>
      <c r="S637" s="131"/>
      <c r="T637" s="131"/>
      <c r="U637" s="131"/>
      <c r="V637" s="131"/>
      <c r="W637" s="131"/>
      <c r="X637" s="131"/>
      <c r="Y637" s="131"/>
    </row>
    <row r="638">
      <c r="A638" s="131"/>
      <c r="B638" s="131"/>
      <c r="C638" s="131"/>
      <c r="D638" s="81"/>
      <c r="E638" s="81"/>
      <c r="F638" s="131"/>
      <c r="G638" s="131"/>
      <c r="H638" s="131"/>
      <c r="I638" s="131"/>
      <c r="J638" s="131"/>
      <c r="K638" s="131"/>
      <c r="L638" s="131"/>
      <c r="M638" s="131"/>
      <c r="N638" s="131"/>
      <c r="O638" s="131"/>
      <c r="P638" s="131"/>
      <c r="Q638" s="131"/>
      <c r="R638" s="131"/>
      <c r="S638" s="131"/>
      <c r="T638" s="131"/>
      <c r="U638" s="131"/>
      <c r="V638" s="131"/>
      <c r="W638" s="131"/>
      <c r="X638" s="131"/>
      <c r="Y638" s="131"/>
    </row>
    <row r="639">
      <c r="A639" s="131"/>
      <c r="B639" s="131"/>
      <c r="C639" s="131"/>
      <c r="D639" s="81"/>
      <c r="E639" s="81"/>
      <c r="F639" s="131"/>
      <c r="G639" s="131"/>
      <c r="H639" s="131"/>
      <c r="I639" s="131"/>
      <c r="J639" s="131"/>
      <c r="K639" s="131"/>
      <c r="L639" s="131"/>
      <c r="M639" s="131"/>
      <c r="N639" s="131"/>
      <c r="O639" s="131"/>
      <c r="P639" s="131"/>
      <c r="Q639" s="131"/>
      <c r="R639" s="131"/>
      <c r="S639" s="131"/>
      <c r="T639" s="131"/>
      <c r="U639" s="131"/>
      <c r="V639" s="131"/>
      <c r="W639" s="131"/>
      <c r="X639" s="131"/>
      <c r="Y639" s="131"/>
    </row>
    <row r="640">
      <c r="A640" s="131"/>
      <c r="B640" s="131"/>
      <c r="C640" s="131"/>
      <c r="D640" s="81"/>
      <c r="E640" s="81"/>
      <c r="F640" s="131"/>
      <c r="G640" s="131"/>
      <c r="H640" s="131"/>
      <c r="I640" s="131"/>
      <c r="J640" s="131"/>
      <c r="K640" s="131"/>
      <c r="L640" s="131"/>
      <c r="M640" s="131"/>
      <c r="N640" s="131"/>
      <c r="O640" s="131"/>
      <c r="P640" s="131"/>
      <c r="Q640" s="131"/>
      <c r="R640" s="131"/>
      <c r="S640" s="131"/>
      <c r="T640" s="131"/>
      <c r="U640" s="131"/>
      <c r="V640" s="131"/>
      <c r="W640" s="131"/>
      <c r="X640" s="131"/>
      <c r="Y640" s="131"/>
    </row>
    <row r="641">
      <c r="A641" s="131"/>
      <c r="B641" s="131"/>
      <c r="C641" s="131"/>
      <c r="D641" s="81"/>
      <c r="E641" s="81"/>
      <c r="F641" s="131"/>
      <c r="G641" s="131"/>
      <c r="H641" s="131"/>
      <c r="I641" s="131"/>
      <c r="J641" s="131"/>
      <c r="K641" s="131"/>
      <c r="L641" s="131"/>
      <c r="M641" s="131"/>
      <c r="N641" s="131"/>
      <c r="O641" s="131"/>
      <c r="P641" s="131"/>
      <c r="Q641" s="131"/>
      <c r="R641" s="131"/>
      <c r="S641" s="131"/>
      <c r="T641" s="131"/>
      <c r="U641" s="131"/>
      <c r="V641" s="131"/>
      <c r="W641" s="131"/>
      <c r="X641" s="131"/>
      <c r="Y641" s="131"/>
    </row>
    <row r="642">
      <c r="A642" s="131"/>
      <c r="B642" s="131"/>
      <c r="C642" s="131"/>
      <c r="D642" s="81"/>
      <c r="E642" s="81"/>
      <c r="F642" s="131"/>
      <c r="G642" s="131"/>
      <c r="H642" s="131"/>
      <c r="I642" s="131"/>
      <c r="J642" s="131"/>
      <c r="K642" s="131"/>
      <c r="L642" s="131"/>
      <c r="M642" s="131"/>
      <c r="N642" s="131"/>
      <c r="O642" s="131"/>
      <c r="P642" s="131"/>
      <c r="Q642" s="131"/>
      <c r="R642" s="131"/>
      <c r="S642" s="131"/>
      <c r="T642" s="131"/>
      <c r="U642" s="131"/>
      <c r="V642" s="131"/>
      <c r="W642" s="131"/>
      <c r="X642" s="131"/>
      <c r="Y642" s="131"/>
    </row>
    <row r="643">
      <c r="A643" s="131"/>
      <c r="B643" s="131"/>
      <c r="C643" s="131"/>
      <c r="D643" s="81"/>
      <c r="E643" s="81"/>
      <c r="F643" s="131"/>
      <c r="G643" s="131"/>
      <c r="H643" s="131"/>
      <c r="I643" s="131"/>
      <c r="J643" s="131"/>
      <c r="K643" s="131"/>
      <c r="L643" s="131"/>
      <c r="M643" s="131"/>
      <c r="N643" s="131"/>
      <c r="O643" s="131"/>
      <c r="P643" s="131"/>
      <c r="Q643" s="131"/>
      <c r="R643" s="131"/>
      <c r="S643" s="131"/>
      <c r="T643" s="131"/>
      <c r="U643" s="131"/>
      <c r="V643" s="131"/>
      <c r="W643" s="131"/>
      <c r="X643" s="131"/>
      <c r="Y643" s="131"/>
    </row>
    <row r="644">
      <c r="A644" s="131"/>
      <c r="B644" s="131"/>
      <c r="C644" s="131"/>
      <c r="D644" s="81"/>
      <c r="E644" s="81"/>
      <c r="F644" s="131"/>
      <c r="G644" s="131"/>
      <c r="H644" s="131"/>
      <c r="I644" s="131"/>
      <c r="J644" s="131"/>
      <c r="K644" s="131"/>
      <c r="L644" s="131"/>
      <c r="M644" s="131"/>
      <c r="N644" s="131"/>
      <c r="O644" s="131"/>
      <c r="P644" s="131"/>
      <c r="Q644" s="131"/>
      <c r="R644" s="131"/>
      <c r="S644" s="131"/>
      <c r="T644" s="131"/>
      <c r="U644" s="131"/>
      <c r="V644" s="131"/>
      <c r="W644" s="131"/>
      <c r="X644" s="131"/>
      <c r="Y644" s="131"/>
    </row>
    <row r="645">
      <c r="A645" s="131"/>
      <c r="B645" s="131"/>
      <c r="C645" s="131"/>
      <c r="D645" s="81"/>
      <c r="E645" s="81"/>
      <c r="F645" s="131"/>
      <c r="G645" s="131"/>
      <c r="H645" s="131"/>
      <c r="I645" s="131"/>
      <c r="J645" s="131"/>
      <c r="K645" s="131"/>
      <c r="L645" s="131"/>
      <c r="M645" s="131"/>
      <c r="N645" s="131"/>
      <c r="O645" s="131"/>
      <c r="P645" s="131"/>
      <c r="Q645" s="131"/>
      <c r="R645" s="131"/>
      <c r="S645" s="131"/>
      <c r="T645" s="131"/>
      <c r="U645" s="131"/>
      <c r="V645" s="131"/>
      <c r="W645" s="131"/>
      <c r="X645" s="131"/>
      <c r="Y645" s="131"/>
    </row>
    <row r="646">
      <c r="A646" s="131"/>
      <c r="B646" s="131"/>
      <c r="C646" s="131"/>
      <c r="D646" s="81"/>
      <c r="E646" s="81"/>
      <c r="F646" s="131"/>
      <c r="G646" s="131"/>
      <c r="H646" s="131"/>
      <c r="I646" s="131"/>
      <c r="J646" s="131"/>
      <c r="K646" s="131"/>
      <c r="L646" s="131"/>
      <c r="M646" s="131"/>
      <c r="N646" s="131"/>
      <c r="O646" s="131"/>
      <c r="P646" s="131"/>
      <c r="Q646" s="131"/>
      <c r="R646" s="131"/>
      <c r="S646" s="131"/>
      <c r="T646" s="131"/>
      <c r="U646" s="131"/>
      <c r="V646" s="131"/>
      <c r="W646" s="131"/>
      <c r="X646" s="131"/>
      <c r="Y646" s="131"/>
    </row>
    <row r="647">
      <c r="A647" s="131"/>
      <c r="B647" s="131"/>
      <c r="C647" s="131"/>
      <c r="D647" s="81"/>
      <c r="E647" s="81"/>
      <c r="F647" s="131"/>
      <c r="G647" s="131"/>
      <c r="H647" s="131"/>
      <c r="I647" s="131"/>
      <c r="J647" s="131"/>
      <c r="K647" s="131"/>
      <c r="L647" s="131"/>
      <c r="M647" s="131"/>
      <c r="N647" s="131"/>
      <c r="O647" s="131"/>
      <c r="P647" s="131"/>
      <c r="Q647" s="131"/>
      <c r="R647" s="131"/>
      <c r="S647" s="131"/>
      <c r="T647" s="131"/>
      <c r="U647" s="131"/>
      <c r="V647" s="131"/>
      <c r="W647" s="131"/>
      <c r="X647" s="131"/>
      <c r="Y647" s="131"/>
    </row>
    <row r="648">
      <c r="A648" s="131"/>
      <c r="B648" s="131"/>
      <c r="C648" s="131"/>
      <c r="D648" s="81"/>
      <c r="E648" s="81"/>
      <c r="F648" s="131"/>
      <c r="G648" s="131"/>
      <c r="H648" s="131"/>
      <c r="I648" s="131"/>
      <c r="J648" s="131"/>
      <c r="K648" s="131"/>
      <c r="L648" s="131"/>
      <c r="M648" s="131"/>
      <c r="N648" s="131"/>
      <c r="O648" s="131"/>
      <c r="P648" s="131"/>
      <c r="Q648" s="131"/>
      <c r="R648" s="131"/>
      <c r="S648" s="131"/>
      <c r="T648" s="131"/>
      <c r="U648" s="131"/>
      <c r="V648" s="131"/>
      <c r="W648" s="131"/>
      <c r="X648" s="131"/>
      <c r="Y648" s="131"/>
    </row>
    <row r="649">
      <c r="A649" s="131"/>
      <c r="B649" s="131"/>
      <c r="C649" s="131"/>
      <c r="D649" s="81"/>
      <c r="E649" s="81"/>
      <c r="F649" s="131"/>
      <c r="G649" s="131"/>
      <c r="H649" s="131"/>
      <c r="I649" s="131"/>
      <c r="J649" s="131"/>
      <c r="K649" s="131"/>
      <c r="L649" s="131"/>
      <c r="M649" s="131"/>
      <c r="N649" s="131"/>
      <c r="O649" s="131"/>
      <c r="P649" s="131"/>
      <c r="Q649" s="131"/>
      <c r="R649" s="131"/>
      <c r="S649" s="131"/>
      <c r="T649" s="131"/>
      <c r="U649" s="131"/>
      <c r="V649" s="131"/>
      <c r="W649" s="131"/>
      <c r="X649" s="131"/>
      <c r="Y649" s="131"/>
    </row>
    <row r="650">
      <c r="A650" s="131"/>
      <c r="B650" s="131"/>
      <c r="C650" s="131"/>
      <c r="D650" s="81"/>
      <c r="E650" s="81"/>
      <c r="F650" s="131"/>
      <c r="G650" s="131"/>
      <c r="H650" s="131"/>
      <c r="I650" s="131"/>
      <c r="J650" s="131"/>
      <c r="K650" s="131"/>
      <c r="L650" s="131"/>
      <c r="M650" s="131"/>
      <c r="N650" s="131"/>
      <c r="O650" s="131"/>
      <c r="P650" s="131"/>
      <c r="Q650" s="131"/>
      <c r="R650" s="131"/>
      <c r="S650" s="131"/>
      <c r="T650" s="131"/>
      <c r="U650" s="131"/>
      <c r="V650" s="131"/>
      <c r="W650" s="131"/>
      <c r="X650" s="131"/>
      <c r="Y650" s="131"/>
    </row>
    <row r="651">
      <c r="A651" s="131"/>
      <c r="B651" s="131"/>
      <c r="C651" s="131"/>
      <c r="D651" s="81"/>
      <c r="E651" s="81"/>
      <c r="F651" s="131"/>
      <c r="G651" s="131"/>
      <c r="H651" s="131"/>
      <c r="I651" s="131"/>
      <c r="J651" s="131"/>
      <c r="K651" s="131"/>
      <c r="L651" s="131"/>
      <c r="M651" s="131"/>
      <c r="N651" s="131"/>
      <c r="O651" s="131"/>
      <c r="P651" s="131"/>
      <c r="Q651" s="131"/>
      <c r="R651" s="131"/>
      <c r="S651" s="131"/>
      <c r="T651" s="131"/>
      <c r="U651" s="131"/>
      <c r="V651" s="131"/>
      <c r="W651" s="131"/>
      <c r="X651" s="131"/>
      <c r="Y651" s="131"/>
    </row>
    <row r="652">
      <c r="A652" s="131"/>
      <c r="B652" s="131"/>
      <c r="C652" s="131"/>
      <c r="D652" s="81"/>
      <c r="E652" s="81"/>
      <c r="F652" s="131"/>
      <c r="G652" s="131"/>
      <c r="H652" s="131"/>
      <c r="I652" s="131"/>
      <c r="J652" s="131"/>
      <c r="K652" s="131"/>
      <c r="L652" s="131"/>
      <c r="M652" s="131"/>
      <c r="N652" s="131"/>
      <c r="O652" s="131"/>
      <c r="P652" s="131"/>
      <c r="Q652" s="131"/>
      <c r="R652" s="131"/>
      <c r="S652" s="131"/>
      <c r="T652" s="131"/>
      <c r="U652" s="131"/>
      <c r="V652" s="131"/>
      <c r="W652" s="131"/>
      <c r="X652" s="131"/>
      <c r="Y652" s="131"/>
    </row>
    <row r="653">
      <c r="A653" s="131"/>
      <c r="B653" s="131"/>
      <c r="C653" s="131"/>
      <c r="D653" s="81"/>
      <c r="E653" s="81"/>
      <c r="F653" s="131"/>
      <c r="G653" s="131"/>
      <c r="H653" s="131"/>
      <c r="I653" s="131"/>
      <c r="J653" s="131"/>
      <c r="K653" s="131"/>
      <c r="L653" s="131"/>
      <c r="M653" s="131"/>
      <c r="N653" s="131"/>
      <c r="O653" s="131"/>
      <c r="P653" s="131"/>
      <c r="Q653" s="131"/>
      <c r="R653" s="131"/>
      <c r="S653" s="131"/>
      <c r="T653" s="131"/>
      <c r="U653" s="131"/>
      <c r="V653" s="131"/>
      <c r="W653" s="131"/>
      <c r="X653" s="131"/>
      <c r="Y653" s="131"/>
    </row>
    <row r="654">
      <c r="A654" s="131"/>
      <c r="B654" s="131"/>
      <c r="C654" s="131"/>
      <c r="D654" s="81"/>
      <c r="E654" s="81"/>
      <c r="F654" s="131"/>
      <c r="G654" s="131"/>
      <c r="H654" s="131"/>
      <c r="I654" s="131"/>
      <c r="J654" s="131"/>
      <c r="K654" s="131"/>
      <c r="L654" s="131"/>
      <c r="M654" s="131"/>
      <c r="N654" s="131"/>
      <c r="O654" s="131"/>
      <c r="P654" s="131"/>
      <c r="Q654" s="131"/>
      <c r="R654" s="131"/>
      <c r="S654" s="131"/>
      <c r="T654" s="131"/>
      <c r="U654" s="131"/>
      <c r="V654" s="131"/>
      <c r="W654" s="131"/>
      <c r="X654" s="131"/>
      <c r="Y654" s="131"/>
    </row>
    <row r="655">
      <c r="A655" s="131"/>
      <c r="B655" s="131"/>
      <c r="C655" s="131"/>
      <c r="D655" s="81"/>
      <c r="E655" s="81"/>
      <c r="F655" s="131"/>
      <c r="G655" s="131"/>
      <c r="H655" s="131"/>
      <c r="I655" s="131"/>
      <c r="J655" s="131"/>
      <c r="K655" s="131"/>
      <c r="L655" s="131"/>
      <c r="M655" s="131"/>
      <c r="N655" s="131"/>
      <c r="O655" s="131"/>
      <c r="P655" s="131"/>
      <c r="Q655" s="131"/>
      <c r="R655" s="131"/>
      <c r="S655" s="131"/>
      <c r="T655" s="131"/>
      <c r="U655" s="131"/>
      <c r="V655" s="131"/>
      <c r="W655" s="131"/>
      <c r="X655" s="131"/>
      <c r="Y655" s="131"/>
    </row>
    <row r="656">
      <c r="A656" s="131"/>
      <c r="B656" s="131"/>
      <c r="C656" s="131"/>
      <c r="D656" s="81"/>
      <c r="E656" s="81"/>
      <c r="F656" s="131"/>
      <c r="G656" s="131"/>
      <c r="H656" s="131"/>
      <c r="I656" s="131"/>
      <c r="J656" s="131"/>
      <c r="K656" s="131"/>
      <c r="L656" s="131"/>
      <c r="M656" s="131"/>
      <c r="N656" s="131"/>
      <c r="O656" s="131"/>
      <c r="P656" s="131"/>
      <c r="Q656" s="131"/>
      <c r="R656" s="131"/>
      <c r="S656" s="131"/>
      <c r="T656" s="131"/>
      <c r="U656" s="131"/>
      <c r="V656" s="131"/>
      <c r="W656" s="131"/>
      <c r="X656" s="131"/>
      <c r="Y656" s="131"/>
    </row>
    <row r="657">
      <c r="A657" s="131"/>
      <c r="B657" s="131"/>
      <c r="C657" s="131"/>
      <c r="D657" s="81"/>
      <c r="E657" s="81"/>
      <c r="F657" s="131"/>
      <c r="G657" s="131"/>
      <c r="H657" s="131"/>
      <c r="I657" s="131"/>
      <c r="J657" s="131"/>
      <c r="K657" s="131"/>
      <c r="L657" s="131"/>
      <c r="M657" s="131"/>
      <c r="N657" s="131"/>
      <c r="O657" s="131"/>
      <c r="P657" s="131"/>
      <c r="Q657" s="131"/>
      <c r="R657" s="131"/>
      <c r="S657" s="131"/>
      <c r="T657" s="131"/>
      <c r="U657" s="131"/>
      <c r="V657" s="131"/>
      <c r="W657" s="131"/>
      <c r="X657" s="131"/>
      <c r="Y657" s="131"/>
    </row>
    <row r="658">
      <c r="A658" s="131"/>
      <c r="B658" s="131"/>
      <c r="C658" s="131"/>
      <c r="D658" s="81"/>
      <c r="E658" s="81"/>
      <c r="F658" s="131"/>
      <c r="G658" s="131"/>
      <c r="H658" s="131"/>
      <c r="I658" s="131"/>
      <c r="J658" s="131"/>
      <c r="K658" s="131"/>
      <c r="L658" s="131"/>
      <c r="M658" s="131"/>
      <c r="N658" s="131"/>
      <c r="O658" s="131"/>
      <c r="P658" s="131"/>
      <c r="Q658" s="131"/>
      <c r="R658" s="131"/>
      <c r="S658" s="131"/>
      <c r="T658" s="131"/>
      <c r="U658" s="131"/>
      <c r="V658" s="131"/>
      <c r="W658" s="131"/>
      <c r="X658" s="131"/>
      <c r="Y658" s="131"/>
    </row>
    <row r="659">
      <c r="A659" s="131"/>
      <c r="B659" s="131"/>
      <c r="C659" s="131"/>
      <c r="D659" s="81"/>
      <c r="E659" s="81"/>
      <c r="F659" s="131"/>
      <c r="G659" s="131"/>
      <c r="H659" s="131"/>
      <c r="I659" s="131"/>
      <c r="J659" s="131"/>
      <c r="K659" s="131"/>
      <c r="L659" s="131"/>
      <c r="M659" s="131"/>
      <c r="N659" s="131"/>
      <c r="O659" s="131"/>
      <c r="P659" s="131"/>
      <c r="Q659" s="131"/>
      <c r="R659" s="131"/>
      <c r="S659" s="131"/>
      <c r="T659" s="131"/>
      <c r="U659" s="131"/>
      <c r="V659" s="131"/>
      <c r="W659" s="131"/>
      <c r="X659" s="131"/>
      <c r="Y659" s="131"/>
    </row>
    <row r="660">
      <c r="A660" s="131"/>
      <c r="B660" s="131"/>
      <c r="C660" s="131"/>
      <c r="D660" s="81"/>
      <c r="E660" s="81"/>
      <c r="F660" s="131"/>
      <c r="G660" s="131"/>
      <c r="H660" s="131"/>
      <c r="I660" s="131"/>
      <c r="J660" s="131"/>
      <c r="K660" s="131"/>
      <c r="L660" s="131"/>
      <c r="M660" s="131"/>
      <c r="N660" s="131"/>
      <c r="O660" s="131"/>
      <c r="P660" s="131"/>
      <c r="Q660" s="131"/>
      <c r="R660" s="131"/>
      <c r="S660" s="131"/>
      <c r="T660" s="131"/>
      <c r="U660" s="131"/>
      <c r="V660" s="131"/>
      <c r="W660" s="131"/>
      <c r="X660" s="131"/>
      <c r="Y660" s="131"/>
    </row>
    <row r="661">
      <c r="A661" s="131"/>
      <c r="B661" s="131"/>
      <c r="C661" s="131"/>
      <c r="D661" s="81"/>
      <c r="E661" s="81"/>
      <c r="F661" s="131"/>
      <c r="G661" s="131"/>
      <c r="H661" s="131"/>
      <c r="I661" s="131"/>
      <c r="J661" s="131"/>
      <c r="K661" s="131"/>
      <c r="L661" s="131"/>
      <c r="M661" s="131"/>
      <c r="N661" s="131"/>
      <c r="O661" s="131"/>
      <c r="P661" s="131"/>
      <c r="Q661" s="131"/>
      <c r="R661" s="131"/>
      <c r="S661" s="131"/>
      <c r="T661" s="131"/>
      <c r="U661" s="131"/>
      <c r="V661" s="131"/>
      <c r="W661" s="131"/>
      <c r="X661" s="131"/>
      <c r="Y661" s="131"/>
    </row>
    <row r="662">
      <c r="A662" s="131"/>
      <c r="B662" s="131"/>
      <c r="C662" s="131"/>
      <c r="D662" s="81"/>
      <c r="E662" s="81"/>
      <c r="F662" s="131"/>
      <c r="G662" s="131"/>
      <c r="H662" s="131"/>
      <c r="I662" s="131"/>
      <c r="J662" s="131"/>
      <c r="K662" s="131"/>
      <c r="L662" s="131"/>
      <c r="M662" s="131"/>
      <c r="N662" s="131"/>
      <c r="O662" s="131"/>
      <c r="P662" s="131"/>
      <c r="Q662" s="131"/>
      <c r="R662" s="131"/>
      <c r="S662" s="131"/>
      <c r="T662" s="131"/>
      <c r="U662" s="131"/>
      <c r="V662" s="131"/>
      <c r="W662" s="131"/>
      <c r="X662" s="131"/>
      <c r="Y662" s="131"/>
    </row>
    <row r="663">
      <c r="A663" s="131"/>
      <c r="B663" s="131"/>
      <c r="C663" s="131"/>
      <c r="D663" s="81"/>
      <c r="E663" s="81"/>
      <c r="F663" s="131"/>
      <c r="G663" s="131"/>
      <c r="H663" s="131"/>
      <c r="I663" s="131"/>
      <c r="J663" s="131"/>
      <c r="K663" s="131"/>
      <c r="L663" s="131"/>
      <c r="M663" s="131"/>
      <c r="N663" s="131"/>
      <c r="O663" s="131"/>
      <c r="P663" s="131"/>
      <c r="Q663" s="131"/>
      <c r="R663" s="131"/>
      <c r="S663" s="131"/>
      <c r="T663" s="131"/>
      <c r="U663" s="131"/>
      <c r="V663" s="131"/>
      <c r="W663" s="131"/>
      <c r="X663" s="131"/>
      <c r="Y663" s="131"/>
    </row>
    <row r="664">
      <c r="A664" s="131"/>
      <c r="B664" s="131"/>
      <c r="C664" s="131"/>
      <c r="D664" s="81"/>
      <c r="E664" s="81"/>
      <c r="F664" s="131"/>
      <c r="G664" s="131"/>
      <c r="H664" s="131"/>
      <c r="I664" s="131"/>
      <c r="J664" s="131"/>
      <c r="K664" s="131"/>
      <c r="L664" s="131"/>
      <c r="M664" s="131"/>
      <c r="N664" s="131"/>
      <c r="O664" s="131"/>
      <c r="P664" s="131"/>
      <c r="Q664" s="131"/>
      <c r="R664" s="131"/>
      <c r="S664" s="131"/>
      <c r="T664" s="131"/>
      <c r="U664" s="131"/>
      <c r="V664" s="131"/>
      <c r="W664" s="131"/>
      <c r="X664" s="131"/>
      <c r="Y664" s="131"/>
    </row>
    <row r="665">
      <c r="A665" s="131"/>
      <c r="B665" s="131"/>
      <c r="C665" s="131"/>
      <c r="D665" s="81"/>
      <c r="E665" s="81"/>
      <c r="F665" s="131"/>
      <c r="G665" s="131"/>
      <c r="H665" s="131"/>
      <c r="I665" s="131"/>
      <c r="J665" s="131"/>
      <c r="K665" s="131"/>
      <c r="L665" s="131"/>
      <c r="M665" s="131"/>
      <c r="N665" s="131"/>
      <c r="O665" s="131"/>
      <c r="P665" s="131"/>
      <c r="Q665" s="131"/>
      <c r="R665" s="131"/>
      <c r="S665" s="131"/>
      <c r="T665" s="131"/>
      <c r="U665" s="131"/>
      <c r="V665" s="131"/>
      <c r="W665" s="131"/>
      <c r="X665" s="131"/>
      <c r="Y665" s="131"/>
    </row>
    <row r="666">
      <c r="A666" s="131"/>
      <c r="B666" s="131"/>
      <c r="C666" s="131"/>
      <c r="D666" s="81"/>
      <c r="E666" s="81"/>
      <c r="F666" s="131"/>
      <c r="G666" s="131"/>
      <c r="H666" s="131"/>
      <c r="I666" s="131"/>
      <c r="J666" s="131"/>
      <c r="K666" s="131"/>
      <c r="L666" s="131"/>
      <c r="M666" s="131"/>
      <c r="N666" s="131"/>
      <c r="O666" s="131"/>
      <c r="P666" s="131"/>
      <c r="Q666" s="131"/>
      <c r="R666" s="131"/>
      <c r="S666" s="131"/>
      <c r="T666" s="131"/>
      <c r="U666" s="131"/>
      <c r="V666" s="131"/>
      <c r="W666" s="131"/>
      <c r="X666" s="131"/>
      <c r="Y666" s="131"/>
    </row>
    <row r="667">
      <c r="A667" s="131"/>
      <c r="B667" s="131"/>
      <c r="C667" s="131"/>
      <c r="D667" s="81"/>
      <c r="E667" s="81"/>
      <c r="F667" s="131"/>
      <c r="G667" s="131"/>
      <c r="H667" s="131"/>
      <c r="I667" s="131"/>
      <c r="J667" s="131"/>
      <c r="K667" s="131"/>
      <c r="L667" s="131"/>
      <c r="M667" s="131"/>
      <c r="N667" s="131"/>
      <c r="O667" s="131"/>
      <c r="P667" s="131"/>
      <c r="Q667" s="131"/>
      <c r="R667" s="131"/>
      <c r="S667" s="131"/>
      <c r="T667" s="131"/>
      <c r="U667" s="131"/>
      <c r="V667" s="131"/>
      <c r="W667" s="131"/>
      <c r="X667" s="131"/>
      <c r="Y667" s="131"/>
    </row>
    <row r="668">
      <c r="A668" s="131"/>
      <c r="B668" s="131"/>
      <c r="C668" s="131"/>
      <c r="D668" s="81"/>
      <c r="E668" s="81"/>
      <c r="F668" s="131"/>
      <c r="G668" s="131"/>
      <c r="H668" s="131"/>
      <c r="I668" s="131"/>
      <c r="J668" s="131"/>
      <c r="K668" s="131"/>
      <c r="L668" s="131"/>
      <c r="M668" s="131"/>
      <c r="N668" s="131"/>
      <c r="O668" s="131"/>
      <c r="P668" s="131"/>
      <c r="Q668" s="131"/>
      <c r="R668" s="131"/>
      <c r="S668" s="131"/>
      <c r="T668" s="131"/>
      <c r="U668" s="131"/>
      <c r="V668" s="131"/>
      <c r="W668" s="131"/>
      <c r="X668" s="131"/>
      <c r="Y668" s="131"/>
    </row>
    <row r="669">
      <c r="A669" s="131"/>
      <c r="B669" s="131"/>
      <c r="C669" s="131"/>
      <c r="D669" s="81"/>
      <c r="E669" s="81"/>
      <c r="F669" s="131"/>
      <c r="G669" s="131"/>
      <c r="H669" s="131"/>
      <c r="I669" s="131"/>
      <c r="J669" s="131"/>
      <c r="K669" s="131"/>
      <c r="L669" s="131"/>
      <c r="M669" s="131"/>
      <c r="N669" s="131"/>
      <c r="O669" s="131"/>
      <c r="P669" s="131"/>
      <c r="Q669" s="131"/>
      <c r="R669" s="131"/>
      <c r="S669" s="131"/>
      <c r="T669" s="131"/>
      <c r="U669" s="131"/>
      <c r="V669" s="131"/>
      <c r="W669" s="131"/>
      <c r="X669" s="131"/>
      <c r="Y669" s="131"/>
    </row>
    <row r="670">
      <c r="A670" s="131"/>
      <c r="B670" s="131"/>
      <c r="C670" s="131"/>
      <c r="D670" s="81"/>
      <c r="E670" s="81"/>
      <c r="F670" s="131"/>
      <c r="G670" s="131"/>
      <c r="H670" s="131"/>
      <c r="I670" s="131"/>
      <c r="J670" s="131"/>
      <c r="K670" s="131"/>
      <c r="L670" s="131"/>
      <c r="M670" s="131"/>
      <c r="N670" s="131"/>
      <c r="O670" s="131"/>
      <c r="P670" s="131"/>
      <c r="Q670" s="131"/>
      <c r="R670" s="131"/>
      <c r="S670" s="131"/>
      <c r="T670" s="131"/>
      <c r="U670" s="131"/>
      <c r="V670" s="131"/>
      <c r="W670" s="131"/>
      <c r="X670" s="131"/>
      <c r="Y670" s="131"/>
    </row>
    <row r="671">
      <c r="A671" s="131"/>
      <c r="B671" s="131"/>
      <c r="C671" s="131"/>
      <c r="D671" s="81"/>
      <c r="E671" s="81"/>
      <c r="F671" s="131"/>
      <c r="G671" s="131"/>
      <c r="H671" s="131"/>
      <c r="I671" s="131"/>
      <c r="J671" s="131"/>
      <c r="K671" s="131"/>
      <c r="L671" s="131"/>
      <c r="M671" s="131"/>
      <c r="N671" s="131"/>
      <c r="O671" s="131"/>
      <c r="P671" s="131"/>
      <c r="Q671" s="131"/>
      <c r="R671" s="131"/>
      <c r="S671" s="131"/>
      <c r="T671" s="131"/>
      <c r="U671" s="131"/>
      <c r="V671" s="131"/>
      <c r="W671" s="131"/>
      <c r="X671" s="131"/>
      <c r="Y671" s="131"/>
    </row>
    <row r="672">
      <c r="A672" s="131"/>
      <c r="B672" s="131"/>
      <c r="C672" s="131"/>
      <c r="D672" s="81"/>
      <c r="E672" s="81"/>
      <c r="F672" s="131"/>
      <c r="G672" s="131"/>
      <c r="H672" s="131"/>
      <c r="I672" s="131"/>
      <c r="J672" s="131"/>
      <c r="K672" s="131"/>
      <c r="L672" s="131"/>
      <c r="M672" s="131"/>
      <c r="N672" s="131"/>
      <c r="O672" s="131"/>
      <c r="P672" s="131"/>
      <c r="Q672" s="131"/>
      <c r="R672" s="131"/>
      <c r="S672" s="131"/>
      <c r="T672" s="131"/>
      <c r="U672" s="131"/>
      <c r="V672" s="131"/>
      <c r="W672" s="131"/>
      <c r="X672" s="131"/>
      <c r="Y672" s="131"/>
    </row>
    <row r="673">
      <c r="A673" s="131"/>
      <c r="B673" s="131"/>
      <c r="C673" s="131"/>
      <c r="D673" s="81"/>
      <c r="E673" s="81"/>
      <c r="F673" s="131"/>
      <c r="G673" s="131"/>
      <c r="H673" s="131"/>
      <c r="I673" s="131"/>
      <c r="J673" s="131"/>
      <c r="K673" s="131"/>
      <c r="L673" s="131"/>
      <c r="M673" s="131"/>
      <c r="N673" s="131"/>
      <c r="O673" s="131"/>
      <c r="P673" s="131"/>
      <c r="Q673" s="131"/>
      <c r="R673" s="131"/>
      <c r="S673" s="131"/>
      <c r="T673" s="131"/>
      <c r="U673" s="131"/>
      <c r="V673" s="131"/>
      <c r="W673" s="131"/>
      <c r="X673" s="131"/>
      <c r="Y673" s="131"/>
    </row>
    <row r="674">
      <c r="A674" s="131"/>
      <c r="B674" s="131"/>
      <c r="C674" s="131"/>
      <c r="D674" s="81"/>
      <c r="E674" s="81"/>
      <c r="F674" s="131"/>
      <c r="G674" s="131"/>
      <c r="H674" s="131"/>
      <c r="I674" s="131"/>
      <c r="J674" s="131"/>
      <c r="K674" s="131"/>
      <c r="L674" s="131"/>
      <c r="M674" s="131"/>
      <c r="N674" s="131"/>
      <c r="O674" s="131"/>
      <c r="P674" s="131"/>
      <c r="Q674" s="131"/>
      <c r="R674" s="131"/>
      <c r="S674" s="131"/>
      <c r="T674" s="131"/>
      <c r="U674" s="131"/>
      <c r="V674" s="131"/>
      <c r="W674" s="131"/>
      <c r="X674" s="131"/>
      <c r="Y674" s="131"/>
    </row>
    <row r="675">
      <c r="A675" s="131"/>
      <c r="B675" s="131"/>
      <c r="C675" s="131"/>
      <c r="D675" s="81"/>
      <c r="E675" s="81"/>
      <c r="F675" s="131"/>
      <c r="G675" s="131"/>
      <c r="H675" s="131"/>
      <c r="I675" s="131"/>
      <c r="J675" s="131"/>
      <c r="K675" s="131"/>
      <c r="L675" s="131"/>
      <c r="M675" s="131"/>
      <c r="N675" s="131"/>
      <c r="O675" s="131"/>
      <c r="P675" s="131"/>
      <c r="Q675" s="131"/>
      <c r="R675" s="131"/>
      <c r="S675" s="131"/>
      <c r="T675" s="131"/>
      <c r="U675" s="131"/>
      <c r="V675" s="131"/>
      <c r="W675" s="131"/>
      <c r="X675" s="131"/>
      <c r="Y675" s="131"/>
    </row>
    <row r="676">
      <c r="A676" s="131"/>
      <c r="B676" s="131"/>
      <c r="C676" s="131"/>
      <c r="D676" s="81"/>
      <c r="E676" s="81"/>
      <c r="F676" s="131"/>
      <c r="G676" s="131"/>
      <c r="H676" s="131"/>
      <c r="I676" s="131"/>
      <c r="J676" s="131"/>
      <c r="K676" s="131"/>
      <c r="L676" s="131"/>
      <c r="M676" s="131"/>
      <c r="N676" s="131"/>
      <c r="O676" s="131"/>
      <c r="P676" s="131"/>
      <c r="Q676" s="131"/>
      <c r="R676" s="131"/>
      <c r="S676" s="131"/>
      <c r="T676" s="131"/>
      <c r="U676" s="131"/>
      <c r="V676" s="131"/>
      <c r="W676" s="131"/>
      <c r="X676" s="131"/>
      <c r="Y676" s="131"/>
    </row>
    <row r="677">
      <c r="A677" s="131"/>
      <c r="B677" s="131"/>
      <c r="C677" s="131"/>
      <c r="D677" s="81"/>
      <c r="E677" s="81"/>
      <c r="F677" s="131"/>
      <c r="G677" s="131"/>
      <c r="H677" s="131"/>
      <c r="I677" s="131"/>
      <c r="J677" s="131"/>
      <c r="K677" s="131"/>
      <c r="L677" s="131"/>
      <c r="M677" s="131"/>
      <c r="N677" s="131"/>
      <c r="O677" s="131"/>
      <c r="P677" s="131"/>
      <c r="Q677" s="131"/>
      <c r="R677" s="131"/>
      <c r="S677" s="131"/>
      <c r="T677" s="131"/>
      <c r="U677" s="131"/>
      <c r="V677" s="131"/>
      <c r="W677" s="131"/>
      <c r="X677" s="131"/>
      <c r="Y677" s="131"/>
    </row>
    <row r="678">
      <c r="A678" s="131"/>
      <c r="B678" s="131"/>
      <c r="C678" s="131"/>
      <c r="D678" s="81"/>
      <c r="E678" s="81"/>
      <c r="F678" s="131"/>
      <c r="G678" s="131"/>
      <c r="H678" s="131"/>
      <c r="I678" s="131"/>
      <c r="J678" s="131"/>
      <c r="K678" s="131"/>
      <c r="L678" s="131"/>
      <c r="M678" s="131"/>
      <c r="N678" s="131"/>
      <c r="O678" s="131"/>
      <c r="P678" s="131"/>
      <c r="Q678" s="131"/>
      <c r="R678" s="131"/>
      <c r="S678" s="131"/>
      <c r="T678" s="131"/>
      <c r="U678" s="131"/>
      <c r="V678" s="131"/>
      <c r="W678" s="131"/>
      <c r="X678" s="131"/>
      <c r="Y678" s="131"/>
    </row>
    <row r="679">
      <c r="A679" s="131"/>
      <c r="B679" s="131"/>
      <c r="C679" s="131"/>
      <c r="D679" s="81"/>
      <c r="E679" s="81"/>
      <c r="F679" s="131"/>
      <c r="G679" s="131"/>
      <c r="H679" s="131"/>
      <c r="I679" s="131"/>
      <c r="J679" s="131"/>
      <c r="K679" s="131"/>
      <c r="L679" s="131"/>
      <c r="M679" s="131"/>
      <c r="N679" s="131"/>
      <c r="O679" s="131"/>
      <c r="P679" s="131"/>
      <c r="Q679" s="131"/>
      <c r="R679" s="131"/>
      <c r="S679" s="131"/>
      <c r="T679" s="131"/>
      <c r="U679" s="131"/>
      <c r="V679" s="131"/>
      <c r="W679" s="131"/>
      <c r="X679" s="131"/>
      <c r="Y679" s="131"/>
    </row>
    <row r="680">
      <c r="A680" s="131"/>
      <c r="B680" s="131"/>
      <c r="C680" s="131"/>
      <c r="D680" s="81"/>
      <c r="E680" s="81"/>
      <c r="F680" s="131"/>
      <c r="G680" s="131"/>
      <c r="H680" s="131"/>
      <c r="I680" s="131"/>
      <c r="J680" s="131"/>
      <c r="K680" s="131"/>
      <c r="L680" s="131"/>
      <c r="M680" s="131"/>
      <c r="N680" s="131"/>
      <c r="O680" s="131"/>
      <c r="P680" s="131"/>
      <c r="Q680" s="131"/>
      <c r="R680" s="131"/>
      <c r="S680" s="131"/>
      <c r="T680" s="131"/>
      <c r="U680" s="131"/>
      <c r="V680" s="131"/>
      <c r="W680" s="131"/>
      <c r="X680" s="131"/>
      <c r="Y680" s="131"/>
    </row>
    <row r="681">
      <c r="A681" s="131"/>
      <c r="B681" s="131"/>
      <c r="C681" s="131"/>
      <c r="D681" s="81"/>
      <c r="E681" s="81"/>
      <c r="F681" s="131"/>
      <c r="G681" s="131"/>
      <c r="H681" s="131"/>
      <c r="I681" s="131"/>
      <c r="J681" s="131"/>
      <c r="K681" s="131"/>
      <c r="L681" s="131"/>
      <c r="M681" s="131"/>
      <c r="N681" s="131"/>
      <c r="O681" s="131"/>
      <c r="P681" s="131"/>
      <c r="Q681" s="131"/>
      <c r="R681" s="131"/>
      <c r="S681" s="131"/>
      <c r="T681" s="131"/>
      <c r="U681" s="131"/>
      <c r="V681" s="131"/>
      <c r="W681" s="131"/>
      <c r="X681" s="131"/>
      <c r="Y681" s="131"/>
    </row>
    <row r="682">
      <c r="A682" s="131"/>
      <c r="B682" s="131"/>
      <c r="C682" s="131"/>
      <c r="D682" s="81"/>
      <c r="E682" s="81"/>
      <c r="F682" s="131"/>
      <c r="G682" s="131"/>
      <c r="H682" s="131"/>
      <c r="I682" s="131"/>
      <c r="J682" s="131"/>
      <c r="K682" s="131"/>
      <c r="L682" s="131"/>
      <c r="M682" s="131"/>
      <c r="N682" s="131"/>
      <c r="O682" s="131"/>
      <c r="P682" s="131"/>
      <c r="Q682" s="131"/>
      <c r="R682" s="131"/>
      <c r="S682" s="131"/>
      <c r="T682" s="131"/>
      <c r="U682" s="131"/>
      <c r="V682" s="131"/>
      <c r="W682" s="131"/>
      <c r="X682" s="131"/>
      <c r="Y682" s="131"/>
    </row>
    <row r="683">
      <c r="A683" s="131"/>
      <c r="B683" s="131"/>
      <c r="C683" s="131"/>
      <c r="D683" s="81"/>
      <c r="E683" s="81"/>
      <c r="F683" s="131"/>
      <c r="G683" s="131"/>
      <c r="H683" s="131"/>
      <c r="I683" s="131"/>
      <c r="J683" s="131"/>
      <c r="K683" s="131"/>
      <c r="L683" s="131"/>
      <c r="M683" s="131"/>
      <c r="N683" s="131"/>
      <c r="O683" s="131"/>
      <c r="P683" s="131"/>
      <c r="Q683" s="131"/>
      <c r="R683" s="131"/>
      <c r="S683" s="131"/>
      <c r="T683" s="131"/>
      <c r="U683" s="131"/>
      <c r="V683" s="131"/>
      <c r="W683" s="131"/>
      <c r="X683" s="131"/>
      <c r="Y683" s="131"/>
    </row>
    <row r="684">
      <c r="A684" s="131"/>
      <c r="B684" s="131"/>
      <c r="C684" s="131"/>
      <c r="D684" s="81"/>
      <c r="E684" s="81"/>
      <c r="F684" s="131"/>
      <c r="G684" s="131"/>
      <c r="H684" s="131"/>
      <c r="I684" s="131"/>
      <c r="J684" s="131"/>
      <c r="K684" s="131"/>
      <c r="L684" s="131"/>
      <c r="M684" s="131"/>
      <c r="N684" s="131"/>
      <c r="O684" s="131"/>
      <c r="P684" s="131"/>
      <c r="Q684" s="131"/>
      <c r="R684" s="131"/>
      <c r="S684" s="131"/>
      <c r="T684" s="131"/>
      <c r="U684" s="131"/>
      <c r="V684" s="131"/>
      <c r="W684" s="131"/>
      <c r="X684" s="131"/>
      <c r="Y684" s="131"/>
    </row>
    <row r="685">
      <c r="A685" s="131"/>
      <c r="B685" s="131"/>
      <c r="C685" s="131"/>
      <c r="D685" s="81"/>
      <c r="E685" s="81"/>
      <c r="F685" s="131"/>
      <c r="G685" s="131"/>
      <c r="H685" s="131"/>
      <c r="I685" s="131"/>
      <c r="J685" s="131"/>
      <c r="K685" s="131"/>
      <c r="L685" s="131"/>
      <c r="M685" s="131"/>
      <c r="N685" s="131"/>
      <c r="O685" s="131"/>
      <c r="P685" s="131"/>
      <c r="Q685" s="131"/>
      <c r="R685" s="131"/>
      <c r="S685" s="131"/>
      <c r="T685" s="131"/>
      <c r="U685" s="131"/>
      <c r="V685" s="131"/>
      <c r="W685" s="131"/>
      <c r="X685" s="131"/>
      <c r="Y685" s="131"/>
    </row>
    <row r="686">
      <c r="A686" s="131"/>
      <c r="B686" s="131"/>
      <c r="C686" s="131"/>
      <c r="D686" s="81"/>
      <c r="E686" s="81"/>
      <c r="F686" s="131"/>
      <c r="G686" s="131"/>
      <c r="H686" s="131"/>
      <c r="I686" s="131"/>
      <c r="J686" s="131"/>
      <c r="K686" s="131"/>
      <c r="L686" s="131"/>
      <c r="M686" s="131"/>
      <c r="N686" s="131"/>
      <c r="O686" s="131"/>
      <c r="P686" s="131"/>
      <c r="Q686" s="131"/>
      <c r="R686" s="131"/>
      <c r="S686" s="131"/>
      <c r="T686" s="131"/>
      <c r="U686" s="131"/>
      <c r="V686" s="131"/>
      <c r="W686" s="131"/>
      <c r="X686" s="131"/>
      <c r="Y686" s="131"/>
    </row>
    <row r="687">
      <c r="A687" s="131"/>
      <c r="B687" s="131"/>
      <c r="C687" s="131"/>
      <c r="D687" s="81"/>
      <c r="E687" s="81"/>
      <c r="F687" s="131"/>
      <c r="G687" s="131"/>
      <c r="H687" s="131"/>
      <c r="I687" s="131"/>
      <c r="J687" s="131"/>
      <c r="K687" s="131"/>
      <c r="L687" s="131"/>
      <c r="M687" s="131"/>
      <c r="N687" s="131"/>
      <c r="O687" s="131"/>
      <c r="P687" s="131"/>
      <c r="Q687" s="131"/>
      <c r="R687" s="131"/>
      <c r="S687" s="131"/>
      <c r="T687" s="131"/>
      <c r="U687" s="131"/>
      <c r="V687" s="131"/>
      <c r="W687" s="131"/>
      <c r="X687" s="131"/>
      <c r="Y687" s="131"/>
    </row>
    <row r="688">
      <c r="A688" s="131"/>
      <c r="B688" s="131"/>
      <c r="C688" s="131"/>
      <c r="D688" s="81"/>
      <c r="E688" s="81"/>
      <c r="F688" s="131"/>
      <c r="G688" s="131"/>
      <c r="H688" s="131"/>
      <c r="I688" s="131"/>
      <c r="J688" s="131"/>
      <c r="K688" s="131"/>
      <c r="L688" s="131"/>
      <c r="M688" s="131"/>
      <c r="N688" s="131"/>
      <c r="O688" s="131"/>
      <c r="P688" s="131"/>
      <c r="Q688" s="131"/>
      <c r="R688" s="131"/>
      <c r="S688" s="131"/>
      <c r="T688" s="131"/>
      <c r="U688" s="131"/>
      <c r="V688" s="131"/>
      <c r="W688" s="131"/>
      <c r="X688" s="131"/>
      <c r="Y688" s="131"/>
    </row>
    <row r="689">
      <c r="A689" s="131"/>
      <c r="B689" s="131"/>
      <c r="C689" s="131"/>
      <c r="D689" s="81"/>
      <c r="E689" s="81"/>
      <c r="F689" s="131"/>
      <c r="G689" s="131"/>
      <c r="H689" s="131"/>
      <c r="I689" s="131"/>
      <c r="J689" s="131"/>
      <c r="K689" s="131"/>
      <c r="L689" s="131"/>
      <c r="M689" s="131"/>
      <c r="N689" s="131"/>
      <c r="O689" s="131"/>
      <c r="P689" s="131"/>
      <c r="Q689" s="131"/>
      <c r="R689" s="131"/>
      <c r="S689" s="131"/>
      <c r="T689" s="131"/>
      <c r="U689" s="131"/>
      <c r="V689" s="131"/>
      <c r="W689" s="131"/>
      <c r="X689" s="131"/>
      <c r="Y689" s="131"/>
    </row>
    <row r="690">
      <c r="A690" s="131"/>
      <c r="B690" s="131"/>
      <c r="C690" s="131"/>
      <c r="D690" s="81"/>
      <c r="E690" s="81"/>
      <c r="F690" s="131"/>
      <c r="G690" s="131"/>
      <c r="H690" s="131"/>
      <c r="I690" s="131"/>
      <c r="J690" s="131"/>
      <c r="K690" s="131"/>
      <c r="L690" s="131"/>
      <c r="M690" s="131"/>
      <c r="N690" s="131"/>
      <c r="O690" s="131"/>
      <c r="P690" s="131"/>
      <c r="Q690" s="131"/>
      <c r="R690" s="131"/>
      <c r="S690" s="131"/>
      <c r="T690" s="131"/>
      <c r="U690" s="131"/>
      <c r="V690" s="131"/>
      <c r="W690" s="131"/>
      <c r="X690" s="131"/>
      <c r="Y690" s="131"/>
    </row>
    <row r="691">
      <c r="A691" s="131"/>
      <c r="B691" s="131"/>
      <c r="C691" s="131"/>
      <c r="D691" s="81"/>
      <c r="E691" s="81"/>
      <c r="F691" s="131"/>
      <c r="G691" s="131"/>
      <c r="H691" s="131"/>
      <c r="I691" s="131"/>
      <c r="J691" s="131"/>
      <c r="K691" s="131"/>
      <c r="L691" s="131"/>
      <c r="M691" s="131"/>
      <c r="N691" s="131"/>
      <c r="O691" s="131"/>
      <c r="P691" s="131"/>
      <c r="Q691" s="131"/>
      <c r="R691" s="131"/>
      <c r="S691" s="131"/>
      <c r="T691" s="131"/>
      <c r="U691" s="131"/>
      <c r="V691" s="131"/>
      <c r="W691" s="131"/>
      <c r="X691" s="131"/>
      <c r="Y691" s="131"/>
    </row>
    <row r="692">
      <c r="A692" s="131"/>
      <c r="B692" s="131"/>
      <c r="C692" s="131"/>
      <c r="D692" s="81"/>
      <c r="E692" s="81"/>
      <c r="F692" s="131"/>
      <c r="G692" s="131"/>
      <c r="H692" s="131"/>
      <c r="I692" s="131"/>
      <c r="J692" s="131"/>
      <c r="K692" s="131"/>
      <c r="L692" s="131"/>
      <c r="M692" s="131"/>
      <c r="N692" s="131"/>
      <c r="O692" s="131"/>
      <c r="P692" s="131"/>
      <c r="Q692" s="131"/>
      <c r="R692" s="131"/>
      <c r="S692" s="131"/>
      <c r="T692" s="131"/>
      <c r="U692" s="131"/>
      <c r="V692" s="131"/>
      <c r="W692" s="131"/>
      <c r="X692" s="131"/>
      <c r="Y692" s="131"/>
    </row>
    <row r="693">
      <c r="A693" s="131"/>
      <c r="B693" s="131"/>
      <c r="C693" s="131"/>
      <c r="D693" s="81"/>
      <c r="E693" s="81"/>
      <c r="F693" s="131"/>
      <c r="G693" s="131"/>
      <c r="H693" s="131"/>
      <c r="I693" s="131"/>
      <c r="J693" s="131"/>
      <c r="K693" s="131"/>
      <c r="L693" s="131"/>
      <c r="M693" s="131"/>
      <c r="N693" s="131"/>
      <c r="O693" s="131"/>
      <c r="P693" s="131"/>
      <c r="Q693" s="131"/>
      <c r="R693" s="131"/>
      <c r="S693" s="131"/>
      <c r="T693" s="131"/>
      <c r="U693" s="131"/>
      <c r="V693" s="131"/>
      <c r="W693" s="131"/>
      <c r="X693" s="131"/>
      <c r="Y693" s="131"/>
    </row>
    <row r="694">
      <c r="A694" s="131"/>
      <c r="B694" s="131"/>
      <c r="C694" s="131"/>
      <c r="D694" s="81"/>
      <c r="E694" s="81"/>
      <c r="F694" s="131"/>
      <c r="G694" s="131"/>
      <c r="H694" s="131"/>
      <c r="I694" s="131"/>
      <c r="J694" s="131"/>
      <c r="K694" s="131"/>
      <c r="L694" s="131"/>
      <c r="M694" s="131"/>
      <c r="N694" s="131"/>
      <c r="O694" s="131"/>
      <c r="P694" s="131"/>
      <c r="Q694" s="131"/>
      <c r="R694" s="131"/>
      <c r="S694" s="131"/>
      <c r="T694" s="131"/>
      <c r="U694" s="131"/>
      <c r="V694" s="131"/>
      <c r="W694" s="131"/>
      <c r="X694" s="131"/>
      <c r="Y694" s="131"/>
    </row>
    <row r="695">
      <c r="A695" s="131"/>
      <c r="B695" s="131"/>
      <c r="C695" s="131"/>
      <c r="D695" s="81"/>
      <c r="E695" s="81"/>
      <c r="F695" s="131"/>
      <c r="G695" s="131"/>
      <c r="H695" s="131"/>
      <c r="I695" s="131"/>
      <c r="J695" s="131"/>
      <c r="K695" s="131"/>
      <c r="L695" s="131"/>
      <c r="M695" s="131"/>
      <c r="N695" s="131"/>
      <c r="O695" s="131"/>
      <c r="P695" s="131"/>
      <c r="Q695" s="131"/>
      <c r="R695" s="131"/>
      <c r="S695" s="131"/>
      <c r="T695" s="131"/>
      <c r="U695" s="131"/>
      <c r="V695" s="131"/>
      <c r="W695" s="131"/>
      <c r="X695" s="131"/>
      <c r="Y695" s="131"/>
    </row>
    <row r="696">
      <c r="A696" s="131"/>
      <c r="B696" s="131"/>
      <c r="C696" s="131"/>
      <c r="D696" s="81"/>
      <c r="E696" s="81"/>
      <c r="F696" s="131"/>
      <c r="G696" s="131"/>
      <c r="H696" s="131"/>
      <c r="I696" s="131"/>
      <c r="J696" s="131"/>
      <c r="K696" s="131"/>
      <c r="L696" s="131"/>
      <c r="M696" s="131"/>
      <c r="N696" s="131"/>
      <c r="O696" s="131"/>
      <c r="P696" s="131"/>
      <c r="Q696" s="131"/>
      <c r="R696" s="131"/>
      <c r="S696" s="131"/>
      <c r="T696" s="131"/>
      <c r="U696" s="131"/>
      <c r="V696" s="131"/>
      <c r="W696" s="131"/>
      <c r="X696" s="131"/>
      <c r="Y696" s="131"/>
    </row>
    <row r="697">
      <c r="A697" s="131"/>
      <c r="B697" s="131"/>
      <c r="C697" s="131"/>
      <c r="D697" s="81"/>
      <c r="E697" s="81"/>
      <c r="F697" s="131"/>
      <c r="G697" s="131"/>
      <c r="H697" s="131"/>
      <c r="I697" s="131"/>
      <c r="J697" s="131"/>
      <c r="K697" s="131"/>
      <c r="L697" s="131"/>
      <c r="M697" s="131"/>
      <c r="N697" s="131"/>
      <c r="O697" s="131"/>
      <c r="P697" s="131"/>
      <c r="Q697" s="131"/>
      <c r="R697" s="131"/>
      <c r="S697" s="131"/>
      <c r="T697" s="131"/>
      <c r="U697" s="131"/>
      <c r="V697" s="131"/>
      <c r="W697" s="131"/>
      <c r="X697" s="131"/>
      <c r="Y697" s="131"/>
    </row>
    <row r="698">
      <c r="A698" s="131"/>
      <c r="B698" s="131"/>
      <c r="C698" s="131"/>
      <c r="D698" s="81"/>
      <c r="E698" s="81"/>
      <c r="F698" s="131"/>
      <c r="G698" s="131"/>
      <c r="H698" s="131"/>
      <c r="I698" s="131"/>
      <c r="J698" s="131"/>
      <c r="K698" s="131"/>
      <c r="L698" s="131"/>
      <c r="M698" s="131"/>
      <c r="N698" s="131"/>
      <c r="O698" s="131"/>
      <c r="P698" s="131"/>
      <c r="Q698" s="131"/>
      <c r="R698" s="131"/>
      <c r="S698" s="131"/>
      <c r="T698" s="131"/>
      <c r="U698" s="131"/>
      <c r="V698" s="131"/>
      <c r="W698" s="131"/>
      <c r="X698" s="131"/>
      <c r="Y698" s="131"/>
    </row>
    <row r="699">
      <c r="A699" s="131"/>
      <c r="B699" s="131"/>
      <c r="C699" s="131"/>
      <c r="D699" s="81"/>
      <c r="E699" s="81"/>
      <c r="F699" s="131"/>
      <c r="G699" s="131"/>
      <c r="H699" s="131"/>
      <c r="I699" s="131"/>
      <c r="J699" s="131"/>
      <c r="K699" s="131"/>
      <c r="L699" s="131"/>
      <c r="M699" s="131"/>
      <c r="N699" s="131"/>
      <c r="O699" s="131"/>
      <c r="P699" s="131"/>
      <c r="Q699" s="131"/>
      <c r="R699" s="131"/>
      <c r="S699" s="131"/>
      <c r="T699" s="131"/>
      <c r="U699" s="131"/>
      <c r="V699" s="131"/>
      <c r="W699" s="131"/>
      <c r="X699" s="131"/>
      <c r="Y699" s="131"/>
    </row>
    <row r="700">
      <c r="A700" s="131"/>
      <c r="B700" s="131"/>
      <c r="C700" s="131"/>
      <c r="D700" s="81"/>
      <c r="E700" s="81"/>
      <c r="F700" s="131"/>
      <c r="G700" s="131"/>
      <c r="H700" s="131"/>
      <c r="I700" s="131"/>
      <c r="J700" s="131"/>
      <c r="K700" s="131"/>
      <c r="L700" s="131"/>
      <c r="M700" s="131"/>
      <c r="N700" s="131"/>
      <c r="O700" s="131"/>
      <c r="P700" s="131"/>
      <c r="Q700" s="131"/>
      <c r="R700" s="131"/>
      <c r="S700" s="131"/>
      <c r="T700" s="131"/>
      <c r="U700" s="131"/>
      <c r="V700" s="131"/>
      <c r="W700" s="131"/>
      <c r="X700" s="131"/>
      <c r="Y700" s="131"/>
    </row>
    <row r="701">
      <c r="A701" s="131"/>
      <c r="B701" s="131"/>
      <c r="C701" s="131"/>
      <c r="D701" s="81"/>
      <c r="E701" s="81"/>
      <c r="F701" s="131"/>
      <c r="G701" s="131"/>
      <c r="H701" s="131"/>
      <c r="I701" s="131"/>
      <c r="J701" s="131"/>
      <c r="K701" s="131"/>
      <c r="L701" s="131"/>
      <c r="M701" s="131"/>
      <c r="N701" s="131"/>
      <c r="O701" s="131"/>
      <c r="P701" s="131"/>
      <c r="Q701" s="131"/>
      <c r="R701" s="131"/>
      <c r="S701" s="131"/>
      <c r="T701" s="131"/>
      <c r="U701" s="131"/>
      <c r="V701" s="131"/>
      <c r="W701" s="131"/>
      <c r="X701" s="131"/>
      <c r="Y701" s="131"/>
    </row>
    <row r="702">
      <c r="A702" s="131"/>
      <c r="B702" s="131"/>
      <c r="C702" s="131"/>
      <c r="D702" s="81"/>
      <c r="E702" s="81"/>
      <c r="F702" s="131"/>
      <c r="G702" s="131"/>
      <c r="H702" s="131"/>
      <c r="I702" s="131"/>
      <c r="J702" s="131"/>
      <c r="K702" s="131"/>
      <c r="L702" s="131"/>
      <c r="M702" s="131"/>
      <c r="N702" s="131"/>
      <c r="O702" s="131"/>
      <c r="P702" s="131"/>
      <c r="Q702" s="131"/>
      <c r="R702" s="131"/>
      <c r="S702" s="131"/>
      <c r="T702" s="131"/>
      <c r="U702" s="131"/>
      <c r="V702" s="131"/>
      <c r="W702" s="131"/>
      <c r="X702" s="131"/>
      <c r="Y702" s="131"/>
    </row>
    <row r="703">
      <c r="A703" s="131"/>
      <c r="B703" s="131"/>
      <c r="C703" s="131"/>
      <c r="D703" s="81"/>
      <c r="E703" s="81"/>
      <c r="F703" s="131"/>
      <c r="G703" s="131"/>
      <c r="H703" s="131"/>
      <c r="I703" s="131"/>
      <c r="J703" s="131"/>
      <c r="K703" s="131"/>
      <c r="L703" s="131"/>
      <c r="M703" s="131"/>
      <c r="N703" s="131"/>
      <c r="O703" s="131"/>
      <c r="P703" s="131"/>
      <c r="Q703" s="131"/>
      <c r="R703" s="131"/>
      <c r="S703" s="131"/>
      <c r="T703" s="131"/>
      <c r="U703" s="131"/>
      <c r="V703" s="131"/>
      <c r="W703" s="131"/>
      <c r="X703" s="131"/>
      <c r="Y703" s="131"/>
    </row>
    <row r="704">
      <c r="A704" s="131"/>
      <c r="B704" s="131"/>
      <c r="C704" s="131"/>
      <c r="D704" s="81"/>
      <c r="E704" s="81"/>
      <c r="F704" s="131"/>
      <c r="G704" s="131"/>
      <c r="H704" s="131"/>
      <c r="I704" s="131"/>
      <c r="J704" s="131"/>
      <c r="K704" s="131"/>
      <c r="L704" s="131"/>
      <c r="M704" s="131"/>
      <c r="N704" s="131"/>
      <c r="O704" s="131"/>
      <c r="P704" s="131"/>
      <c r="Q704" s="131"/>
      <c r="R704" s="131"/>
      <c r="S704" s="131"/>
      <c r="T704" s="131"/>
      <c r="U704" s="131"/>
      <c r="V704" s="131"/>
      <c r="W704" s="131"/>
      <c r="X704" s="131"/>
      <c r="Y704" s="131"/>
    </row>
    <row r="705">
      <c r="A705" s="131"/>
      <c r="B705" s="131"/>
      <c r="C705" s="131"/>
      <c r="D705" s="81"/>
      <c r="E705" s="81"/>
      <c r="F705" s="131"/>
      <c r="G705" s="131"/>
      <c r="H705" s="131"/>
      <c r="I705" s="131"/>
      <c r="J705" s="131"/>
      <c r="K705" s="131"/>
      <c r="L705" s="131"/>
      <c r="M705" s="131"/>
      <c r="N705" s="131"/>
      <c r="O705" s="131"/>
      <c r="P705" s="131"/>
      <c r="Q705" s="131"/>
      <c r="R705" s="131"/>
      <c r="S705" s="131"/>
      <c r="T705" s="131"/>
      <c r="U705" s="131"/>
      <c r="V705" s="131"/>
      <c r="W705" s="131"/>
      <c r="X705" s="131"/>
      <c r="Y705" s="131"/>
    </row>
    <row r="706">
      <c r="A706" s="131"/>
      <c r="B706" s="131"/>
      <c r="C706" s="131"/>
      <c r="D706" s="81"/>
      <c r="E706" s="81"/>
      <c r="F706" s="131"/>
      <c r="G706" s="131"/>
      <c r="H706" s="131"/>
      <c r="I706" s="131"/>
      <c r="J706" s="131"/>
      <c r="K706" s="131"/>
      <c r="L706" s="131"/>
      <c r="M706" s="131"/>
      <c r="N706" s="131"/>
      <c r="O706" s="131"/>
      <c r="P706" s="131"/>
      <c r="Q706" s="131"/>
      <c r="R706" s="131"/>
      <c r="S706" s="131"/>
      <c r="T706" s="131"/>
      <c r="U706" s="131"/>
      <c r="V706" s="131"/>
      <c r="W706" s="131"/>
      <c r="X706" s="131"/>
      <c r="Y706" s="131"/>
    </row>
    <row r="707">
      <c r="A707" s="131"/>
      <c r="B707" s="131"/>
      <c r="C707" s="131"/>
      <c r="D707" s="81"/>
      <c r="E707" s="81"/>
      <c r="F707" s="131"/>
      <c r="G707" s="131"/>
      <c r="H707" s="131"/>
      <c r="I707" s="131"/>
      <c r="J707" s="131"/>
      <c r="K707" s="131"/>
      <c r="L707" s="131"/>
      <c r="M707" s="131"/>
      <c r="N707" s="131"/>
      <c r="O707" s="131"/>
      <c r="P707" s="131"/>
      <c r="Q707" s="131"/>
      <c r="R707" s="131"/>
      <c r="S707" s="131"/>
      <c r="T707" s="131"/>
      <c r="U707" s="131"/>
      <c r="V707" s="131"/>
      <c r="W707" s="131"/>
      <c r="X707" s="131"/>
      <c r="Y707" s="131"/>
    </row>
    <row r="708">
      <c r="A708" s="131"/>
      <c r="B708" s="131"/>
      <c r="C708" s="131"/>
      <c r="D708" s="81"/>
      <c r="E708" s="81"/>
      <c r="F708" s="131"/>
      <c r="G708" s="131"/>
      <c r="H708" s="131"/>
      <c r="I708" s="131"/>
      <c r="J708" s="131"/>
      <c r="K708" s="131"/>
      <c r="L708" s="131"/>
      <c r="M708" s="131"/>
      <c r="N708" s="131"/>
      <c r="O708" s="131"/>
      <c r="P708" s="131"/>
      <c r="Q708" s="131"/>
      <c r="R708" s="131"/>
      <c r="S708" s="131"/>
      <c r="T708" s="131"/>
      <c r="U708" s="131"/>
      <c r="V708" s="131"/>
      <c r="W708" s="131"/>
      <c r="X708" s="131"/>
      <c r="Y708" s="131"/>
    </row>
    <row r="709">
      <c r="A709" s="131"/>
      <c r="B709" s="131"/>
      <c r="C709" s="131"/>
      <c r="D709" s="81"/>
      <c r="E709" s="81"/>
      <c r="F709" s="131"/>
      <c r="G709" s="131"/>
      <c r="H709" s="131"/>
      <c r="I709" s="131"/>
      <c r="J709" s="131"/>
      <c r="K709" s="131"/>
      <c r="L709" s="131"/>
      <c r="M709" s="131"/>
      <c r="N709" s="131"/>
      <c r="O709" s="131"/>
      <c r="P709" s="131"/>
      <c r="Q709" s="131"/>
      <c r="R709" s="131"/>
      <c r="S709" s="131"/>
      <c r="T709" s="131"/>
      <c r="U709" s="131"/>
      <c r="V709" s="131"/>
      <c r="W709" s="131"/>
      <c r="X709" s="131"/>
      <c r="Y709" s="131"/>
    </row>
    <row r="710">
      <c r="A710" s="131"/>
      <c r="B710" s="131"/>
      <c r="C710" s="131"/>
      <c r="D710" s="81"/>
      <c r="E710" s="81"/>
      <c r="F710" s="131"/>
      <c r="G710" s="131"/>
      <c r="H710" s="131"/>
      <c r="I710" s="131"/>
      <c r="J710" s="131"/>
      <c r="K710" s="131"/>
      <c r="L710" s="131"/>
      <c r="M710" s="131"/>
      <c r="N710" s="131"/>
      <c r="O710" s="131"/>
      <c r="P710" s="131"/>
      <c r="Q710" s="131"/>
      <c r="R710" s="131"/>
      <c r="S710" s="131"/>
      <c r="T710" s="131"/>
      <c r="U710" s="131"/>
      <c r="V710" s="131"/>
      <c r="W710" s="131"/>
      <c r="X710" s="131"/>
      <c r="Y710" s="131"/>
    </row>
    <row r="711">
      <c r="A711" s="131"/>
      <c r="B711" s="131"/>
      <c r="C711" s="131"/>
      <c r="D711" s="81"/>
      <c r="E711" s="81"/>
      <c r="F711" s="131"/>
      <c r="G711" s="131"/>
      <c r="H711" s="131"/>
      <c r="I711" s="131"/>
      <c r="J711" s="131"/>
      <c r="K711" s="131"/>
      <c r="L711" s="131"/>
      <c r="M711" s="131"/>
      <c r="N711" s="131"/>
      <c r="O711" s="131"/>
      <c r="P711" s="131"/>
      <c r="Q711" s="131"/>
      <c r="R711" s="131"/>
      <c r="S711" s="131"/>
      <c r="T711" s="131"/>
      <c r="U711" s="131"/>
      <c r="V711" s="131"/>
      <c r="W711" s="131"/>
      <c r="X711" s="131"/>
      <c r="Y711" s="131"/>
    </row>
    <row r="712">
      <c r="A712" s="131"/>
      <c r="B712" s="131"/>
      <c r="C712" s="131"/>
      <c r="D712" s="81"/>
      <c r="E712" s="81"/>
      <c r="F712" s="131"/>
      <c r="G712" s="131"/>
      <c r="H712" s="131"/>
      <c r="I712" s="131"/>
      <c r="J712" s="131"/>
      <c r="K712" s="131"/>
      <c r="L712" s="131"/>
      <c r="M712" s="131"/>
      <c r="N712" s="131"/>
      <c r="O712" s="131"/>
      <c r="P712" s="131"/>
      <c r="Q712" s="131"/>
      <c r="R712" s="131"/>
      <c r="S712" s="131"/>
      <c r="T712" s="131"/>
      <c r="U712" s="131"/>
      <c r="V712" s="131"/>
      <c r="W712" s="131"/>
      <c r="X712" s="131"/>
      <c r="Y712" s="131"/>
    </row>
    <row r="713">
      <c r="A713" s="131"/>
      <c r="B713" s="131"/>
      <c r="C713" s="131"/>
      <c r="D713" s="81"/>
      <c r="E713" s="81"/>
      <c r="F713" s="131"/>
      <c r="G713" s="131"/>
      <c r="H713" s="131"/>
      <c r="I713" s="131"/>
      <c r="J713" s="131"/>
      <c r="K713" s="131"/>
      <c r="L713" s="131"/>
      <c r="M713" s="131"/>
      <c r="N713" s="131"/>
      <c r="O713" s="131"/>
      <c r="P713" s="131"/>
      <c r="Q713" s="131"/>
      <c r="R713" s="131"/>
      <c r="S713" s="131"/>
      <c r="T713" s="131"/>
      <c r="U713" s="131"/>
      <c r="V713" s="131"/>
      <c r="W713" s="131"/>
      <c r="X713" s="131"/>
      <c r="Y713" s="131"/>
    </row>
    <row r="714">
      <c r="A714" s="131"/>
      <c r="B714" s="131"/>
      <c r="C714" s="131"/>
      <c r="D714" s="81"/>
      <c r="E714" s="81"/>
      <c r="F714" s="131"/>
      <c r="G714" s="131"/>
      <c r="H714" s="131"/>
      <c r="I714" s="131"/>
      <c r="J714" s="131"/>
      <c r="K714" s="131"/>
      <c r="L714" s="131"/>
      <c r="M714" s="131"/>
      <c r="N714" s="131"/>
      <c r="O714" s="131"/>
      <c r="P714" s="131"/>
      <c r="Q714" s="131"/>
      <c r="R714" s="131"/>
      <c r="S714" s="131"/>
      <c r="T714" s="131"/>
      <c r="U714" s="131"/>
      <c r="V714" s="131"/>
      <c r="W714" s="131"/>
      <c r="X714" s="131"/>
      <c r="Y714" s="131"/>
    </row>
    <row r="715">
      <c r="A715" s="131"/>
      <c r="B715" s="131"/>
      <c r="C715" s="131"/>
      <c r="D715" s="81"/>
      <c r="E715" s="81"/>
      <c r="F715" s="131"/>
      <c r="G715" s="131"/>
      <c r="H715" s="131"/>
      <c r="I715" s="131"/>
      <c r="J715" s="131"/>
      <c r="K715" s="131"/>
      <c r="L715" s="131"/>
      <c r="M715" s="131"/>
      <c r="N715" s="131"/>
      <c r="O715" s="131"/>
      <c r="P715" s="131"/>
      <c r="Q715" s="131"/>
      <c r="R715" s="131"/>
      <c r="S715" s="131"/>
      <c r="T715" s="131"/>
      <c r="U715" s="131"/>
      <c r="V715" s="131"/>
      <c r="W715" s="131"/>
      <c r="X715" s="131"/>
      <c r="Y715" s="131"/>
    </row>
    <row r="716">
      <c r="A716" s="131"/>
      <c r="B716" s="131"/>
      <c r="C716" s="131"/>
      <c r="D716" s="81"/>
      <c r="E716" s="81"/>
      <c r="F716" s="131"/>
      <c r="G716" s="131"/>
      <c r="H716" s="131"/>
      <c r="I716" s="131"/>
      <c r="J716" s="131"/>
      <c r="K716" s="131"/>
      <c r="L716" s="131"/>
      <c r="M716" s="131"/>
      <c r="N716" s="131"/>
      <c r="O716" s="131"/>
      <c r="P716" s="131"/>
      <c r="Q716" s="131"/>
      <c r="R716" s="131"/>
      <c r="S716" s="131"/>
      <c r="T716" s="131"/>
      <c r="U716" s="131"/>
      <c r="V716" s="131"/>
      <c r="W716" s="131"/>
      <c r="X716" s="131"/>
      <c r="Y716" s="131"/>
    </row>
    <row r="717">
      <c r="A717" s="131"/>
      <c r="B717" s="131"/>
      <c r="C717" s="131"/>
      <c r="D717" s="81"/>
      <c r="E717" s="81"/>
      <c r="F717" s="131"/>
      <c r="G717" s="131"/>
      <c r="H717" s="131"/>
      <c r="I717" s="131"/>
      <c r="J717" s="131"/>
      <c r="K717" s="131"/>
      <c r="L717" s="131"/>
      <c r="M717" s="131"/>
      <c r="N717" s="131"/>
      <c r="O717" s="131"/>
      <c r="P717" s="131"/>
      <c r="Q717" s="131"/>
      <c r="R717" s="131"/>
      <c r="S717" s="131"/>
      <c r="T717" s="131"/>
      <c r="U717" s="131"/>
      <c r="V717" s="131"/>
      <c r="W717" s="131"/>
      <c r="X717" s="131"/>
      <c r="Y717" s="131"/>
    </row>
    <row r="718">
      <c r="A718" s="131"/>
      <c r="B718" s="131"/>
      <c r="C718" s="131"/>
      <c r="D718" s="81"/>
      <c r="E718" s="81"/>
      <c r="F718" s="131"/>
      <c r="G718" s="131"/>
      <c r="H718" s="131"/>
      <c r="I718" s="131"/>
      <c r="J718" s="131"/>
      <c r="K718" s="131"/>
      <c r="L718" s="131"/>
      <c r="M718" s="131"/>
      <c r="N718" s="131"/>
      <c r="O718" s="131"/>
      <c r="P718" s="131"/>
      <c r="Q718" s="131"/>
      <c r="R718" s="131"/>
      <c r="S718" s="131"/>
      <c r="T718" s="131"/>
      <c r="U718" s="131"/>
      <c r="V718" s="131"/>
      <c r="W718" s="131"/>
      <c r="X718" s="131"/>
      <c r="Y718" s="131"/>
    </row>
    <row r="719">
      <c r="A719" s="131"/>
      <c r="B719" s="131"/>
      <c r="C719" s="131"/>
      <c r="D719" s="81"/>
      <c r="E719" s="81"/>
      <c r="F719" s="131"/>
      <c r="G719" s="131"/>
      <c r="H719" s="131"/>
      <c r="I719" s="131"/>
      <c r="J719" s="131"/>
      <c r="K719" s="131"/>
      <c r="L719" s="131"/>
      <c r="M719" s="131"/>
      <c r="N719" s="131"/>
      <c r="O719" s="131"/>
      <c r="P719" s="131"/>
      <c r="Q719" s="131"/>
      <c r="R719" s="131"/>
      <c r="S719" s="131"/>
      <c r="T719" s="131"/>
      <c r="U719" s="131"/>
      <c r="V719" s="131"/>
      <c r="W719" s="131"/>
      <c r="X719" s="131"/>
      <c r="Y719" s="131"/>
    </row>
    <row r="720">
      <c r="A720" s="131"/>
      <c r="B720" s="131"/>
      <c r="C720" s="131"/>
      <c r="D720" s="81"/>
      <c r="E720" s="81"/>
      <c r="F720" s="131"/>
      <c r="G720" s="131"/>
      <c r="H720" s="131"/>
      <c r="I720" s="131"/>
      <c r="J720" s="131"/>
      <c r="K720" s="131"/>
      <c r="L720" s="131"/>
      <c r="M720" s="131"/>
      <c r="N720" s="131"/>
      <c r="O720" s="131"/>
      <c r="P720" s="131"/>
      <c r="Q720" s="131"/>
      <c r="R720" s="131"/>
      <c r="S720" s="131"/>
      <c r="T720" s="131"/>
      <c r="U720" s="131"/>
      <c r="V720" s="131"/>
      <c r="W720" s="131"/>
      <c r="X720" s="131"/>
      <c r="Y720" s="131"/>
    </row>
    <row r="721">
      <c r="A721" s="131"/>
      <c r="B721" s="131"/>
      <c r="C721" s="131"/>
      <c r="D721" s="81"/>
      <c r="E721" s="81"/>
      <c r="F721" s="131"/>
      <c r="G721" s="131"/>
      <c r="H721" s="131"/>
      <c r="I721" s="131"/>
      <c r="J721" s="131"/>
      <c r="K721" s="131"/>
      <c r="L721" s="131"/>
      <c r="M721" s="131"/>
      <c r="N721" s="131"/>
      <c r="O721" s="131"/>
      <c r="P721" s="131"/>
      <c r="Q721" s="131"/>
      <c r="R721" s="131"/>
      <c r="S721" s="131"/>
      <c r="T721" s="131"/>
      <c r="U721" s="131"/>
      <c r="V721" s="131"/>
      <c r="W721" s="131"/>
      <c r="X721" s="131"/>
      <c r="Y721" s="131"/>
    </row>
    <row r="722">
      <c r="A722" s="131"/>
      <c r="B722" s="131"/>
      <c r="C722" s="131"/>
      <c r="D722" s="81"/>
      <c r="E722" s="81"/>
      <c r="F722" s="131"/>
      <c r="G722" s="131"/>
      <c r="H722" s="131"/>
      <c r="I722" s="131"/>
      <c r="J722" s="131"/>
      <c r="K722" s="131"/>
      <c r="L722" s="131"/>
      <c r="M722" s="131"/>
      <c r="N722" s="131"/>
      <c r="O722" s="131"/>
      <c r="P722" s="131"/>
      <c r="Q722" s="131"/>
      <c r="R722" s="131"/>
      <c r="S722" s="131"/>
      <c r="T722" s="131"/>
      <c r="U722" s="131"/>
      <c r="V722" s="131"/>
      <c r="W722" s="131"/>
      <c r="X722" s="131"/>
      <c r="Y722" s="131"/>
    </row>
    <row r="723">
      <c r="A723" s="131"/>
      <c r="B723" s="131"/>
      <c r="C723" s="131"/>
      <c r="D723" s="81"/>
      <c r="E723" s="81"/>
      <c r="F723" s="131"/>
      <c r="G723" s="131"/>
      <c r="H723" s="131"/>
      <c r="I723" s="131"/>
      <c r="J723" s="131"/>
      <c r="K723" s="131"/>
      <c r="L723" s="131"/>
      <c r="M723" s="131"/>
      <c r="N723" s="131"/>
      <c r="O723" s="131"/>
      <c r="P723" s="131"/>
      <c r="Q723" s="131"/>
      <c r="R723" s="131"/>
      <c r="S723" s="131"/>
      <c r="T723" s="131"/>
      <c r="U723" s="131"/>
      <c r="V723" s="131"/>
      <c r="W723" s="131"/>
      <c r="X723" s="131"/>
      <c r="Y723" s="131"/>
    </row>
    <row r="724">
      <c r="A724" s="131"/>
      <c r="B724" s="131"/>
      <c r="C724" s="131"/>
      <c r="D724" s="81"/>
      <c r="E724" s="81"/>
      <c r="F724" s="131"/>
      <c r="G724" s="131"/>
      <c r="H724" s="131"/>
      <c r="I724" s="131"/>
      <c r="J724" s="131"/>
      <c r="K724" s="131"/>
      <c r="L724" s="131"/>
      <c r="M724" s="131"/>
      <c r="N724" s="131"/>
      <c r="O724" s="131"/>
      <c r="P724" s="131"/>
      <c r="Q724" s="131"/>
      <c r="R724" s="131"/>
      <c r="S724" s="131"/>
      <c r="T724" s="131"/>
      <c r="U724" s="131"/>
      <c r="V724" s="131"/>
      <c r="W724" s="131"/>
      <c r="X724" s="131"/>
      <c r="Y724" s="131"/>
    </row>
    <row r="725">
      <c r="A725" s="131"/>
      <c r="B725" s="131"/>
      <c r="C725" s="131"/>
      <c r="D725" s="81"/>
      <c r="E725" s="81"/>
      <c r="F725" s="131"/>
      <c r="G725" s="131"/>
      <c r="H725" s="131"/>
      <c r="I725" s="131"/>
      <c r="J725" s="131"/>
      <c r="K725" s="131"/>
      <c r="L725" s="131"/>
      <c r="M725" s="131"/>
      <c r="N725" s="131"/>
      <c r="O725" s="131"/>
      <c r="P725" s="131"/>
      <c r="Q725" s="131"/>
      <c r="R725" s="131"/>
      <c r="S725" s="131"/>
      <c r="T725" s="131"/>
      <c r="U725" s="131"/>
      <c r="V725" s="131"/>
      <c r="W725" s="131"/>
      <c r="X725" s="131"/>
      <c r="Y725" s="131"/>
    </row>
    <row r="726">
      <c r="A726" s="131"/>
      <c r="B726" s="131"/>
      <c r="C726" s="131"/>
      <c r="D726" s="81"/>
      <c r="E726" s="81"/>
      <c r="F726" s="131"/>
      <c r="G726" s="131"/>
      <c r="H726" s="131"/>
      <c r="I726" s="131"/>
      <c r="J726" s="131"/>
      <c r="K726" s="131"/>
      <c r="L726" s="131"/>
      <c r="M726" s="131"/>
      <c r="N726" s="131"/>
      <c r="O726" s="131"/>
      <c r="P726" s="131"/>
      <c r="Q726" s="131"/>
      <c r="R726" s="131"/>
      <c r="S726" s="131"/>
      <c r="T726" s="131"/>
      <c r="U726" s="131"/>
      <c r="V726" s="131"/>
      <c r="W726" s="131"/>
      <c r="X726" s="131"/>
      <c r="Y726" s="131"/>
    </row>
    <row r="727">
      <c r="A727" s="131"/>
      <c r="B727" s="131"/>
      <c r="C727" s="131"/>
      <c r="D727" s="81"/>
      <c r="E727" s="81"/>
      <c r="F727" s="131"/>
      <c r="G727" s="131"/>
      <c r="H727" s="131"/>
      <c r="I727" s="131"/>
      <c r="J727" s="131"/>
      <c r="K727" s="131"/>
      <c r="L727" s="131"/>
      <c r="M727" s="131"/>
      <c r="N727" s="131"/>
      <c r="O727" s="131"/>
      <c r="P727" s="131"/>
      <c r="Q727" s="131"/>
      <c r="R727" s="131"/>
      <c r="S727" s="131"/>
      <c r="T727" s="131"/>
      <c r="U727" s="131"/>
      <c r="V727" s="131"/>
      <c r="W727" s="131"/>
      <c r="X727" s="131"/>
      <c r="Y727" s="131"/>
    </row>
    <row r="728">
      <c r="A728" s="131"/>
      <c r="B728" s="131"/>
      <c r="C728" s="131"/>
      <c r="D728" s="81"/>
      <c r="E728" s="81"/>
      <c r="F728" s="131"/>
      <c r="G728" s="131"/>
      <c r="H728" s="131"/>
      <c r="I728" s="131"/>
      <c r="J728" s="131"/>
      <c r="K728" s="131"/>
      <c r="L728" s="131"/>
      <c r="M728" s="131"/>
      <c r="N728" s="131"/>
      <c r="O728" s="131"/>
      <c r="P728" s="131"/>
      <c r="Q728" s="131"/>
      <c r="R728" s="131"/>
      <c r="S728" s="131"/>
      <c r="T728" s="131"/>
      <c r="U728" s="131"/>
      <c r="V728" s="131"/>
      <c r="W728" s="131"/>
      <c r="X728" s="131"/>
      <c r="Y728" s="131"/>
    </row>
    <row r="729">
      <c r="A729" s="131"/>
      <c r="B729" s="131"/>
      <c r="C729" s="131"/>
      <c r="D729" s="81"/>
      <c r="E729" s="81"/>
      <c r="F729" s="131"/>
      <c r="G729" s="131"/>
      <c r="H729" s="131"/>
      <c r="I729" s="131"/>
      <c r="J729" s="131"/>
      <c r="K729" s="131"/>
      <c r="L729" s="131"/>
      <c r="M729" s="131"/>
      <c r="N729" s="131"/>
      <c r="O729" s="131"/>
      <c r="P729" s="131"/>
      <c r="Q729" s="131"/>
      <c r="R729" s="131"/>
      <c r="S729" s="131"/>
      <c r="T729" s="131"/>
      <c r="U729" s="131"/>
      <c r="V729" s="131"/>
      <c r="W729" s="131"/>
      <c r="X729" s="131"/>
      <c r="Y729" s="131"/>
    </row>
    <row r="730">
      <c r="A730" s="131"/>
      <c r="B730" s="131"/>
      <c r="C730" s="131"/>
      <c r="D730" s="81"/>
      <c r="E730" s="81"/>
      <c r="F730" s="131"/>
      <c r="G730" s="131"/>
      <c r="H730" s="131"/>
      <c r="I730" s="131"/>
      <c r="J730" s="131"/>
      <c r="K730" s="131"/>
      <c r="L730" s="131"/>
      <c r="M730" s="131"/>
      <c r="N730" s="131"/>
      <c r="O730" s="131"/>
      <c r="P730" s="131"/>
      <c r="Q730" s="131"/>
      <c r="R730" s="131"/>
      <c r="S730" s="131"/>
      <c r="T730" s="131"/>
      <c r="U730" s="131"/>
      <c r="V730" s="131"/>
      <c r="W730" s="131"/>
      <c r="X730" s="131"/>
      <c r="Y730" s="131"/>
    </row>
    <row r="731">
      <c r="A731" s="131"/>
      <c r="B731" s="131"/>
      <c r="C731" s="131"/>
      <c r="D731" s="81"/>
      <c r="E731" s="81"/>
      <c r="F731" s="131"/>
      <c r="G731" s="131"/>
      <c r="H731" s="131"/>
      <c r="I731" s="131"/>
      <c r="J731" s="131"/>
      <c r="K731" s="131"/>
      <c r="L731" s="131"/>
      <c r="M731" s="131"/>
      <c r="N731" s="131"/>
      <c r="O731" s="131"/>
      <c r="P731" s="131"/>
      <c r="Q731" s="131"/>
      <c r="R731" s="131"/>
      <c r="S731" s="131"/>
      <c r="T731" s="131"/>
      <c r="U731" s="131"/>
      <c r="V731" s="131"/>
      <c r="W731" s="131"/>
      <c r="X731" s="131"/>
      <c r="Y731" s="131"/>
    </row>
    <row r="732">
      <c r="A732" s="131"/>
      <c r="B732" s="131"/>
      <c r="C732" s="131"/>
      <c r="D732" s="81"/>
      <c r="E732" s="81"/>
      <c r="F732" s="131"/>
      <c r="G732" s="131"/>
      <c r="H732" s="131"/>
      <c r="I732" s="131"/>
      <c r="J732" s="131"/>
      <c r="K732" s="131"/>
      <c r="L732" s="131"/>
      <c r="M732" s="131"/>
      <c r="N732" s="131"/>
      <c r="O732" s="131"/>
      <c r="P732" s="131"/>
      <c r="Q732" s="131"/>
      <c r="R732" s="131"/>
      <c r="S732" s="131"/>
      <c r="T732" s="131"/>
      <c r="U732" s="131"/>
      <c r="V732" s="131"/>
      <c r="W732" s="131"/>
      <c r="X732" s="131"/>
      <c r="Y732" s="131"/>
    </row>
    <row r="733">
      <c r="A733" s="131"/>
      <c r="B733" s="131"/>
      <c r="C733" s="131"/>
      <c r="D733" s="81"/>
      <c r="E733" s="81"/>
      <c r="F733" s="131"/>
      <c r="G733" s="131"/>
      <c r="H733" s="131"/>
      <c r="I733" s="131"/>
      <c r="J733" s="131"/>
      <c r="K733" s="131"/>
      <c r="L733" s="131"/>
      <c r="M733" s="131"/>
      <c r="N733" s="131"/>
      <c r="O733" s="131"/>
      <c r="P733" s="131"/>
      <c r="Q733" s="131"/>
      <c r="R733" s="131"/>
      <c r="S733" s="131"/>
      <c r="T733" s="131"/>
      <c r="U733" s="131"/>
      <c r="V733" s="131"/>
      <c r="W733" s="131"/>
      <c r="X733" s="131"/>
      <c r="Y733" s="131"/>
    </row>
    <row r="734">
      <c r="A734" s="131"/>
      <c r="B734" s="131"/>
      <c r="C734" s="131"/>
      <c r="D734" s="81"/>
      <c r="E734" s="81"/>
      <c r="F734" s="131"/>
      <c r="G734" s="131"/>
      <c r="H734" s="131"/>
      <c r="I734" s="131"/>
      <c r="J734" s="131"/>
      <c r="K734" s="131"/>
      <c r="L734" s="131"/>
      <c r="M734" s="131"/>
      <c r="N734" s="131"/>
      <c r="O734" s="131"/>
      <c r="P734" s="131"/>
      <c r="Q734" s="131"/>
      <c r="R734" s="131"/>
      <c r="S734" s="131"/>
      <c r="T734" s="131"/>
      <c r="U734" s="131"/>
      <c r="V734" s="131"/>
      <c r="W734" s="131"/>
      <c r="X734" s="131"/>
      <c r="Y734" s="131"/>
    </row>
    <row r="735">
      <c r="A735" s="131"/>
      <c r="B735" s="131"/>
      <c r="C735" s="131"/>
      <c r="D735" s="81"/>
      <c r="E735" s="81"/>
      <c r="F735" s="131"/>
      <c r="G735" s="131"/>
      <c r="H735" s="131"/>
      <c r="I735" s="131"/>
      <c r="J735" s="131"/>
      <c r="K735" s="131"/>
      <c r="L735" s="131"/>
      <c r="M735" s="131"/>
      <c r="N735" s="131"/>
      <c r="O735" s="131"/>
      <c r="P735" s="131"/>
      <c r="Q735" s="131"/>
      <c r="R735" s="131"/>
      <c r="S735" s="131"/>
      <c r="T735" s="131"/>
      <c r="U735" s="131"/>
      <c r="V735" s="131"/>
      <c r="W735" s="131"/>
      <c r="X735" s="131"/>
      <c r="Y735" s="131"/>
    </row>
    <row r="736">
      <c r="A736" s="131"/>
      <c r="B736" s="131"/>
      <c r="C736" s="131"/>
      <c r="D736" s="81"/>
      <c r="E736" s="81"/>
      <c r="F736" s="131"/>
      <c r="G736" s="131"/>
      <c r="H736" s="131"/>
      <c r="I736" s="131"/>
      <c r="J736" s="131"/>
      <c r="K736" s="131"/>
      <c r="L736" s="131"/>
      <c r="M736" s="131"/>
      <c r="N736" s="131"/>
      <c r="O736" s="131"/>
      <c r="P736" s="131"/>
      <c r="Q736" s="131"/>
      <c r="R736" s="131"/>
      <c r="S736" s="131"/>
      <c r="T736" s="131"/>
      <c r="U736" s="131"/>
      <c r="V736" s="131"/>
      <c r="W736" s="131"/>
      <c r="X736" s="131"/>
      <c r="Y736" s="131"/>
    </row>
    <row r="737">
      <c r="A737" s="131"/>
      <c r="B737" s="131"/>
      <c r="C737" s="131"/>
      <c r="D737" s="81"/>
      <c r="E737" s="81"/>
      <c r="F737" s="131"/>
      <c r="G737" s="131"/>
      <c r="H737" s="131"/>
      <c r="I737" s="131"/>
      <c r="J737" s="131"/>
      <c r="K737" s="131"/>
      <c r="L737" s="131"/>
      <c r="M737" s="131"/>
      <c r="N737" s="131"/>
      <c r="O737" s="131"/>
      <c r="P737" s="131"/>
      <c r="Q737" s="131"/>
      <c r="R737" s="131"/>
      <c r="S737" s="131"/>
      <c r="T737" s="131"/>
      <c r="U737" s="131"/>
      <c r="V737" s="131"/>
      <c r="W737" s="131"/>
      <c r="X737" s="131"/>
      <c r="Y737" s="131"/>
    </row>
    <row r="738">
      <c r="A738" s="131"/>
      <c r="B738" s="131"/>
      <c r="C738" s="131"/>
      <c r="D738" s="81"/>
      <c r="E738" s="81"/>
      <c r="F738" s="131"/>
      <c r="G738" s="131"/>
      <c r="H738" s="131"/>
      <c r="I738" s="131"/>
      <c r="J738" s="131"/>
      <c r="K738" s="131"/>
      <c r="L738" s="131"/>
      <c r="M738" s="131"/>
      <c r="N738" s="131"/>
      <c r="O738" s="131"/>
      <c r="P738" s="131"/>
      <c r="Q738" s="131"/>
      <c r="R738" s="131"/>
      <c r="S738" s="131"/>
      <c r="T738" s="131"/>
      <c r="U738" s="131"/>
      <c r="V738" s="131"/>
      <c r="W738" s="131"/>
      <c r="X738" s="131"/>
      <c r="Y738" s="131"/>
    </row>
    <row r="739">
      <c r="A739" s="131"/>
      <c r="B739" s="131"/>
      <c r="C739" s="131"/>
      <c r="D739" s="81"/>
      <c r="E739" s="81"/>
      <c r="F739" s="131"/>
      <c r="G739" s="131"/>
      <c r="H739" s="131"/>
      <c r="I739" s="131"/>
      <c r="J739" s="131"/>
      <c r="K739" s="131"/>
      <c r="L739" s="131"/>
      <c r="M739" s="131"/>
      <c r="N739" s="131"/>
      <c r="O739" s="131"/>
      <c r="P739" s="131"/>
      <c r="Q739" s="131"/>
      <c r="R739" s="131"/>
      <c r="S739" s="131"/>
      <c r="T739" s="131"/>
      <c r="U739" s="131"/>
      <c r="V739" s="131"/>
      <c r="W739" s="131"/>
      <c r="X739" s="131"/>
      <c r="Y739" s="131"/>
    </row>
    <row r="740">
      <c r="A740" s="131"/>
      <c r="B740" s="131"/>
      <c r="C740" s="131"/>
      <c r="D740" s="81"/>
      <c r="E740" s="81"/>
      <c r="F740" s="131"/>
      <c r="G740" s="131"/>
      <c r="H740" s="131"/>
      <c r="I740" s="131"/>
      <c r="J740" s="131"/>
      <c r="K740" s="131"/>
      <c r="L740" s="131"/>
      <c r="M740" s="131"/>
      <c r="N740" s="131"/>
      <c r="O740" s="131"/>
      <c r="P740" s="131"/>
      <c r="Q740" s="131"/>
      <c r="R740" s="131"/>
      <c r="S740" s="131"/>
      <c r="T740" s="131"/>
      <c r="U740" s="131"/>
      <c r="V740" s="131"/>
      <c r="W740" s="131"/>
      <c r="X740" s="131"/>
      <c r="Y740" s="131"/>
    </row>
    <row r="741">
      <c r="A741" s="131"/>
      <c r="B741" s="131"/>
      <c r="C741" s="131"/>
      <c r="D741" s="81"/>
      <c r="E741" s="81"/>
      <c r="F741" s="131"/>
      <c r="G741" s="131"/>
      <c r="H741" s="131"/>
      <c r="I741" s="131"/>
      <c r="J741" s="131"/>
      <c r="K741" s="131"/>
      <c r="L741" s="131"/>
      <c r="M741" s="131"/>
      <c r="N741" s="131"/>
      <c r="O741" s="131"/>
      <c r="P741" s="131"/>
      <c r="Q741" s="131"/>
      <c r="R741" s="131"/>
      <c r="S741" s="131"/>
      <c r="T741" s="131"/>
      <c r="U741" s="131"/>
      <c r="V741" s="131"/>
      <c r="W741" s="131"/>
      <c r="X741" s="131"/>
      <c r="Y741" s="131"/>
    </row>
    <row r="742">
      <c r="A742" s="131"/>
      <c r="B742" s="131"/>
      <c r="C742" s="131"/>
      <c r="D742" s="81"/>
      <c r="E742" s="81"/>
      <c r="F742" s="131"/>
      <c r="G742" s="131"/>
      <c r="H742" s="131"/>
      <c r="I742" s="131"/>
      <c r="J742" s="131"/>
      <c r="K742" s="131"/>
      <c r="L742" s="131"/>
      <c r="M742" s="131"/>
      <c r="N742" s="131"/>
      <c r="O742" s="131"/>
      <c r="P742" s="131"/>
      <c r="Q742" s="131"/>
      <c r="R742" s="131"/>
      <c r="S742" s="131"/>
      <c r="T742" s="131"/>
      <c r="U742" s="131"/>
      <c r="V742" s="131"/>
      <c r="W742" s="131"/>
      <c r="X742" s="131"/>
      <c r="Y742" s="131"/>
    </row>
    <row r="743">
      <c r="A743" s="131"/>
      <c r="B743" s="131"/>
      <c r="C743" s="131"/>
      <c r="D743" s="81"/>
      <c r="E743" s="81"/>
      <c r="F743" s="131"/>
      <c r="G743" s="131"/>
      <c r="H743" s="131"/>
      <c r="I743" s="131"/>
      <c r="J743" s="131"/>
      <c r="K743" s="131"/>
      <c r="L743" s="131"/>
      <c r="M743" s="131"/>
      <c r="N743" s="131"/>
      <c r="O743" s="131"/>
      <c r="P743" s="131"/>
      <c r="Q743" s="131"/>
      <c r="R743" s="131"/>
      <c r="S743" s="131"/>
      <c r="T743" s="131"/>
      <c r="U743" s="131"/>
      <c r="V743" s="131"/>
      <c r="W743" s="131"/>
      <c r="X743" s="131"/>
      <c r="Y743" s="131"/>
    </row>
    <row r="744">
      <c r="A744" s="131"/>
      <c r="B744" s="131"/>
      <c r="C744" s="131"/>
      <c r="D744" s="81"/>
      <c r="E744" s="81"/>
      <c r="F744" s="131"/>
      <c r="G744" s="131"/>
      <c r="H744" s="131"/>
      <c r="I744" s="131"/>
      <c r="J744" s="131"/>
      <c r="K744" s="131"/>
      <c r="L744" s="131"/>
      <c r="M744" s="131"/>
      <c r="N744" s="131"/>
      <c r="O744" s="131"/>
      <c r="P744" s="131"/>
      <c r="Q744" s="131"/>
      <c r="R744" s="131"/>
      <c r="S744" s="131"/>
      <c r="T744" s="131"/>
      <c r="U744" s="131"/>
      <c r="V744" s="131"/>
      <c r="W744" s="131"/>
      <c r="X744" s="131"/>
      <c r="Y744" s="131"/>
    </row>
    <row r="745">
      <c r="A745" s="131"/>
      <c r="B745" s="131"/>
      <c r="C745" s="131"/>
      <c r="D745" s="81"/>
      <c r="E745" s="81"/>
      <c r="F745" s="131"/>
      <c r="G745" s="131"/>
      <c r="H745" s="131"/>
      <c r="I745" s="131"/>
      <c r="J745" s="131"/>
      <c r="K745" s="131"/>
      <c r="L745" s="131"/>
      <c r="M745" s="131"/>
      <c r="N745" s="131"/>
      <c r="O745" s="131"/>
      <c r="P745" s="131"/>
      <c r="Q745" s="131"/>
      <c r="R745" s="131"/>
      <c r="S745" s="131"/>
      <c r="T745" s="131"/>
      <c r="U745" s="131"/>
      <c r="V745" s="131"/>
      <c r="W745" s="131"/>
      <c r="X745" s="131"/>
      <c r="Y745" s="131"/>
    </row>
    <row r="746">
      <c r="A746" s="131"/>
      <c r="B746" s="131"/>
      <c r="C746" s="131"/>
      <c r="D746" s="81"/>
      <c r="E746" s="81"/>
      <c r="F746" s="131"/>
      <c r="G746" s="131"/>
      <c r="H746" s="131"/>
      <c r="I746" s="131"/>
      <c r="J746" s="131"/>
      <c r="K746" s="131"/>
      <c r="L746" s="131"/>
      <c r="M746" s="131"/>
      <c r="N746" s="131"/>
      <c r="O746" s="131"/>
      <c r="P746" s="131"/>
      <c r="Q746" s="131"/>
      <c r="R746" s="131"/>
      <c r="S746" s="131"/>
      <c r="T746" s="131"/>
      <c r="U746" s="131"/>
      <c r="V746" s="131"/>
      <c r="W746" s="131"/>
      <c r="X746" s="131"/>
      <c r="Y746" s="131"/>
    </row>
    <row r="747">
      <c r="A747" s="131"/>
      <c r="B747" s="131"/>
      <c r="C747" s="131"/>
      <c r="D747" s="81"/>
      <c r="E747" s="81"/>
      <c r="F747" s="131"/>
      <c r="G747" s="131"/>
      <c r="H747" s="131"/>
      <c r="I747" s="131"/>
      <c r="J747" s="131"/>
      <c r="K747" s="131"/>
      <c r="L747" s="131"/>
      <c r="M747" s="131"/>
      <c r="N747" s="131"/>
      <c r="O747" s="131"/>
      <c r="P747" s="131"/>
      <c r="Q747" s="131"/>
      <c r="R747" s="131"/>
      <c r="S747" s="131"/>
      <c r="T747" s="131"/>
      <c r="U747" s="131"/>
      <c r="V747" s="131"/>
      <c r="W747" s="131"/>
      <c r="X747" s="131"/>
      <c r="Y747" s="131"/>
    </row>
    <row r="748">
      <c r="A748" s="131"/>
      <c r="B748" s="131"/>
      <c r="C748" s="131"/>
      <c r="D748" s="81"/>
      <c r="E748" s="81"/>
      <c r="F748" s="131"/>
      <c r="G748" s="131"/>
      <c r="H748" s="131"/>
      <c r="I748" s="131"/>
      <c r="J748" s="131"/>
      <c r="K748" s="131"/>
      <c r="L748" s="131"/>
      <c r="M748" s="131"/>
      <c r="N748" s="131"/>
      <c r="O748" s="131"/>
      <c r="P748" s="131"/>
      <c r="Q748" s="131"/>
      <c r="R748" s="131"/>
      <c r="S748" s="131"/>
      <c r="T748" s="131"/>
      <c r="U748" s="131"/>
      <c r="V748" s="131"/>
      <c r="W748" s="131"/>
      <c r="X748" s="131"/>
      <c r="Y748" s="131"/>
    </row>
    <row r="749">
      <c r="A749" s="131"/>
      <c r="B749" s="131"/>
      <c r="C749" s="131"/>
      <c r="D749" s="81"/>
      <c r="E749" s="81"/>
      <c r="F749" s="131"/>
      <c r="G749" s="131"/>
      <c r="H749" s="131"/>
      <c r="I749" s="131"/>
      <c r="J749" s="131"/>
      <c r="K749" s="131"/>
      <c r="L749" s="131"/>
      <c r="M749" s="131"/>
      <c r="N749" s="131"/>
      <c r="O749" s="131"/>
      <c r="P749" s="131"/>
      <c r="Q749" s="131"/>
      <c r="R749" s="131"/>
      <c r="S749" s="131"/>
      <c r="T749" s="131"/>
      <c r="U749" s="131"/>
      <c r="V749" s="131"/>
      <c r="W749" s="131"/>
      <c r="X749" s="131"/>
      <c r="Y749" s="131"/>
    </row>
    <row r="750">
      <c r="A750" s="131"/>
      <c r="B750" s="131"/>
      <c r="C750" s="131"/>
      <c r="D750" s="81"/>
      <c r="E750" s="81"/>
      <c r="F750" s="131"/>
      <c r="G750" s="131"/>
      <c r="H750" s="131"/>
      <c r="I750" s="131"/>
      <c r="J750" s="131"/>
      <c r="K750" s="131"/>
      <c r="L750" s="131"/>
      <c r="M750" s="131"/>
      <c r="N750" s="131"/>
      <c r="O750" s="131"/>
      <c r="P750" s="131"/>
      <c r="Q750" s="131"/>
      <c r="R750" s="131"/>
      <c r="S750" s="131"/>
      <c r="T750" s="131"/>
      <c r="U750" s="131"/>
      <c r="V750" s="131"/>
      <c r="W750" s="131"/>
      <c r="X750" s="131"/>
      <c r="Y750" s="131"/>
    </row>
    <row r="751">
      <c r="A751" s="131"/>
      <c r="B751" s="131"/>
      <c r="C751" s="131"/>
      <c r="D751" s="81"/>
      <c r="E751" s="81"/>
      <c r="F751" s="131"/>
      <c r="G751" s="131"/>
      <c r="H751" s="131"/>
      <c r="I751" s="131"/>
      <c r="J751" s="131"/>
      <c r="K751" s="131"/>
      <c r="L751" s="131"/>
      <c r="M751" s="131"/>
      <c r="N751" s="131"/>
      <c r="O751" s="131"/>
      <c r="P751" s="131"/>
      <c r="Q751" s="131"/>
      <c r="R751" s="131"/>
      <c r="S751" s="131"/>
      <c r="T751" s="131"/>
      <c r="U751" s="131"/>
      <c r="V751" s="131"/>
      <c r="W751" s="131"/>
      <c r="X751" s="131"/>
      <c r="Y751" s="131"/>
    </row>
    <row r="752">
      <c r="A752" s="131"/>
      <c r="B752" s="131"/>
      <c r="C752" s="131"/>
      <c r="D752" s="81"/>
      <c r="E752" s="81"/>
      <c r="F752" s="131"/>
      <c r="G752" s="131"/>
      <c r="H752" s="131"/>
      <c r="I752" s="131"/>
      <c r="J752" s="131"/>
      <c r="K752" s="131"/>
      <c r="L752" s="131"/>
      <c r="M752" s="131"/>
      <c r="N752" s="131"/>
      <c r="O752" s="131"/>
      <c r="P752" s="131"/>
      <c r="Q752" s="131"/>
      <c r="R752" s="131"/>
      <c r="S752" s="131"/>
      <c r="T752" s="131"/>
      <c r="U752" s="131"/>
      <c r="V752" s="131"/>
      <c r="W752" s="131"/>
      <c r="X752" s="131"/>
      <c r="Y752" s="131"/>
    </row>
    <row r="753">
      <c r="A753" s="131"/>
      <c r="B753" s="131"/>
      <c r="C753" s="131"/>
      <c r="D753" s="81"/>
      <c r="E753" s="81"/>
      <c r="F753" s="131"/>
      <c r="G753" s="131"/>
      <c r="H753" s="131"/>
      <c r="I753" s="131"/>
      <c r="J753" s="131"/>
      <c r="K753" s="131"/>
      <c r="L753" s="131"/>
      <c r="M753" s="131"/>
      <c r="N753" s="131"/>
      <c r="O753" s="131"/>
      <c r="P753" s="131"/>
      <c r="Q753" s="131"/>
      <c r="R753" s="131"/>
      <c r="S753" s="131"/>
      <c r="T753" s="131"/>
      <c r="U753" s="131"/>
      <c r="V753" s="131"/>
      <c r="W753" s="131"/>
      <c r="X753" s="131"/>
      <c r="Y753" s="131"/>
    </row>
    <row r="754">
      <c r="A754" s="131"/>
      <c r="B754" s="131"/>
      <c r="C754" s="131"/>
      <c r="D754" s="81"/>
      <c r="E754" s="81"/>
      <c r="F754" s="131"/>
      <c r="G754" s="131"/>
      <c r="H754" s="131"/>
      <c r="I754" s="131"/>
      <c r="J754" s="131"/>
      <c r="K754" s="131"/>
      <c r="L754" s="131"/>
      <c r="M754" s="131"/>
      <c r="N754" s="131"/>
      <c r="O754" s="131"/>
      <c r="P754" s="131"/>
      <c r="Q754" s="131"/>
      <c r="R754" s="131"/>
      <c r="S754" s="131"/>
      <c r="T754" s="131"/>
      <c r="U754" s="131"/>
      <c r="V754" s="131"/>
      <c r="W754" s="131"/>
      <c r="X754" s="131"/>
      <c r="Y754" s="131"/>
    </row>
    <row r="755">
      <c r="A755" s="131"/>
      <c r="B755" s="131"/>
      <c r="C755" s="131"/>
      <c r="D755" s="81"/>
      <c r="E755" s="81"/>
      <c r="F755" s="131"/>
      <c r="G755" s="131"/>
      <c r="H755" s="131"/>
      <c r="I755" s="131"/>
      <c r="J755" s="131"/>
      <c r="K755" s="131"/>
      <c r="L755" s="131"/>
      <c r="M755" s="131"/>
      <c r="N755" s="131"/>
      <c r="O755" s="131"/>
      <c r="P755" s="131"/>
      <c r="Q755" s="131"/>
      <c r="R755" s="131"/>
      <c r="S755" s="131"/>
      <c r="T755" s="131"/>
      <c r="U755" s="131"/>
      <c r="V755" s="131"/>
      <c r="W755" s="131"/>
      <c r="X755" s="131"/>
      <c r="Y755" s="131"/>
    </row>
    <row r="756">
      <c r="A756" s="131"/>
      <c r="B756" s="131"/>
      <c r="C756" s="131"/>
      <c r="D756" s="81"/>
      <c r="E756" s="81"/>
      <c r="F756" s="131"/>
      <c r="G756" s="131"/>
      <c r="H756" s="131"/>
      <c r="I756" s="131"/>
      <c r="J756" s="131"/>
      <c r="K756" s="131"/>
      <c r="L756" s="131"/>
      <c r="M756" s="131"/>
      <c r="N756" s="131"/>
      <c r="O756" s="131"/>
      <c r="P756" s="131"/>
      <c r="Q756" s="131"/>
      <c r="R756" s="131"/>
      <c r="S756" s="131"/>
      <c r="T756" s="131"/>
      <c r="U756" s="131"/>
      <c r="V756" s="131"/>
      <c r="W756" s="131"/>
      <c r="X756" s="131"/>
      <c r="Y756" s="131"/>
    </row>
    <row r="757">
      <c r="A757" s="131"/>
      <c r="B757" s="131"/>
      <c r="C757" s="131"/>
      <c r="D757" s="81"/>
      <c r="E757" s="81"/>
      <c r="F757" s="131"/>
      <c r="G757" s="131"/>
      <c r="H757" s="131"/>
      <c r="I757" s="131"/>
      <c r="J757" s="131"/>
      <c r="K757" s="131"/>
      <c r="L757" s="131"/>
      <c r="M757" s="131"/>
      <c r="N757" s="131"/>
      <c r="O757" s="131"/>
      <c r="P757" s="131"/>
      <c r="Q757" s="131"/>
      <c r="R757" s="131"/>
      <c r="S757" s="131"/>
      <c r="T757" s="131"/>
      <c r="U757" s="131"/>
      <c r="V757" s="131"/>
      <c r="W757" s="131"/>
      <c r="X757" s="131"/>
      <c r="Y757" s="131"/>
    </row>
    <row r="758">
      <c r="A758" s="131"/>
      <c r="B758" s="131"/>
      <c r="C758" s="131"/>
      <c r="D758" s="81"/>
      <c r="E758" s="81"/>
      <c r="F758" s="131"/>
      <c r="G758" s="131"/>
      <c r="H758" s="131"/>
      <c r="I758" s="131"/>
      <c r="J758" s="131"/>
      <c r="K758" s="131"/>
      <c r="L758" s="131"/>
      <c r="M758" s="131"/>
      <c r="N758" s="131"/>
      <c r="O758" s="131"/>
      <c r="P758" s="131"/>
      <c r="Q758" s="131"/>
      <c r="R758" s="131"/>
      <c r="S758" s="131"/>
      <c r="T758" s="131"/>
      <c r="U758" s="131"/>
      <c r="V758" s="131"/>
      <c r="W758" s="131"/>
      <c r="X758" s="131"/>
      <c r="Y758" s="131"/>
    </row>
    <row r="759">
      <c r="A759" s="131"/>
      <c r="B759" s="131"/>
      <c r="C759" s="131"/>
      <c r="D759" s="81"/>
      <c r="E759" s="81"/>
      <c r="F759" s="131"/>
      <c r="G759" s="131"/>
      <c r="H759" s="131"/>
      <c r="I759" s="131"/>
      <c r="J759" s="131"/>
      <c r="K759" s="131"/>
      <c r="L759" s="131"/>
      <c r="M759" s="131"/>
      <c r="N759" s="131"/>
      <c r="O759" s="131"/>
      <c r="P759" s="131"/>
      <c r="Q759" s="131"/>
      <c r="R759" s="131"/>
      <c r="S759" s="131"/>
      <c r="T759" s="131"/>
      <c r="U759" s="131"/>
      <c r="V759" s="131"/>
      <c r="W759" s="131"/>
      <c r="X759" s="131"/>
      <c r="Y759" s="131"/>
    </row>
    <row r="760">
      <c r="A760" s="131"/>
      <c r="B760" s="131"/>
      <c r="C760" s="131"/>
      <c r="D760" s="81"/>
      <c r="E760" s="81"/>
      <c r="F760" s="131"/>
      <c r="G760" s="131"/>
      <c r="H760" s="131"/>
      <c r="I760" s="131"/>
      <c r="J760" s="131"/>
      <c r="K760" s="131"/>
      <c r="L760" s="131"/>
      <c r="M760" s="131"/>
      <c r="N760" s="131"/>
      <c r="O760" s="131"/>
      <c r="P760" s="131"/>
      <c r="Q760" s="131"/>
      <c r="R760" s="131"/>
      <c r="S760" s="131"/>
      <c r="T760" s="131"/>
      <c r="U760" s="131"/>
      <c r="V760" s="131"/>
      <c r="W760" s="131"/>
      <c r="X760" s="131"/>
      <c r="Y760" s="131"/>
    </row>
    <row r="761">
      <c r="A761" s="131"/>
      <c r="B761" s="131"/>
      <c r="C761" s="131"/>
      <c r="D761" s="81"/>
      <c r="E761" s="81"/>
      <c r="F761" s="131"/>
      <c r="G761" s="131"/>
      <c r="H761" s="131"/>
      <c r="I761" s="131"/>
      <c r="J761" s="131"/>
      <c r="K761" s="131"/>
      <c r="L761" s="131"/>
      <c r="M761" s="131"/>
      <c r="N761" s="131"/>
      <c r="O761" s="131"/>
      <c r="P761" s="131"/>
      <c r="Q761" s="131"/>
      <c r="R761" s="131"/>
      <c r="S761" s="131"/>
      <c r="T761" s="131"/>
      <c r="U761" s="131"/>
      <c r="V761" s="131"/>
      <c r="W761" s="131"/>
      <c r="X761" s="131"/>
      <c r="Y761" s="131"/>
    </row>
    <row r="762">
      <c r="A762" s="131"/>
      <c r="B762" s="131"/>
      <c r="C762" s="131"/>
      <c r="D762" s="81"/>
      <c r="E762" s="81"/>
      <c r="F762" s="131"/>
      <c r="G762" s="131"/>
      <c r="H762" s="131"/>
      <c r="I762" s="131"/>
      <c r="J762" s="131"/>
      <c r="K762" s="131"/>
      <c r="L762" s="131"/>
      <c r="M762" s="131"/>
      <c r="N762" s="131"/>
      <c r="O762" s="131"/>
      <c r="P762" s="131"/>
      <c r="Q762" s="131"/>
      <c r="R762" s="131"/>
      <c r="S762" s="131"/>
      <c r="T762" s="131"/>
      <c r="U762" s="131"/>
      <c r="V762" s="131"/>
      <c r="W762" s="131"/>
      <c r="X762" s="131"/>
      <c r="Y762" s="131"/>
    </row>
    <row r="763">
      <c r="A763" s="131"/>
      <c r="B763" s="131"/>
      <c r="C763" s="131"/>
      <c r="D763" s="81"/>
      <c r="E763" s="81"/>
      <c r="F763" s="131"/>
      <c r="G763" s="131"/>
      <c r="H763" s="131"/>
      <c r="I763" s="131"/>
      <c r="J763" s="131"/>
      <c r="K763" s="131"/>
      <c r="L763" s="131"/>
      <c r="M763" s="131"/>
      <c r="N763" s="131"/>
      <c r="O763" s="131"/>
      <c r="P763" s="131"/>
      <c r="Q763" s="131"/>
      <c r="R763" s="131"/>
      <c r="S763" s="131"/>
      <c r="T763" s="131"/>
      <c r="U763" s="131"/>
      <c r="V763" s="131"/>
      <c r="W763" s="131"/>
      <c r="X763" s="131"/>
      <c r="Y763" s="131"/>
    </row>
    <row r="764">
      <c r="A764" s="131"/>
      <c r="B764" s="131"/>
      <c r="C764" s="131"/>
      <c r="D764" s="81"/>
      <c r="E764" s="81"/>
      <c r="F764" s="131"/>
      <c r="G764" s="131"/>
      <c r="H764" s="131"/>
      <c r="I764" s="131"/>
      <c r="J764" s="131"/>
      <c r="K764" s="131"/>
      <c r="L764" s="131"/>
      <c r="M764" s="131"/>
      <c r="N764" s="131"/>
      <c r="O764" s="131"/>
      <c r="P764" s="131"/>
      <c r="Q764" s="131"/>
      <c r="R764" s="131"/>
      <c r="S764" s="131"/>
      <c r="T764" s="131"/>
      <c r="U764" s="131"/>
      <c r="V764" s="131"/>
      <c r="W764" s="131"/>
      <c r="X764" s="131"/>
      <c r="Y764" s="131"/>
    </row>
    <row r="765">
      <c r="A765" s="131"/>
      <c r="B765" s="131"/>
      <c r="C765" s="131"/>
      <c r="D765" s="81"/>
      <c r="E765" s="81"/>
      <c r="F765" s="131"/>
      <c r="G765" s="131"/>
      <c r="H765" s="131"/>
      <c r="I765" s="131"/>
      <c r="J765" s="131"/>
      <c r="K765" s="131"/>
      <c r="L765" s="131"/>
      <c r="M765" s="131"/>
      <c r="N765" s="131"/>
      <c r="O765" s="131"/>
      <c r="P765" s="131"/>
      <c r="Q765" s="131"/>
      <c r="R765" s="131"/>
      <c r="S765" s="131"/>
      <c r="T765" s="131"/>
      <c r="U765" s="131"/>
      <c r="V765" s="131"/>
      <c r="W765" s="131"/>
      <c r="X765" s="131"/>
      <c r="Y765" s="131"/>
    </row>
    <row r="766">
      <c r="A766" s="131"/>
      <c r="B766" s="131"/>
      <c r="C766" s="131"/>
      <c r="D766" s="81"/>
      <c r="E766" s="81"/>
      <c r="F766" s="131"/>
      <c r="G766" s="131"/>
      <c r="H766" s="131"/>
      <c r="I766" s="131"/>
      <c r="J766" s="131"/>
      <c r="K766" s="131"/>
      <c r="L766" s="131"/>
      <c r="M766" s="131"/>
      <c r="N766" s="131"/>
      <c r="O766" s="131"/>
      <c r="P766" s="131"/>
      <c r="Q766" s="131"/>
      <c r="R766" s="131"/>
      <c r="S766" s="131"/>
      <c r="T766" s="131"/>
      <c r="U766" s="131"/>
      <c r="V766" s="131"/>
      <c r="W766" s="131"/>
      <c r="X766" s="131"/>
      <c r="Y766" s="131"/>
    </row>
    <row r="767">
      <c r="A767" s="131"/>
      <c r="B767" s="131"/>
      <c r="C767" s="131"/>
      <c r="D767" s="81"/>
      <c r="E767" s="81"/>
      <c r="F767" s="131"/>
      <c r="G767" s="131"/>
      <c r="H767" s="131"/>
      <c r="I767" s="131"/>
      <c r="J767" s="131"/>
      <c r="K767" s="131"/>
      <c r="L767" s="131"/>
      <c r="M767" s="131"/>
      <c r="N767" s="131"/>
      <c r="O767" s="131"/>
      <c r="P767" s="131"/>
      <c r="Q767" s="131"/>
      <c r="R767" s="131"/>
      <c r="S767" s="131"/>
      <c r="T767" s="131"/>
      <c r="U767" s="131"/>
      <c r="V767" s="131"/>
      <c r="W767" s="131"/>
      <c r="X767" s="131"/>
      <c r="Y767" s="131"/>
    </row>
    <row r="768">
      <c r="A768" s="131"/>
      <c r="B768" s="131"/>
      <c r="C768" s="131"/>
      <c r="D768" s="81"/>
      <c r="E768" s="81"/>
      <c r="F768" s="131"/>
      <c r="G768" s="131"/>
      <c r="H768" s="131"/>
      <c r="I768" s="131"/>
      <c r="J768" s="131"/>
      <c r="K768" s="131"/>
      <c r="L768" s="131"/>
      <c r="M768" s="131"/>
      <c r="N768" s="131"/>
      <c r="O768" s="131"/>
      <c r="P768" s="131"/>
      <c r="Q768" s="131"/>
      <c r="R768" s="131"/>
      <c r="S768" s="131"/>
      <c r="T768" s="131"/>
      <c r="U768" s="131"/>
      <c r="V768" s="131"/>
      <c r="W768" s="131"/>
      <c r="X768" s="131"/>
      <c r="Y768" s="131"/>
    </row>
    <row r="769">
      <c r="A769" s="131"/>
      <c r="B769" s="131"/>
      <c r="C769" s="131"/>
      <c r="D769" s="81"/>
      <c r="E769" s="81"/>
      <c r="F769" s="131"/>
      <c r="G769" s="131"/>
      <c r="H769" s="131"/>
      <c r="I769" s="131"/>
      <c r="J769" s="131"/>
      <c r="K769" s="131"/>
      <c r="L769" s="131"/>
      <c r="M769" s="131"/>
      <c r="N769" s="131"/>
      <c r="O769" s="131"/>
      <c r="P769" s="131"/>
      <c r="Q769" s="131"/>
      <c r="R769" s="131"/>
      <c r="S769" s="131"/>
      <c r="T769" s="131"/>
      <c r="U769" s="131"/>
      <c r="V769" s="131"/>
      <c r="W769" s="131"/>
      <c r="X769" s="131"/>
      <c r="Y769" s="131"/>
    </row>
    <row r="770">
      <c r="A770" s="131"/>
      <c r="B770" s="131"/>
      <c r="C770" s="131"/>
      <c r="D770" s="81"/>
      <c r="E770" s="81"/>
      <c r="F770" s="131"/>
      <c r="G770" s="131"/>
      <c r="H770" s="131"/>
      <c r="I770" s="131"/>
      <c r="J770" s="131"/>
      <c r="K770" s="131"/>
      <c r="L770" s="131"/>
      <c r="M770" s="131"/>
      <c r="N770" s="131"/>
      <c r="O770" s="131"/>
      <c r="P770" s="131"/>
      <c r="Q770" s="131"/>
      <c r="R770" s="131"/>
      <c r="S770" s="131"/>
      <c r="T770" s="131"/>
      <c r="U770" s="131"/>
      <c r="V770" s="131"/>
      <c r="W770" s="131"/>
      <c r="X770" s="131"/>
      <c r="Y770" s="131"/>
    </row>
    <row r="771">
      <c r="A771" s="131"/>
      <c r="B771" s="131"/>
      <c r="C771" s="131"/>
      <c r="D771" s="81"/>
      <c r="E771" s="81"/>
      <c r="F771" s="131"/>
      <c r="G771" s="131"/>
      <c r="H771" s="131"/>
      <c r="I771" s="131"/>
      <c r="J771" s="131"/>
      <c r="K771" s="131"/>
      <c r="L771" s="131"/>
      <c r="M771" s="131"/>
      <c r="N771" s="131"/>
      <c r="O771" s="131"/>
      <c r="P771" s="131"/>
      <c r="Q771" s="131"/>
      <c r="R771" s="131"/>
      <c r="S771" s="131"/>
      <c r="T771" s="131"/>
      <c r="U771" s="131"/>
      <c r="V771" s="131"/>
      <c r="W771" s="131"/>
      <c r="X771" s="131"/>
      <c r="Y771" s="131"/>
    </row>
    <row r="772">
      <c r="A772" s="131"/>
      <c r="B772" s="131"/>
      <c r="C772" s="131"/>
      <c r="D772" s="81"/>
      <c r="E772" s="81"/>
      <c r="F772" s="131"/>
      <c r="G772" s="131"/>
      <c r="H772" s="131"/>
      <c r="I772" s="131"/>
      <c r="J772" s="131"/>
      <c r="K772" s="131"/>
      <c r="L772" s="131"/>
      <c r="M772" s="131"/>
      <c r="N772" s="131"/>
      <c r="O772" s="131"/>
      <c r="P772" s="131"/>
      <c r="Q772" s="131"/>
      <c r="R772" s="131"/>
      <c r="S772" s="131"/>
      <c r="T772" s="131"/>
      <c r="U772" s="131"/>
      <c r="V772" s="131"/>
      <c r="W772" s="131"/>
      <c r="X772" s="131"/>
      <c r="Y772" s="131"/>
    </row>
    <row r="773">
      <c r="A773" s="131"/>
      <c r="B773" s="131"/>
      <c r="C773" s="131"/>
      <c r="D773" s="81"/>
      <c r="E773" s="81"/>
      <c r="F773" s="131"/>
      <c r="G773" s="131"/>
      <c r="H773" s="131"/>
      <c r="I773" s="131"/>
      <c r="J773" s="131"/>
      <c r="K773" s="131"/>
      <c r="L773" s="131"/>
      <c r="M773" s="131"/>
      <c r="N773" s="131"/>
      <c r="O773" s="131"/>
      <c r="P773" s="131"/>
      <c r="Q773" s="131"/>
      <c r="R773" s="131"/>
      <c r="S773" s="131"/>
      <c r="T773" s="131"/>
      <c r="U773" s="131"/>
      <c r="V773" s="131"/>
      <c r="W773" s="131"/>
      <c r="X773" s="131"/>
      <c r="Y773" s="131"/>
    </row>
    <row r="774">
      <c r="A774" s="131"/>
      <c r="B774" s="131"/>
      <c r="C774" s="131"/>
      <c r="D774" s="81"/>
      <c r="E774" s="81"/>
      <c r="F774" s="131"/>
      <c r="G774" s="131"/>
      <c r="H774" s="131"/>
      <c r="I774" s="131"/>
      <c r="J774" s="131"/>
      <c r="K774" s="131"/>
      <c r="L774" s="131"/>
      <c r="M774" s="131"/>
      <c r="N774" s="131"/>
      <c r="O774" s="131"/>
      <c r="P774" s="131"/>
      <c r="Q774" s="131"/>
      <c r="R774" s="131"/>
      <c r="S774" s="131"/>
      <c r="T774" s="131"/>
      <c r="U774" s="131"/>
      <c r="V774" s="131"/>
      <c r="W774" s="131"/>
      <c r="X774" s="131"/>
      <c r="Y774" s="131"/>
    </row>
    <row r="775">
      <c r="A775" s="131"/>
      <c r="B775" s="131"/>
      <c r="C775" s="131"/>
      <c r="D775" s="81"/>
      <c r="E775" s="81"/>
      <c r="F775" s="131"/>
      <c r="G775" s="131"/>
      <c r="H775" s="131"/>
      <c r="I775" s="131"/>
      <c r="J775" s="131"/>
      <c r="K775" s="131"/>
      <c r="L775" s="131"/>
      <c r="M775" s="131"/>
      <c r="N775" s="131"/>
      <c r="O775" s="131"/>
      <c r="P775" s="131"/>
      <c r="Q775" s="131"/>
      <c r="R775" s="131"/>
      <c r="S775" s="131"/>
      <c r="T775" s="131"/>
      <c r="U775" s="131"/>
      <c r="V775" s="131"/>
      <c r="W775" s="131"/>
      <c r="X775" s="131"/>
      <c r="Y775" s="131"/>
    </row>
    <row r="776">
      <c r="A776" s="131"/>
      <c r="B776" s="131"/>
      <c r="C776" s="131"/>
      <c r="D776" s="81"/>
      <c r="E776" s="81"/>
      <c r="F776" s="131"/>
      <c r="G776" s="131"/>
      <c r="H776" s="131"/>
      <c r="I776" s="131"/>
      <c r="J776" s="131"/>
      <c r="K776" s="131"/>
      <c r="L776" s="131"/>
      <c r="M776" s="131"/>
      <c r="N776" s="131"/>
      <c r="O776" s="131"/>
      <c r="P776" s="131"/>
      <c r="Q776" s="131"/>
      <c r="R776" s="131"/>
      <c r="S776" s="131"/>
      <c r="T776" s="131"/>
      <c r="U776" s="131"/>
      <c r="V776" s="131"/>
      <c r="W776" s="131"/>
      <c r="X776" s="131"/>
      <c r="Y776" s="131"/>
    </row>
    <row r="777">
      <c r="A777" s="131"/>
      <c r="B777" s="131"/>
      <c r="C777" s="131"/>
      <c r="D777" s="81"/>
      <c r="E777" s="81"/>
      <c r="F777" s="131"/>
      <c r="G777" s="131"/>
      <c r="H777" s="131"/>
      <c r="I777" s="131"/>
      <c r="J777" s="131"/>
      <c r="K777" s="131"/>
      <c r="L777" s="131"/>
      <c r="M777" s="131"/>
      <c r="N777" s="131"/>
      <c r="O777" s="131"/>
      <c r="P777" s="131"/>
      <c r="Q777" s="131"/>
      <c r="R777" s="131"/>
      <c r="S777" s="131"/>
      <c r="T777" s="131"/>
      <c r="U777" s="131"/>
      <c r="V777" s="131"/>
      <c r="W777" s="131"/>
      <c r="X777" s="131"/>
      <c r="Y777" s="131"/>
    </row>
    <row r="778">
      <c r="A778" s="131"/>
      <c r="B778" s="131"/>
      <c r="C778" s="131"/>
      <c r="D778" s="81"/>
      <c r="E778" s="81"/>
      <c r="F778" s="131"/>
      <c r="G778" s="131"/>
      <c r="H778" s="131"/>
      <c r="I778" s="131"/>
      <c r="J778" s="131"/>
      <c r="K778" s="131"/>
      <c r="L778" s="131"/>
      <c r="M778" s="131"/>
      <c r="N778" s="131"/>
      <c r="O778" s="131"/>
      <c r="P778" s="131"/>
      <c r="Q778" s="131"/>
      <c r="R778" s="131"/>
      <c r="S778" s="131"/>
      <c r="T778" s="131"/>
      <c r="U778" s="131"/>
      <c r="V778" s="131"/>
      <c r="W778" s="131"/>
      <c r="X778" s="131"/>
      <c r="Y778" s="131"/>
    </row>
    <row r="779">
      <c r="A779" s="131"/>
      <c r="B779" s="131"/>
      <c r="C779" s="131"/>
      <c r="D779" s="81"/>
      <c r="E779" s="81"/>
      <c r="F779" s="131"/>
      <c r="G779" s="131"/>
      <c r="H779" s="131"/>
      <c r="I779" s="131"/>
      <c r="J779" s="131"/>
      <c r="K779" s="131"/>
      <c r="L779" s="131"/>
      <c r="M779" s="131"/>
      <c r="N779" s="131"/>
      <c r="O779" s="131"/>
      <c r="P779" s="131"/>
      <c r="Q779" s="131"/>
      <c r="R779" s="131"/>
      <c r="S779" s="131"/>
      <c r="T779" s="131"/>
      <c r="U779" s="131"/>
      <c r="V779" s="131"/>
      <c r="W779" s="131"/>
      <c r="X779" s="131"/>
      <c r="Y779" s="131"/>
    </row>
    <row r="780">
      <c r="A780" s="131"/>
      <c r="B780" s="131"/>
      <c r="C780" s="131"/>
      <c r="D780" s="81"/>
      <c r="E780" s="81"/>
      <c r="F780" s="131"/>
      <c r="G780" s="131"/>
      <c r="H780" s="131"/>
      <c r="I780" s="131"/>
      <c r="J780" s="131"/>
      <c r="K780" s="131"/>
      <c r="L780" s="131"/>
      <c r="M780" s="131"/>
      <c r="N780" s="131"/>
      <c r="O780" s="131"/>
      <c r="P780" s="131"/>
      <c r="Q780" s="131"/>
      <c r="R780" s="131"/>
      <c r="S780" s="131"/>
      <c r="T780" s="131"/>
      <c r="U780" s="131"/>
      <c r="V780" s="131"/>
      <c r="W780" s="131"/>
      <c r="X780" s="131"/>
      <c r="Y780" s="131"/>
    </row>
    <row r="781">
      <c r="A781" s="131"/>
      <c r="B781" s="131"/>
      <c r="C781" s="131"/>
      <c r="D781" s="81"/>
      <c r="E781" s="81"/>
      <c r="F781" s="131"/>
      <c r="G781" s="131"/>
      <c r="H781" s="131"/>
      <c r="I781" s="131"/>
      <c r="J781" s="131"/>
      <c r="K781" s="131"/>
      <c r="L781" s="131"/>
      <c r="M781" s="131"/>
      <c r="N781" s="131"/>
      <c r="O781" s="131"/>
      <c r="P781" s="131"/>
      <c r="Q781" s="131"/>
      <c r="R781" s="131"/>
      <c r="S781" s="131"/>
      <c r="T781" s="131"/>
      <c r="U781" s="131"/>
      <c r="V781" s="131"/>
      <c r="W781" s="131"/>
      <c r="X781" s="131"/>
      <c r="Y781" s="131"/>
    </row>
    <row r="782">
      <c r="A782" s="131"/>
      <c r="B782" s="131"/>
      <c r="C782" s="131"/>
      <c r="D782" s="81"/>
      <c r="E782" s="81"/>
      <c r="F782" s="131"/>
      <c r="G782" s="131"/>
      <c r="H782" s="131"/>
      <c r="I782" s="131"/>
      <c r="J782" s="131"/>
      <c r="K782" s="131"/>
      <c r="L782" s="131"/>
      <c r="M782" s="131"/>
      <c r="N782" s="131"/>
      <c r="O782" s="131"/>
      <c r="P782" s="131"/>
      <c r="Q782" s="131"/>
      <c r="R782" s="131"/>
      <c r="S782" s="131"/>
      <c r="T782" s="131"/>
      <c r="U782" s="131"/>
      <c r="V782" s="131"/>
      <c r="W782" s="131"/>
      <c r="X782" s="131"/>
      <c r="Y782" s="131"/>
    </row>
    <row r="783">
      <c r="A783" s="131"/>
      <c r="B783" s="131"/>
      <c r="C783" s="131"/>
      <c r="D783" s="81"/>
      <c r="E783" s="81"/>
      <c r="F783" s="131"/>
      <c r="G783" s="131"/>
      <c r="H783" s="131"/>
      <c r="I783" s="131"/>
      <c r="J783" s="131"/>
      <c r="K783" s="131"/>
      <c r="L783" s="131"/>
      <c r="M783" s="131"/>
      <c r="N783" s="131"/>
      <c r="O783" s="131"/>
      <c r="P783" s="131"/>
      <c r="Q783" s="131"/>
      <c r="R783" s="131"/>
      <c r="S783" s="131"/>
      <c r="T783" s="131"/>
      <c r="U783" s="131"/>
      <c r="V783" s="131"/>
      <c r="W783" s="131"/>
      <c r="X783" s="131"/>
      <c r="Y783" s="131"/>
    </row>
    <row r="784">
      <c r="A784" s="131"/>
      <c r="B784" s="131"/>
      <c r="C784" s="131"/>
      <c r="D784" s="81"/>
      <c r="E784" s="81"/>
      <c r="F784" s="131"/>
      <c r="G784" s="131"/>
      <c r="H784" s="131"/>
      <c r="I784" s="131"/>
      <c r="J784" s="131"/>
      <c r="K784" s="131"/>
      <c r="L784" s="131"/>
      <c r="M784" s="131"/>
      <c r="N784" s="131"/>
      <c r="O784" s="131"/>
      <c r="P784" s="131"/>
      <c r="Q784" s="131"/>
      <c r="R784" s="131"/>
      <c r="S784" s="131"/>
      <c r="T784" s="131"/>
      <c r="U784" s="131"/>
      <c r="V784" s="131"/>
      <c r="W784" s="131"/>
      <c r="X784" s="131"/>
      <c r="Y784" s="131"/>
    </row>
    <row r="785">
      <c r="A785" s="131"/>
      <c r="B785" s="131"/>
      <c r="C785" s="131"/>
      <c r="D785" s="81"/>
      <c r="E785" s="81"/>
      <c r="F785" s="131"/>
      <c r="G785" s="131"/>
      <c r="H785" s="131"/>
      <c r="I785" s="131"/>
      <c r="J785" s="131"/>
      <c r="K785" s="131"/>
      <c r="L785" s="131"/>
      <c r="M785" s="131"/>
      <c r="N785" s="131"/>
      <c r="O785" s="131"/>
      <c r="P785" s="131"/>
      <c r="Q785" s="131"/>
      <c r="R785" s="131"/>
      <c r="S785" s="131"/>
      <c r="T785" s="131"/>
      <c r="U785" s="131"/>
      <c r="V785" s="131"/>
      <c r="W785" s="131"/>
      <c r="X785" s="131"/>
      <c r="Y785" s="131"/>
    </row>
    <row r="786">
      <c r="A786" s="131"/>
      <c r="B786" s="131"/>
      <c r="C786" s="131"/>
      <c r="D786" s="81"/>
      <c r="E786" s="81"/>
      <c r="F786" s="131"/>
      <c r="G786" s="131"/>
      <c r="H786" s="131"/>
      <c r="I786" s="131"/>
      <c r="J786" s="131"/>
      <c r="K786" s="131"/>
      <c r="L786" s="131"/>
      <c r="M786" s="131"/>
      <c r="N786" s="131"/>
      <c r="O786" s="131"/>
      <c r="P786" s="131"/>
      <c r="Q786" s="131"/>
      <c r="R786" s="131"/>
      <c r="S786" s="131"/>
      <c r="T786" s="131"/>
      <c r="U786" s="131"/>
      <c r="V786" s="131"/>
      <c r="W786" s="131"/>
      <c r="X786" s="131"/>
      <c r="Y786" s="131"/>
    </row>
    <row r="787">
      <c r="A787" s="131"/>
      <c r="B787" s="131"/>
      <c r="C787" s="131"/>
      <c r="D787" s="81"/>
      <c r="E787" s="81"/>
      <c r="F787" s="131"/>
      <c r="G787" s="131"/>
      <c r="H787" s="131"/>
      <c r="I787" s="131"/>
      <c r="J787" s="131"/>
      <c r="K787" s="131"/>
      <c r="L787" s="131"/>
      <c r="M787" s="131"/>
      <c r="N787" s="131"/>
      <c r="O787" s="131"/>
      <c r="P787" s="131"/>
      <c r="Q787" s="131"/>
      <c r="R787" s="131"/>
      <c r="S787" s="131"/>
      <c r="T787" s="131"/>
      <c r="U787" s="131"/>
      <c r="V787" s="131"/>
      <c r="W787" s="131"/>
      <c r="X787" s="131"/>
      <c r="Y787" s="131"/>
    </row>
    <row r="788">
      <c r="A788" s="131"/>
      <c r="B788" s="131"/>
      <c r="C788" s="131"/>
      <c r="D788" s="81"/>
      <c r="E788" s="81"/>
      <c r="F788" s="131"/>
      <c r="G788" s="131"/>
      <c r="H788" s="131"/>
      <c r="I788" s="131"/>
      <c r="J788" s="131"/>
      <c r="K788" s="131"/>
      <c r="L788" s="131"/>
      <c r="M788" s="131"/>
      <c r="N788" s="131"/>
      <c r="O788" s="131"/>
      <c r="P788" s="131"/>
      <c r="Q788" s="131"/>
      <c r="R788" s="131"/>
      <c r="S788" s="131"/>
      <c r="T788" s="131"/>
      <c r="U788" s="131"/>
      <c r="V788" s="131"/>
      <c r="W788" s="131"/>
      <c r="X788" s="131"/>
      <c r="Y788" s="131"/>
    </row>
    <row r="789">
      <c r="A789" s="131"/>
      <c r="B789" s="131"/>
      <c r="C789" s="131"/>
      <c r="D789" s="81"/>
      <c r="E789" s="81"/>
      <c r="F789" s="131"/>
      <c r="G789" s="131"/>
      <c r="H789" s="131"/>
      <c r="I789" s="131"/>
      <c r="J789" s="131"/>
      <c r="K789" s="131"/>
      <c r="L789" s="131"/>
      <c r="M789" s="131"/>
      <c r="N789" s="131"/>
      <c r="O789" s="131"/>
      <c r="P789" s="131"/>
      <c r="Q789" s="131"/>
      <c r="R789" s="131"/>
      <c r="S789" s="131"/>
      <c r="T789" s="131"/>
      <c r="U789" s="131"/>
      <c r="V789" s="131"/>
      <c r="W789" s="131"/>
      <c r="X789" s="131"/>
      <c r="Y789" s="131"/>
    </row>
    <row r="790">
      <c r="A790" s="131"/>
      <c r="B790" s="131"/>
      <c r="C790" s="131"/>
      <c r="D790" s="81"/>
      <c r="E790" s="81"/>
      <c r="F790" s="131"/>
      <c r="G790" s="131"/>
      <c r="H790" s="131"/>
      <c r="I790" s="131"/>
      <c r="J790" s="131"/>
      <c r="K790" s="131"/>
      <c r="L790" s="131"/>
      <c r="M790" s="131"/>
      <c r="N790" s="131"/>
      <c r="O790" s="131"/>
      <c r="P790" s="131"/>
      <c r="Q790" s="131"/>
      <c r="R790" s="131"/>
      <c r="S790" s="131"/>
      <c r="T790" s="131"/>
      <c r="U790" s="131"/>
      <c r="V790" s="131"/>
      <c r="W790" s="131"/>
      <c r="X790" s="131"/>
      <c r="Y790" s="131"/>
    </row>
    <row r="791">
      <c r="A791" s="131"/>
      <c r="B791" s="131"/>
      <c r="C791" s="131"/>
      <c r="D791" s="81"/>
      <c r="E791" s="81"/>
      <c r="F791" s="131"/>
      <c r="G791" s="131"/>
      <c r="H791" s="131"/>
      <c r="I791" s="131"/>
      <c r="J791" s="131"/>
      <c r="K791" s="131"/>
      <c r="L791" s="131"/>
      <c r="M791" s="131"/>
      <c r="N791" s="131"/>
      <c r="O791" s="131"/>
      <c r="P791" s="131"/>
      <c r="Q791" s="131"/>
      <c r="R791" s="131"/>
      <c r="S791" s="131"/>
      <c r="T791" s="131"/>
      <c r="U791" s="131"/>
      <c r="V791" s="131"/>
      <c r="W791" s="131"/>
      <c r="X791" s="131"/>
      <c r="Y791" s="131"/>
    </row>
    <row r="792">
      <c r="A792" s="131"/>
      <c r="B792" s="131"/>
      <c r="C792" s="131"/>
      <c r="D792" s="81"/>
      <c r="E792" s="81"/>
      <c r="F792" s="131"/>
      <c r="G792" s="131"/>
      <c r="H792" s="131"/>
      <c r="I792" s="131"/>
      <c r="J792" s="131"/>
      <c r="K792" s="131"/>
      <c r="L792" s="131"/>
      <c r="M792" s="131"/>
      <c r="N792" s="131"/>
      <c r="O792" s="131"/>
      <c r="P792" s="131"/>
      <c r="Q792" s="131"/>
      <c r="R792" s="131"/>
      <c r="S792" s="131"/>
      <c r="T792" s="131"/>
      <c r="U792" s="131"/>
      <c r="V792" s="131"/>
      <c r="W792" s="131"/>
      <c r="X792" s="131"/>
      <c r="Y792" s="131"/>
    </row>
    <row r="793">
      <c r="A793" s="131"/>
      <c r="B793" s="131"/>
      <c r="C793" s="131"/>
      <c r="D793" s="81"/>
      <c r="E793" s="81"/>
      <c r="F793" s="131"/>
      <c r="G793" s="131"/>
      <c r="H793" s="131"/>
      <c r="I793" s="131"/>
      <c r="J793" s="131"/>
      <c r="K793" s="131"/>
      <c r="L793" s="131"/>
      <c r="M793" s="131"/>
      <c r="N793" s="131"/>
      <c r="O793" s="131"/>
      <c r="P793" s="131"/>
      <c r="Q793" s="131"/>
      <c r="R793" s="131"/>
      <c r="S793" s="131"/>
      <c r="T793" s="131"/>
      <c r="U793" s="131"/>
      <c r="V793" s="131"/>
      <c r="W793" s="131"/>
      <c r="X793" s="131"/>
      <c r="Y793" s="131"/>
    </row>
    <row r="794">
      <c r="A794" s="131"/>
      <c r="B794" s="131"/>
      <c r="C794" s="131"/>
      <c r="D794" s="81"/>
      <c r="E794" s="81"/>
      <c r="F794" s="131"/>
      <c r="G794" s="131"/>
      <c r="H794" s="131"/>
      <c r="I794" s="131"/>
      <c r="J794" s="131"/>
      <c r="K794" s="131"/>
      <c r="L794" s="131"/>
      <c r="M794" s="131"/>
      <c r="N794" s="131"/>
      <c r="O794" s="131"/>
      <c r="P794" s="131"/>
      <c r="Q794" s="131"/>
      <c r="R794" s="131"/>
      <c r="S794" s="131"/>
      <c r="T794" s="131"/>
      <c r="U794" s="131"/>
      <c r="V794" s="131"/>
      <c r="W794" s="131"/>
      <c r="X794" s="131"/>
      <c r="Y794" s="131"/>
    </row>
    <row r="795">
      <c r="A795" s="131"/>
      <c r="B795" s="131"/>
      <c r="C795" s="131"/>
      <c r="D795" s="81"/>
      <c r="E795" s="81"/>
      <c r="F795" s="131"/>
      <c r="G795" s="131"/>
      <c r="H795" s="131"/>
      <c r="I795" s="131"/>
      <c r="J795" s="131"/>
      <c r="K795" s="131"/>
      <c r="L795" s="131"/>
      <c r="M795" s="131"/>
      <c r="N795" s="131"/>
      <c r="O795" s="131"/>
      <c r="P795" s="131"/>
      <c r="Q795" s="131"/>
      <c r="R795" s="131"/>
      <c r="S795" s="131"/>
      <c r="T795" s="131"/>
      <c r="U795" s="131"/>
      <c r="V795" s="131"/>
      <c r="W795" s="131"/>
      <c r="X795" s="131"/>
      <c r="Y795" s="131"/>
    </row>
    <row r="796">
      <c r="A796" s="131"/>
      <c r="B796" s="131"/>
      <c r="C796" s="131"/>
      <c r="D796" s="81"/>
      <c r="E796" s="81"/>
      <c r="F796" s="131"/>
      <c r="G796" s="131"/>
      <c r="H796" s="131"/>
      <c r="I796" s="131"/>
      <c r="J796" s="131"/>
      <c r="K796" s="131"/>
      <c r="L796" s="131"/>
      <c r="M796" s="131"/>
      <c r="N796" s="131"/>
      <c r="O796" s="131"/>
      <c r="P796" s="131"/>
      <c r="Q796" s="131"/>
      <c r="R796" s="131"/>
      <c r="S796" s="131"/>
      <c r="T796" s="131"/>
      <c r="U796" s="131"/>
      <c r="V796" s="131"/>
      <c r="W796" s="131"/>
      <c r="X796" s="131"/>
      <c r="Y796" s="131"/>
    </row>
    <row r="797">
      <c r="A797" s="131"/>
      <c r="B797" s="131"/>
      <c r="C797" s="131"/>
      <c r="D797" s="81"/>
      <c r="E797" s="81"/>
      <c r="F797" s="131"/>
      <c r="G797" s="131"/>
      <c r="H797" s="131"/>
      <c r="I797" s="131"/>
      <c r="J797" s="131"/>
      <c r="K797" s="131"/>
      <c r="L797" s="131"/>
      <c r="M797" s="131"/>
      <c r="N797" s="131"/>
      <c r="O797" s="131"/>
      <c r="P797" s="131"/>
      <c r="Q797" s="131"/>
      <c r="R797" s="131"/>
      <c r="S797" s="131"/>
      <c r="T797" s="131"/>
      <c r="U797" s="131"/>
      <c r="V797" s="131"/>
      <c r="W797" s="131"/>
      <c r="X797" s="131"/>
      <c r="Y797" s="131"/>
    </row>
    <row r="798">
      <c r="A798" s="131"/>
      <c r="B798" s="131"/>
      <c r="C798" s="131"/>
      <c r="D798" s="81"/>
      <c r="E798" s="81"/>
      <c r="F798" s="131"/>
      <c r="G798" s="131"/>
      <c r="H798" s="131"/>
      <c r="I798" s="131"/>
      <c r="J798" s="131"/>
      <c r="K798" s="131"/>
      <c r="L798" s="131"/>
      <c r="M798" s="131"/>
      <c r="N798" s="131"/>
      <c r="O798" s="131"/>
      <c r="P798" s="131"/>
      <c r="Q798" s="131"/>
      <c r="R798" s="131"/>
      <c r="S798" s="131"/>
      <c r="T798" s="131"/>
      <c r="U798" s="131"/>
      <c r="V798" s="131"/>
      <c r="W798" s="131"/>
      <c r="X798" s="131"/>
      <c r="Y798" s="131"/>
    </row>
    <row r="799">
      <c r="A799" s="131"/>
      <c r="B799" s="131"/>
      <c r="C799" s="131"/>
      <c r="D799" s="81"/>
      <c r="E799" s="81"/>
      <c r="F799" s="131"/>
      <c r="G799" s="131"/>
      <c r="H799" s="131"/>
      <c r="I799" s="131"/>
      <c r="J799" s="131"/>
      <c r="K799" s="131"/>
      <c r="L799" s="131"/>
      <c r="M799" s="131"/>
      <c r="N799" s="131"/>
      <c r="O799" s="131"/>
      <c r="P799" s="131"/>
      <c r="Q799" s="131"/>
      <c r="R799" s="131"/>
      <c r="S799" s="131"/>
      <c r="T799" s="131"/>
      <c r="U799" s="131"/>
      <c r="V799" s="131"/>
      <c r="W799" s="131"/>
      <c r="X799" s="131"/>
      <c r="Y799" s="131"/>
    </row>
    <row r="800">
      <c r="A800" s="131"/>
      <c r="B800" s="131"/>
      <c r="C800" s="131"/>
      <c r="D800" s="81"/>
      <c r="E800" s="81"/>
      <c r="F800" s="131"/>
      <c r="G800" s="131"/>
      <c r="H800" s="131"/>
      <c r="I800" s="131"/>
      <c r="J800" s="131"/>
      <c r="K800" s="131"/>
      <c r="L800" s="131"/>
      <c r="M800" s="131"/>
      <c r="N800" s="131"/>
      <c r="O800" s="131"/>
      <c r="P800" s="131"/>
      <c r="Q800" s="131"/>
      <c r="R800" s="131"/>
      <c r="S800" s="131"/>
      <c r="T800" s="131"/>
      <c r="U800" s="131"/>
      <c r="V800" s="131"/>
      <c r="W800" s="131"/>
      <c r="X800" s="131"/>
      <c r="Y800" s="131"/>
    </row>
    <row r="801">
      <c r="A801" s="131"/>
      <c r="B801" s="131"/>
      <c r="C801" s="131"/>
      <c r="D801" s="81"/>
      <c r="E801" s="81"/>
      <c r="F801" s="131"/>
      <c r="G801" s="131"/>
      <c r="H801" s="131"/>
      <c r="I801" s="131"/>
      <c r="J801" s="131"/>
      <c r="K801" s="131"/>
      <c r="L801" s="131"/>
      <c r="M801" s="131"/>
      <c r="N801" s="131"/>
      <c r="O801" s="131"/>
      <c r="P801" s="131"/>
      <c r="Q801" s="131"/>
      <c r="R801" s="131"/>
      <c r="S801" s="131"/>
      <c r="T801" s="131"/>
      <c r="U801" s="131"/>
      <c r="V801" s="131"/>
      <c r="W801" s="131"/>
      <c r="X801" s="131"/>
      <c r="Y801" s="131"/>
    </row>
    <row r="802">
      <c r="A802" s="131"/>
      <c r="B802" s="131"/>
      <c r="C802" s="131"/>
      <c r="D802" s="81"/>
      <c r="E802" s="81"/>
      <c r="F802" s="131"/>
      <c r="G802" s="131"/>
      <c r="H802" s="131"/>
      <c r="I802" s="131"/>
      <c r="J802" s="131"/>
      <c r="K802" s="131"/>
      <c r="L802" s="131"/>
      <c r="M802" s="131"/>
      <c r="N802" s="131"/>
      <c r="O802" s="131"/>
      <c r="P802" s="131"/>
      <c r="Q802" s="131"/>
      <c r="R802" s="131"/>
      <c r="S802" s="131"/>
      <c r="T802" s="131"/>
      <c r="U802" s="131"/>
      <c r="V802" s="131"/>
      <c r="W802" s="131"/>
      <c r="X802" s="131"/>
      <c r="Y802" s="131"/>
    </row>
    <row r="803">
      <c r="A803" s="131"/>
      <c r="B803" s="131"/>
      <c r="C803" s="131"/>
      <c r="D803" s="81"/>
      <c r="E803" s="81"/>
      <c r="F803" s="131"/>
      <c r="G803" s="131"/>
      <c r="H803" s="131"/>
      <c r="I803" s="131"/>
      <c r="J803" s="131"/>
      <c r="K803" s="131"/>
      <c r="L803" s="131"/>
      <c r="M803" s="131"/>
      <c r="N803" s="131"/>
      <c r="O803" s="131"/>
      <c r="P803" s="131"/>
      <c r="Q803" s="131"/>
      <c r="R803" s="131"/>
      <c r="S803" s="131"/>
      <c r="T803" s="131"/>
      <c r="U803" s="131"/>
      <c r="V803" s="131"/>
      <c r="W803" s="131"/>
      <c r="X803" s="131"/>
      <c r="Y803" s="131"/>
    </row>
    <row r="804">
      <c r="A804" s="131"/>
      <c r="B804" s="131"/>
      <c r="C804" s="131"/>
      <c r="D804" s="81"/>
      <c r="E804" s="81"/>
      <c r="F804" s="131"/>
      <c r="G804" s="131"/>
      <c r="H804" s="131"/>
      <c r="I804" s="131"/>
      <c r="J804" s="131"/>
      <c r="K804" s="131"/>
      <c r="L804" s="131"/>
      <c r="M804" s="131"/>
      <c r="N804" s="131"/>
      <c r="O804" s="131"/>
      <c r="P804" s="131"/>
      <c r="Q804" s="131"/>
      <c r="R804" s="131"/>
      <c r="S804" s="131"/>
      <c r="T804" s="131"/>
      <c r="U804" s="131"/>
      <c r="V804" s="131"/>
      <c r="W804" s="131"/>
      <c r="X804" s="131"/>
      <c r="Y804" s="131"/>
    </row>
    <row r="805">
      <c r="A805" s="131"/>
      <c r="B805" s="131"/>
      <c r="C805" s="131"/>
      <c r="D805" s="81"/>
      <c r="E805" s="81"/>
      <c r="F805" s="131"/>
      <c r="G805" s="131"/>
      <c r="H805" s="131"/>
      <c r="I805" s="131"/>
      <c r="J805" s="131"/>
      <c r="K805" s="131"/>
      <c r="L805" s="131"/>
      <c r="M805" s="131"/>
      <c r="N805" s="131"/>
      <c r="O805" s="131"/>
      <c r="P805" s="131"/>
      <c r="Q805" s="131"/>
      <c r="R805" s="131"/>
      <c r="S805" s="131"/>
      <c r="T805" s="131"/>
      <c r="U805" s="131"/>
      <c r="V805" s="131"/>
      <c r="W805" s="131"/>
      <c r="X805" s="131"/>
      <c r="Y805" s="131"/>
    </row>
    <row r="806">
      <c r="A806" s="131"/>
      <c r="B806" s="131"/>
      <c r="C806" s="131"/>
      <c r="D806" s="81"/>
      <c r="E806" s="81"/>
      <c r="F806" s="131"/>
      <c r="G806" s="131"/>
      <c r="H806" s="131"/>
      <c r="I806" s="131"/>
      <c r="J806" s="131"/>
      <c r="K806" s="131"/>
      <c r="L806" s="131"/>
      <c r="M806" s="131"/>
      <c r="N806" s="131"/>
      <c r="O806" s="131"/>
      <c r="P806" s="131"/>
      <c r="Q806" s="131"/>
      <c r="R806" s="131"/>
      <c r="S806" s="131"/>
      <c r="T806" s="131"/>
      <c r="U806" s="131"/>
      <c r="V806" s="131"/>
      <c r="W806" s="131"/>
      <c r="X806" s="131"/>
      <c r="Y806" s="131"/>
    </row>
    <row r="807">
      <c r="A807" s="131"/>
      <c r="B807" s="131"/>
      <c r="C807" s="131"/>
      <c r="D807" s="81"/>
      <c r="E807" s="81"/>
      <c r="F807" s="131"/>
      <c r="G807" s="131"/>
      <c r="H807" s="131"/>
      <c r="I807" s="131"/>
      <c r="J807" s="131"/>
      <c r="K807" s="131"/>
      <c r="L807" s="131"/>
      <c r="M807" s="131"/>
      <c r="N807" s="131"/>
      <c r="O807" s="131"/>
      <c r="P807" s="131"/>
      <c r="Q807" s="131"/>
      <c r="R807" s="131"/>
      <c r="S807" s="131"/>
      <c r="T807" s="131"/>
      <c r="U807" s="131"/>
      <c r="V807" s="131"/>
      <c r="W807" s="131"/>
      <c r="X807" s="131"/>
      <c r="Y807" s="131"/>
    </row>
    <row r="808">
      <c r="A808" s="131"/>
      <c r="B808" s="131"/>
      <c r="C808" s="131"/>
      <c r="D808" s="81"/>
      <c r="E808" s="81"/>
      <c r="F808" s="131"/>
      <c r="G808" s="131"/>
      <c r="H808" s="131"/>
      <c r="I808" s="131"/>
      <c r="J808" s="131"/>
      <c r="K808" s="131"/>
      <c r="L808" s="131"/>
      <c r="M808" s="131"/>
      <c r="N808" s="131"/>
      <c r="O808" s="131"/>
      <c r="P808" s="131"/>
      <c r="Q808" s="131"/>
      <c r="R808" s="131"/>
      <c r="S808" s="131"/>
      <c r="T808" s="131"/>
      <c r="U808" s="131"/>
      <c r="V808" s="131"/>
      <c r="W808" s="131"/>
      <c r="X808" s="131"/>
      <c r="Y808" s="131"/>
    </row>
    <row r="809">
      <c r="A809" s="131"/>
      <c r="B809" s="131"/>
      <c r="C809" s="131"/>
      <c r="D809" s="81"/>
      <c r="E809" s="81"/>
      <c r="F809" s="131"/>
      <c r="G809" s="131"/>
      <c r="H809" s="131"/>
      <c r="I809" s="131"/>
      <c r="J809" s="131"/>
      <c r="K809" s="131"/>
      <c r="L809" s="131"/>
      <c r="M809" s="131"/>
      <c r="N809" s="131"/>
      <c r="O809" s="131"/>
      <c r="P809" s="131"/>
      <c r="Q809" s="131"/>
      <c r="R809" s="131"/>
      <c r="S809" s="131"/>
      <c r="T809" s="131"/>
      <c r="U809" s="131"/>
      <c r="V809" s="131"/>
      <c r="W809" s="131"/>
      <c r="X809" s="131"/>
      <c r="Y809" s="131"/>
    </row>
    <row r="810">
      <c r="A810" s="131"/>
      <c r="B810" s="131"/>
      <c r="C810" s="131"/>
      <c r="D810" s="81"/>
      <c r="E810" s="81"/>
      <c r="F810" s="131"/>
      <c r="G810" s="131"/>
      <c r="H810" s="131"/>
      <c r="I810" s="131"/>
      <c r="J810" s="131"/>
      <c r="K810" s="131"/>
      <c r="L810" s="131"/>
      <c r="M810" s="131"/>
      <c r="N810" s="131"/>
      <c r="O810" s="131"/>
      <c r="P810" s="131"/>
      <c r="Q810" s="131"/>
      <c r="R810" s="131"/>
      <c r="S810" s="131"/>
      <c r="T810" s="131"/>
      <c r="U810" s="131"/>
      <c r="V810" s="131"/>
      <c r="W810" s="131"/>
      <c r="X810" s="131"/>
      <c r="Y810" s="131"/>
    </row>
    <row r="811">
      <c r="A811" s="131"/>
      <c r="B811" s="131"/>
      <c r="C811" s="131"/>
      <c r="D811" s="81"/>
      <c r="E811" s="81"/>
      <c r="F811" s="131"/>
      <c r="G811" s="131"/>
      <c r="H811" s="131"/>
      <c r="I811" s="131"/>
      <c r="J811" s="131"/>
      <c r="K811" s="131"/>
      <c r="L811" s="131"/>
      <c r="M811" s="131"/>
      <c r="N811" s="131"/>
      <c r="O811" s="131"/>
      <c r="P811" s="131"/>
      <c r="Q811" s="131"/>
      <c r="R811" s="131"/>
      <c r="S811" s="131"/>
      <c r="T811" s="131"/>
      <c r="U811" s="131"/>
      <c r="V811" s="131"/>
      <c r="W811" s="131"/>
      <c r="X811" s="131"/>
      <c r="Y811" s="131"/>
    </row>
    <row r="812">
      <c r="A812" s="131"/>
      <c r="B812" s="131"/>
      <c r="C812" s="131"/>
      <c r="D812" s="81"/>
      <c r="E812" s="81"/>
      <c r="F812" s="131"/>
      <c r="G812" s="131"/>
      <c r="H812" s="131"/>
      <c r="I812" s="131"/>
      <c r="J812" s="131"/>
      <c r="K812" s="131"/>
      <c r="L812" s="131"/>
      <c r="M812" s="131"/>
      <c r="N812" s="131"/>
      <c r="O812" s="131"/>
      <c r="P812" s="131"/>
      <c r="Q812" s="131"/>
      <c r="R812" s="131"/>
      <c r="S812" s="131"/>
      <c r="T812" s="131"/>
      <c r="U812" s="131"/>
      <c r="V812" s="131"/>
      <c r="W812" s="131"/>
      <c r="X812" s="131"/>
      <c r="Y812" s="131"/>
    </row>
    <row r="813">
      <c r="A813" s="131"/>
      <c r="B813" s="131"/>
      <c r="C813" s="131"/>
      <c r="D813" s="81"/>
      <c r="E813" s="81"/>
      <c r="F813" s="131"/>
      <c r="G813" s="131"/>
      <c r="H813" s="131"/>
      <c r="I813" s="131"/>
      <c r="J813" s="131"/>
      <c r="K813" s="131"/>
      <c r="L813" s="131"/>
      <c r="M813" s="131"/>
      <c r="N813" s="131"/>
      <c r="O813" s="131"/>
      <c r="P813" s="131"/>
      <c r="Q813" s="131"/>
      <c r="R813" s="131"/>
      <c r="S813" s="131"/>
      <c r="T813" s="131"/>
      <c r="U813" s="131"/>
      <c r="V813" s="131"/>
      <c r="W813" s="131"/>
      <c r="X813" s="131"/>
      <c r="Y813" s="131"/>
    </row>
    <row r="814">
      <c r="A814" s="131"/>
      <c r="B814" s="131"/>
      <c r="C814" s="131"/>
      <c r="D814" s="81"/>
      <c r="E814" s="81"/>
      <c r="F814" s="131"/>
      <c r="G814" s="131"/>
      <c r="H814" s="131"/>
      <c r="I814" s="131"/>
      <c r="J814" s="131"/>
      <c r="K814" s="131"/>
      <c r="L814" s="131"/>
      <c r="M814" s="131"/>
      <c r="N814" s="131"/>
      <c r="O814" s="131"/>
      <c r="P814" s="131"/>
      <c r="Q814" s="131"/>
      <c r="R814" s="131"/>
      <c r="S814" s="131"/>
      <c r="T814" s="131"/>
      <c r="U814" s="131"/>
      <c r="V814" s="131"/>
      <c r="W814" s="131"/>
      <c r="X814" s="131"/>
      <c r="Y814" s="131"/>
    </row>
    <row r="815">
      <c r="A815" s="131"/>
      <c r="B815" s="131"/>
      <c r="C815" s="131"/>
      <c r="D815" s="81"/>
      <c r="E815" s="81"/>
      <c r="F815" s="131"/>
      <c r="G815" s="131"/>
      <c r="H815" s="131"/>
      <c r="I815" s="131"/>
      <c r="J815" s="131"/>
      <c r="K815" s="131"/>
      <c r="L815" s="131"/>
      <c r="M815" s="131"/>
      <c r="N815" s="131"/>
      <c r="O815" s="131"/>
      <c r="P815" s="131"/>
      <c r="Q815" s="131"/>
      <c r="R815" s="131"/>
      <c r="S815" s="131"/>
      <c r="T815" s="131"/>
      <c r="U815" s="131"/>
      <c r="V815" s="131"/>
      <c r="W815" s="131"/>
      <c r="X815" s="131"/>
      <c r="Y815" s="131"/>
    </row>
    <row r="816">
      <c r="A816" s="131"/>
      <c r="B816" s="131"/>
      <c r="C816" s="131"/>
      <c r="D816" s="81"/>
      <c r="E816" s="81"/>
      <c r="F816" s="131"/>
      <c r="G816" s="131"/>
      <c r="H816" s="131"/>
      <c r="I816" s="131"/>
      <c r="J816" s="131"/>
      <c r="K816" s="131"/>
      <c r="L816" s="131"/>
      <c r="M816" s="131"/>
      <c r="N816" s="131"/>
      <c r="O816" s="131"/>
      <c r="P816" s="131"/>
      <c r="Q816" s="131"/>
      <c r="R816" s="131"/>
      <c r="S816" s="131"/>
      <c r="T816" s="131"/>
      <c r="U816" s="131"/>
      <c r="V816" s="131"/>
      <c r="W816" s="131"/>
      <c r="X816" s="131"/>
      <c r="Y816" s="131"/>
    </row>
    <row r="817">
      <c r="A817" s="131"/>
      <c r="B817" s="131"/>
      <c r="C817" s="131"/>
      <c r="D817" s="81"/>
      <c r="E817" s="81"/>
      <c r="F817" s="131"/>
      <c r="G817" s="131"/>
      <c r="H817" s="131"/>
      <c r="I817" s="131"/>
      <c r="J817" s="131"/>
      <c r="K817" s="131"/>
      <c r="L817" s="131"/>
      <c r="M817" s="131"/>
      <c r="N817" s="131"/>
      <c r="O817" s="131"/>
      <c r="P817" s="131"/>
      <c r="Q817" s="131"/>
      <c r="R817" s="131"/>
      <c r="S817" s="131"/>
      <c r="T817" s="131"/>
      <c r="U817" s="131"/>
      <c r="V817" s="131"/>
      <c r="W817" s="131"/>
      <c r="X817" s="131"/>
      <c r="Y817" s="131"/>
    </row>
    <row r="818">
      <c r="A818" s="131"/>
      <c r="B818" s="131"/>
      <c r="C818" s="131"/>
      <c r="D818" s="81"/>
      <c r="E818" s="81"/>
      <c r="F818" s="131"/>
      <c r="G818" s="131"/>
      <c r="H818" s="131"/>
      <c r="I818" s="131"/>
      <c r="J818" s="131"/>
      <c r="K818" s="131"/>
      <c r="L818" s="131"/>
      <c r="M818" s="131"/>
      <c r="N818" s="131"/>
      <c r="O818" s="131"/>
      <c r="P818" s="131"/>
      <c r="Q818" s="131"/>
      <c r="R818" s="131"/>
      <c r="S818" s="131"/>
      <c r="T818" s="131"/>
      <c r="U818" s="131"/>
      <c r="V818" s="131"/>
      <c r="W818" s="131"/>
      <c r="X818" s="131"/>
      <c r="Y818" s="131"/>
    </row>
    <row r="819">
      <c r="A819" s="131"/>
      <c r="B819" s="131"/>
      <c r="C819" s="131"/>
      <c r="D819" s="81"/>
      <c r="E819" s="81"/>
      <c r="F819" s="131"/>
      <c r="G819" s="131"/>
      <c r="H819" s="131"/>
      <c r="I819" s="131"/>
      <c r="J819" s="131"/>
      <c r="K819" s="131"/>
      <c r="L819" s="131"/>
      <c r="M819" s="131"/>
      <c r="N819" s="131"/>
      <c r="O819" s="131"/>
      <c r="P819" s="131"/>
      <c r="Q819" s="131"/>
      <c r="R819" s="131"/>
      <c r="S819" s="131"/>
      <c r="T819" s="131"/>
      <c r="U819" s="131"/>
      <c r="V819" s="131"/>
      <c r="W819" s="131"/>
      <c r="X819" s="131"/>
      <c r="Y819" s="131"/>
    </row>
    <row r="820">
      <c r="A820" s="131"/>
      <c r="B820" s="131"/>
      <c r="C820" s="131"/>
      <c r="D820" s="81"/>
      <c r="E820" s="81"/>
      <c r="F820" s="131"/>
      <c r="G820" s="131"/>
      <c r="H820" s="131"/>
      <c r="I820" s="131"/>
      <c r="J820" s="131"/>
      <c r="K820" s="131"/>
      <c r="L820" s="131"/>
      <c r="M820" s="131"/>
      <c r="N820" s="131"/>
      <c r="O820" s="131"/>
      <c r="P820" s="131"/>
      <c r="Q820" s="131"/>
      <c r="R820" s="131"/>
      <c r="S820" s="131"/>
      <c r="T820" s="131"/>
      <c r="U820" s="131"/>
      <c r="V820" s="131"/>
      <c r="W820" s="131"/>
      <c r="X820" s="131"/>
      <c r="Y820" s="131"/>
    </row>
    <row r="821">
      <c r="A821" s="131"/>
      <c r="B821" s="131"/>
      <c r="C821" s="131"/>
      <c r="D821" s="81"/>
      <c r="E821" s="81"/>
      <c r="F821" s="131"/>
      <c r="G821" s="131"/>
      <c r="H821" s="131"/>
      <c r="I821" s="131"/>
      <c r="J821" s="131"/>
      <c r="K821" s="131"/>
      <c r="L821" s="131"/>
      <c r="M821" s="131"/>
      <c r="N821" s="131"/>
      <c r="O821" s="131"/>
      <c r="P821" s="131"/>
      <c r="Q821" s="131"/>
      <c r="R821" s="131"/>
      <c r="S821" s="131"/>
      <c r="T821" s="131"/>
      <c r="U821" s="131"/>
      <c r="V821" s="131"/>
      <c r="W821" s="131"/>
      <c r="X821" s="131"/>
      <c r="Y821" s="131"/>
    </row>
    <row r="822">
      <c r="A822" s="131"/>
      <c r="B822" s="131"/>
      <c r="C822" s="131"/>
      <c r="D822" s="81"/>
      <c r="E822" s="81"/>
      <c r="F822" s="131"/>
      <c r="G822" s="131"/>
      <c r="H822" s="131"/>
      <c r="I822" s="131"/>
      <c r="J822" s="131"/>
      <c r="K822" s="131"/>
      <c r="L822" s="131"/>
      <c r="M822" s="131"/>
      <c r="N822" s="131"/>
      <c r="O822" s="131"/>
      <c r="P822" s="131"/>
      <c r="Q822" s="131"/>
      <c r="R822" s="131"/>
      <c r="S822" s="131"/>
      <c r="T822" s="131"/>
      <c r="U822" s="131"/>
      <c r="V822" s="131"/>
      <c r="W822" s="131"/>
      <c r="X822" s="131"/>
      <c r="Y822" s="131"/>
    </row>
    <row r="823">
      <c r="A823" s="131"/>
      <c r="B823" s="131"/>
      <c r="C823" s="131"/>
      <c r="D823" s="81"/>
      <c r="E823" s="81"/>
      <c r="F823" s="131"/>
      <c r="G823" s="131"/>
      <c r="H823" s="131"/>
      <c r="I823" s="131"/>
      <c r="J823" s="131"/>
      <c r="K823" s="131"/>
      <c r="L823" s="131"/>
      <c r="M823" s="131"/>
      <c r="N823" s="131"/>
      <c r="O823" s="131"/>
      <c r="P823" s="131"/>
      <c r="Q823" s="131"/>
      <c r="R823" s="131"/>
      <c r="S823" s="131"/>
      <c r="T823" s="131"/>
      <c r="U823" s="131"/>
      <c r="V823" s="131"/>
      <c r="W823" s="131"/>
      <c r="X823" s="131"/>
      <c r="Y823" s="131"/>
    </row>
    <row r="824">
      <c r="A824" s="131"/>
      <c r="B824" s="131"/>
      <c r="C824" s="131"/>
      <c r="D824" s="81"/>
      <c r="E824" s="81"/>
      <c r="F824" s="131"/>
      <c r="G824" s="131"/>
      <c r="H824" s="131"/>
      <c r="I824" s="131"/>
      <c r="J824" s="131"/>
      <c r="K824" s="131"/>
      <c r="L824" s="131"/>
      <c r="M824" s="131"/>
      <c r="N824" s="131"/>
      <c r="O824" s="131"/>
      <c r="P824" s="131"/>
      <c r="Q824" s="131"/>
      <c r="R824" s="131"/>
      <c r="S824" s="131"/>
      <c r="T824" s="131"/>
      <c r="U824" s="131"/>
      <c r="V824" s="131"/>
      <c r="W824" s="131"/>
      <c r="X824" s="131"/>
      <c r="Y824" s="131"/>
    </row>
    <row r="825">
      <c r="A825" s="131"/>
      <c r="B825" s="131"/>
      <c r="C825" s="131"/>
      <c r="D825" s="81"/>
      <c r="E825" s="81"/>
      <c r="F825" s="131"/>
      <c r="G825" s="131"/>
      <c r="H825" s="131"/>
      <c r="I825" s="131"/>
      <c r="J825" s="131"/>
      <c r="K825" s="131"/>
      <c r="L825" s="131"/>
      <c r="M825" s="131"/>
      <c r="N825" s="131"/>
      <c r="O825" s="131"/>
      <c r="P825" s="131"/>
      <c r="Q825" s="131"/>
      <c r="R825" s="131"/>
      <c r="S825" s="131"/>
      <c r="T825" s="131"/>
      <c r="U825" s="131"/>
      <c r="V825" s="131"/>
      <c r="W825" s="131"/>
      <c r="X825" s="131"/>
      <c r="Y825" s="131"/>
    </row>
    <row r="826">
      <c r="A826" s="131"/>
      <c r="B826" s="131"/>
      <c r="C826" s="131"/>
      <c r="D826" s="81"/>
      <c r="E826" s="81"/>
      <c r="F826" s="131"/>
      <c r="G826" s="131"/>
      <c r="H826" s="131"/>
      <c r="I826" s="131"/>
      <c r="J826" s="131"/>
      <c r="K826" s="131"/>
      <c r="L826" s="131"/>
      <c r="M826" s="131"/>
      <c r="N826" s="131"/>
      <c r="O826" s="131"/>
      <c r="P826" s="131"/>
      <c r="Q826" s="131"/>
      <c r="R826" s="131"/>
      <c r="S826" s="131"/>
      <c r="T826" s="131"/>
      <c r="U826" s="131"/>
      <c r="V826" s="131"/>
      <c r="W826" s="131"/>
      <c r="X826" s="131"/>
      <c r="Y826" s="131"/>
    </row>
    <row r="827">
      <c r="A827" s="131"/>
      <c r="B827" s="131"/>
      <c r="C827" s="131"/>
      <c r="D827" s="81"/>
      <c r="E827" s="81"/>
      <c r="F827" s="131"/>
      <c r="G827" s="131"/>
      <c r="H827" s="131"/>
      <c r="I827" s="131"/>
      <c r="J827" s="131"/>
      <c r="K827" s="131"/>
      <c r="L827" s="131"/>
      <c r="M827" s="131"/>
      <c r="N827" s="131"/>
      <c r="O827" s="131"/>
      <c r="P827" s="131"/>
      <c r="Q827" s="131"/>
      <c r="R827" s="131"/>
      <c r="S827" s="131"/>
      <c r="T827" s="131"/>
      <c r="U827" s="131"/>
      <c r="V827" s="131"/>
      <c r="W827" s="131"/>
      <c r="X827" s="131"/>
      <c r="Y827" s="131"/>
    </row>
    <row r="828">
      <c r="A828" s="131"/>
      <c r="B828" s="131"/>
      <c r="C828" s="131"/>
      <c r="D828" s="81"/>
      <c r="E828" s="81"/>
      <c r="F828" s="131"/>
      <c r="G828" s="131"/>
      <c r="H828" s="131"/>
      <c r="I828" s="131"/>
      <c r="J828" s="131"/>
      <c r="K828" s="131"/>
      <c r="L828" s="131"/>
      <c r="M828" s="131"/>
      <c r="N828" s="131"/>
      <c r="O828" s="131"/>
      <c r="P828" s="131"/>
      <c r="Q828" s="131"/>
      <c r="R828" s="131"/>
      <c r="S828" s="131"/>
      <c r="T828" s="131"/>
      <c r="U828" s="131"/>
      <c r="V828" s="131"/>
      <c r="W828" s="131"/>
      <c r="X828" s="131"/>
      <c r="Y828" s="131"/>
    </row>
    <row r="829">
      <c r="A829" s="131"/>
      <c r="B829" s="131"/>
      <c r="C829" s="131"/>
      <c r="D829" s="81"/>
      <c r="E829" s="81"/>
      <c r="F829" s="131"/>
      <c r="G829" s="131"/>
      <c r="H829" s="131"/>
      <c r="I829" s="131"/>
      <c r="J829" s="131"/>
      <c r="K829" s="131"/>
      <c r="L829" s="131"/>
      <c r="M829" s="131"/>
      <c r="N829" s="131"/>
      <c r="O829" s="131"/>
      <c r="P829" s="131"/>
      <c r="Q829" s="131"/>
      <c r="R829" s="131"/>
      <c r="S829" s="131"/>
      <c r="T829" s="131"/>
      <c r="U829" s="131"/>
      <c r="V829" s="131"/>
      <c r="W829" s="131"/>
      <c r="X829" s="131"/>
      <c r="Y829" s="131"/>
    </row>
    <row r="830">
      <c r="A830" s="131"/>
      <c r="B830" s="131"/>
      <c r="C830" s="131"/>
      <c r="D830" s="81"/>
      <c r="E830" s="81"/>
      <c r="F830" s="131"/>
      <c r="G830" s="131"/>
      <c r="H830" s="131"/>
      <c r="I830" s="131"/>
      <c r="J830" s="131"/>
      <c r="K830" s="131"/>
      <c r="L830" s="131"/>
      <c r="M830" s="131"/>
      <c r="N830" s="131"/>
      <c r="O830" s="131"/>
      <c r="P830" s="131"/>
      <c r="Q830" s="131"/>
      <c r="R830" s="131"/>
      <c r="S830" s="131"/>
      <c r="T830" s="131"/>
      <c r="U830" s="131"/>
      <c r="V830" s="131"/>
      <c r="W830" s="131"/>
      <c r="X830" s="131"/>
      <c r="Y830" s="131"/>
    </row>
    <row r="831">
      <c r="A831" s="131"/>
      <c r="B831" s="131"/>
      <c r="C831" s="131"/>
      <c r="D831" s="81"/>
      <c r="E831" s="81"/>
      <c r="F831" s="131"/>
      <c r="G831" s="131"/>
      <c r="H831" s="131"/>
      <c r="I831" s="131"/>
      <c r="J831" s="131"/>
      <c r="K831" s="131"/>
      <c r="L831" s="131"/>
      <c r="M831" s="131"/>
      <c r="N831" s="131"/>
      <c r="O831" s="131"/>
      <c r="P831" s="131"/>
      <c r="Q831" s="131"/>
      <c r="R831" s="131"/>
      <c r="S831" s="131"/>
      <c r="T831" s="131"/>
      <c r="U831" s="131"/>
      <c r="V831" s="131"/>
      <c r="W831" s="131"/>
      <c r="X831" s="131"/>
      <c r="Y831" s="131"/>
    </row>
    <row r="832">
      <c r="A832" s="131"/>
      <c r="B832" s="131"/>
      <c r="C832" s="131"/>
      <c r="D832" s="81"/>
      <c r="E832" s="81"/>
      <c r="F832" s="131"/>
      <c r="G832" s="131"/>
      <c r="H832" s="131"/>
      <c r="I832" s="131"/>
      <c r="J832" s="131"/>
      <c r="K832" s="131"/>
      <c r="L832" s="131"/>
      <c r="M832" s="131"/>
      <c r="N832" s="131"/>
      <c r="O832" s="131"/>
      <c r="P832" s="131"/>
      <c r="Q832" s="131"/>
      <c r="R832" s="131"/>
      <c r="S832" s="131"/>
      <c r="T832" s="131"/>
      <c r="U832" s="131"/>
      <c r="V832" s="131"/>
      <c r="W832" s="131"/>
      <c r="X832" s="131"/>
      <c r="Y832" s="131"/>
    </row>
    <row r="833">
      <c r="A833" s="131"/>
      <c r="B833" s="131"/>
      <c r="C833" s="131"/>
      <c r="D833" s="81"/>
      <c r="E833" s="81"/>
      <c r="F833" s="131"/>
      <c r="G833" s="131"/>
      <c r="H833" s="131"/>
      <c r="I833" s="131"/>
      <c r="J833" s="131"/>
      <c r="K833" s="131"/>
      <c r="L833" s="131"/>
      <c r="M833" s="131"/>
      <c r="N833" s="131"/>
      <c r="O833" s="131"/>
      <c r="P833" s="131"/>
      <c r="Q833" s="131"/>
      <c r="R833" s="131"/>
      <c r="S833" s="131"/>
      <c r="T833" s="131"/>
      <c r="U833" s="131"/>
      <c r="V833" s="131"/>
      <c r="W833" s="131"/>
      <c r="X833" s="131"/>
      <c r="Y833" s="131"/>
    </row>
    <row r="834">
      <c r="A834" s="131"/>
      <c r="B834" s="131"/>
      <c r="C834" s="131"/>
      <c r="D834" s="81"/>
      <c r="E834" s="81"/>
      <c r="F834" s="131"/>
      <c r="G834" s="131"/>
      <c r="H834" s="131"/>
      <c r="I834" s="131"/>
      <c r="J834" s="131"/>
      <c r="K834" s="131"/>
      <c r="L834" s="131"/>
      <c r="M834" s="131"/>
      <c r="N834" s="131"/>
      <c r="O834" s="131"/>
      <c r="P834" s="131"/>
      <c r="Q834" s="131"/>
      <c r="R834" s="131"/>
      <c r="S834" s="131"/>
      <c r="T834" s="131"/>
      <c r="U834" s="131"/>
      <c r="V834" s="131"/>
      <c r="W834" s="131"/>
      <c r="X834" s="131"/>
      <c r="Y834" s="131"/>
    </row>
    <row r="835">
      <c r="A835" s="131"/>
      <c r="B835" s="131"/>
      <c r="C835" s="131"/>
      <c r="D835" s="81"/>
      <c r="E835" s="81"/>
      <c r="F835" s="131"/>
      <c r="G835" s="131"/>
      <c r="H835" s="131"/>
      <c r="I835" s="131"/>
      <c r="J835" s="131"/>
      <c r="K835" s="131"/>
      <c r="L835" s="131"/>
      <c r="M835" s="131"/>
      <c r="N835" s="131"/>
      <c r="O835" s="131"/>
      <c r="P835" s="131"/>
      <c r="Q835" s="131"/>
      <c r="R835" s="131"/>
      <c r="S835" s="131"/>
      <c r="T835" s="131"/>
      <c r="U835" s="131"/>
      <c r="V835" s="131"/>
      <c r="W835" s="131"/>
      <c r="X835" s="131"/>
      <c r="Y835" s="131"/>
    </row>
    <row r="836">
      <c r="A836" s="131"/>
      <c r="B836" s="131"/>
      <c r="C836" s="131"/>
      <c r="D836" s="81"/>
      <c r="E836" s="81"/>
      <c r="F836" s="131"/>
      <c r="G836" s="131"/>
      <c r="H836" s="131"/>
      <c r="I836" s="131"/>
      <c r="J836" s="131"/>
      <c r="K836" s="131"/>
      <c r="L836" s="131"/>
      <c r="M836" s="131"/>
      <c r="N836" s="131"/>
      <c r="O836" s="131"/>
      <c r="P836" s="131"/>
      <c r="Q836" s="131"/>
      <c r="R836" s="131"/>
      <c r="S836" s="131"/>
      <c r="T836" s="131"/>
      <c r="U836" s="131"/>
      <c r="V836" s="131"/>
      <c r="W836" s="131"/>
      <c r="X836" s="131"/>
      <c r="Y836" s="131"/>
    </row>
    <row r="837">
      <c r="A837" s="131"/>
      <c r="B837" s="131"/>
      <c r="C837" s="131"/>
      <c r="D837" s="81"/>
      <c r="E837" s="81"/>
      <c r="F837" s="131"/>
      <c r="G837" s="131"/>
      <c r="H837" s="131"/>
      <c r="I837" s="131"/>
      <c r="J837" s="131"/>
      <c r="K837" s="131"/>
      <c r="L837" s="131"/>
      <c r="M837" s="131"/>
      <c r="N837" s="131"/>
      <c r="O837" s="131"/>
      <c r="P837" s="131"/>
      <c r="Q837" s="131"/>
      <c r="R837" s="131"/>
      <c r="S837" s="131"/>
      <c r="T837" s="131"/>
      <c r="U837" s="131"/>
      <c r="V837" s="131"/>
      <c r="W837" s="131"/>
      <c r="X837" s="131"/>
      <c r="Y837" s="131"/>
    </row>
    <row r="838">
      <c r="A838" s="131"/>
      <c r="B838" s="131"/>
      <c r="C838" s="131"/>
      <c r="D838" s="81"/>
      <c r="E838" s="81"/>
      <c r="F838" s="131"/>
      <c r="G838" s="131"/>
      <c r="H838" s="131"/>
      <c r="I838" s="131"/>
      <c r="J838" s="131"/>
      <c r="K838" s="131"/>
      <c r="L838" s="131"/>
      <c r="M838" s="131"/>
      <c r="N838" s="131"/>
      <c r="O838" s="131"/>
      <c r="P838" s="131"/>
      <c r="Q838" s="131"/>
      <c r="R838" s="131"/>
      <c r="S838" s="131"/>
      <c r="T838" s="131"/>
      <c r="U838" s="131"/>
      <c r="V838" s="131"/>
      <c r="W838" s="131"/>
      <c r="X838" s="131"/>
      <c r="Y838" s="131"/>
    </row>
    <row r="839">
      <c r="A839" s="131"/>
      <c r="B839" s="131"/>
      <c r="C839" s="131"/>
      <c r="D839" s="81"/>
      <c r="E839" s="81"/>
      <c r="F839" s="131"/>
      <c r="G839" s="131"/>
      <c r="H839" s="131"/>
      <c r="I839" s="131"/>
      <c r="J839" s="131"/>
      <c r="K839" s="131"/>
      <c r="L839" s="131"/>
      <c r="M839" s="131"/>
      <c r="N839" s="131"/>
      <c r="O839" s="131"/>
      <c r="P839" s="131"/>
      <c r="Q839" s="131"/>
      <c r="R839" s="131"/>
      <c r="S839" s="131"/>
      <c r="T839" s="131"/>
      <c r="U839" s="131"/>
      <c r="V839" s="131"/>
      <c r="W839" s="131"/>
      <c r="X839" s="131"/>
      <c r="Y839" s="131"/>
    </row>
    <row r="840">
      <c r="A840" s="131"/>
      <c r="B840" s="131"/>
      <c r="C840" s="131"/>
      <c r="D840" s="81"/>
      <c r="E840" s="81"/>
      <c r="F840" s="131"/>
      <c r="G840" s="131"/>
      <c r="H840" s="131"/>
      <c r="I840" s="131"/>
      <c r="J840" s="131"/>
      <c r="K840" s="131"/>
      <c r="L840" s="131"/>
      <c r="M840" s="131"/>
      <c r="N840" s="131"/>
      <c r="O840" s="131"/>
      <c r="P840" s="131"/>
      <c r="Q840" s="131"/>
      <c r="R840" s="131"/>
      <c r="S840" s="131"/>
      <c r="T840" s="131"/>
      <c r="U840" s="131"/>
      <c r="V840" s="131"/>
      <c r="W840" s="131"/>
      <c r="X840" s="131"/>
      <c r="Y840" s="131"/>
    </row>
    <row r="841">
      <c r="A841" s="131"/>
      <c r="B841" s="131"/>
      <c r="C841" s="131"/>
      <c r="D841" s="81"/>
      <c r="E841" s="81"/>
      <c r="F841" s="131"/>
      <c r="G841" s="131"/>
      <c r="H841" s="131"/>
      <c r="I841" s="131"/>
      <c r="J841" s="131"/>
      <c r="K841" s="131"/>
      <c r="L841" s="131"/>
      <c r="M841" s="131"/>
      <c r="N841" s="131"/>
      <c r="O841" s="131"/>
      <c r="P841" s="131"/>
      <c r="Q841" s="131"/>
      <c r="R841" s="131"/>
      <c r="S841" s="131"/>
      <c r="T841" s="131"/>
      <c r="U841" s="131"/>
      <c r="V841" s="131"/>
      <c r="W841" s="131"/>
      <c r="X841" s="131"/>
      <c r="Y841" s="131"/>
    </row>
    <row r="842">
      <c r="A842" s="131"/>
      <c r="B842" s="131"/>
      <c r="C842" s="131"/>
      <c r="D842" s="81"/>
      <c r="E842" s="81"/>
      <c r="F842" s="131"/>
      <c r="G842" s="131"/>
      <c r="H842" s="131"/>
      <c r="I842" s="131"/>
      <c r="J842" s="131"/>
      <c r="K842" s="131"/>
      <c r="L842" s="131"/>
      <c r="M842" s="131"/>
      <c r="N842" s="131"/>
      <c r="O842" s="131"/>
      <c r="P842" s="131"/>
      <c r="Q842" s="131"/>
      <c r="R842" s="131"/>
      <c r="S842" s="131"/>
      <c r="T842" s="131"/>
      <c r="U842" s="131"/>
      <c r="V842" s="131"/>
      <c r="W842" s="131"/>
      <c r="X842" s="131"/>
      <c r="Y842" s="131"/>
    </row>
    <row r="843">
      <c r="A843" s="131"/>
      <c r="B843" s="131"/>
      <c r="C843" s="131"/>
      <c r="D843" s="81"/>
      <c r="E843" s="81"/>
      <c r="F843" s="131"/>
      <c r="G843" s="131"/>
      <c r="H843" s="131"/>
      <c r="I843" s="131"/>
      <c r="J843" s="131"/>
      <c r="K843" s="131"/>
      <c r="L843" s="131"/>
      <c r="M843" s="131"/>
      <c r="N843" s="131"/>
      <c r="O843" s="131"/>
      <c r="P843" s="131"/>
      <c r="Q843" s="131"/>
      <c r="R843" s="131"/>
      <c r="S843" s="131"/>
      <c r="T843" s="131"/>
      <c r="U843" s="131"/>
      <c r="V843" s="131"/>
      <c r="W843" s="131"/>
      <c r="X843" s="131"/>
      <c r="Y843" s="131"/>
    </row>
    <row r="844">
      <c r="A844" s="131"/>
      <c r="B844" s="131"/>
      <c r="C844" s="131"/>
      <c r="D844" s="81"/>
      <c r="E844" s="81"/>
      <c r="F844" s="131"/>
      <c r="G844" s="131"/>
      <c r="H844" s="131"/>
      <c r="I844" s="131"/>
      <c r="J844" s="131"/>
      <c r="K844" s="131"/>
      <c r="L844" s="131"/>
      <c r="M844" s="131"/>
      <c r="N844" s="131"/>
      <c r="O844" s="131"/>
      <c r="P844" s="131"/>
      <c r="Q844" s="131"/>
      <c r="R844" s="131"/>
      <c r="S844" s="131"/>
      <c r="T844" s="131"/>
      <c r="U844" s="131"/>
      <c r="V844" s="131"/>
      <c r="W844" s="131"/>
      <c r="X844" s="131"/>
      <c r="Y844" s="131"/>
    </row>
    <row r="845">
      <c r="A845" s="131"/>
      <c r="B845" s="131"/>
      <c r="C845" s="131"/>
      <c r="D845" s="81"/>
      <c r="E845" s="81"/>
      <c r="F845" s="131"/>
      <c r="G845" s="131"/>
      <c r="H845" s="131"/>
      <c r="I845" s="131"/>
      <c r="J845" s="131"/>
      <c r="K845" s="131"/>
      <c r="L845" s="131"/>
      <c r="M845" s="131"/>
      <c r="N845" s="131"/>
      <c r="O845" s="131"/>
      <c r="P845" s="131"/>
      <c r="Q845" s="131"/>
      <c r="R845" s="131"/>
      <c r="S845" s="131"/>
      <c r="T845" s="131"/>
      <c r="U845" s="131"/>
      <c r="V845" s="131"/>
      <c r="W845" s="131"/>
      <c r="X845" s="131"/>
      <c r="Y845" s="131"/>
    </row>
    <row r="846">
      <c r="A846" s="131"/>
      <c r="B846" s="131"/>
      <c r="C846" s="131"/>
      <c r="D846" s="81"/>
      <c r="E846" s="81"/>
      <c r="F846" s="131"/>
      <c r="G846" s="131"/>
      <c r="H846" s="131"/>
      <c r="I846" s="131"/>
      <c r="J846" s="131"/>
      <c r="K846" s="131"/>
      <c r="L846" s="131"/>
      <c r="M846" s="131"/>
      <c r="N846" s="131"/>
      <c r="O846" s="131"/>
      <c r="P846" s="131"/>
      <c r="Q846" s="131"/>
      <c r="R846" s="131"/>
      <c r="S846" s="131"/>
      <c r="T846" s="131"/>
      <c r="U846" s="131"/>
      <c r="V846" s="131"/>
      <c r="W846" s="131"/>
      <c r="X846" s="131"/>
      <c r="Y846" s="131"/>
    </row>
    <row r="847">
      <c r="A847" s="131"/>
      <c r="B847" s="131"/>
      <c r="C847" s="131"/>
      <c r="D847" s="81"/>
      <c r="E847" s="81"/>
      <c r="F847" s="131"/>
      <c r="G847" s="131"/>
      <c r="H847" s="131"/>
      <c r="I847" s="131"/>
      <c r="J847" s="131"/>
      <c r="K847" s="131"/>
      <c r="L847" s="131"/>
      <c r="M847" s="131"/>
      <c r="N847" s="131"/>
      <c r="O847" s="131"/>
      <c r="P847" s="131"/>
      <c r="Q847" s="131"/>
      <c r="R847" s="131"/>
      <c r="S847" s="131"/>
      <c r="T847" s="131"/>
      <c r="U847" s="131"/>
      <c r="V847" s="131"/>
      <c r="W847" s="131"/>
      <c r="X847" s="131"/>
      <c r="Y847" s="131"/>
    </row>
    <row r="848">
      <c r="A848" s="131"/>
      <c r="B848" s="131"/>
      <c r="C848" s="131"/>
      <c r="D848" s="81"/>
      <c r="E848" s="81"/>
      <c r="F848" s="131"/>
      <c r="G848" s="131"/>
      <c r="H848" s="131"/>
      <c r="I848" s="131"/>
      <c r="J848" s="131"/>
      <c r="K848" s="131"/>
      <c r="L848" s="131"/>
      <c r="M848" s="131"/>
      <c r="N848" s="131"/>
      <c r="O848" s="131"/>
      <c r="P848" s="131"/>
      <c r="Q848" s="131"/>
      <c r="R848" s="131"/>
      <c r="S848" s="131"/>
      <c r="T848" s="131"/>
      <c r="U848" s="131"/>
      <c r="V848" s="131"/>
      <c r="W848" s="131"/>
      <c r="X848" s="131"/>
      <c r="Y848" s="131"/>
    </row>
    <row r="849">
      <c r="A849" s="131"/>
      <c r="B849" s="131"/>
      <c r="C849" s="131"/>
      <c r="D849" s="81"/>
      <c r="E849" s="81"/>
      <c r="F849" s="131"/>
      <c r="G849" s="131"/>
      <c r="H849" s="131"/>
      <c r="I849" s="131"/>
      <c r="J849" s="131"/>
      <c r="K849" s="131"/>
      <c r="L849" s="131"/>
      <c r="M849" s="131"/>
      <c r="N849" s="131"/>
      <c r="O849" s="131"/>
      <c r="P849" s="131"/>
      <c r="Q849" s="131"/>
      <c r="R849" s="131"/>
      <c r="S849" s="131"/>
      <c r="T849" s="131"/>
      <c r="U849" s="131"/>
      <c r="V849" s="131"/>
      <c r="W849" s="131"/>
      <c r="X849" s="131"/>
      <c r="Y849" s="131"/>
    </row>
    <row r="850">
      <c r="A850" s="131"/>
      <c r="B850" s="131"/>
      <c r="C850" s="131"/>
      <c r="D850" s="81"/>
      <c r="E850" s="81"/>
      <c r="F850" s="131"/>
      <c r="G850" s="131"/>
      <c r="H850" s="131"/>
      <c r="I850" s="131"/>
      <c r="J850" s="131"/>
      <c r="K850" s="131"/>
      <c r="L850" s="131"/>
      <c r="M850" s="131"/>
      <c r="N850" s="131"/>
      <c r="O850" s="131"/>
      <c r="P850" s="131"/>
      <c r="Q850" s="131"/>
      <c r="R850" s="131"/>
      <c r="S850" s="131"/>
      <c r="T850" s="131"/>
      <c r="U850" s="131"/>
      <c r="V850" s="131"/>
      <c r="W850" s="131"/>
      <c r="X850" s="131"/>
      <c r="Y850" s="131"/>
    </row>
    <row r="851">
      <c r="A851" s="131"/>
      <c r="B851" s="131"/>
      <c r="C851" s="131"/>
      <c r="D851" s="81"/>
      <c r="E851" s="81"/>
      <c r="F851" s="131"/>
      <c r="G851" s="131"/>
      <c r="H851" s="131"/>
      <c r="I851" s="131"/>
      <c r="J851" s="131"/>
      <c r="K851" s="131"/>
      <c r="L851" s="131"/>
      <c r="M851" s="131"/>
      <c r="N851" s="131"/>
      <c r="O851" s="131"/>
      <c r="P851" s="131"/>
      <c r="Q851" s="131"/>
      <c r="R851" s="131"/>
      <c r="S851" s="131"/>
      <c r="T851" s="131"/>
      <c r="U851" s="131"/>
      <c r="V851" s="131"/>
      <c r="W851" s="131"/>
      <c r="X851" s="131"/>
      <c r="Y851" s="131"/>
    </row>
    <row r="852">
      <c r="A852" s="131"/>
      <c r="B852" s="131"/>
      <c r="C852" s="131"/>
      <c r="D852" s="81"/>
      <c r="E852" s="81"/>
      <c r="F852" s="131"/>
      <c r="G852" s="131"/>
      <c r="H852" s="131"/>
      <c r="I852" s="131"/>
      <c r="J852" s="131"/>
      <c r="K852" s="131"/>
      <c r="L852" s="131"/>
      <c r="M852" s="131"/>
      <c r="N852" s="131"/>
      <c r="O852" s="131"/>
      <c r="P852" s="131"/>
      <c r="Q852" s="131"/>
      <c r="R852" s="131"/>
      <c r="S852" s="131"/>
      <c r="T852" s="131"/>
      <c r="U852" s="131"/>
      <c r="V852" s="131"/>
      <c r="W852" s="131"/>
      <c r="X852" s="131"/>
      <c r="Y852" s="131"/>
    </row>
    <row r="853">
      <c r="A853" s="131"/>
      <c r="B853" s="131"/>
      <c r="C853" s="131"/>
      <c r="D853" s="81"/>
      <c r="E853" s="81"/>
      <c r="F853" s="131"/>
      <c r="G853" s="131"/>
      <c r="H853" s="131"/>
      <c r="I853" s="131"/>
      <c r="J853" s="131"/>
      <c r="K853" s="131"/>
      <c r="L853" s="131"/>
      <c r="M853" s="131"/>
      <c r="N853" s="131"/>
      <c r="O853" s="131"/>
      <c r="P853" s="131"/>
      <c r="Q853" s="131"/>
      <c r="R853" s="131"/>
      <c r="S853" s="131"/>
      <c r="T853" s="131"/>
      <c r="U853" s="131"/>
      <c r="V853" s="131"/>
      <c r="W853" s="131"/>
      <c r="X853" s="131"/>
      <c r="Y853" s="131"/>
    </row>
    <row r="854">
      <c r="A854" s="131"/>
      <c r="B854" s="131"/>
      <c r="C854" s="131"/>
      <c r="D854" s="81"/>
      <c r="E854" s="81"/>
      <c r="F854" s="131"/>
      <c r="G854" s="131"/>
      <c r="H854" s="131"/>
      <c r="I854" s="131"/>
      <c r="J854" s="131"/>
      <c r="K854" s="131"/>
      <c r="L854" s="131"/>
      <c r="M854" s="131"/>
      <c r="N854" s="131"/>
      <c r="O854" s="131"/>
      <c r="P854" s="131"/>
      <c r="Q854" s="131"/>
      <c r="R854" s="131"/>
      <c r="S854" s="131"/>
      <c r="T854" s="131"/>
      <c r="U854" s="131"/>
      <c r="V854" s="131"/>
      <c r="W854" s="131"/>
      <c r="X854" s="131"/>
      <c r="Y854" s="131"/>
    </row>
    <row r="855">
      <c r="A855" s="131"/>
      <c r="B855" s="131"/>
      <c r="C855" s="131"/>
      <c r="D855" s="81"/>
      <c r="E855" s="81"/>
      <c r="F855" s="131"/>
      <c r="G855" s="131"/>
      <c r="H855" s="131"/>
      <c r="I855" s="131"/>
      <c r="J855" s="131"/>
      <c r="K855" s="131"/>
      <c r="L855" s="131"/>
      <c r="M855" s="131"/>
      <c r="N855" s="131"/>
      <c r="O855" s="131"/>
      <c r="P855" s="131"/>
      <c r="Q855" s="131"/>
      <c r="R855" s="131"/>
      <c r="S855" s="131"/>
      <c r="T855" s="131"/>
      <c r="U855" s="131"/>
      <c r="V855" s="131"/>
      <c r="W855" s="131"/>
      <c r="X855" s="131"/>
      <c r="Y855" s="131"/>
    </row>
    <row r="856">
      <c r="A856" s="131"/>
      <c r="B856" s="131"/>
      <c r="C856" s="131"/>
      <c r="D856" s="81"/>
      <c r="E856" s="81"/>
      <c r="F856" s="131"/>
      <c r="G856" s="131"/>
      <c r="H856" s="131"/>
      <c r="I856" s="131"/>
      <c r="J856" s="131"/>
      <c r="K856" s="131"/>
      <c r="L856" s="131"/>
      <c r="M856" s="131"/>
      <c r="N856" s="131"/>
      <c r="O856" s="131"/>
      <c r="P856" s="131"/>
      <c r="Q856" s="131"/>
      <c r="R856" s="131"/>
      <c r="S856" s="131"/>
      <c r="T856" s="131"/>
      <c r="U856" s="131"/>
      <c r="V856" s="131"/>
      <c r="W856" s="131"/>
      <c r="X856" s="131"/>
      <c r="Y856" s="131"/>
    </row>
    <row r="857">
      <c r="A857" s="131"/>
      <c r="B857" s="131"/>
      <c r="C857" s="131"/>
      <c r="D857" s="81"/>
      <c r="E857" s="81"/>
      <c r="F857" s="131"/>
      <c r="G857" s="131"/>
      <c r="H857" s="131"/>
      <c r="I857" s="131"/>
      <c r="J857" s="131"/>
      <c r="K857" s="131"/>
      <c r="L857" s="131"/>
      <c r="M857" s="131"/>
      <c r="N857" s="131"/>
      <c r="O857" s="131"/>
      <c r="P857" s="131"/>
      <c r="Q857" s="131"/>
      <c r="R857" s="131"/>
      <c r="S857" s="131"/>
      <c r="T857" s="131"/>
      <c r="U857" s="131"/>
      <c r="V857" s="131"/>
      <c r="W857" s="131"/>
      <c r="X857" s="131"/>
      <c r="Y857" s="131"/>
    </row>
    <row r="858">
      <c r="A858" s="131"/>
      <c r="B858" s="131"/>
      <c r="C858" s="131"/>
      <c r="D858" s="81"/>
      <c r="E858" s="81"/>
      <c r="F858" s="131"/>
      <c r="G858" s="131"/>
      <c r="H858" s="131"/>
      <c r="I858" s="131"/>
      <c r="J858" s="131"/>
      <c r="K858" s="131"/>
      <c r="L858" s="131"/>
      <c r="M858" s="131"/>
      <c r="N858" s="131"/>
      <c r="O858" s="131"/>
      <c r="P858" s="131"/>
      <c r="Q858" s="131"/>
      <c r="R858" s="131"/>
      <c r="S858" s="131"/>
      <c r="T858" s="131"/>
      <c r="U858" s="131"/>
      <c r="V858" s="131"/>
      <c r="W858" s="131"/>
      <c r="X858" s="131"/>
      <c r="Y858" s="131"/>
    </row>
    <row r="859">
      <c r="A859" s="131"/>
      <c r="B859" s="131"/>
      <c r="C859" s="131"/>
      <c r="D859" s="81"/>
      <c r="E859" s="81"/>
      <c r="F859" s="131"/>
      <c r="G859" s="131"/>
      <c r="H859" s="131"/>
      <c r="I859" s="131"/>
      <c r="J859" s="131"/>
      <c r="K859" s="131"/>
      <c r="L859" s="131"/>
      <c r="M859" s="131"/>
      <c r="N859" s="131"/>
      <c r="O859" s="131"/>
      <c r="P859" s="131"/>
      <c r="Q859" s="131"/>
      <c r="R859" s="131"/>
      <c r="S859" s="131"/>
      <c r="T859" s="131"/>
      <c r="U859" s="131"/>
      <c r="V859" s="131"/>
      <c r="W859" s="131"/>
      <c r="X859" s="131"/>
      <c r="Y859" s="131"/>
    </row>
    <row r="860">
      <c r="A860" s="131"/>
      <c r="B860" s="131"/>
      <c r="C860" s="131"/>
      <c r="D860" s="81"/>
      <c r="E860" s="81"/>
      <c r="F860" s="131"/>
      <c r="G860" s="131"/>
      <c r="H860" s="131"/>
      <c r="I860" s="131"/>
      <c r="J860" s="131"/>
      <c r="K860" s="131"/>
      <c r="L860" s="131"/>
      <c r="M860" s="131"/>
      <c r="N860" s="131"/>
      <c r="O860" s="131"/>
      <c r="P860" s="131"/>
      <c r="Q860" s="131"/>
      <c r="R860" s="131"/>
      <c r="S860" s="131"/>
      <c r="T860" s="131"/>
      <c r="U860" s="131"/>
      <c r="V860" s="131"/>
      <c r="W860" s="131"/>
      <c r="X860" s="131"/>
      <c r="Y860" s="131"/>
    </row>
    <row r="861">
      <c r="A861" s="131"/>
      <c r="B861" s="131"/>
      <c r="C861" s="131"/>
      <c r="D861" s="81"/>
      <c r="E861" s="81"/>
      <c r="F861" s="131"/>
      <c r="G861" s="131"/>
      <c r="H861" s="131"/>
      <c r="I861" s="131"/>
      <c r="J861" s="131"/>
      <c r="K861" s="131"/>
      <c r="L861" s="131"/>
      <c r="M861" s="131"/>
      <c r="N861" s="131"/>
      <c r="O861" s="131"/>
      <c r="P861" s="131"/>
      <c r="Q861" s="131"/>
      <c r="R861" s="131"/>
      <c r="S861" s="131"/>
      <c r="T861" s="131"/>
      <c r="U861" s="131"/>
      <c r="V861" s="131"/>
      <c r="W861" s="131"/>
      <c r="X861" s="131"/>
      <c r="Y861" s="131"/>
    </row>
    <row r="862">
      <c r="A862" s="131"/>
      <c r="B862" s="131"/>
      <c r="C862" s="131"/>
      <c r="D862" s="81"/>
      <c r="E862" s="81"/>
      <c r="F862" s="131"/>
      <c r="G862" s="131"/>
      <c r="H862" s="131"/>
      <c r="I862" s="131"/>
      <c r="J862" s="131"/>
      <c r="K862" s="131"/>
      <c r="L862" s="131"/>
      <c r="M862" s="131"/>
      <c r="N862" s="131"/>
      <c r="O862" s="131"/>
      <c r="P862" s="131"/>
      <c r="Q862" s="131"/>
      <c r="R862" s="131"/>
      <c r="S862" s="131"/>
      <c r="T862" s="131"/>
      <c r="U862" s="131"/>
      <c r="V862" s="131"/>
      <c r="W862" s="131"/>
      <c r="X862" s="131"/>
      <c r="Y862" s="131"/>
    </row>
    <row r="863">
      <c r="A863" s="131"/>
      <c r="B863" s="131"/>
      <c r="C863" s="131"/>
      <c r="D863" s="81"/>
      <c r="E863" s="81"/>
      <c r="F863" s="131"/>
      <c r="G863" s="131"/>
      <c r="H863" s="131"/>
      <c r="I863" s="131"/>
      <c r="J863" s="131"/>
      <c r="K863" s="131"/>
      <c r="L863" s="131"/>
      <c r="M863" s="131"/>
      <c r="N863" s="131"/>
      <c r="O863" s="131"/>
      <c r="P863" s="131"/>
      <c r="Q863" s="131"/>
      <c r="R863" s="131"/>
      <c r="S863" s="131"/>
      <c r="T863" s="131"/>
      <c r="U863" s="131"/>
      <c r="V863" s="131"/>
      <c r="W863" s="131"/>
      <c r="X863" s="131"/>
      <c r="Y863" s="131"/>
    </row>
    <row r="864">
      <c r="A864" s="131"/>
      <c r="B864" s="131"/>
      <c r="C864" s="131"/>
      <c r="D864" s="81"/>
      <c r="E864" s="81"/>
      <c r="F864" s="131"/>
      <c r="G864" s="131"/>
      <c r="H864" s="131"/>
      <c r="I864" s="131"/>
      <c r="J864" s="131"/>
      <c r="K864" s="131"/>
      <c r="L864" s="131"/>
      <c r="M864" s="131"/>
      <c r="N864" s="131"/>
      <c r="O864" s="131"/>
      <c r="P864" s="131"/>
      <c r="Q864" s="131"/>
      <c r="R864" s="131"/>
      <c r="S864" s="131"/>
      <c r="T864" s="131"/>
      <c r="U864" s="131"/>
      <c r="V864" s="131"/>
      <c r="W864" s="131"/>
      <c r="X864" s="131"/>
      <c r="Y864" s="131"/>
    </row>
    <row r="865">
      <c r="A865" s="131"/>
      <c r="B865" s="131"/>
      <c r="C865" s="131"/>
      <c r="D865" s="81"/>
      <c r="E865" s="81"/>
      <c r="F865" s="131"/>
      <c r="G865" s="131"/>
      <c r="H865" s="131"/>
      <c r="I865" s="131"/>
      <c r="J865" s="131"/>
      <c r="K865" s="131"/>
      <c r="L865" s="131"/>
      <c r="M865" s="131"/>
      <c r="N865" s="131"/>
      <c r="O865" s="131"/>
      <c r="P865" s="131"/>
      <c r="Q865" s="131"/>
      <c r="R865" s="131"/>
      <c r="S865" s="131"/>
      <c r="T865" s="131"/>
      <c r="U865" s="131"/>
      <c r="V865" s="131"/>
      <c r="W865" s="131"/>
      <c r="X865" s="131"/>
      <c r="Y865" s="131"/>
    </row>
    <row r="866">
      <c r="A866" s="131"/>
      <c r="B866" s="131"/>
      <c r="C866" s="131"/>
      <c r="D866" s="81"/>
      <c r="E866" s="81"/>
      <c r="F866" s="131"/>
      <c r="G866" s="131"/>
      <c r="H866" s="131"/>
      <c r="I866" s="131"/>
      <c r="J866" s="131"/>
      <c r="K866" s="131"/>
      <c r="L866" s="131"/>
      <c r="M866" s="131"/>
      <c r="N866" s="131"/>
      <c r="O866" s="131"/>
      <c r="P866" s="131"/>
      <c r="Q866" s="131"/>
      <c r="R866" s="131"/>
      <c r="S866" s="131"/>
      <c r="T866" s="131"/>
      <c r="U866" s="131"/>
      <c r="V866" s="131"/>
      <c r="W866" s="131"/>
      <c r="X866" s="131"/>
      <c r="Y866" s="131"/>
    </row>
    <row r="867">
      <c r="A867" s="131"/>
      <c r="B867" s="131"/>
      <c r="C867" s="131"/>
      <c r="D867" s="81"/>
      <c r="E867" s="81"/>
      <c r="F867" s="131"/>
      <c r="G867" s="131"/>
      <c r="H867" s="131"/>
      <c r="I867" s="131"/>
      <c r="J867" s="131"/>
      <c r="K867" s="131"/>
      <c r="L867" s="131"/>
      <c r="M867" s="131"/>
      <c r="N867" s="131"/>
      <c r="O867" s="131"/>
      <c r="P867" s="131"/>
      <c r="Q867" s="131"/>
      <c r="R867" s="131"/>
      <c r="S867" s="131"/>
      <c r="T867" s="131"/>
      <c r="U867" s="131"/>
      <c r="V867" s="131"/>
      <c r="W867" s="131"/>
      <c r="X867" s="131"/>
      <c r="Y867" s="131"/>
    </row>
    <row r="868">
      <c r="A868" s="131"/>
      <c r="B868" s="131"/>
      <c r="C868" s="131"/>
      <c r="D868" s="81"/>
      <c r="E868" s="81"/>
      <c r="F868" s="131"/>
      <c r="G868" s="131"/>
      <c r="H868" s="131"/>
      <c r="I868" s="131"/>
      <c r="J868" s="131"/>
      <c r="K868" s="131"/>
      <c r="L868" s="131"/>
      <c r="M868" s="131"/>
      <c r="N868" s="131"/>
      <c r="O868" s="131"/>
      <c r="P868" s="131"/>
      <c r="Q868" s="131"/>
      <c r="R868" s="131"/>
      <c r="S868" s="131"/>
      <c r="T868" s="131"/>
      <c r="U868" s="131"/>
      <c r="V868" s="131"/>
      <c r="W868" s="131"/>
      <c r="X868" s="131"/>
      <c r="Y868" s="131"/>
    </row>
    <row r="869">
      <c r="A869" s="131"/>
      <c r="B869" s="131"/>
      <c r="C869" s="131"/>
      <c r="D869" s="81"/>
      <c r="E869" s="81"/>
      <c r="F869" s="131"/>
      <c r="G869" s="131"/>
      <c r="H869" s="131"/>
      <c r="I869" s="131"/>
      <c r="J869" s="131"/>
      <c r="K869" s="131"/>
      <c r="L869" s="131"/>
      <c r="M869" s="131"/>
      <c r="N869" s="131"/>
      <c r="O869" s="131"/>
      <c r="P869" s="131"/>
      <c r="Q869" s="131"/>
      <c r="R869" s="131"/>
      <c r="S869" s="131"/>
      <c r="T869" s="131"/>
      <c r="U869" s="131"/>
      <c r="V869" s="131"/>
      <c r="W869" s="131"/>
      <c r="X869" s="131"/>
      <c r="Y869" s="131"/>
    </row>
    <row r="870">
      <c r="A870" s="131"/>
      <c r="B870" s="131"/>
      <c r="C870" s="131"/>
      <c r="D870" s="81"/>
      <c r="E870" s="81"/>
      <c r="F870" s="131"/>
      <c r="G870" s="131"/>
      <c r="H870" s="131"/>
      <c r="I870" s="131"/>
      <c r="J870" s="131"/>
      <c r="K870" s="131"/>
      <c r="L870" s="131"/>
      <c r="M870" s="131"/>
      <c r="N870" s="131"/>
      <c r="O870" s="131"/>
      <c r="P870" s="131"/>
      <c r="Q870" s="131"/>
      <c r="R870" s="131"/>
      <c r="S870" s="131"/>
      <c r="T870" s="131"/>
      <c r="U870" s="131"/>
      <c r="V870" s="131"/>
      <c r="W870" s="131"/>
      <c r="X870" s="131"/>
      <c r="Y870" s="131"/>
    </row>
    <row r="871">
      <c r="A871" s="131"/>
      <c r="B871" s="131"/>
      <c r="C871" s="131"/>
      <c r="D871" s="81"/>
      <c r="E871" s="81"/>
      <c r="F871" s="131"/>
      <c r="G871" s="131"/>
      <c r="H871" s="131"/>
      <c r="I871" s="131"/>
      <c r="J871" s="131"/>
      <c r="K871" s="131"/>
      <c r="L871" s="131"/>
      <c r="M871" s="131"/>
      <c r="N871" s="131"/>
      <c r="O871" s="131"/>
      <c r="P871" s="131"/>
      <c r="Q871" s="131"/>
      <c r="R871" s="131"/>
      <c r="S871" s="131"/>
      <c r="T871" s="131"/>
      <c r="U871" s="131"/>
      <c r="V871" s="131"/>
      <c r="W871" s="131"/>
      <c r="X871" s="131"/>
      <c r="Y871" s="131"/>
    </row>
    <row r="872">
      <c r="A872" s="131"/>
      <c r="B872" s="131"/>
      <c r="C872" s="131"/>
      <c r="D872" s="81"/>
      <c r="E872" s="81"/>
      <c r="F872" s="131"/>
      <c r="G872" s="131"/>
      <c r="H872" s="131"/>
      <c r="I872" s="131"/>
      <c r="J872" s="131"/>
      <c r="K872" s="131"/>
      <c r="L872" s="131"/>
      <c r="M872" s="131"/>
      <c r="N872" s="131"/>
      <c r="O872" s="131"/>
      <c r="P872" s="131"/>
      <c r="Q872" s="131"/>
      <c r="R872" s="131"/>
      <c r="S872" s="131"/>
      <c r="T872" s="131"/>
      <c r="U872" s="131"/>
      <c r="V872" s="131"/>
      <c r="W872" s="131"/>
      <c r="X872" s="131"/>
      <c r="Y872" s="131"/>
    </row>
    <row r="873">
      <c r="A873" s="131"/>
      <c r="B873" s="131"/>
      <c r="C873" s="131"/>
      <c r="D873" s="81"/>
      <c r="E873" s="81"/>
      <c r="F873" s="131"/>
      <c r="G873" s="131"/>
      <c r="H873" s="131"/>
      <c r="I873" s="131"/>
      <c r="J873" s="131"/>
      <c r="K873" s="131"/>
      <c r="L873" s="131"/>
      <c r="M873" s="131"/>
      <c r="N873" s="131"/>
      <c r="O873" s="131"/>
      <c r="P873" s="131"/>
      <c r="Q873" s="131"/>
      <c r="R873" s="131"/>
      <c r="S873" s="131"/>
      <c r="T873" s="131"/>
      <c r="U873" s="131"/>
      <c r="V873" s="131"/>
      <c r="W873" s="131"/>
      <c r="X873" s="131"/>
      <c r="Y873" s="131"/>
    </row>
    <row r="874">
      <c r="A874" s="131"/>
      <c r="B874" s="131"/>
      <c r="C874" s="131"/>
      <c r="D874" s="81"/>
      <c r="E874" s="81"/>
      <c r="F874" s="131"/>
      <c r="G874" s="131"/>
      <c r="H874" s="131"/>
      <c r="I874" s="131"/>
      <c r="J874" s="131"/>
      <c r="K874" s="131"/>
      <c r="L874" s="131"/>
      <c r="M874" s="131"/>
      <c r="N874" s="131"/>
      <c r="O874" s="131"/>
      <c r="P874" s="131"/>
      <c r="Q874" s="131"/>
      <c r="R874" s="131"/>
      <c r="S874" s="131"/>
      <c r="T874" s="131"/>
      <c r="U874" s="131"/>
      <c r="V874" s="131"/>
      <c r="W874" s="131"/>
      <c r="X874" s="131"/>
      <c r="Y874" s="131"/>
    </row>
    <row r="875">
      <c r="A875" s="131"/>
      <c r="B875" s="131"/>
      <c r="C875" s="131"/>
      <c r="D875" s="81"/>
      <c r="E875" s="81"/>
      <c r="F875" s="131"/>
      <c r="G875" s="131"/>
      <c r="H875" s="131"/>
      <c r="I875" s="131"/>
      <c r="J875" s="131"/>
      <c r="K875" s="131"/>
      <c r="L875" s="131"/>
      <c r="M875" s="131"/>
      <c r="N875" s="131"/>
      <c r="O875" s="131"/>
      <c r="P875" s="131"/>
      <c r="Q875" s="131"/>
      <c r="R875" s="131"/>
      <c r="S875" s="131"/>
      <c r="T875" s="131"/>
      <c r="U875" s="131"/>
      <c r="V875" s="131"/>
      <c r="W875" s="131"/>
      <c r="X875" s="131"/>
      <c r="Y875" s="131"/>
    </row>
    <row r="876">
      <c r="A876" s="131"/>
      <c r="B876" s="131"/>
      <c r="C876" s="131"/>
      <c r="D876" s="81"/>
      <c r="E876" s="81"/>
      <c r="F876" s="131"/>
      <c r="G876" s="131"/>
      <c r="H876" s="131"/>
      <c r="I876" s="131"/>
      <c r="J876" s="131"/>
      <c r="K876" s="131"/>
      <c r="L876" s="131"/>
      <c r="M876" s="131"/>
      <c r="N876" s="131"/>
      <c r="O876" s="131"/>
      <c r="P876" s="131"/>
      <c r="Q876" s="131"/>
      <c r="R876" s="131"/>
      <c r="S876" s="131"/>
      <c r="T876" s="131"/>
      <c r="U876" s="131"/>
      <c r="V876" s="131"/>
      <c r="W876" s="131"/>
      <c r="X876" s="131"/>
      <c r="Y876" s="131"/>
    </row>
    <row r="877">
      <c r="A877" s="131"/>
      <c r="B877" s="131"/>
      <c r="C877" s="131"/>
      <c r="D877" s="81"/>
      <c r="E877" s="81"/>
      <c r="F877" s="131"/>
      <c r="G877" s="131"/>
      <c r="H877" s="131"/>
      <c r="I877" s="131"/>
      <c r="J877" s="131"/>
      <c r="K877" s="131"/>
      <c r="L877" s="131"/>
      <c r="M877" s="131"/>
      <c r="N877" s="131"/>
      <c r="O877" s="131"/>
      <c r="P877" s="131"/>
      <c r="Q877" s="131"/>
      <c r="R877" s="131"/>
      <c r="S877" s="131"/>
      <c r="T877" s="131"/>
      <c r="U877" s="131"/>
      <c r="V877" s="131"/>
      <c r="W877" s="131"/>
      <c r="X877" s="131"/>
      <c r="Y877" s="131"/>
    </row>
    <row r="878">
      <c r="A878" s="131"/>
      <c r="B878" s="131"/>
      <c r="C878" s="131"/>
      <c r="D878" s="81"/>
      <c r="E878" s="81"/>
      <c r="F878" s="131"/>
      <c r="G878" s="131"/>
      <c r="H878" s="131"/>
      <c r="I878" s="131"/>
      <c r="J878" s="131"/>
      <c r="K878" s="131"/>
      <c r="L878" s="131"/>
      <c r="M878" s="131"/>
      <c r="N878" s="131"/>
      <c r="O878" s="131"/>
      <c r="P878" s="131"/>
      <c r="Q878" s="131"/>
      <c r="R878" s="131"/>
      <c r="S878" s="131"/>
      <c r="T878" s="131"/>
      <c r="U878" s="131"/>
      <c r="V878" s="131"/>
      <c r="W878" s="131"/>
      <c r="X878" s="131"/>
      <c r="Y878" s="131"/>
    </row>
    <row r="879">
      <c r="A879" s="131"/>
      <c r="B879" s="131"/>
      <c r="C879" s="131"/>
      <c r="D879" s="81"/>
      <c r="E879" s="81"/>
      <c r="F879" s="131"/>
      <c r="G879" s="131"/>
      <c r="H879" s="131"/>
      <c r="I879" s="131"/>
      <c r="J879" s="131"/>
      <c r="K879" s="131"/>
      <c r="L879" s="131"/>
      <c r="M879" s="131"/>
      <c r="N879" s="131"/>
      <c r="O879" s="131"/>
      <c r="P879" s="131"/>
      <c r="Q879" s="131"/>
      <c r="R879" s="131"/>
      <c r="S879" s="131"/>
      <c r="T879" s="131"/>
      <c r="U879" s="131"/>
      <c r="V879" s="131"/>
      <c r="W879" s="131"/>
      <c r="X879" s="131"/>
      <c r="Y879" s="131"/>
    </row>
    <row r="880">
      <c r="A880" s="131"/>
      <c r="B880" s="131"/>
      <c r="C880" s="131"/>
      <c r="D880" s="81"/>
      <c r="E880" s="81"/>
      <c r="F880" s="131"/>
      <c r="G880" s="131"/>
      <c r="H880" s="131"/>
      <c r="I880" s="131"/>
      <c r="J880" s="131"/>
      <c r="K880" s="131"/>
      <c r="L880" s="131"/>
      <c r="M880" s="131"/>
      <c r="N880" s="131"/>
      <c r="O880" s="131"/>
      <c r="P880" s="131"/>
      <c r="Q880" s="131"/>
      <c r="R880" s="131"/>
      <c r="S880" s="131"/>
      <c r="T880" s="131"/>
      <c r="U880" s="131"/>
      <c r="V880" s="131"/>
      <c r="W880" s="131"/>
      <c r="X880" s="131"/>
      <c r="Y880" s="131"/>
    </row>
    <row r="881">
      <c r="A881" s="131"/>
      <c r="B881" s="131"/>
      <c r="C881" s="131"/>
      <c r="D881" s="81"/>
      <c r="E881" s="81"/>
      <c r="F881" s="131"/>
      <c r="G881" s="131"/>
      <c r="H881" s="131"/>
      <c r="I881" s="131"/>
      <c r="J881" s="131"/>
      <c r="K881" s="131"/>
      <c r="L881" s="131"/>
      <c r="M881" s="131"/>
      <c r="N881" s="131"/>
      <c r="O881" s="131"/>
      <c r="P881" s="131"/>
      <c r="Q881" s="131"/>
      <c r="R881" s="131"/>
      <c r="S881" s="131"/>
      <c r="T881" s="131"/>
      <c r="U881" s="131"/>
      <c r="V881" s="131"/>
      <c r="W881" s="131"/>
      <c r="X881" s="131"/>
      <c r="Y881" s="131"/>
    </row>
    <row r="882">
      <c r="A882" s="131"/>
      <c r="B882" s="131"/>
      <c r="C882" s="131"/>
      <c r="D882" s="81"/>
      <c r="E882" s="81"/>
      <c r="F882" s="131"/>
      <c r="G882" s="131"/>
      <c r="H882" s="131"/>
      <c r="I882" s="131"/>
      <c r="J882" s="131"/>
      <c r="K882" s="131"/>
      <c r="L882" s="131"/>
      <c r="M882" s="131"/>
      <c r="N882" s="131"/>
      <c r="O882" s="131"/>
      <c r="P882" s="131"/>
      <c r="Q882" s="131"/>
      <c r="R882" s="131"/>
      <c r="S882" s="131"/>
      <c r="T882" s="131"/>
      <c r="U882" s="131"/>
      <c r="V882" s="131"/>
      <c r="W882" s="131"/>
      <c r="X882" s="131"/>
      <c r="Y882" s="131"/>
    </row>
    <row r="883">
      <c r="A883" s="131"/>
      <c r="B883" s="131"/>
      <c r="C883" s="131"/>
      <c r="D883" s="81"/>
      <c r="E883" s="81"/>
      <c r="F883" s="131"/>
      <c r="G883" s="131"/>
      <c r="H883" s="131"/>
      <c r="I883" s="131"/>
      <c r="J883" s="131"/>
      <c r="K883" s="131"/>
      <c r="L883" s="131"/>
      <c r="M883" s="131"/>
      <c r="N883" s="131"/>
      <c r="O883" s="131"/>
      <c r="P883" s="131"/>
      <c r="Q883" s="131"/>
      <c r="R883" s="131"/>
      <c r="S883" s="131"/>
      <c r="T883" s="131"/>
      <c r="U883" s="131"/>
      <c r="V883" s="131"/>
      <c r="W883" s="131"/>
      <c r="X883" s="131"/>
      <c r="Y883" s="131"/>
    </row>
    <row r="884">
      <c r="A884" s="131"/>
      <c r="B884" s="131"/>
      <c r="C884" s="131"/>
      <c r="D884" s="81"/>
      <c r="E884" s="81"/>
      <c r="F884" s="131"/>
      <c r="G884" s="131"/>
      <c r="H884" s="131"/>
      <c r="I884" s="131"/>
      <c r="J884" s="131"/>
      <c r="K884" s="131"/>
      <c r="L884" s="131"/>
      <c r="M884" s="131"/>
      <c r="N884" s="131"/>
      <c r="O884" s="131"/>
      <c r="P884" s="131"/>
      <c r="Q884" s="131"/>
      <c r="R884" s="131"/>
      <c r="S884" s="131"/>
      <c r="T884" s="131"/>
      <c r="U884" s="131"/>
      <c r="V884" s="131"/>
      <c r="W884" s="131"/>
      <c r="X884" s="131"/>
      <c r="Y884" s="131"/>
    </row>
    <row r="885">
      <c r="A885" s="131"/>
      <c r="B885" s="131"/>
      <c r="C885" s="131"/>
      <c r="D885" s="81"/>
      <c r="E885" s="81"/>
      <c r="F885" s="131"/>
      <c r="G885" s="131"/>
      <c r="H885" s="131"/>
      <c r="I885" s="131"/>
      <c r="J885" s="131"/>
      <c r="K885" s="131"/>
      <c r="L885" s="131"/>
      <c r="M885" s="131"/>
      <c r="N885" s="131"/>
      <c r="O885" s="131"/>
      <c r="P885" s="131"/>
      <c r="Q885" s="131"/>
      <c r="R885" s="131"/>
      <c r="S885" s="131"/>
      <c r="T885" s="131"/>
      <c r="U885" s="131"/>
      <c r="V885" s="131"/>
      <c r="W885" s="131"/>
      <c r="X885" s="131"/>
      <c r="Y885" s="131"/>
    </row>
    <row r="886">
      <c r="A886" s="131"/>
      <c r="B886" s="131"/>
      <c r="C886" s="131"/>
      <c r="D886" s="81"/>
      <c r="E886" s="81"/>
      <c r="F886" s="131"/>
      <c r="G886" s="131"/>
      <c r="H886" s="131"/>
      <c r="I886" s="131"/>
      <c r="J886" s="131"/>
      <c r="K886" s="131"/>
      <c r="L886" s="131"/>
      <c r="M886" s="131"/>
      <c r="N886" s="131"/>
      <c r="O886" s="131"/>
      <c r="P886" s="131"/>
      <c r="Q886" s="131"/>
      <c r="R886" s="131"/>
      <c r="S886" s="131"/>
      <c r="T886" s="131"/>
      <c r="U886" s="131"/>
      <c r="V886" s="131"/>
      <c r="W886" s="131"/>
      <c r="X886" s="131"/>
      <c r="Y886" s="131"/>
    </row>
    <row r="887">
      <c r="A887" s="131"/>
      <c r="B887" s="131"/>
      <c r="C887" s="131"/>
      <c r="D887" s="81"/>
      <c r="E887" s="81"/>
      <c r="F887" s="131"/>
      <c r="G887" s="131"/>
      <c r="H887" s="131"/>
      <c r="I887" s="131"/>
      <c r="J887" s="131"/>
      <c r="K887" s="131"/>
      <c r="L887" s="131"/>
      <c r="M887" s="131"/>
      <c r="N887" s="131"/>
      <c r="O887" s="131"/>
      <c r="P887" s="131"/>
      <c r="Q887" s="131"/>
      <c r="R887" s="131"/>
      <c r="S887" s="131"/>
      <c r="T887" s="131"/>
      <c r="U887" s="131"/>
      <c r="V887" s="131"/>
      <c r="W887" s="131"/>
      <c r="X887" s="131"/>
      <c r="Y887" s="131"/>
    </row>
    <row r="888">
      <c r="A888" s="131"/>
      <c r="B888" s="131"/>
      <c r="C888" s="131"/>
      <c r="D888" s="81"/>
      <c r="E888" s="81"/>
      <c r="F888" s="131"/>
      <c r="G888" s="131"/>
      <c r="H888" s="131"/>
      <c r="I888" s="131"/>
      <c r="J888" s="131"/>
      <c r="K888" s="131"/>
      <c r="L888" s="131"/>
      <c r="M888" s="131"/>
      <c r="N888" s="131"/>
      <c r="O888" s="131"/>
      <c r="P888" s="131"/>
      <c r="Q888" s="131"/>
      <c r="R888" s="131"/>
      <c r="S888" s="131"/>
      <c r="T888" s="131"/>
      <c r="U888" s="131"/>
      <c r="V888" s="131"/>
      <c r="W888" s="131"/>
      <c r="X888" s="131"/>
      <c r="Y888" s="131"/>
    </row>
    <row r="889">
      <c r="A889" s="131"/>
      <c r="B889" s="131"/>
      <c r="C889" s="131"/>
      <c r="D889" s="81"/>
      <c r="E889" s="81"/>
      <c r="F889" s="131"/>
      <c r="G889" s="131"/>
      <c r="H889" s="131"/>
      <c r="I889" s="131"/>
      <c r="J889" s="131"/>
      <c r="K889" s="131"/>
      <c r="L889" s="131"/>
      <c r="M889" s="131"/>
      <c r="N889" s="131"/>
      <c r="O889" s="131"/>
      <c r="P889" s="131"/>
      <c r="Q889" s="131"/>
      <c r="R889" s="131"/>
      <c r="S889" s="131"/>
      <c r="T889" s="131"/>
      <c r="U889" s="131"/>
      <c r="V889" s="131"/>
      <c r="W889" s="131"/>
      <c r="X889" s="131"/>
      <c r="Y889" s="131"/>
    </row>
    <row r="890">
      <c r="A890" s="131"/>
      <c r="B890" s="131"/>
      <c r="C890" s="131"/>
      <c r="D890" s="81"/>
      <c r="E890" s="81"/>
      <c r="F890" s="131"/>
      <c r="G890" s="131"/>
      <c r="H890" s="131"/>
      <c r="I890" s="131"/>
      <c r="J890" s="131"/>
      <c r="K890" s="131"/>
      <c r="L890" s="131"/>
      <c r="M890" s="131"/>
      <c r="N890" s="131"/>
      <c r="O890" s="131"/>
      <c r="P890" s="131"/>
      <c r="Q890" s="131"/>
      <c r="R890" s="131"/>
      <c r="S890" s="131"/>
      <c r="T890" s="131"/>
      <c r="U890" s="131"/>
      <c r="V890" s="131"/>
      <c r="W890" s="131"/>
      <c r="X890" s="131"/>
      <c r="Y890" s="131"/>
    </row>
    <row r="891">
      <c r="A891" s="131"/>
      <c r="B891" s="131"/>
      <c r="C891" s="131"/>
      <c r="D891" s="81"/>
      <c r="E891" s="81"/>
      <c r="F891" s="131"/>
      <c r="G891" s="131"/>
      <c r="H891" s="131"/>
      <c r="I891" s="131"/>
      <c r="J891" s="131"/>
      <c r="K891" s="131"/>
      <c r="L891" s="131"/>
      <c r="M891" s="131"/>
      <c r="N891" s="131"/>
      <c r="O891" s="131"/>
      <c r="P891" s="131"/>
      <c r="Q891" s="131"/>
      <c r="R891" s="131"/>
      <c r="S891" s="131"/>
      <c r="T891" s="131"/>
      <c r="U891" s="131"/>
      <c r="V891" s="131"/>
      <c r="W891" s="131"/>
      <c r="X891" s="131"/>
      <c r="Y891" s="131"/>
    </row>
    <row r="892">
      <c r="A892" s="131"/>
      <c r="B892" s="131"/>
      <c r="C892" s="131"/>
      <c r="D892" s="81"/>
      <c r="E892" s="81"/>
      <c r="F892" s="131"/>
      <c r="G892" s="131"/>
      <c r="H892" s="131"/>
      <c r="I892" s="131"/>
      <c r="J892" s="131"/>
      <c r="K892" s="131"/>
      <c r="L892" s="131"/>
      <c r="M892" s="131"/>
      <c r="N892" s="131"/>
      <c r="O892" s="131"/>
      <c r="P892" s="131"/>
      <c r="Q892" s="131"/>
      <c r="R892" s="131"/>
      <c r="S892" s="131"/>
      <c r="T892" s="131"/>
      <c r="U892" s="131"/>
      <c r="V892" s="131"/>
      <c r="W892" s="131"/>
      <c r="X892" s="131"/>
      <c r="Y892" s="131"/>
    </row>
    <row r="893">
      <c r="A893" s="131"/>
      <c r="B893" s="131"/>
      <c r="C893" s="131"/>
      <c r="D893" s="81"/>
      <c r="E893" s="81"/>
      <c r="F893" s="131"/>
      <c r="G893" s="131"/>
      <c r="H893" s="131"/>
      <c r="I893" s="131"/>
      <c r="J893" s="131"/>
      <c r="K893" s="131"/>
      <c r="L893" s="131"/>
      <c r="M893" s="131"/>
      <c r="N893" s="131"/>
      <c r="O893" s="131"/>
      <c r="P893" s="131"/>
      <c r="Q893" s="131"/>
      <c r="R893" s="131"/>
      <c r="S893" s="131"/>
      <c r="T893" s="131"/>
      <c r="U893" s="131"/>
      <c r="V893" s="131"/>
      <c r="W893" s="131"/>
      <c r="X893" s="131"/>
      <c r="Y893" s="131"/>
    </row>
    <row r="894">
      <c r="A894" s="131"/>
      <c r="B894" s="131"/>
      <c r="C894" s="131"/>
      <c r="D894" s="81"/>
      <c r="E894" s="81"/>
      <c r="F894" s="131"/>
      <c r="G894" s="131"/>
      <c r="H894" s="131"/>
      <c r="I894" s="131"/>
      <c r="J894" s="131"/>
      <c r="K894" s="131"/>
      <c r="L894" s="131"/>
      <c r="M894" s="131"/>
      <c r="N894" s="131"/>
      <c r="O894" s="131"/>
      <c r="P894" s="131"/>
      <c r="Q894" s="131"/>
      <c r="R894" s="131"/>
      <c r="S894" s="131"/>
      <c r="T894" s="131"/>
      <c r="U894" s="131"/>
      <c r="V894" s="131"/>
      <c r="W894" s="131"/>
      <c r="X894" s="131"/>
      <c r="Y894" s="131"/>
    </row>
    <row r="895">
      <c r="A895" s="131"/>
      <c r="B895" s="131"/>
      <c r="C895" s="131"/>
      <c r="D895" s="81"/>
      <c r="E895" s="81"/>
      <c r="F895" s="131"/>
      <c r="G895" s="131"/>
      <c r="H895" s="131"/>
      <c r="I895" s="131"/>
      <c r="J895" s="131"/>
      <c r="K895" s="131"/>
      <c r="L895" s="131"/>
      <c r="M895" s="131"/>
      <c r="N895" s="131"/>
      <c r="O895" s="131"/>
      <c r="P895" s="131"/>
      <c r="Q895" s="131"/>
      <c r="R895" s="131"/>
      <c r="S895" s="131"/>
      <c r="T895" s="131"/>
      <c r="U895" s="131"/>
      <c r="V895" s="131"/>
      <c r="W895" s="131"/>
      <c r="X895" s="131"/>
      <c r="Y895" s="131"/>
    </row>
    <row r="896">
      <c r="A896" s="131"/>
      <c r="B896" s="131"/>
      <c r="C896" s="131"/>
      <c r="D896" s="81"/>
      <c r="E896" s="81"/>
      <c r="F896" s="131"/>
      <c r="G896" s="131"/>
      <c r="H896" s="131"/>
      <c r="I896" s="131"/>
      <c r="J896" s="131"/>
      <c r="K896" s="131"/>
      <c r="L896" s="131"/>
      <c r="M896" s="131"/>
      <c r="N896" s="131"/>
      <c r="O896" s="131"/>
      <c r="P896" s="131"/>
      <c r="Q896" s="131"/>
      <c r="R896" s="131"/>
      <c r="S896" s="131"/>
      <c r="T896" s="131"/>
      <c r="U896" s="131"/>
      <c r="V896" s="131"/>
      <c r="W896" s="131"/>
      <c r="X896" s="131"/>
      <c r="Y896" s="131"/>
    </row>
    <row r="897">
      <c r="A897" s="131"/>
      <c r="B897" s="131"/>
      <c r="C897" s="131"/>
      <c r="D897" s="81"/>
      <c r="E897" s="81"/>
      <c r="F897" s="131"/>
      <c r="G897" s="131"/>
      <c r="H897" s="131"/>
      <c r="I897" s="131"/>
      <c r="J897" s="131"/>
      <c r="K897" s="131"/>
      <c r="L897" s="131"/>
      <c r="M897" s="131"/>
      <c r="N897" s="131"/>
      <c r="O897" s="131"/>
      <c r="P897" s="131"/>
      <c r="Q897" s="131"/>
      <c r="R897" s="131"/>
      <c r="S897" s="131"/>
      <c r="T897" s="131"/>
      <c r="U897" s="131"/>
      <c r="V897" s="131"/>
      <c r="W897" s="131"/>
      <c r="X897" s="131"/>
      <c r="Y897" s="131"/>
    </row>
    <row r="898">
      <c r="A898" s="131"/>
      <c r="B898" s="131"/>
      <c r="C898" s="131"/>
      <c r="D898" s="81"/>
      <c r="E898" s="81"/>
      <c r="F898" s="131"/>
      <c r="G898" s="131"/>
      <c r="H898" s="131"/>
      <c r="I898" s="131"/>
      <c r="J898" s="131"/>
      <c r="K898" s="131"/>
      <c r="L898" s="131"/>
      <c r="M898" s="131"/>
      <c r="N898" s="131"/>
      <c r="O898" s="131"/>
      <c r="P898" s="131"/>
      <c r="Q898" s="131"/>
      <c r="R898" s="131"/>
      <c r="S898" s="131"/>
      <c r="T898" s="131"/>
      <c r="U898" s="131"/>
      <c r="V898" s="131"/>
      <c r="W898" s="131"/>
      <c r="X898" s="131"/>
      <c r="Y898" s="131"/>
    </row>
    <row r="899">
      <c r="A899" s="131"/>
      <c r="B899" s="131"/>
      <c r="C899" s="131"/>
      <c r="D899" s="81"/>
      <c r="E899" s="81"/>
      <c r="F899" s="131"/>
      <c r="G899" s="131"/>
      <c r="H899" s="131"/>
      <c r="I899" s="131"/>
      <c r="J899" s="131"/>
      <c r="K899" s="131"/>
      <c r="L899" s="131"/>
      <c r="M899" s="131"/>
      <c r="N899" s="131"/>
      <c r="O899" s="131"/>
      <c r="P899" s="131"/>
      <c r="Q899" s="131"/>
      <c r="R899" s="131"/>
      <c r="S899" s="131"/>
      <c r="T899" s="131"/>
      <c r="U899" s="131"/>
      <c r="V899" s="131"/>
      <c r="W899" s="131"/>
      <c r="X899" s="131"/>
      <c r="Y899" s="131"/>
    </row>
    <row r="900">
      <c r="A900" s="131"/>
      <c r="B900" s="131"/>
      <c r="C900" s="131"/>
      <c r="D900" s="81"/>
      <c r="E900" s="81"/>
      <c r="F900" s="131"/>
      <c r="G900" s="131"/>
      <c r="H900" s="131"/>
      <c r="I900" s="131"/>
      <c r="J900" s="131"/>
      <c r="K900" s="131"/>
      <c r="L900" s="131"/>
      <c r="M900" s="131"/>
      <c r="N900" s="131"/>
      <c r="O900" s="131"/>
      <c r="P900" s="131"/>
      <c r="Q900" s="131"/>
      <c r="R900" s="131"/>
      <c r="S900" s="131"/>
      <c r="T900" s="131"/>
      <c r="U900" s="131"/>
      <c r="V900" s="131"/>
      <c r="W900" s="131"/>
      <c r="X900" s="131"/>
      <c r="Y900" s="131"/>
    </row>
    <row r="901">
      <c r="A901" s="131"/>
      <c r="B901" s="131"/>
      <c r="C901" s="131"/>
      <c r="D901" s="81"/>
      <c r="E901" s="81"/>
      <c r="F901" s="131"/>
      <c r="G901" s="131"/>
      <c r="H901" s="131"/>
      <c r="I901" s="131"/>
      <c r="J901" s="131"/>
      <c r="K901" s="131"/>
      <c r="L901" s="131"/>
      <c r="M901" s="131"/>
      <c r="N901" s="131"/>
      <c r="O901" s="131"/>
      <c r="P901" s="131"/>
      <c r="Q901" s="131"/>
      <c r="R901" s="131"/>
      <c r="S901" s="131"/>
      <c r="T901" s="131"/>
      <c r="U901" s="131"/>
      <c r="V901" s="131"/>
      <c r="W901" s="131"/>
      <c r="X901" s="131"/>
      <c r="Y901" s="131"/>
    </row>
    <row r="902">
      <c r="A902" s="131"/>
      <c r="B902" s="131"/>
      <c r="C902" s="131"/>
      <c r="D902" s="81"/>
      <c r="E902" s="81"/>
      <c r="F902" s="131"/>
      <c r="G902" s="131"/>
      <c r="H902" s="131"/>
      <c r="I902" s="131"/>
      <c r="J902" s="131"/>
      <c r="K902" s="131"/>
      <c r="L902" s="131"/>
      <c r="M902" s="131"/>
      <c r="N902" s="131"/>
      <c r="O902" s="131"/>
      <c r="P902" s="131"/>
      <c r="Q902" s="131"/>
      <c r="R902" s="131"/>
      <c r="S902" s="131"/>
      <c r="T902" s="131"/>
      <c r="U902" s="131"/>
      <c r="V902" s="131"/>
      <c r="W902" s="131"/>
      <c r="X902" s="131"/>
      <c r="Y902" s="131"/>
    </row>
    <row r="903">
      <c r="A903" s="131"/>
      <c r="B903" s="131"/>
      <c r="C903" s="131"/>
      <c r="D903" s="81"/>
      <c r="E903" s="81"/>
      <c r="F903" s="131"/>
      <c r="G903" s="131"/>
      <c r="H903" s="131"/>
      <c r="I903" s="131"/>
      <c r="J903" s="131"/>
      <c r="K903" s="131"/>
      <c r="L903" s="131"/>
      <c r="M903" s="131"/>
      <c r="N903" s="131"/>
      <c r="O903" s="131"/>
      <c r="P903" s="131"/>
      <c r="Q903" s="131"/>
      <c r="R903" s="131"/>
      <c r="S903" s="131"/>
      <c r="T903" s="131"/>
      <c r="U903" s="131"/>
      <c r="V903" s="131"/>
      <c r="W903" s="131"/>
      <c r="X903" s="131"/>
      <c r="Y903" s="131"/>
    </row>
    <row r="904">
      <c r="A904" s="131"/>
      <c r="B904" s="131"/>
      <c r="C904" s="131"/>
      <c r="D904" s="81"/>
      <c r="E904" s="81"/>
      <c r="F904" s="131"/>
      <c r="G904" s="131"/>
      <c r="H904" s="131"/>
      <c r="I904" s="131"/>
      <c r="J904" s="131"/>
      <c r="K904" s="131"/>
      <c r="L904" s="131"/>
      <c r="M904" s="131"/>
      <c r="N904" s="131"/>
      <c r="O904" s="131"/>
      <c r="P904" s="131"/>
      <c r="Q904" s="131"/>
      <c r="R904" s="131"/>
      <c r="S904" s="131"/>
      <c r="T904" s="131"/>
      <c r="U904" s="131"/>
      <c r="V904" s="131"/>
      <c r="W904" s="131"/>
      <c r="X904" s="131"/>
      <c r="Y904" s="131"/>
    </row>
    <row r="905">
      <c r="A905" s="131"/>
      <c r="B905" s="131"/>
      <c r="C905" s="131"/>
      <c r="D905" s="81"/>
      <c r="E905" s="81"/>
      <c r="F905" s="131"/>
      <c r="G905" s="131"/>
      <c r="H905" s="131"/>
      <c r="I905" s="131"/>
      <c r="J905" s="131"/>
      <c r="K905" s="131"/>
      <c r="L905" s="131"/>
      <c r="M905" s="131"/>
      <c r="N905" s="131"/>
      <c r="O905" s="131"/>
      <c r="P905" s="131"/>
      <c r="Q905" s="131"/>
      <c r="R905" s="131"/>
      <c r="S905" s="131"/>
      <c r="T905" s="131"/>
      <c r="U905" s="131"/>
      <c r="V905" s="131"/>
      <c r="W905" s="131"/>
      <c r="X905" s="131"/>
      <c r="Y905" s="131"/>
    </row>
    <row r="906">
      <c r="A906" s="131"/>
      <c r="B906" s="131"/>
      <c r="C906" s="131"/>
      <c r="D906" s="81"/>
      <c r="E906" s="81"/>
      <c r="F906" s="131"/>
      <c r="G906" s="131"/>
      <c r="H906" s="131"/>
      <c r="I906" s="131"/>
      <c r="J906" s="131"/>
      <c r="K906" s="131"/>
      <c r="L906" s="131"/>
      <c r="M906" s="131"/>
      <c r="N906" s="131"/>
      <c r="O906" s="131"/>
      <c r="P906" s="131"/>
      <c r="Q906" s="131"/>
      <c r="R906" s="131"/>
      <c r="S906" s="131"/>
      <c r="T906" s="131"/>
      <c r="U906" s="131"/>
      <c r="V906" s="131"/>
      <c r="W906" s="131"/>
      <c r="X906" s="131"/>
      <c r="Y906" s="131"/>
    </row>
    <row r="907">
      <c r="A907" s="131"/>
      <c r="B907" s="131"/>
      <c r="C907" s="131"/>
      <c r="D907" s="81"/>
      <c r="E907" s="81"/>
      <c r="F907" s="131"/>
      <c r="G907" s="131"/>
      <c r="H907" s="131"/>
      <c r="I907" s="131"/>
      <c r="J907" s="131"/>
      <c r="K907" s="131"/>
      <c r="L907" s="131"/>
      <c r="M907" s="131"/>
      <c r="N907" s="131"/>
      <c r="O907" s="131"/>
      <c r="P907" s="131"/>
      <c r="Q907" s="131"/>
      <c r="R907" s="131"/>
      <c r="S907" s="131"/>
      <c r="T907" s="131"/>
      <c r="U907" s="131"/>
      <c r="V907" s="131"/>
      <c r="W907" s="131"/>
      <c r="X907" s="131"/>
      <c r="Y907" s="131"/>
    </row>
    <row r="908">
      <c r="A908" s="131"/>
      <c r="B908" s="131"/>
      <c r="C908" s="131"/>
      <c r="D908" s="81"/>
      <c r="E908" s="81"/>
      <c r="F908" s="131"/>
      <c r="G908" s="131"/>
      <c r="H908" s="131"/>
      <c r="I908" s="131"/>
      <c r="J908" s="131"/>
      <c r="K908" s="131"/>
      <c r="L908" s="131"/>
      <c r="M908" s="131"/>
      <c r="N908" s="131"/>
      <c r="O908" s="131"/>
      <c r="P908" s="131"/>
      <c r="Q908" s="131"/>
      <c r="R908" s="131"/>
      <c r="S908" s="131"/>
      <c r="T908" s="131"/>
      <c r="U908" s="131"/>
      <c r="V908" s="131"/>
      <c r="W908" s="131"/>
      <c r="X908" s="131"/>
      <c r="Y908" s="131"/>
    </row>
    <row r="909">
      <c r="A909" s="131"/>
      <c r="B909" s="131"/>
      <c r="C909" s="131"/>
      <c r="D909" s="81"/>
      <c r="E909" s="81"/>
      <c r="F909" s="131"/>
      <c r="G909" s="131"/>
      <c r="H909" s="131"/>
      <c r="I909" s="131"/>
      <c r="J909" s="131"/>
      <c r="K909" s="131"/>
      <c r="L909" s="131"/>
      <c r="M909" s="131"/>
      <c r="N909" s="131"/>
      <c r="O909" s="131"/>
      <c r="P909" s="131"/>
      <c r="Q909" s="131"/>
      <c r="R909" s="131"/>
      <c r="S909" s="131"/>
      <c r="T909" s="131"/>
      <c r="U909" s="131"/>
      <c r="V909" s="131"/>
      <c r="W909" s="131"/>
      <c r="X909" s="131"/>
      <c r="Y909" s="131"/>
    </row>
    <row r="910">
      <c r="A910" s="131"/>
      <c r="B910" s="131"/>
      <c r="C910" s="131"/>
      <c r="D910" s="81"/>
      <c r="E910" s="81"/>
      <c r="F910" s="131"/>
      <c r="G910" s="131"/>
      <c r="H910" s="131"/>
      <c r="I910" s="131"/>
      <c r="J910" s="131"/>
      <c r="K910" s="131"/>
      <c r="L910" s="131"/>
      <c r="M910" s="131"/>
      <c r="N910" s="131"/>
      <c r="O910" s="131"/>
      <c r="P910" s="131"/>
      <c r="Q910" s="131"/>
      <c r="R910" s="131"/>
      <c r="S910" s="131"/>
      <c r="T910" s="131"/>
      <c r="U910" s="131"/>
      <c r="V910" s="131"/>
      <c r="W910" s="131"/>
      <c r="X910" s="131"/>
      <c r="Y910" s="131"/>
    </row>
    <row r="911">
      <c r="A911" s="131"/>
      <c r="B911" s="131"/>
      <c r="C911" s="131"/>
      <c r="D911" s="81"/>
      <c r="E911" s="81"/>
      <c r="F911" s="131"/>
      <c r="G911" s="131"/>
      <c r="H911" s="131"/>
      <c r="I911" s="131"/>
      <c r="J911" s="131"/>
      <c r="K911" s="131"/>
      <c r="L911" s="131"/>
      <c r="M911" s="131"/>
      <c r="N911" s="131"/>
      <c r="O911" s="131"/>
      <c r="P911" s="131"/>
      <c r="Q911" s="131"/>
      <c r="R911" s="131"/>
      <c r="S911" s="131"/>
      <c r="T911" s="131"/>
      <c r="U911" s="131"/>
      <c r="V911" s="131"/>
      <c r="W911" s="131"/>
      <c r="X911" s="131"/>
      <c r="Y911" s="131"/>
    </row>
    <row r="912">
      <c r="A912" s="131"/>
      <c r="B912" s="131"/>
      <c r="C912" s="131"/>
      <c r="D912" s="81"/>
      <c r="E912" s="81"/>
      <c r="F912" s="131"/>
      <c r="G912" s="131"/>
      <c r="H912" s="131"/>
      <c r="I912" s="131"/>
      <c r="J912" s="131"/>
      <c r="K912" s="131"/>
      <c r="L912" s="131"/>
      <c r="M912" s="131"/>
      <c r="N912" s="131"/>
      <c r="O912" s="131"/>
      <c r="P912" s="131"/>
      <c r="Q912" s="131"/>
      <c r="R912" s="131"/>
      <c r="S912" s="131"/>
      <c r="T912" s="131"/>
      <c r="U912" s="131"/>
      <c r="V912" s="131"/>
      <c r="W912" s="131"/>
      <c r="X912" s="131"/>
      <c r="Y912" s="131"/>
    </row>
    <row r="913">
      <c r="A913" s="131"/>
      <c r="B913" s="131"/>
      <c r="C913" s="131"/>
      <c r="D913" s="81"/>
      <c r="E913" s="81"/>
      <c r="F913" s="131"/>
      <c r="G913" s="131"/>
      <c r="H913" s="131"/>
      <c r="I913" s="131"/>
      <c r="J913" s="131"/>
      <c r="K913" s="131"/>
      <c r="L913" s="131"/>
      <c r="M913" s="131"/>
      <c r="N913" s="131"/>
      <c r="O913" s="131"/>
      <c r="P913" s="131"/>
      <c r="Q913" s="131"/>
      <c r="R913" s="131"/>
      <c r="S913" s="131"/>
      <c r="T913" s="131"/>
      <c r="U913" s="131"/>
      <c r="V913" s="131"/>
      <c r="W913" s="131"/>
      <c r="X913" s="131"/>
      <c r="Y913" s="131"/>
    </row>
    <row r="914">
      <c r="A914" s="131"/>
      <c r="B914" s="131"/>
      <c r="C914" s="131"/>
      <c r="D914" s="81"/>
      <c r="E914" s="81"/>
      <c r="F914" s="131"/>
      <c r="G914" s="131"/>
      <c r="H914" s="131"/>
      <c r="I914" s="131"/>
      <c r="J914" s="131"/>
      <c r="K914" s="131"/>
      <c r="L914" s="131"/>
      <c r="M914" s="131"/>
      <c r="N914" s="131"/>
      <c r="O914" s="131"/>
      <c r="P914" s="131"/>
      <c r="Q914" s="131"/>
      <c r="R914" s="131"/>
      <c r="S914" s="131"/>
      <c r="T914" s="131"/>
      <c r="U914" s="131"/>
      <c r="V914" s="131"/>
      <c r="W914" s="131"/>
      <c r="X914" s="131"/>
      <c r="Y914" s="131"/>
    </row>
    <row r="915">
      <c r="A915" s="131"/>
      <c r="B915" s="131"/>
      <c r="C915" s="131"/>
      <c r="D915" s="81"/>
      <c r="E915" s="81"/>
      <c r="F915" s="131"/>
      <c r="G915" s="131"/>
      <c r="H915" s="131"/>
      <c r="I915" s="131"/>
      <c r="J915" s="131"/>
      <c r="K915" s="131"/>
      <c r="L915" s="131"/>
      <c r="M915" s="131"/>
      <c r="N915" s="131"/>
      <c r="O915" s="131"/>
      <c r="P915" s="131"/>
      <c r="Q915" s="131"/>
      <c r="R915" s="131"/>
      <c r="S915" s="131"/>
      <c r="T915" s="131"/>
      <c r="U915" s="131"/>
      <c r="V915" s="131"/>
      <c r="W915" s="131"/>
      <c r="X915" s="131"/>
      <c r="Y915" s="131"/>
    </row>
    <row r="916">
      <c r="A916" s="131"/>
      <c r="B916" s="131"/>
      <c r="C916" s="131"/>
      <c r="D916" s="81"/>
      <c r="E916" s="81"/>
      <c r="F916" s="131"/>
      <c r="G916" s="131"/>
      <c r="H916" s="131"/>
      <c r="I916" s="131"/>
      <c r="J916" s="131"/>
      <c r="K916" s="131"/>
      <c r="L916" s="131"/>
      <c r="M916" s="131"/>
      <c r="N916" s="131"/>
      <c r="O916" s="131"/>
      <c r="P916" s="131"/>
      <c r="Q916" s="131"/>
      <c r="R916" s="131"/>
      <c r="S916" s="131"/>
      <c r="T916" s="131"/>
      <c r="U916" s="131"/>
      <c r="V916" s="131"/>
      <c r="W916" s="131"/>
      <c r="X916" s="131"/>
      <c r="Y916" s="131"/>
    </row>
    <row r="917">
      <c r="A917" s="131"/>
      <c r="B917" s="131"/>
      <c r="C917" s="131"/>
      <c r="D917" s="81"/>
      <c r="E917" s="81"/>
      <c r="F917" s="131"/>
      <c r="G917" s="131"/>
      <c r="H917" s="131"/>
      <c r="I917" s="131"/>
      <c r="J917" s="131"/>
      <c r="K917" s="131"/>
      <c r="L917" s="131"/>
      <c r="M917" s="131"/>
      <c r="N917" s="131"/>
      <c r="O917" s="131"/>
      <c r="P917" s="131"/>
      <c r="Q917" s="131"/>
      <c r="R917" s="131"/>
      <c r="S917" s="131"/>
      <c r="T917" s="131"/>
      <c r="U917" s="131"/>
      <c r="V917" s="131"/>
      <c r="W917" s="131"/>
      <c r="X917" s="131"/>
      <c r="Y917" s="131"/>
    </row>
    <row r="918">
      <c r="A918" s="131"/>
      <c r="B918" s="131"/>
      <c r="C918" s="131"/>
      <c r="D918" s="81"/>
      <c r="E918" s="81"/>
      <c r="F918" s="131"/>
      <c r="G918" s="131"/>
      <c r="H918" s="131"/>
      <c r="I918" s="131"/>
      <c r="J918" s="131"/>
      <c r="K918" s="131"/>
      <c r="L918" s="131"/>
      <c r="M918" s="131"/>
      <c r="N918" s="131"/>
      <c r="O918" s="131"/>
      <c r="P918" s="131"/>
      <c r="Q918" s="131"/>
      <c r="R918" s="131"/>
      <c r="S918" s="131"/>
      <c r="T918" s="131"/>
      <c r="U918" s="131"/>
      <c r="V918" s="131"/>
      <c r="W918" s="131"/>
      <c r="X918" s="131"/>
      <c r="Y918" s="131"/>
    </row>
    <row r="919">
      <c r="A919" s="131"/>
      <c r="B919" s="131"/>
      <c r="C919" s="131"/>
      <c r="D919" s="81"/>
      <c r="E919" s="81"/>
      <c r="F919" s="131"/>
      <c r="G919" s="131"/>
      <c r="H919" s="131"/>
      <c r="I919" s="131"/>
      <c r="J919" s="131"/>
      <c r="K919" s="131"/>
      <c r="L919" s="131"/>
      <c r="M919" s="131"/>
      <c r="N919" s="131"/>
      <c r="O919" s="131"/>
      <c r="P919" s="131"/>
      <c r="Q919" s="131"/>
      <c r="R919" s="131"/>
      <c r="S919" s="131"/>
      <c r="T919" s="131"/>
      <c r="U919" s="131"/>
      <c r="V919" s="131"/>
      <c r="W919" s="131"/>
      <c r="X919" s="131"/>
      <c r="Y919" s="131"/>
    </row>
    <row r="920">
      <c r="A920" s="131"/>
      <c r="B920" s="131"/>
      <c r="C920" s="131"/>
      <c r="D920" s="81"/>
      <c r="E920" s="81"/>
      <c r="F920" s="131"/>
      <c r="G920" s="131"/>
      <c r="H920" s="131"/>
      <c r="I920" s="131"/>
      <c r="J920" s="131"/>
      <c r="K920" s="131"/>
      <c r="L920" s="131"/>
      <c r="M920" s="131"/>
      <c r="N920" s="131"/>
      <c r="O920" s="131"/>
      <c r="P920" s="131"/>
      <c r="Q920" s="131"/>
      <c r="R920" s="131"/>
      <c r="S920" s="131"/>
      <c r="T920" s="131"/>
      <c r="U920" s="131"/>
      <c r="V920" s="131"/>
      <c r="W920" s="131"/>
      <c r="X920" s="131"/>
      <c r="Y920" s="131"/>
    </row>
    <row r="921">
      <c r="A921" s="131"/>
      <c r="B921" s="131"/>
      <c r="C921" s="131"/>
      <c r="D921" s="81"/>
      <c r="E921" s="81"/>
      <c r="F921" s="131"/>
      <c r="G921" s="131"/>
      <c r="H921" s="131"/>
      <c r="I921" s="131"/>
      <c r="J921" s="131"/>
      <c r="K921" s="131"/>
      <c r="L921" s="131"/>
      <c r="M921" s="131"/>
      <c r="N921" s="131"/>
      <c r="O921" s="131"/>
      <c r="P921" s="131"/>
      <c r="Q921" s="131"/>
      <c r="R921" s="131"/>
      <c r="S921" s="131"/>
      <c r="T921" s="131"/>
      <c r="U921" s="131"/>
      <c r="V921" s="131"/>
      <c r="W921" s="131"/>
      <c r="X921" s="131"/>
      <c r="Y921" s="131"/>
    </row>
    <row r="922">
      <c r="A922" s="131"/>
      <c r="B922" s="131"/>
      <c r="C922" s="131"/>
      <c r="D922" s="81"/>
      <c r="E922" s="81"/>
      <c r="F922" s="131"/>
      <c r="G922" s="131"/>
      <c r="H922" s="131"/>
      <c r="I922" s="131"/>
      <c r="J922" s="131"/>
      <c r="K922" s="131"/>
      <c r="L922" s="131"/>
      <c r="M922" s="131"/>
      <c r="N922" s="131"/>
      <c r="O922" s="131"/>
      <c r="P922" s="131"/>
      <c r="Q922" s="131"/>
      <c r="R922" s="131"/>
      <c r="S922" s="131"/>
      <c r="T922" s="131"/>
      <c r="U922" s="131"/>
      <c r="V922" s="131"/>
      <c r="W922" s="131"/>
      <c r="X922" s="131"/>
      <c r="Y922" s="131"/>
    </row>
    <row r="923">
      <c r="A923" s="131"/>
      <c r="B923" s="131"/>
      <c r="C923" s="131"/>
      <c r="D923" s="81"/>
      <c r="E923" s="81"/>
      <c r="F923" s="131"/>
      <c r="G923" s="131"/>
      <c r="H923" s="131"/>
      <c r="I923" s="131"/>
      <c r="J923" s="131"/>
      <c r="K923" s="131"/>
      <c r="L923" s="131"/>
      <c r="M923" s="131"/>
      <c r="N923" s="131"/>
      <c r="O923" s="131"/>
      <c r="P923" s="131"/>
      <c r="Q923" s="131"/>
      <c r="R923" s="131"/>
      <c r="S923" s="131"/>
      <c r="T923" s="131"/>
      <c r="U923" s="131"/>
      <c r="V923" s="131"/>
      <c r="W923" s="131"/>
      <c r="X923" s="131"/>
      <c r="Y923" s="131"/>
    </row>
    <row r="924">
      <c r="A924" s="131"/>
      <c r="B924" s="131"/>
      <c r="C924" s="131"/>
      <c r="D924" s="81"/>
      <c r="E924" s="81"/>
      <c r="F924" s="131"/>
      <c r="G924" s="131"/>
      <c r="H924" s="131"/>
      <c r="I924" s="131"/>
      <c r="J924" s="131"/>
      <c r="K924" s="131"/>
      <c r="L924" s="131"/>
      <c r="M924" s="131"/>
      <c r="N924" s="131"/>
      <c r="O924" s="131"/>
      <c r="P924" s="131"/>
      <c r="Q924" s="131"/>
      <c r="R924" s="131"/>
      <c r="S924" s="131"/>
      <c r="T924" s="131"/>
      <c r="U924" s="131"/>
      <c r="V924" s="131"/>
      <c r="W924" s="131"/>
      <c r="X924" s="131"/>
      <c r="Y924" s="131"/>
    </row>
    <row r="925">
      <c r="A925" s="131"/>
      <c r="B925" s="131"/>
      <c r="C925" s="131"/>
      <c r="D925" s="81"/>
      <c r="E925" s="81"/>
      <c r="F925" s="131"/>
      <c r="G925" s="131"/>
      <c r="H925" s="131"/>
      <c r="I925" s="131"/>
      <c r="J925" s="131"/>
      <c r="K925" s="131"/>
      <c r="L925" s="131"/>
      <c r="M925" s="131"/>
      <c r="N925" s="131"/>
      <c r="O925" s="131"/>
      <c r="P925" s="131"/>
      <c r="Q925" s="131"/>
      <c r="R925" s="131"/>
      <c r="S925" s="131"/>
      <c r="T925" s="131"/>
      <c r="U925" s="131"/>
      <c r="V925" s="131"/>
      <c r="W925" s="131"/>
      <c r="X925" s="131"/>
      <c r="Y925" s="131"/>
    </row>
    <row r="926">
      <c r="A926" s="131"/>
      <c r="B926" s="131"/>
      <c r="C926" s="131"/>
      <c r="D926" s="81"/>
      <c r="E926" s="81"/>
      <c r="F926" s="131"/>
      <c r="G926" s="131"/>
      <c r="H926" s="131"/>
      <c r="I926" s="131"/>
      <c r="J926" s="131"/>
      <c r="K926" s="131"/>
      <c r="L926" s="131"/>
      <c r="M926" s="131"/>
      <c r="N926" s="131"/>
      <c r="O926" s="131"/>
      <c r="P926" s="131"/>
      <c r="Q926" s="131"/>
      <c r="R926" s="131"/>
      <c r="S926" s="131"/>
      <c r="T926" s="131"/>
      <c r="U926" s="131"/>
      <c r="V926" s="131"/>
      <c r="W926" s="131"/>
      <c r="X926" s="131"/>
      <c r="Y926" s="131"/>
    </row>
    <row r="927">
      <c r="A927" s="131"/>
      <c r="B927" s="131"/>
      <c r="C927" s="131"/>
      <c r="D927" s="81"/>
      <c r="E927" s="81"/>
      <c r="F927" s="131"/>
      <c r="G927" s="131"/>
      <c r="H927" s="131"/>
      <c r="I927" s="131"/>
      <c r="J927" s="131"/>
      <c r="K927" s="131"/>
      <c r="L927" s="131"/>
      <c r="M927" s="131"/>
      <c r="N927" s="131"/>
      <c r="O927" s="131"/>
      <c r="P927" s="131"/>
      <c r="Q927" s="131"/>
      <c r="R927" s="131"/>
      <c r="S927" s="131"/>
      <c r="T927" s="131"/>
      <c r="U927" s="131"/>
      <c r="V927" s="131"/>
      <c r="W927" s="131"/>
      <c r="X927" s="131"/>
      <c r="Y927" s="131"/>
    </row>
    <row r="928">
      <c r="A928" s="131"/>
      <c r="B928" s="131"/>
      <c r="C928" s="131"/>
      <c r="D928" s="81"/>
      <c r="E928" s="81"/>
      <c r="F928" s="131"/>
      <c r="G928" s="131"/>
      <c r="H928" s="131"/>
      <c r="I928" s="131"/>
      <c r="J928" s="131"/>
      <c r="K928" s="131"/>
      <c r="L928" s="131"/>
      <c r="M928" s="131"/>
      <c r="N928" s="131"/>
      <c r="O928" s="131"/>
      <c r="P928" s="131"/>
      <c r="Q928" s="131"/>
      <c r="R928" s="131"/>
      <c r="S928" s="131"/>
      <c r="T928" s="131"/>
      <c r="U928" s="131"/>
      <c r="V928" s="131"/>
      <c r="W928" s="131"/>
      <c r="X928" s="131"/>
      <c r="Y928" s="131"/>
    </row>
    <row r="929">
      <c r="A929" s="131"/>
      <c r="B929" s="131"/>
      <c r="C929" s="131"/>
      <c r="D929" s="81"/>
      <c r="E929" s="81"/>
      <c r="F929" s="131"/>
      <c r="G929" s="131"/>
      <c r="H929" s="131"/>
      <c r="I929" s="131"/>
      <c r="J929" s="131"/>
      <c r="K929" s="131"/>
      <c r="L929" s="131"/>
      <c r="M929" s="131"/>
      <c r="N929" s="131"/>
      <c r="O929" s="131"/>
      <c r="P929" s="131"/>
      <c r="Q929" s="131"/>
      <c r="R929" s="131"/>
      <c r="S929" s="131"/>
      <c r="T929" s="131"/>
      <c r="U929" s="131"/>
      <c r="V929" s="131"/>
      <c r="W929" s="131"/>
      <c r="X929" s="131"/>
      <c r="Y929" s="131"/>
    </row>
    <row r="930">
      <c r="A930" s="131"/>
      <c r="B930" s="131"/>
      <c r="C930" s="131"/>
      <c r="D930" s="81"/>
      <c r="E930" s="81"/>
      <c r="F930" s="131"/>
      <c r="G930" s="131"/>
      <c r="H930" s="131"/>
      <c r="I930" s="131"/>
      <c r="J930" s="131"/>
      <c r="K930" s="131"/>
      <c r="L930" s="131"/>
      <c r="M930" s="131"/>
      <c r="N930" s="131"/>
      <c r="O930" s="131"/>
      <c r="P930" s="131"/>
      <c r="Q930" s="131"/>
      <c r="R930" s="131"/>
      <c r="S930" s="131"/>
      <c r="T930" s="131"/>
      <c r="U930" s="131"/>
      <c r="V930" s="131"/>
      <c r="W930" s="131"/>
      <c r="X930" s="131"/>
      <c r="Y930" s="131"/>
    </row>
    <row r="931">
      <c r="A931" s="131"/>
      <c r="B931" s="131"/>
      <c r="C931" s="131"/>
      <c r="D931" s="81"/>
      <c r="E931" s="81"/>
      <c r="F931" s="131"/>
      <c r="G931" s="131"/>
      <c r="H931" s="131"/>
      <c r="I931" s="131"/>
      <c r="J931" s="131"/>
      <c r="K931" s="131"/>
      <c r="L931" s="131"/>
      <c r="M931" s="131"/>
      <c r="N931" s="131"/>
      <c r="O931" s="131"/>
      <c r="P931" s="131"/>
      <c r="Q931" s="131"/>
      <c r="R931" s="131"/>
      <c r="S931" s="131"/>
      <c r="T931" s="131"/>
      <c r="U931" s="131"/>
      <c r="V931" s="131"/>
      <c r="W931" s="131"/>
      <c r="X931" s="131"/>
      <c r="Y931" s="131"/>
    </row>
    <row r="932">
      <c r="A932" s="131"/>
      <c r="B932" s="131"/>
      <c r="C932" s="131"/>
      <c r="D932" s="81"/>
      <c r="E932" s="81"/>
      <c r="F932" s="131"/>
      <c r="G932" s="131"/>
      <c r="H932" s="131"/>
      <c r="I932" s="131"/>
      <c r="J932" s="131"/>
      <c r="K932" s="131"/>
      <c r="L932" s="131"/>
      <c r="M932" s="131"/>
      <c r="N932" s="131"/>
      <c r="O932" s="131"/>
      <c r="P932" s="131"/>
      <c r="Q932" s="131"/>
      <c r="R932" s="131"/>
      <c r="S932" s="131"/>
      <c r="T932" s="131"/>
      <c r="U932" s="131"/>
      <c r="V932" s="131"/>
      <c r="W932" s="131"/>
      <c r="X932" s="131"/>
      <c r="Y932" s="131"/>
    </row>
    <row r="933">
      <c r="A933" s="131"/>
      <c r="B933" s="131"/>
      <c r="C933" s="131"/>
      <c r="D933" s="81"/>
      <c r="E933" s="81"/>
      <c r="F933" s="131"/>
      <c r="G933" s="131"/>
      <c r="H933" s="131"/>
      <c r="I933" s="131"/>
      <c r="J933" s="131"/>
      <c r="K933" s="131"/>
      <c r="L933" s="131"/>
      <c r="M933" s="131"/>
      <c r="N933" s="131"/>
      <c r="O933" s="131"/>
      <c r="P933" s="131"/>
      <c r="Q933" s="131"/>
      <c r="R933" s="131"/>
      <c r="S933" s="131"/>
      <c r="T933" s="131"/>
      <c r="U933" s="131"/>
      <c r="V933" s="131"/>
      <c r="W933" s="131"/>
      <c r="X933" s="131"/>
      <c r="Y933" s="131"/>
    </row>
    <row r="934">
      <c r="A934" s="131"/>
      <c r="B934" s="131"/>
      <c r="C934" s="131"/>
      <c r="D934" s="81"/>
      <c r="E934" s="81"/>
      <c r="F934" s="131"/>
      <c r="G934" s="131"/>
      <c r="H934" s="131"/>
      <c r="I934" s="131"/>
      <c r="J934" s="131"/>
      <c r="K934" s="131"/>
      <c r="L934" s="131"/>
      <c r="M934" s="131"/>
      <c r="N934" s="131"/>
      <c r="O934" s="131"/>
      <c r="P934" s="131"/>
      <c r="Q934" s="131"/>
      <c r="R934" s="131"/>
      <c r="S934" s="131"/>
      <c r="T934" s="131"/>
      <c r="U934" s="131"/>
      <c r="V934" s="131"/>
      <c r="W934" s="131"/>
      <c r="X934" s="131"/>
      <c r="Y934" s="131"/>
    </row>
    <row r="935">
      <c r="A935" s="131"/>
      <c r="B935" s="131"/>
      <c r="C935" s="131"/>
      <c r="D935" s="81"/>
      <c r="E935" s="81"/>
      <c r="F935" s="131"/>
      <c r="G935" s="131"/>
      <c r="H935" s="131"/>
      <c r="I935" s="131"/>
      <c r="J935" s="131"/>
      <c r="K935" s="131"/>
      <c r="L935" s="131"/>
      <c r="M935" s="131"/>
      <c r="N935" s="131"/>
      <c r="O935" s="131"/>
      <c r="P935" s="131"/>
      <c r="Q935" s="131"/>
      <c r="R935" s="131"/>
      <c r="S935" s="131"/>
      <c r="T935" s="131"/>
      <c r="U935" s="131"/>
      <c r="V935" s="131"/>
      <c r="W935" s="131"/>
      <c r="X935" s="131"/>
      <c r="Y935" s="131"/>
    </row>
    <row r="936">
      <c r="A936" s="131"/>
      <c r="B936" s="131"/>
      <c r="C936" s="131"/>
      <c r="D936" s="81"/>
      <c r="E936" s="81"/>
      <c r="F936" s="131"/>
      <c r="G936" s="131"/>
      <c r="H936" s="131"/>
      <c r="I936" s="131"/>
      <c r="J936" s="131"/>
      <c r="K936" s="131"/>
      <c r="L936" s="131"/>
      <c r="M936" s="131"/>
      <c r="N936" s="131"/>
      <c r="O936" s="131"/>
      <c r="P936" s="131"/>
      <c r="Q936" s="131"/>
      <c r="R936" s="131"/>
      <c r="S936" s="131"/>
      <c r="T936" s="131"/>
      <c r="U936" s="131"/>
      <c r="V936" s="131"/>
      <c r="W936" s="131"/>
      <c r="X936" s="131"/>
      <c r="Y936" s="131"/>
    </row>
    <row r="937">
      <c r="A937" s="131"/>
      <c r="B937" s="131"/>
      <c r="C937" s="131"/>
      <c r="D937" s="81"/>
      <c r="E937" s="81"/>
      <c r="F937" s="131"/>
      <c r="G937" s="131"/>
      <c r="H937" s="131"/>
      <c r="I937" s="131"/>
      <c r="J937" s="131"/>
      <c r="K937" s="131"/>
      <c r="L937" s="131"/>
      <c r="M937" s="131"/>
      <c r="N937" s="131"/>
      <c r="O937" s="131"/>
      <c r="P937" s="131"/>
      <c r="Q937" s="131"/>
      <c r="R937" s="131"/>
      <c r="S937" s="131"/>
      <c r="T937" s="131"/>
      <c r="U937" s="131"/>
      <c r="V937" s="131"/>
      <c r="W937" s="131"/>
      <c r="X937" s="131"/>
      <c r="Y937" s="131"/>
    </row>
    <row r="938">
      <c r="A938" s="131"/>
      <c r="B938" s="131"/>
      <c r="C938" s="131"/>
      <c r="D938" s="81"/>
      <c r="E938" s="81"/>
      <c r="F938" s="131"/>
      <c r="G938" s="131"/>
      <c r="H938" s="131"/>
      <c r="I938" s="131"/>
      <c r="J938" s="131"/>
      <c r="K938" s="131"/>
      <c r="L938" s="131"/>
      <c r="M938" s="131"/>
      <c r="N938" s="131"/>
      <c r="O938" s="131"/>
      <c r="P938" s="131"/>
      <c r="Q938" s="131"/>
      <c r="R938" s="131"/>
      <c r="S938" s="131"/>
      <c r="T938" s="131"/>
      <c r="U938" s="131"/>
      <c r="V938" s="131"/>
      <c r="W938" s="131"/>
      <c r="X938" s="131"/>
      <c r="Y938" s="131"/>
    </row>
    <row r="939">
      <c r="A939" s="131"/>
      <c r="B939" s="131"/>
      <c r="C939" s="131"/>
      <c r="D939" s="81"/>
      <c r="E939" s="81"/>
      <c r="F939" s="131"/>
      <c r="G939" s="131"/>
      <c r="H939" s="131"/>
      <c r="I939" s="131"/>
      <c r="J939" s="131"/>
      <c r="K939" s="131"/>
      <c r="L939" s="131"/>
      <c r="M939" s="131"/>
      <c r="N939" s="131"/>
      <c r="O939" s="131"/>
      <c r="P939" s="131"/>
      <c r="Q939" s="131"/>
      <c r="R939" s="131"/>
      <c r="S939" s="131"/>
      <c r="T939" s="131"/>
      <c r="U939" s="131"/>
      <c r="V939" s="131"/>
      <c r="W939" s="131"/>
      <c r="X939" s="131"/>
      <c r="Y939" s="131"/>
    </row>
    <row r="940">
      <c r="A940" s="131"/>
      <c r="B940" s="131"/>
      <c r="C940" s="131"/>
      <c r="D940" s="81"/>
      <c r="E940" s="81"/>
      <c r="F940" s="131"/>
      <c r="G940" s="131"/>
      <c r="H940" s="131"/>
      <c r="I940" s="131"/>
      <c r="J940" s="131"/>
      <c r="K940" s="131"/>
      <c r="L940" s="131"/>
      <c r="M940" s="131"/>
      <c r="N940" s="131"/>
      <c r="O940" s="131"/>
      <c r="P940" s="131"/>
      <c r="Q940" s="131"/>
      <c r="R940" s="131"/>
      <c r="S940" s="131"/>
      <c r="T940" s="131"/>
      <c r="U940" s="131"/>
      <c r="V940" s="131"/>
      <c r="W940" s="131"/>
      <c r="X940" s="131"/>
      <c r="Y940" s="131"/>
    </row>
    <row r="941">
      <c r="A941" s="131"/>
      <c r="B941" s="131"/>
      <c r="C941" s="131"/>
      <c r="D941" s="81"/>
      <c r="E941" s="81"/>
      <c r="F941" s="131"/>
      <c r="G941" s="131"/>
      <c r="H941" s="131"/>
      <c r="I941" s="131"/>
      <c r="J941" s="131"/>
      <c r="K941" s="131"/>
      <c r="L941" s="131"/>
      <c r="M941" s="131"/>
      <c r="N941" s="131"/>
      <c r="O941" s="131"/>
      <c r="P941" s="131"/>
      <c r="Q941" s="131"/>
      <c r="R941" s="131"/>
      <c r="S941" s="131"/>
      <c r="T941" s="131"/>
      <c r="U941" s="131"/>
      <c r="V941" s="131"/>
      <c r="W941" s="131"/>
      <c r="X941" s="131"/>
      <c r="Y941" s="131"/>
    </row>
    <row r="942">
      <c r="A942" s="131"/>
      <c r="B942" s="131"/>
      <c r="C942" s="131"/>
      <c r="D942" s="81"/>
      <c r="E942" s="81"/>
      <c r="F942" s="131"/>
      <c r="G942" s="131"/>
      <c r="H942" s="131"/>
      <c r="I942" s="131"/>
      <c r="J942" s="131"/>
      <c r="K942" s="131"/>
      <c r="L942" s="131"/>
      <c r="M942" s="131"/>
      <c r="N942" s="131"/>
      <c r="O942" s="131"/>
      <c r="P942" s="131"/>
      <c r="Q942" s="131"/>
      <c r="R942" s="131"/>
      <c r="S942" s="131"/>
      <c r="T942" s="131"/>
      <c r="U942" s="131"/>
      <c r="V942" s="131"/>
      <c r="W942" s="131"/>
      <c r="X942" s="131"/>
      <c r="Y942" s="131"/>
    </row>
    <row r="943">
      <c r="A943" s="131"/>
      <c r="B943" s="131"/>
      <c r="C943" s="131"/>
      <c r="D943" s="81"/>
      <c r="E943" s="81"/>
      <c r="F943" s="131"/>
      <c r="G943" s="131"/>
      <c r="H943" s="131"/>
      <c r="I943" s="131"/>
      <c r="J943" s="131"/>
      <c r="K943" s="131"/>
      <c r="L943" s="131"/>
      <c r="M943" s="131"/>
      <c r="N943" s="131"/>
      <c r="O943" s="131"/>
      <c r="P943" s="131"/>
      <c r="Q943" s="131"/>
      <c r="R943" s="131"/>
      <c r="S943" s="131"/>
      <c r="T943" s="131"/>
      <c r="U943" s="131"/>
      <c r="V943" s="131"/>
      <c r="W943" s="131"/>
      <c r="X943" s="131"/>
      <c r="Y943" s="131"/>
    </row>
    <row r="944">
      <c r="A944" s="131"/>
      <c r="B944" s="131"/>
      <c r="C944" s="131"/>
      <c r="D944" s="81"/>
      <c r="E944" s="81"/>
      <c r="F944" s="131"/>
      <c r="G944" s="131"/>
      <c r="H944" s="131"/>
      <c r="I944" s="131"/>
      <c r="J944" s="131"/>
      <c r="K944" s="131"/>
      <c r="L944" s="131"/>
      <c r="M944" s="131"/>
      <c r="N944" s="131"/>
      <c r="O944" s="131"/>
      <c r="P944" s="131"/>
      <c r="Q944" s="131"/>
      <c r="R944" s="131"/>
      <c r="S944" s="131"/>
      <c r="T944" s="131"/>
      <c r="U944" s="131"/>
      <c r="V944" s="131"/>
      <c r="W944" s="131"/>
      <c r="X944" s="131"/>
      <c r="Y944" s="131"/>
    </row>
    <row r="945">
      <c r="A945" s="131"/>
      <c r="B945" s="131"/>
      <c r="C945" s="131"/>
      <c r="D945" s="81"/>
      <c r="E945" s="81"/>
      <c r="F945" s="131"/>
      <c r="G945" s="131"/>
      <c r="H945" s="131"/>
      <c r="I945" s="131"/>
      <c r="J945" s="131"/>
      <c r="K945" s="131"/>
      <c r="L945" s="131"/>
      <c r="M945" s="131"/>
      <c r="N945" s="131"/>
      <c r="O945" s="131"/>
      <c r="P945" s="131"/>
      <c r="Q945" s="131"/>
      <c r="R945" s="131"/>
      <c r="S945" s="131"/>
      <c r="T945" s="131"/>
      <c r="U945" s="131"/>
      <c r="V945" s="131"/>
      <c r="W945" s="131"/>
      <c r="X945" s="131"/>
      <c r="Y945" s="131"/>
    </row>
    <row r="946">
      <c r="A946" s="131"/>
      <c r="B946" s="131"/>
      <c r="C946" s="131"/>
      <c r="D946" s="81"/>
      <c r="E946" s="81"/>
      <c r="F946" s="131"/>
      <c r="G946" s="131"/>
      <c r="H946" s="131"/>
      <c r="I946" s="131"/>
      <c r="J946" s="131"/>
      <c r="K946" s="131"/>
      <c r="L946" s="131"/>
      <c r="M946" s="131"/>
      <c r="N946" s="131"/>
      <c r="O946" s="131"/>
      <c r="P946" s="131"/>
      <c r="Q946" s="131"/>
      <c r="R946" s="131"/>
      <c r="S946" s="131"/>
      <c r="T946" s="131"/>
      <c r="U946" s="131"/>
      <c r="V946" s="131"/>
      <c r="W946" s="131"/>
      <c r="X946" s="131"/>
      <c r="Y946" s="131"/>
    </row>
    <row r="947">
      <c r="A947" s="131"/>
      <c r="B947" s="131"/>
      <c r="C947" s="131"/>
      <c r="D947" s="81"/>
      <c r="E947" s="81"/>
      <c r="F947" s="131"/>
      <c r="G947" s="131"/>
      <c r="H947" s="131"/>
      <c r="I947" s="131"/>
      <c r="J947" s="131"/>
      <c r="K947" s="131"/>
      <c r="L947" s="131"/>
      <c r="M947" s="131"/>
      <c r="N947" s="131"/>
      <c r="O947" s="131"/>
      <c r="P947" s="131"/>
      <c r="Q947" s="131"/>
      <c r="R947" s="131"/>
      <c r="S947" s="131"/>
      <c r="T947" s="131"/>
      <c r="U947" s="131"/>
      <c r="V947" s="131"/>
      <c r="W947" s="131"/>
      <c r="X947" s="131"/>
      <c r="Y947" s="131"/>
    </row>
    <row r="948">
      <c r="A948" s="131"/>
      <c r="B948" s="131"/>
      <c r="C948" s="131"/>
      <c r="D948" s="81"/>
      <c r="E948" s="81"/>
      <c r="F948" s="131"/>
      <c r="G948" s="131"/>
      <c r="H948" s="131"/>
      <c r="I948" s="131"/>
      <c r="J948" s="131"/>
      <c r="K948" s="131"/>
      <c r="L948" s="131"/>
      <c r="M948" s="131"/>
      <c r="N948" s="131"/>
      <c r="O948" s="131"/>
      <c r="P948" s="131"/>
      <c r="Q948" s="131"/>
      <c r="R948" s="131"/>
      <c r="S948" s="131"/>
      <c r="T948" s="131"/>
      <c r="U948" s="131"/>
      <c r="V948" s="131"/>
      <c r="W948" s="131"/>
      <c r="X948" s="131"/>
      <c r="Y948" s="131"/>
    </row>
    <row r="949">
      <c r="A949" s="131"/>
      <c r="B949" s="131"/>
      <c r="C949" s="131"/>
      <c r="D949" s="81"/>
      <c r="E949" s="81"/>
      <c r="F949" s="131"/>
      <c r="G949" s="131"/>
      <c r="H949" s="131"/>
      <c r="I949" s="131"/>
      <c r="J949" s="131"/>
      <c r="K949" s="131"/>
      <c r="L949" s="131"/>
      <c r="M949" s="131"/>
      <c r="N949" s="131"/>
      <c r="O949" s="131"/>
      <c r="P949" s="131"/>
      <c r="Q949" s="131"/>
      <c r="R949" s="131"/>
      <c r="S949" s="131"/>
      <c r="T949" s="131"/>
      <c r="U949" s="131"/>
      <c r="V949" s="131"/>
      <c r="W949" s="131"/>
      <c r="X949" s="131"/>
      <c r="Y949" s="131"/>
    </row>
    <row r="950">
      <c r="A950" s="131"/>
      <c r="B950" s="131"/>
      <c r="C950" s="131"/>
      <c r="D950" s="81"/>
      <c r="E950" s="81"/>
      <c r="F950" s="131"/>
      <c r="G950" s="131"/>
      <c r="H950" s="131"/>
      <c r="I950" s="131"/>
      <c r="J950" s="131"/>
      <c r="K950" s="131"/>
      <c r="L950" s="131"/>
      <c r="M950" s="131"/>
      <c r="N950" s="131"/>
      <c r="O950" s="131"/>
      <c r="P950" s="131"/>
      <c r="Q950" s="131"/>
      <c r="R950" s="131"/>
      <c r="S950" s="131"/>
      <c r="T950" s="131"/>
      <c r="U950" s="131"/>
      <c r="V950" s="131"/>
      <c r="W950" s="131"/>
      <c r="X950" s="131"/>
      <c r="Y950" s="131"/>
    </row>
    <row r="951">
      <c r="A951" s="131"/>
      <c r="B951" s="131"/>
      <c r="C951" s="131"/>
      <c r="D951" s="81"/>
      <c r="E951" s="81"/>
      <c r="F951" s="131"/>
      <c r="G951" s="131"/>
      <c r="H951" s="131"/>
      <c r="I951" s="131"/>
      <c r="J951" s="131"/>
      <c r="K951" s="131"/>
      <c r="L951" s="131"/>
      <c r="M951" s="131"/>
      <c r="N951" s="131"/>
      <c r="O951" s="131"/>
      <c r="P951" s="131"/>
      <c r="Q951" s="131"/>
      <c r="R951" s="131"/>
      <c r="S951" s="131"/>
      <c r="T951" s="131"/>
      <c r="U951" s="131"/>
      <c r="V951" s="131"/>
      <c r="W951" s="131"/>
      <c r="X951" s="131"/>
      <c r="Y951" s="131"/>
    </row>
    <row r="952">
      <c r="A952" s="131"/>
      <c r="B952" s="131"/>
      <c r="C952" s="131"/>
      <c r="D952" s="81"/>
      <c r="E952" s="81"/>
      <c r="F952" s="131"/>
      <c r="G952" s="131"/>
      <c r="H952" s="131"/>
      <c r="I952" s="131"/>
      <c r="J952" s="131"/>
      <c r="K952" s="131"/>
      <c r="L952" s="131"/>
      <c r="M952" s="131"/>
      <c r="N952" s="131"/>
      <c r="O952" s="131"/>
      <c r="P952" s="131"/>
      <c r="Q952" s="131"/>
      <c r="R952" s="131"/>
      <c r="S952" s="131"/>
      <c r="T952" s="131"/>
      <c r="U952" s="131"/>
      <c r="V952" s="131"/>
      <c r="W952" s="131"/>
      <c r="X952" s="131"/>
      <c r="Y952" s="131"/>
    </row>
    <row r="953">
      <c r="A953" s="131"/>
      <c r="B953" s="131"/>
      <c r="C953" s="131"/>
      <c r="D953" s="81"/>
      <c r="E953" s="81"/>
      <c r="F953" s="131"/>
      <c r="G953" s="131"/>
      <c r="H953" s="131"/>
      <c r="I953" s="131"/>
      <c r="J953" s="131"/>
      <c r="K953" s="131"/>
      <c r="L953" s="131"/>
      <c r="M953" s="131"/>
      <c r="N953" s="131"/>
      <c r="O953" s="131"/>
      <c r="P953" s="131"/>
      <c r="Q953" s="131"/>
      <c r="R953" s="131"/>
      <c r="S953" s="131"/>
      <c r="T953" s="131"/>
      <c r="U953" s="131"/>
      <c r="V953" s="131"/>
      <c r="W953" s="131"/>
      <c r="X953" s="131"/>
      <c r="Y953" s="131"/>
    </row>
    <row r="954">
      <c r="A954" s="131"/>
      <c r="B954" s="131"/>
      <c r="C954" s="131"/>
      <c r="D954" s="81"/>
      <c r="E954" s="81"/>
      <c r="F954" s="131"/>
      <c r="G954" s="131"/>
      <c r="H954" s="131"/>
      <c r="I954" s="131"/>
      <c r="J954" s="131"/>
      <c r="K954" s="131"/>
      <c r="L954" s="131"/>
      <c r="M954" s="131"/>
      <c r="N954" s="131"/>
      <c r="O954" s="131"/>
      <c r="P954" s="131"/>
      <c r="Q954" s="131"/>
      <c r="R954" s="131"/>
      <c r="S954" s="131"/>
      <c r="T954" s="131"/>
      <c r="U954" s="131"/>
      <c r="V954" s="131"/>
      <c r="W954" s="131"/>
      <c r="X954" s="131"/>
      <c r="Y954" s="131"/>
    </row>
    <row r="955">
      <c r="A955" s="131"/>
      <c r="B955" s="131"/>
      <c r="C955" s="131"/>
      <c r="D955" s="81"/>
      <c r="E955" s="81"/>
      <c r="F955" s="131"/>
      <c r="G955" s="131"/>
      <c r="H955" s="131"/>
      <c r="I955" s="131"/>
      <c r="J955" s="131"/>
      <c r="K955" s="131"/>
      <c r="L955" s="131"/>
      <c r="M955" s="131"/>
      <c r="N955" s="131"/>
      <c r="O955" s="131"/>
      <c r="P955" s="131"/>
      <c r="Q955" s="131"/>
      <c r="R955" s="131"/>
      <c r="S955" s="131"/>
      <c r="T955" s="131"/>
      <c r="U955" s="131"/>
      <c r="V955" s="131"/>
      <c r="W955" s="131"/>
      <c r="X955" s="131"/>
      <c r="Y955" s="131"/>
    </row>
    <row r="956">
      <c r="A956" s="131"/>
      <c r="B956" s="131"/>
      <c r="C956" s="131"/>
      <c r="D956" s="81"/>
      <c r="E956" s="81"/>
      <c r="F956" s="131"/>
      <c r="G956" s="131"/>
      <c r="H956" s="131"/>
      <c r="I956" s="131"/>
      <c r="J956" s="131"/>
      <c r="K956" s="131"/>
      <c r="L956" s="131"/>
      <c r="M956" s="131"/>
      <c r="N956" s="131"/>
      <c r="O956" s="131"/>
      <c r="P956" s="131"/>
      <c r="Q956" s="131"/>
      <c r="R956" s="131"/>
      <c r="S956" s="131"/>
      <c r="T956" s="131"/>
      <c r="U956" s="131"/>
      <c r="V956" s="131"/>
      <c r="W956" s="131"/>
      <c r="X956" s="131"/>
      <c r="Y956" s="131"/>
    </row>
    <row r="957">
      <c r="A957" s="131"/>
      <c r="B957" s="131"/>
      <c r="C957" s="131"/>
      <c r="D957" s="81"/>
      <c r="E957" s="81"/>
      <c r="F957" s="131"/>
      <c r="G957" s="131"/>
      <c r="H957" s="131"/>
      <c r="I957" s="131"/>
      <c r="J957" s="131"/>
      <c r="K957" s="131"/>
      <c r="L957" s="131"/>
      <c r="M957" s="131"/>
      <c r="N957" s="131"/>
      <c r="O957" s="131"/>
      <c r="P957" s="131"/>
      <c r="Q957" s="131"/>
      <c r="R957" s="131"/>
      <c r="S957" s="131"/>
      <c r="T957" s="131"/>
      <c r="U957" s="131"/>
      <c r="V957" s="131"/>
      <c r="W957" s="131"/>
      <c r="X957" s="131"/>
      <c r="Y957" s="131"/>
    </row>
    <row r="958">
      <c r="A958" s="131"/>
      <c r="B958" s="131"/>
      <c r="C958" s="131"/>
      <c r="D958" s="81"/>
      <c r="E958" s="81"/>
      <c r="F958" s="131"/>
      <c r="G958" s="131"/>
      <c r="H958" s="131"/>
      <c r="I958" s="131"/>
      <c r="J958" s="131"/>
      <c r="K958" s="131"/>
      <c r="L958" s="131"/>
      <c r="M958" s="131"/>
      <c r="N958" s="131"/>
      <c r="O958" s="131"/>
      <c r="P958" s="131"/>
      <c r="Q958" s="131"/>
      <c r="R958" s="131"/>
      <c r="S958" s="131"/>
      <c r="T958" s="131"/>
      <c r="U958" s="131"/>
      <c r="V958" s="131"/>
      <c r="W958" s="131"/>
      <c r="X958" s="131"/>
      <c r="Y958" s="131"/>
    </row>
    <row r="959">
      <c r="A959" s="131"/>
      <c r="B959" s="131"/>
      <c r="C959" s="131"/>
      <c r="D959" s="81"/>
      <c r="E959" s="81"/>
      <c r="F959" s="131"/>
      <c r="G959" s="131"/>
      <c r="H959" s="131"/>
      <c r="I959" s="131"/>
      <c r="J959" s="131"/>
      <c r="K959" s="131"/>
      <c r="L959" s="131"/>
      <c r="M959" s="131"/>
      <c r="N959" s="131"/>
      <c r="O959" s="131"/>
      <c r="P959" s="131"/>
      <c r="Q959" s="131"/>
      <c r="R959" s="131"/>
      <c r="S959" s="131"/>
      <c r="T959" s="131"/>
      <c r="U959" s="131"/>
      <c r="V959" s="131"/>
      <c r="W959" s="131"/>
      <c r="X959" s="131"/>
      <c r="Y959" s="131"/>
    </row>
    <row r="960">
      <c r="A960" s="131"/>
      <c r="B960" s="131"/>
      <c r="C960" s="131"/>
      <c r="D960" s="81"/>
      <c r="E960" s="81"/>
      <c r="F960" s="131"/>
      <c r="G960" s="131"/>
      <c r="H960" s="131"/>
      <c r="I960" s="131"/>
      <c r="J960" s="131"/>
      <c r="K960" s="131"/>
      <c r="L960" s="131"/>
      <c r="M960" s="131"/>
      <c r="N960" s="131"/>
      <c r="O960" s="131"/>
      <c r="P960" s="131"/>
      <c r="Q960" s="131"/>
      <c r="R960" s="131"/>
      <c r="S960" s="131"/>
      <c r="T960" s="131"/>
      <c r="U960" s="131"/>
      <c r="V960" s="131"/>
      <c r="W960" s="131"/>
      <c r="X960" s="131"/>
      <c r="Y960" s="131"/>
    </row>
    <row r="961">
      <c r="A961" s="131"/>
      <c r="B961" s="131"/>
      <c r="C961" s="131"/>
      <c r="D961" s="81"/>
      <c r="E961" s="81"/>
      <c r="F961" s="131"/>
      <c r="G961" s="131"/>
      <c r="H961" s="131"/>
      <c r="I961" s="131"/>
      <c r="J961" s="131"/>
      <c r="K961" s="131"/>
      <c r="L961" s="131"/>
      <c r="M961" s="131"/>
      <c r="N961" s="131"/>
      <c r="O961" s="131"/>
      <c r="P961" s="131"/>
      <c r="Q961" s="131"/>
      <c r="R961" s="131"/>
      <c r="S961" s="131"/>
      <c r="T961" s="131"/>
      <c r="U961" s="131"/>
      <c r="V961" s="131"/>
      <c r="W961" s="131"/>
      <c r="X961" s="131"/>
      <c r="Y961" s="131"/>
    </row>
    <row r="962">
      <c r="A962" s="131"/>
      <c r="B962" s="131"/>
      <c r="C962" s="131"/>
      <c r="D962" s="81"/>
      <c r="E962" s="81"/>
      <c r="F962" s="131"/>
      <c r="G962" s="131"/>
      <c r="H962" s="131"/>
      <c r="I962" s="131"/>
      <c r="J962" s="131"/>
      <c r="K962" s="131"/>
      <c r="L962" s="131"/>
      <c r="M962" s="131"/>
      <c r="N962" s="131"/>
      <c r="O962" s="131"/>
      <c r="P962" s="131"/>
      <c r="Q962" s="131"/>
      <c r="R962" s="131"/>
      <c r="S962" s="131"/>
      <c r="T962" s="131"/>
      <c r="U962" s="131"/>
      <c r="V962" s="131"/>
      <c r="W962" s="131"/>
      <c r="X962" s="131"/>
      <c r="Y962" s="131"/>
    </row>
    <row r="963">
      <c r="A963" s="131"/>
      <c r="B963" s="131"/>
      <c r="C963" s="131"/>
      <c r="D963" s="81"/>
      <c r="E963" s="81"/>
      <c r="F963" s="131"/>
      <c r="G963" s="131"/>
      <c r="H963" s="131"/>
      <c r="I963" s="131"/>
      <c r="J963" s="131"/>
      <c r="K963" s="131"/>
      <c r="L963" s="131"/>
      <c r="M963" s="131"/>
      <c r="N963" s="131"/>
      <c r="O963" s="131"/>
      <c r="P963" s="131"/>
      <c r="Q963" s="131"/>
      <c r="R963" s="131"/>
      <c r="S963" s="131"/>
      <c r="T963" s="131"/>
      <c r="U963" s="131"/>
      <c r="V963" s="131"/>
      <c r="W963" s="131"/>
      <c r="X963" s="131"/>
      <c r="Y963" s="131"/>
    </row>
    <row r="964">
      <c r="A964" s="131"/>
      <c r="B964" s="131"/>
      <c r="C964" s="131"/>
      <c r="D964" s="81"/>
      <c r="E964" s="81"/>
      <c r="F964" s="131"/>
      <c r="G964" s="131"/>
      <c r="H964" s="131"/>
      <c r="I964" s="131"/>
      <c r="J964" s="131"/>
      <c r="K964" s="131"/>
      <c r="L964" s="131"/>
      <c r="M964" s="131"/>
      <c r="N964" s="131"/>
      <c r="O964" s="131"/>
      <c r="P964" s="131"/>
      <c r="Q964" s="131"/>
      <c r="R964" s="131"/>
      <c r="S964" s="131"/>
      <c r="T964" s="131"/>
      <c r="U964" s="131"/>
      <c r="V964" s="131"/>
      <c r="W964" s="131"/>
      <c r="X964" s="131"/>
      <c r="Y964" s="131"/>
    </row>
    <row r="965">
      <c r="A965" s="131"/>
      <c r="B965" s="131"/>
      <c r="C965" s="131"/>
      <c r="D965" s="81"/>
      <c r="E965" s="81"/>
      <c r="F965" s="131"/>
      <c r="G965" s="131"/>
      <c r="H965" s="131"/>
      <c r="I965" s="131"/>
      <c r="J965" s="131"/>
      <c r="K965" s="131"/>
      <c r="L965" s="131"/>
      <c r="M965" s="131"/>
      <c r="N965" s="131"/>
      <c r="O965" s="131"/>
      <c r="P965" s="131"/>
      <c r="Q965" s="131"/>
      <c r="R965" s="131"/>
      <c r="S965" s="131"/>
      <c r="T965" s="131"/>
      <c r="U965" s="131"/>
      <c r="V965" s="131"/>
      <c r="W965" s="131"/>
      <c r="X965" s="131"/>
      <c r="Y965" s="131"/>
    </row>
    <row r="966">
      <c r="A966" s="131"/>
      <c r="B966" s="131"/>
      <c r="C966" s="131"/>
      <c r="D966" s="81"/>
      <c r="E966" s="81"/>
      <c r="F966" s="131"/>
      <c r="G966" s="131"/>
      <c r="H966" s="131"/>
      <c r="I966" s="131"/>
      <c r="J966" s="131"/>
      <c r="K966" s="131"/>
      <c r="L966" s="131"/>
      <c r="M966" s="131"/>
      <c r="N966" s="131"/>
      <c r="O966" s="131"/>
      <c r="P966" s="131"/>
      <c r="Q966" s="131"/>
      <c r="R966" s="131"/>
      <c r="S966" s="131"/>
      <c r="T966" s="131"/>
      <c r="U966" s="131"/>
      <c r="V966" s="131"/>
      <c r="W966" s="131"/>
      <c r="X966" s="131"/>
      <c r="Y966" s="131"/>
    </row>
    <row r="967">
      <c r="A967" s="131"/>
      <c r="B967" s="131"/>
      <c r="C967" s="131"/>
      <c r="D967" s="81"/>
      <c r="E967" s="81"/>
      <c r="F967" s="131"/>
      <c r="G967" s="131"/>
      <c r="H967" s="131"/>
      <c r="I967" s="131"/>
      <c r="J967" s="131"/>
      <c r="K967" s="131"/>
      <c r="L967" s="131"/>
      <c r="M967" s="131"/>
      <c r="N967" s="131"/>
      <c r="O967" s="131"/>
      <c r="P967" s="131"/>
      <c r="Q967" s="131"/>
      <c r="R967" s="131"/>
      <c r="S967" s="131"/>
      <c r="T967" s="131"/>
      <c r="U967" s="131"/>
      <c r="V967" s="131"/>
      <c r="W967" s="131"/>
      <c r="X967" s="131"/>
      <c r="Y967" s="131"/>
    </row>
    <row r="968">
      <c r="A968" s="131"/>
      <c r="B968" s="131"/>
      <c r="C968" s="131"/>
      <c r="D968" s="81"/>
      <c r="E968" s="81"/>
      <c r="F968" s="131"/>
      <c r="G968" s="131"/>
      <c r="H968" s="131"/>
      <c r="I968" s="131"/>
      <c r="J968" s="131"/>
      <c r="K968" s="131"/>
      <c r="L968" s="131"/>
      <c r="M968" s="131"/>
      <c r="N968" s="131"/>
      <c r="O968" s="131"/>
      <c r="P968" s="131"/>
      <c r="Q968" s="131"/>
      <c r="R968" s="131"/>
      <c r="S968" s="131"/>
      <c r="T968" s="131"/>
      <c r="U968" s="131"/>
      <c r="V968" s="131"/>
      <c r="W968" s="131"/>
      <c r="X968" s="131"/>
      <c r="Y968" s="131"/>
    </row>
    <row r="969">
      <c r="A969" s="131"/>
      <c r="B969" s="131"/>
      <c r="C969" s="131"/>
      <c r="D969" s="81"/>
      <c r="E969" s="81"/>
      <c r="F969" s="131"/>
      <c r="G969" s="131"/>
      <c r="H969" s="131"/>
      <c r="I969" s="131"/>
      <c r="J969" s="131"/>
      <c r="K969" s="131"/>
      <c r="L969" s="131"/>
      <c r="M969" s="131"/>
      <c r="N969" s="131"/>
      <c r="O969" s="131"/>
      <c r="P969" s="131"/>
      <c r="Q969" s="131"/>
      <c r="R969" s="131"/>
      <c r="S969" s="131"/>
      <c r="T969" s="131"/>
      <c r="U969" s="131"/>
      <c r="V969" s="131"/>
      <c r="W969" s="131"/>
      <c r="X969" s="131"/>
      <c r="Y969" s="131"/>
    </row>
    <row r="970">
      <c r="A970" s="131"/>
      <c r="B970" s="131"/>
      <c r="C970" s="131"/>
      <c r="D970" s="81"/>
      <c r="E970" s="81"/>
      <c r="F970" s="131"/>
      <c r="G970" s="131"/>
      <c r="H970" s="131"/>
      <c r="I970" s="131"/>
      <c r="J970" s="131"/>
      <c r="K970" s="131"/>
      <c r="L970" s="131"/>
      <c r="M970" s="131"/>
      <c r="N970" s="131"/>
      <c r="O970" s="131"/>
      <c r="P970" s="131"/>
      <c r="Q970" s="131"/>
      <c r="R970" s="131"/>
      <c r="S970" s="131"/>
      <c r="T970" s="131"/>
      <c r="U970" s="131"/>
      <c r="V970" s="131"/>
      <c r="W970" s="131"/>
      <c r="X970" s="131"/>
      <c r="Y970" s="131"/>
    </row>
    <row r="971">
      <c r="A971" s="131"/>
      <c r="B971" s="131"/>
      <c r="C971" s="131"/>
      <c r="D971" s="81"/>
      <c r="E971" s="81"/>
      <c r="F971" s="131"/>
      <c r="G971" s="131"/>
      <c r="H971" s="131"/>
      <c r="I971" s="131"/>
      <c r="J971" s="131"/>
      <c r="K971" s="131"/>
      <c r="L971" s="131"/>
      <c r="M971" s="131"/>
      <c r="N971" s="131"/>
      <c r="O971" s="131"/>
      <c r="P971" s="131"/>
      <c r="Q971" s="131"/>
      <c r="R971" s="131"/>
      <c r="S971" s="131"/>
      <c r="T971" s="131"/>
      <c r="U971" s="131"/>
      <c r="V971" s="131"/>
      <c r="W971" s="131"/>
      <c r="X971" s="131"/>
      <c r="Y971" s="131"/>
    </row>
    <row r="972">
      <c r="A972" s="131"/>
      <c r="B972" s="131"/>
      <c r="C972" s="131"/>
      <c r="D972" s="81"/>
      <c r="E972" s="81"/>
      <c r="F972" s="131"/>
      <c r="G972" s="131"/>
      <c r="H972" s="131"/>
      <c r="I972" s="131"/>
      <c r="J972" s="131"/>
      <c r="K972" s="131"/>
      <c r="L972" s="131"/>
      <c r="M972" s="131"/>
      <c r="N972" s="131"/>
      <c r="O972" s="131"/>
      <c r="P972" s="131"/>
      <c r="Q972" s="131"/>
      <c r="R972" s="131"/>
      <c r="S972" s="131"/>
      <c r="T972" s="131"/>
      <c r="U972" s="131"/>
      <c r="V972" s="131"/>
      <c r="W972" s="131"/>
      <c r="X972" s="131"/>
      <c r="Y972" s="131"/>
    </row>
    <row r="973">
      <c r="A973" s="131"/>
      <c r="B973" s="131"/>
      <c r="C973" s="131"/>
      <c r="D973" s="81"/>
      <c r="E973" s="81"/>
      <c r="F973" s="131"/>
      <c r="G973" s="131"/>
      <c r="H973" s="131"/>
      <c r="I973" s="131"/>
      <c r="J973" s="131"/>
      <c r="K973" s="131"/>
      <c r="L973" s="131"/>
      <c r="M973" s="131"/>
      <c r="N973" s="131"/>
      <c r="O973" s="131"/>
      <c r="P973" s="131"/>
      <c r="Q973" s="131"/>
      <c r="R973" s="131"/>
      <c r="S973" s="131"/>
      <c r="T973" s="131"/>
      <c r="U973" s="131"/>
      <c r="V973" s="131"/>
      <c r="W973" s="131"/>
      <c r="X973" s="131"/>
      <c r="Y973" s="131"/>
    </row>
    <row r="974">
      <c r="A974" s="131"/>
      <c r="B974" s="131"/>
      <c r="C974" s="131"/>
      <c r="D974" s="81"/>
      <c r="E974" s="81"/>
      <c r="F974" s="131"/>
      <c r="G974" s="131"/>
      <c r="H974" s="131"/>
      <c r="I974" s="131"/>
      <c r="J974" s="131"/>
      <c r="K974" s="131"/>
      <c r="L974" s="131"/>
      <c r="M974" s="131"/>
      <c r="N974" s="131"/>
      <c r="O974" s="131"/>
      <c r="P974" s="131"/>
      <c r="Q974" s="131"/>
      <c r="R974" s="131"/>
      <c r="S974" s="131"/>
      <c r="T974" s="131"/>
      <c r="U974" s="131"/>
      <c r="V974" s="131"/>
      <c r="W974" s="131"/>
      <c r="X974" s="131"/>
      <c r="Y974" s="131"/>
    </row>
    <row r="975">
      <c r="A975" s="131"/>
      <c r="B975" s="131"/>
      <c r="C975" s="131"/>
      <c r="D975" s="81"/>
      <c r="E975" s="81"/>
      <c r="F975" s="131"/>
      <c r="G975" s="131"/>
      <c r="H975" s="131"/>
      <c r="I975" s="131"/>
      <c r="J975" s="131"/>
      <c r="K975" s="131"/>
      <c r="L975" s="131"/>
      <c r="M975" s="131"/>
      <c r="N975" s="131"/>
      <c r="O975" s="131"/>
      <c r="P975" s="131"/>
      <c r="Q975" s="131"/>
      <c r="R975" s="131"/>
      <c r="S975" s="131"/>
      <c r="T975" s="131"/>
      <c r="U975" s="131"/>
      <c r="V975" s="131"/>
      <c r="W975" s="131"/>
      <c r="X975" s="131"/>
      <c r="Y975" s="131"/>
    </row>
    <row r="976">
      <c r="A976" s="131"/>
      <c r="B976" s="131"/>
      <c r="C976" s="131"/>
      <c r="D976" s="81"/>
      <c r="E976" s="81"/>
      <c r="F976" s="131"/>
      <c r="G976" s="131"/>
      <c r="H976" s="131"/>
      <c r="I976" s="131"/>
      <c r="J976" s="131"/>
      <c r="K976" s="131"/>
      <c r="L976" s="131"/>
      <c r="M976" s="131"/>
      <c r="N976" s="131"/>
      <c r="O976" s="131"/>
      <c r="P976" s="131"/>
      <c r="Q976" s="131"/>
      <c r="R976" s="131"/>
      <c r="S976" s="131"/>
      <c r="T976" s="131"/>
      <c r="U976" s="131"/>
      <c r="V976" s="131"/>
      <c r="W976" s="131"/>
      <c r="X976" s="131"/>
      <c r="Y976" s="131"/>
    </row>
    <row r="977">
      <c r="A977" s="131"/>
      <c r="B977" s="131"/>
      <c r="C977" s="131"/>
      <c r="D977" s="81"/>
      <c r="E977" s="81"/>
      <c r="F977" s="131"/>
      <c r="G977" s="131"/>
      <c r="H977" s="131"/>
      <c r="I977" s="131"/>
      <c r="J977" s="131"/>
      <c r="K977" s="131"/>
      <c r="L977" s="131"/>
      <c r="M977" s="131"/>
      <c r="N977" s="131"/>
      <c r="O977" s="131"/>
      <c r="P977" s="131"/>
      <c r="Q977" s="131"/>
      <c r="R977" s="131"/>
      <c r="S977" s="131"/>
      <c r="T977" s="131"/>
      <c r="U977" s="131"/>
      <c r="V977" s="131"/>
      <c r="W977" s="131"/>
      <c r="X977" s="131"/>
      <c r="Y977" s="131"/>
    </row>
    <row r="978">
      <c r="A978" s="131"/>
      <c r="B978" s="131"/>
      <c r="C978" s="131"/>
      <c r="D978" s="81"/>
      <c r="E978" s="81"/>
      <c r="F978" s="131"/>
      <c r="G978" s="131"/>
      <c r="H978" s="131"/>
      <c r="I978" s="131"/>
      <c r="J978" s="131"/>
      <c r="K978" s="131"/>
      <c r="L978" s="131"/>
      <c r="M978" s="131"/>
      <c r="N978" s="131"/>
      <c r="O978" s="131"/>
      <c r="P978" s="131"/>
      <c r="Q978" s="131"/>
      <c r="R978" s="131"/>
      <c r="S978" s="131"/>
      <c r="T978" s="131"/>
      <c r="U978" s="131"/>
      <c r="V978" s="131"/>
      <c r="W978" s="131"/>
      <c r="X978" s="131"/>
      <c r="Y978" s="131"/>
    </row>
    <row r="979">
      <c r="A979" s="131"/>
      <c r="B979" s="131"/>
      <c r="C979" s="131"/>
      <c r="D979" s="81"/>
      <c r="E979" s="81"/>
      <c r="F979" s="131"/>
      <c r="G979" s="131"/>
      <c r="H979" s="131"/>
      <c r="I979" s="131"/>
      <c r="J979" s="131"/>
      <c r="K979" s="131"/>
      <c r="L979" s="131"/>
      <c r="M979" s="131"/>
      <c r="N979" s="131"/>
      <c r="O979" s="131"/>
      <c r="P979" s="131"/>
      <c r="Q979" s="131"/>
      <c r="R979" s="131"/>
      <c r="S979" s="131"/>
      <c r="T979" s="131"/>
      <c r="U979" s="131"/>
      <c r="V979" s="131"/>
      <c r="W979" s="131"/>
      <c r="X979" s="131"/>
      <c r="Y979" s="131"/>
    </row>
    <row r="980">
      <c r="A980" s="131"/>
      <c r="B980" s="131"/>
      <c r="C980" s="131"/>
      <c r="D980" s="81"/>
      <c r="E980" s="81"/>
      <c r="F980" s="131"/>
      <c r="G980" s="131"/>
      <c r="H980" s="131"/>
      <c r="I980" s="131"/>
      <c r="J980" s="131"/>
      <c r="K980" s="131"/>
      <c r="L980" s="131"/>
      <c r="M980" s="131"/>
      <c r="N980" s="131"/>
      <c r="O980" s="131"/>
      <c r="P980" s="131"/>
      <c r="Q980" s="131"/>
      <c r="R980" s="131"/>
      <c r="S980" s="131"/>
      <c r="T980" s="131"/>
      <c r="U980" s="131"/>
      <c r="V980" s="131"/>
      <c r="W980" s="131"/>
      <c r="X980" s="131"/>
      <c r="Y980" s="131"/>
    </row>
    <row r="981">
      <c r="A981" s="131"/>
      <c r="B981" s="131"/>
      <c r="C981" s="131"/>
      <c r="D981" s="81"/>
      <c r="E981" s="81"/>
      <c r="F981" s="131"/>
      <c r="G981" s="131"/>
      <c r="H981" s="131"/>
      <c r="I981" s="131"/>
      <c r="J981" s="131"/>
      <c r="K981" s="131"/>
      <c r="L981" s="131"/>
      <c r="M981" s="131"/>
      <c r="N981" s="131"/>
      <c r="O981" s="131"/>
      <c r="P981" s="131"/>
      <c r="Q981" s="131"/>
      <c r="R981" s="131"/>
      <c r="S981" s="131"/>
      <c r="T981" s="131"/>
      <c r="U981" s="131"/>
      <c r="V981" s="131"/>
      <c r="W981" s="131"/>
      <c r="X981" s="131"/>
      <c r="Y981" s="131"/>
    </row>
    <row r="982">
      <c r="A982" s="131"/>
      <c r="B982" s="131"/>
      <c r="C982" s="131"/>
      <c r="D982" s="81"/>
      <c r="E982" s="81"/>
      <c r="F982" s="131"/>
      <c r="G982" s="131"/>
      <c r="H982" s="131"/>
      <c r="I982" s="131"/>
      <c r="J982" s="131"/>
      <c r="K982" s="131"/>
      <c r="L982" s="131"/>
      <c r="M982" s="131"/>
      <c r="N982" s="131"/>
      <c r="O982" s="131"/>
      <c r="P982" s="131"/>
      <c r="Q982" s="131"/>
      <c r="R982" s="131"/>
      <c r="S982" s="131"/>
      <c r="T982" s="131"/>
      <c r="U982" s="131"/>
      <c r="V982" s="131"/>
      <c r="W982" s="131"/>
      <c r="X982" s="131"/>
      <c r="Y982" s="131"/>
    </row>
    <row r="983">
      <c r="A983" s="131"/>
      <c r="B983" s="131"/>
      <c r="C983" s="131"/>
      <c r="D983" s="81"/>
      <c r="E983" s="81"/>
      <c r="F983" s="131"/>
      <c r="G983" s="131"/>
      <c r="H983" s="131"/>
      <c r="I983" s="131"/>
      <c r="J983" s="131"/>
      <c r="K983" s="131"/>
      <c r="L983" s="131"/>
      <c r="M983" s="131"/>
      <c r="N983" s="131"/>
      <c r="O983" s="131"/>
      <c r="P983" s="131"/>
      <c r="Q983" s="131"/>
      <c r="R983" s="131"/>
      <c r="S983" s="131"/>
      <c r="T983" s="131"/>
      <c r="U983" s="131"/>
      <c r="V983" s="131"/>
      <c r="W983" s="131"/>
      <c r="X983" s="131"/>
      <c r="Y983" s="131"/>
    </row>
    <row r="984">
      <c r="A984" s="131"/>
      <c r="B984" s="131"/>
      <c r="C984" s="131"/>
      <c r="D984" s="81"/>
      <c r="E984" s="81"/>
      <c r="F984" s="131"/>
      <c r="G984" s="131"/>
      <c r="H984" s="131"/>
      <c r="I984" s="131"/>
      <c r="J984" s="131"/>
      <c r="K984" s="131"/>
      <c r="L984" s="131"/>
      <c r="M984" s="131"/>
      <c r="N984" s="131"/>
      <c r="O984" s="131"/>
      <c r="P984" s="131"/>
      <c r="Q984" s="131"/>
      <c r="R984" s="131"/>
      <c r="S984" s="131"/>
      <c r="T984" s="131"/>
      <c r="U984" s="131"/>
      <c r="V984" s="131"/>
      <c r="W984" s="131"/>
      <c r="X984" s="131"/>
      <c r="Y984" s="131"/>
    </row>
    <row r="985">
      <c r="A985" s="131"/>
      <c r="B985" s="131"/>
      <c r="C985" s="131"/>
      <c r="D985" s="81"/>
      <c r="E985" s="81"/>
      <c r="F985" s="131"/>
      <c r="G985" s="131"/>
      <c r="H985" s="131"/>
      <c r="I985" s="131"/>
      <c r="J985" s="131"/>
      <c r="K985" s="131"/>
      <c r="L985" s="131"/>
      <c r="M985" s="131"/>
      <c r="N985" s="131"/>
      <c r="O985" s="131"/>
      <c r="P985" s="131"/>
      <c r="Q985" s="131"/>
      <c r="R985" s="131"/>
      <c r="S985" s="131"/>
      <c r="T985" s="131"/>
      <c r="U985" s="131"/>
      <c r="V985" s="131"/>
      <c r="W985" s="131"/>
      <c r="X985" s="131"/>
      <c r="Y985" s="131"/>
    </row>
    <row r="986">
      <c r="A986" s="131"/>
      <c r="B986" s="131"/>
      <c r="C986" s="131"/>
      <c r="D986" s="81"/>
      <c r="E986" s="81"/>
      <c r="F986" s="131"/>
      <c r="G986" s="131"/>
      <c r="H986" s="131"/>
      <c r="I986" s="131"/>
      <c r="J986" s="131"/>
      <c r="K986" s="131"/>
      <c r="L986" s="131"/>
      <c r="M986" s="131"/>
      <c r="N986" s="131"/>
      <c r="O986" s="131"/>
      <c r="P986" s="131"/>
      <c r="Q986" s="131"/>
      <c r="R986" s="131"/>
      <c r="S986" s="131"/>
      <c r="T986" s="131"/>
      <c r="U986" s="131"/>
      <c r="V986" s="131"/>
      <c r="W986" s="131"/>
      <c r="X986" s="131"/>
      <c r="Y986" s="131"/>
    </row>
    <row r="987">
      <c r="A987" s="131"/>
      <c r="B987" s="131"/>
      <c r="C987" s="131"/>
      <c r="D987" s="81"/>
      <c r="E987" s="81"/>
      <c r="F987" s="131"/>
      <c r="G987" s="131"/>
      <c r="H987" s="131"/>
      <c r="I987" s="131"/>
      <c r="J987" s="131"/>
      <c r="K987" s="131"/>
      <c r="L987" s="131"/>
      <c r="M987" s="131"/>
      <c r="N987" s="131"/>
      <c r="O987" s="131"/>
      <c r="P987" s="131"/>
      <c r="Q987" s="131"/>
      <c r="R987" s="131"/>
      <c r="S987" s="131"/>
      <c r="T987" s="131"/>
      <c r="U987" s="131"/>
      <c r="V987" s="131"/>
      <c r="W987" s="131"/>
      <c r="X987" s="131"/>
      <c r="Y987" s="131"/>
    </row>
    <row r="988">
      <c r="A988" s="131"/>
      <c r="B988" s="131"/>
      <c r="C988" s="131"/>
      <c r="D988" s="81"/>
      <c r="E988" s="81"/>
      <c r="F988" s="131"/>
      <c r="G988" s="131"/>
      <c r="H988" s="131"/>
      <c r="I988" s="131"/>
      <c r="J988" s="131"/>
      <c r="K988" s="131"/>
      <c r="L988" s="131"/>
      <c r="M988" s="131"/>
      <c r="N988" s="131"/>
      <c r="O988" s="131"/>
      <c r="P988" s="131"/>
      <c r="Q988" s="131"/>
      <c r="R988" s="131"/>
      <c r="S988" s="131"/>
      <c r="T988" s="131"/>
      <c r="U988" s="131"/>
      <c r="V988" s="131"/>
      <c r="W988" s="131"/>
      <c r="X988" s="131"/>
      <c r="Y988" s="131"/>
    </row>
    <row r="989">
      <c r="A989" s="131"/>
      <c r="B989" s="131"/>
      <c r="C989" s="131"/>
      <c r="D989" s="81"/>
      <c r="E989" s="81"/>
      <c r="F989" s="131"/>
      <c r="G989" s="131"/>
      <c r="H989" s="131"/>
      <c r="I989" s="131"/>
      <c r="J989" s="131"/>
      <c r="K989" s="131"/>
      <c r="L989" s="131"/>
      <c r="M989" s="131"/>
      <c r="N989" s="131"/>
      <c r="O989" s="131"/>
      <c r="P989" s="131"/>
      <c r="Q989" s="131"/>
      <c r="R989" s="131"/>
      <c r="S989" s="131"/>
      <c r="T989" s="131"/>
      <c r="U989" s="131"/>
      <c r="V989" s="131"/>
      <c r="W989" s="131"/>
      <c r="X989" s="131"/>
      <c r="Y989" s="131"/>
    </row>
    <row r="990">
      <c r="A990" s="131"/>
      <c r="B990" s="131"/>
      <c r="C990" s="131"/>
      <c r="D990" s="81"/>
      <c r="E990" s="81"/>
      <c r="F990" s="131"/>
      <c r="G990" s="131"/>
      <c r="H990" s="131"/>
      <c r="I990" s="131"/>
      <c r="J990" s="131"/>
      <c r="K990" s="131"/>
      <c r="L990" s="131"/>
      <c r="M990" s="131"/>
      <c r="N990" s="131"/>
      <c r="O990" s="131"/>
      <c r="P990" s="131"/>
      <c r="Q990" s="131"/>
      <c r="R990" s="131"/>
      <c r="S990" s="131"/>
      <c r="T990" s="131"/>
      <c r="U990" s="131"/>
      <c r="V990" s="131"/>
      <c r="W990" s="131"/>
      <c r="X990" s="131"/>
      <c r="Y990" s="131"/>
    </row>
    <row r="991">
      <c r="A991" s="131"/>
      <c r="B991" s="131"/>
      <c r="C991" s="131"/>
      <c r="D991" s="81"/>
      <c r="E991" s="81"/>
      <c r="F991" s="131"/>
      <c r="G991" s="131"/>
      <c r="H991" s="131"/>
      <c r="I991" s="131"/>
      <c r="J991" s="131"/>
      <c r="K991" s="131"/>
      <c r="L991" s="131"/>
      <c r="M991" s="131"/>
      <c r="N991" s="131"/>
      <c r="O991" s="131"/>
      <c r="P991" s="131"/>
      <c r="Q991" s="131"/>
      <c r="R991" s="131"/>
      <c r="S991" s="131"/>
      <c r="T991" s="131"/>
      <c r="U991" s="131"/>
      <c r="V991" s="131"/>
      <c r="W991" s="131"/>
      <c r="X991" s="131"/>
      <c r="Y991" s="131"/>
    </row>
    <row r="992">
      <c r="A992" s="131"/>
      <c r="B992" s="131"/>
      <c r="C992" s="131"/>
      <c r="D992" s="81"/>
      <c r="E992" s="81"/>
      <c r="F992" s="131"/>
      <c r="G992" s="131"/>
      <c r="H992" s="131"/>
      <c r="I992" s="131"/>
      <c r="J992" s="131"/>
      <c r="K992" s="131"/>
      <c r="L992" s="131"/>
      <c r="M992" s="131"/>
      <c r="N992" s="131"/>
      <c r="O992" s="131"/>
      <c r="P992" s="131"/>
      <c r="Q992" s="131"/>
      <c r="R992" s="131"/>
      <c r="S992" s="131"/>
      <c r="T992" s="131"/>
      <c r="U992" s="131"/>
      <c r="V992" s="131"/>
      <c r="W992" s="131"/>
      <c r="X992" s="131"/>
      <c r="Y992" s="131"/>
    </row>
    <row r="993">
      <c r="A993" s="131"/>
      <c r="B993" s="131"/>
      <c r="C993" s="131"/>
      <c r="D993" s="81"/>
      <c r="E993" s="81"/>
      <c r="F993" s="131"/>
      <c r="G993" s="131"/>
      <c r="H993" s="131"/>
      <c r="I993" s="131"/>
      <c r="J993" s="131"/>
      <c r="K993" s="131"/>
      <c r="L993" s="131"/>
      <c r="M993" s="131"/>
      <c r="N993" s="131"/>
      <c r="O993" s="131"/>
      <c r="P993" s="131"/>
      <c r="Q993" s="131"/>
      <c r="R993" s="131"/>
      <c r="S993" s="131"/>
      <c r="T993" s="131"/>
      <c r="U993" s="131"/>
      <c r="V993" s="131"/>
      <c r="W993" s="131"/>
      <c r="X993" s="131"/>
      <c r="Y993" s="131"/>
    </row>
    <row r="994">
      <c r="A994" s="131"/>
      <c r="B994" s="131"/>
      <c r="C994" s="131"/>
      <c r="D994" s="81"/>
      <c r="E994" s="81"/>
      <c r="F994" s="131"/>
      <c r="G994" s="131"/>
      <c r="H994" s="131"/>
      <c r="I994" s="131"/>
      <c r="J994" s="131"/>
      <c r="K994" s="131"/>
      <c r="L994" s="131"/>
      <c r="M994" s="131"/>
      <c r="N994" s="131"/>
      <c r="O994" s="131"/>
      <c r="P994" s="131"/>
      <c r="Q994" s="131"/>
      <c r="R994" s="131"/>
      <c r="S994" s="131"/>
      <c r="T994" s="131"/>
      <c r="U994" s="131"/>
      <c r="V994" s="131"/>
      <c r="W994" s="131"/>
      <c r="X994" s="131"/>
      <c r="Y994" s="131"/>
    </row>
    <row r="995">
      <c r="A995" s="131"/>
      <c r="B995" s="131"/>
      <c r="C995" s="131"/>
      <c r="D995" s="81"/>
      <c r="E995" s="81"/>
      <c r="F995" s="131"/>
      <c r="G995" s="131"/>
      <c r="H995" s="131"/>
      <c r="I995" s="131"/>
      <c r="J995" s="131"/>
      <c r="K995" s="131"/>
      <c r="L995" s="131"/>
      <c r="M995" s="131"/>
      <c r="N995" s="131"/>
      <c r="O995" s="131"/>
      <c r="P995" s="131"/>
      <c r="Q995" s="131"/>
      <c r="R995" s="131"/>
      <c r="S995" s="131"/>
      <c r="T995" s="131"/>
      <c r="U995" s="131"/>
      <c r="V995" s="131"/>
      <c r="W995" s="131"/>
      <c r="X995" s="131"/>
      <c r="Y995" s="131"/>
    </row>
    <row r="996">
      <c r="A996" s="131"/>
      <c r="B996" s="131"/>
      <c r="C996" s="131"/>
      <c r="D996" s="81"/>
      <c r="E996" s="81"/>
      <c r="F996" s="131"/>
      <c r="G996" s="131"/>
      <c r="H996" s="131"/>
      <c r="I996" s="131"/>
      <c r="J996" s="131"/>
      <c r="K996" s="131"/>
      <c r="L996" s="131"/>
      <c r="M996" s="131"/>
      <c r="N996" s="131"/>
      <c r="O996" s="131"/>
      <c r="P996" s="131"/>
      <c r="Q996" s="131"/>
      <c r="R996" s="131"/>
      <c r="S996" s="131"/>
      <c r="T996" s="131"/>
      <c r="U996" s="131"/>
      <c r="V996" s="131"/>
      <c r="W996" s="131"/>
      <c r="X996" s="131"/>
      <c r="Y996" s="131"/>
    </row>
    <row r="997">
      <c r="A997" s="131"/>
      <c r="B997" s="131"/>
      <c r="C997" s="131"/>
      <c r="D997" s="81"/>
      <c r="E997" s="81"/>
      <c r="F997" s="131"/>
      <c r="G997" s="131"/>
      <c r="H997" s="131"/>
      <c r="I997" s="131"/>
      <c r="J997" s="131"/>
      <c r="K997" s="131"/>
      <c r="L997" s="131"/>
      <c r="M997" s="131"/>
      <c r="N997" s="131"/>
      <c r="O997" s="131"/>
      <c r="P997" s="131"/>
      <c r="Q997" s="131"/>
      <c r="R997" s="131"/>
      <c r="S997" s="131"/>
      <c r="T997" s="131"/>
      <c r="U997" s="131"/>
      <c r="V997" s="131"/>
      <c r="W997" s="131"/>
      <c r="X997" s="131"/>
      <c r="Y997" s="131"/>
    </row>
    <row r="998">
      <c r="A998" s="131"/>
      <c r="B998" s="131"/>
      <c r="C998" s="131"/>
      <c r="D998" s="131"/>
      <c r="E998" s="131"/>
      <c r="F998" s="131"/>
      <c r="G998" s="131"/>
      <c r="H998" s="131"/>
      <c r="I998" s="131"/>
      <c r="J998" s="131"/>
      <c r="K998" s="131"/>
      <c r="L998" s="131"/>
      <c r="M998" s="131"/>
      <c r="N998" s="131"/>
      <c r="O998" s="131"/>
      <c r="P998" s="131"/>
      <c r="Q998" s="131"/>
      <c r="R998" s="131"/>
      <c r="S998" s="131"/>
      <c r="T998" s="131"/>
      <c r="U998" s="131"/>
      <c r="V998" s="131"/>
      <c r="W998" s="131"/>
      <c r="X998" s="131"/>
      <c r="Y998" s="131"/>
    </row>
    <row r="999">
      <c r="A999" s="131"/>
      <c r="B999" s="131"/>
      <c r="C999" s="131"/>
      <c r="D999" s="131"/>
      <c r="E999" s="131"/>
      <c r="F999" s="131"/>
      <c r="G999" s="131"/>
      <c r="H999" s="131"/>
      <c r="I999" s="131"/>
      <c r="J999" s="131"/>
      <c r="K999" s="131"/>
      <c r="L999" s="131"/>
      <c r="M999" s="131"/>
      <c r="N999" s="131"/>
      <c r="O999" s="131"/>
      <c r="P999" s="131"/>
      <c r="Q999" s="131"/>
      <c r="R999" s="131"/>
      <c r="S999" s="131"/>
      <c r="T999" s="131"/>
      <c r="U999" s="131"/>
      <c r="V999" s="131"/>
      <c r="W999" s="131"/>
      <c r="X999" s="131"/>
      <c r="Y999" s="131"/>
    </row>
    <row r="1000">
      <c r="A1000" s="131"/>
      <c r="B1000" s="131"/>
      <c r="C1000" s="131"/>
      <c r="D1000" s="131"/>
      <c r="E1000" s="131"/>
      <c r="F1000" s="131"/>
      <c r="G1000" s="131"/>
      <c r="H1000" s="131"/>
      <c r="I1000" s="131"/>
      <c r="J1000" s="131"/>
      <c r="K1000" s="131"/>
      <c r="L1000" s="131"/>
      <c r="M1000" s="131"/>
      <c r="N1000" s="131"/>
      <c r="O1000" s="131"/>
      <c r="P1000" s="131"/>
      <c r="Q1000" s="131"/>
      <c r="R1000" s="131"/>
      <c r="S1000" s="131"/>
      <c r="T1000" s="131"/>
      <c r="U1000" s="131"/>
      <c r="V1000" s="131"/>
      <c r="W1000" s="131"/>
      <c r="X1000" s="131"/>
      <c r="Y1000" s="131"/>
    </row>
    <row r="1001">
      <c r="A1001" s="131"/>
      <c r="B1001" s="131"/>
      <c r="C1001" s="131"/>
      <c r="D1001" s="131"/>
      <c r="E1001" s="131"/>
      <c r="F1001" s="131"/>
      <c r="G1001" s="131"/>
      <c r="H1001" s="131"/>
      <c r="I1001" s="131"/>
      <c r="J1001" s="131"/>
      <c r="K1001" s="131"/>
      <c r="L1001" s="131"/>
      <c r="M1001" s="131"/>
      <c r="N1001" s="131"/>
      <c r="O1001" s="131"/>
      <c r="P1001" s="131"/>
      <c r="Q1001" s="131"/>
      <c r="R1001" s="131"/>
      <c r="S1001" s="131"/>
      <c r="T1001" s="131"/>
      <c r="U1001" s="131"/>
      <c r="V1001" s="131"/>
      <c r="W1001" s="131"/>
      <c r="X1001" s="131"/>
      <c r="Y1001" s="131"/>
    </row>
    <row r="1002">
      <c r="A1002" s="131"/>
      <c r="B1002" s="131"/>
      <c r="C1002" s="131"/>
      <c r="D1002" s="131"/>
      <c r="E1002" s="131"/>
      <c r="F1002" s="131"/>
      <c r="G1002" s="131"/>
      <c r="H1002" s="131"/>
      <c r="I1002" s="131"/>
      <c r="J1002" s="131"/>
      <c r="K1002" s="131"/>
      <c r="L1002" s="131"/>
      <c r="M1002" s="131"/>
      <c r="N1002" s="131"/>
      <c r="O1002" s="131"/>
      <c r="P1002" s="131"/>
      <c r="Q1002" s="131"/>
      <c r="R1002" s="131"/>
      <c r="S1002" s="131"/>
      <c r="T1002" s="131"/>
      <c r="U1002" s="131"/>
      <c r="V1002" s="131"/>
      <c r="W1002" s="131"/>
      <c r="X1002" s="131"/>
      <c r="Y1002" s="131"/>
    </row>
    <row r="1003">
      <c r="A1003" s="131"/>
      <c r="B1003" s="131"/>
      <c r="C1003" s="131"/>
      <c r="D1003" s="131"/>
      <c r="E1003" s="131"/>
      <c r="F1003" s="131"/>
      <c r="G1003" s="131"/>
      <c r="H1003" s="131"/>
      <c r="I1003" s="131"/>
      <c r="J1003" s="131"/>
      <c r="K1003" s="131"/>
      <c r="L1003" s="131"/>
      <c r="M1003" s="131"/>
      <c r="N1003" s="131"/>
      <c r="O1003" s="131"/>
      <c r="P1003" s="131"/>
      <c r="Q1003" s="131"/>
      <c r="R1003" s="131"/>
      <c r="S1003" s="131"/>
      <c r="T1003" s="131"/>
      <c r="U1003" s="131"/>
      <c r="V1003" s="131"/>
      <c r="W1003" s="131"/>
      <c r="X1003" s="131"/>
      <c r="Y1003" s="131"/>
    </row>
    <row r="1004">
      <c r="A1004" s="131"/>
      <c r="B1004" s="131"/>
      <c r="C1004" s="131"/>
      <c r="D1004" s="131"/>
      <c r="E1004" s="131"/>
      <c r="F1004" s="131"/>
      <c r="G1004" s="131"/>
      <c r="H1004" s="131"/>
      <c r="I1004" s="131"/>
      <c r="J1004" s="131"/>
      <c r="K1004" s="131"/>
      <c r="L1004" s="131"/>
      <c r="M1004" s="131"/>
      <c r="N1004" s="131"/>
      <c r="O1004" s="131"/>
      <c r="P1004" s="131"/>
      <c r="Q1004" s="131"/>
      <c r="R1004" s="131"/>
      <c r="S1004" s="131"/>
      <c r="T1004" s="131"/>
      <c r="U1004" s="131"/>
      <c r="V1004" s="131"/>
      <c r="W1004" s="131"/>
      <c r="X1004" s="131"/>
      <c r="Y1004" s="131"/>
    </row>
    <row r="1005">
      <c r="A1005" s="131"/>
      <c r="B1005" s="131"/>
      <c r="C1005" s="131"/>
      <c r="D1005" s="131"/>
      <c r="E1005" s="131"/>
      <c r="F1005" s="131"/>
      <c r="G1005" s="131"/>
      <c r="H1005" s="131"/>
      <c r="I1005" s="131"/>
      <c r="J1005" s="131"/>
      <c r="K1005" s="131"/>
      <c r="L1005" s="131"/>
      <c r="M1005" s="131"/>
      <c r="N1005" s="131"/>
      <c r="O1005" s="131"/>
      <c r="P1005" s="131"/>
      <c r="Q1005" s="131"/>
      <c r="R1005" s="131"/>
      <c r="S1005" s="131"/>
      <c r="T1005" s="131"/>
      <c r="U1005" s="131"/>
      <c r="V1005" s="131"/>
      <c r="W1005" s="131"/>
      <c r="X1005" s="131"/>
      <c r="Y1005" s="131"/>
    </row>
    <row r="1006">
      <c r="A1006" s="131"/>
      <c r="B1006" s="131"/>
      <c r="C1006" s="131"/>
      <c r="D1006" s="131"/>
      <c r="E1006" s="131"/>
      <c r="F1006" s="131"/>
      <c r="G1006" s="131"/>
      <c r="H1006" s="131"/>
      <c r="I1006" s="131"/>
      <c r="J1006" s="131"/>
      <c r="K1006" s="131"/>
      <c r="L1006" s="131"/>
      <c r="M1006" s="131"/>
      <c r="N1006" s="131"/>
      <c r="O1006" s="131"/>
      <c r="P1006" s="131"/>
      <c r="Q1006" s="131"/>
      <c r="R1006" s="131"/>
      <c r="S1006" s="131"/>
      <c r="T1006" s="131"/>
      <c r="U1006" s="131"/>
      <c r="V1006" s="131"/>
      <c r="W1006" s="131"/>
      <c r="X1006" s="131"/>
      <c r="Y1006" s="131"/>
    </row>
    <row r="1007">
      <c r="A1007" s="131"/>
      <c r="B1007" s="131"/>
      <c r="C1007" s="131"/>
      <c r="D1007" s="131"/>
      <c r="E1007" s="131"/>
      <c r="F1007" s="131"/>
      <c r="G1007" s="131"/>
      <c r="H1007" s="131"/>
      <c r="I1007" s="131"/>
      <c r="J1007" s="131"/>
      <c r="K1007" s="131"/>
      <c r="L1007" s="131"/>
      <c r="M1007" s="131"/>
      <c r="N1007" s="131"/>
      <c r="O1007" s="131"/>
      <c r="P1007" s="131"/>
      <c r="Q1007" s="131"/>
      <c r="R1007" s="131"/>
      <c r="S1007" s="131"/>
      <c r="T1007" s="131"/>
      <c r="U1007" s="131"/>
      <c r="V1007" s="131"/>
      <c r="W1007" s="131"/>
      <c r="X1007" s="131"/>
      <c r="Y1007" s="131"/>
    </row>
    <row r="1008">
      <c r="A1008" s="131"/>
      <c r="B1008" s="131"/>
      <c r="C1008" s="131"/>
      <c r="D1008" s="131"/>
      <c r="E1008" s="131"/>
      <c r="F1008" s="131"/>
      <c r="G1008" s="131"/>
      <c r="H1008" s="131"/>
      <c r="I1008" s="131"/>
      <c r="J1008" s="131"/>
      <c r="K1008" s="131"/>
      <c r="L1008" s="131"/>
      <c r="M1008" s="131"/>
      <c r="N1008" s="131"/>
      <c r="O1008" s="131"/>
      <c r="P1008" s="131"/>
      <c r="Q1008" s="131"/>
      <c r="R1008" s="131"/>
      <c r="S1008" s="131"/>
      <c r="T1008" s="131"/>
      <c r="U1008" s="131"/>
      <c r="V1008" s="131"/>
      <c r="W1008" s="131"/>
      <c r="X1008" s="131"/>
      <c r="Y1008" s="131"/>
    </row>
    <row r="1009">
      <c r="A1009" s="131"/>
      <c r="B1009" s="131"/>
      <c r="C1009" s="131"/>
      <c r="D1009" s="131"/>
      <c r="E1009" s="131"/>
      <c r="F1009" s="131"/>
      <c r="G1009" s="131"/>
      <c r="H1009" s="131"/>
      <c r="I1009" s="131"/>
      <c r="J1009" s="131"/>
      <c r="K1009" s="131"/>
      <c r="L1009" s="131"/>
      <c r="M1009" s="131"/>
      <c r="N1009" s="131"/>
      <c r="O1009" s="131"/>
      <c r="P1009" s="131"/>
      <c r="Q1009" s="131"/>
      <c r="R1009" s="131"/>
      <c r="S1009" s="131"/>
      <c r="T1009" s="131"/>
      <c r="U1009" s="131"/>
      <c r="V1009" s="131"/>
      <c r="W1009" s="131"/>
      <c r="X1009" s="131"/>
      <c r="Y1009" s="131"/>
    </row>
    <row r="1010">
      <c r="A1010" s="131"/>
      <c r="B1010" s="131"/>
      <c r="C1010" s="131"/>
      <c r="D1010" s="131"/>
      <c r="E1010" s="131"/>
      <c r="F1010" s="131"/>
      <c r="G1010" s="131"/>
      <c r="H1010" s="131"/>
      <c r="I1010" s="131"/>
      <c r="J1010" s="131"/>
      <c r="K1010" s="131"/>
      <c r="L1010" s="131"/>
      <c r="M1010" s="131"/>
      <c r="N1010" s="131"/>
      <c r="O1010" s="131"/>
      <c r="P1010" s="131"/>
      <c r="Q1010" s="131"/>
      <c r="R1010" s="131"/>
      <c r="S1010" s="131"/>
      <c r="T1010" s="131"/>
      <c r="U1010" s="131"/>
      <c r="V1010" s="131"/>
      <c r="W1010" s="131"/>
      <c r="X1010" s="131"/>
      <c r="Y1010" s="131"/>
    </row>
    <row r="1011">
      <c r="A1011" s="131"/>
      <c r="B1011" s="131"/>
      <c r="C1011" s="131"/>
      <c r="D1011" s="131"/>
      <c r="E1011" s="131"/>
      <c r="F1011" s="131"/>
      <c r="G1011" s="131"/>
      <c r="H1011" s="131"/>
      <c r="I1011" s="131"/>
      <c r="J1011" s="131"/>
      <c r="K1011" s="131"/>
      <c r="L1011" s="131"/>
      <c r="M1011" s="131"/>
      <c r="N1011" s="131"/>
      <c r="O1011" s="131"/>
      <c r="P1011" s="131"/>
      <c r="Q1011" s="131"/>
      <c r="R1011" s="131"/>
      <c r="S1011" s="131"/>
      <c r="T1011" s="131"/>
      <c r="U1011" s="131"/>
      <c r="V1011" s="131"/>
      <c r="W1011" s="131"/>
      <c r="X1011" s="131"/>
      <c r="Y1011" s="131"/>
    </row>
    <row r="1012">
      <c r="A1012" s="131"/>
      <c r="B1012" s="131"/>
      <c r="C1012" s="131"/>
      <c r="D1012" s="131"/>
      <c r="E1012" s="131"/>
      <c r="F1012" s="131"/>
      <c r="G1012" s="131"/>
      <c r="H1012" s="131"/>
      <c r="I1012" s="131"/>
      <c r="J1012" s="131"/>
      <c r="K1012" s="131"/>
      <c r="L1012" s="131"/>
      <c r="M1012" s="131"/>
      <c r="N1012" s="131"/>
      <c r="O1012" s="131"/>
      <c r="P1012" s="131"/>
      <c r="Q1012" s="131"/>
      <c r="R1012" s="131"/>
      <c r="S1012" s="131"/>
      <c r="T1012" s="131"/>
      <c r="U1012" s="131"/>
      <c r="V1012" s="131"/>
      <c r="W1012" s="131"/>
      <c r="X1012" s="131"/>
      <c r="Y1012" s="131"/>
    </row>
    <row r="1013">
      <c r="A1013" s="131"/>
      <c r="B1013" s="131"/>
      <c r="C1013" s="131"/>
      <c r="D1013" s="131"/>
      <c r="E1013" s="131"/>
      <c r="F1013" s="131"/>
      <c r="G1013" s="131"/>
      <c r="H1013" s="131"/>
      <c r="I1013" s="131"/>
      <c r="J1013" s="131"/>
      <c r="K1013" s="131"/>
      <c r="L1013" s="131"/>
      <c r="M1013" s="131"/>
      <c r="N1013" s="131"/>
      <c r="O1013" s="131"/>
      <c r="P1013" s="131"/>
      <c r="Q1013" s="131"/>
      <c r="R1013" s="131"/>
      <c r="S1013" s="131"/>
      <c r="T1013" s="131"/>
      <c r="U1013" s="131"/>
      <c r="V1013" s="131"/>
      <c r="W1013" s="131"/>
      <c r="X1013" s="131"/>
      <c r="Y1013" s="131"/>
    </row>
    <row r="1014">
      <c r="A1014" s="131"/>
      <c r="B1014" s="131"/>
      <c r="C1014" s="131"/>
      <c r="D1014" s="131"/>
      <c r="E1014" s="131"/>
      <c r="F1014" s="131"/>
      <c r="G1014" s="131"/>
      <c r="H1014" s="131"/>
      <c r="I1014" s="131"/>
      <c r="J1014" s="131"/>
      <c r="K1014" s="131"/>
      <c r="L1014" s="131"/>
      <c r="M1014" s="131"/>
      <c r="N1014" s="131"/>
      <c r="O1014" s="131"/>
      <c r="P1014" s="131"/>
      <c r="Q1014" s="131"/>
      <c r="R1014" s="131"/>
      <c r="S1014" s="131"/>
      <c r="T1014" s="131"/>
      <c r="U1014" s="131"/>
      <c r="V1014" s="131"/>
      <c r="W1014" s="131"/>
      <c r="X1014" s="131"/>
      <c r="Y1014" s="131"/>
    </row>
    <row r="1015">
      <c r="A1015" s="131"/>
      <c r="B1015" s="131"/>
      <c r="C1015" s="131"/>
      <c r="D1015" s="131"/>
      <c r="E1015" s="131"/>
      <c r="F1015" s="131"/>
      <c r="G1015" s="131"/>
      <c r="H1015" s="131"/>
      <c r="I1015" s="131"/>
      <c r="J1015" s="131"/>
      <c r="K1015" s="131"/>
      <c r="L1015" s="131"/>
      <c r="M1015" s="131"/>
      <c r="N1015" s="131"/>
      <c r="O1015" s="131"/>
      <c r="P1015" s="131"/>
      <c r="Q1015" s="131"/>
      <c r="R1015" s="131"/>
      <c r="S1015" s="131"/>
      <c r="T1015" s="131"/>
      <c r="U1015" s="131"/>
      <c r="V1015" s="131"/>
      <c r="W1015" s="131"/>
      <c r="X1015" s="131"/>
      <c r="Y1015" s="131"/>
    </row>
  </sheetData>
  <conditionalFormatting sqref="G3:G6 G8:G15 G17:G18 G20:G21">
    <cfRule type="containsText" dxfId="0" priority="1" operator="containsText" text="Consultar">
      <formula>NOT(ISERROR(SEARCH(("Consultar"),(G3))))</formula>
    </cfRule>
  </conditionalFormatting>
  <conditionalFormatting sqref="G3:G6 G8:G15 G17:G18 G20:G21">
    <cfRule type="containsText" dxfId="1" priority="2" operator="containsText" text="Mayor a 5">
      <formula>NOT(ISERROR(SEARCH(("Mayor a 5"),(G3))))</formula>
    </cfRule>
  </conditionalFormatting>
  <conditionalFormatting sqref="G3:G6 G8:G15 G17:G18 G20:G21">
    <cfRule type="containsText" dxfId="2" priority="3" operator="containsText" text="Menor a 5">
      <formula>NOT(ISERROR(SEARCH(("Menor a 5"),(G3))))</formula>
    </cfRule>
  </conditionalFormatting>
  <conditionalFormatting sqref="G3:G6 G8:G15 G17:G18 G20:G21">
    <cfRule type="containsText" dxfId="3" priority="4" operator="containsText" text="Sin stock">
      <formula>NOT(ISERROR(SEARCH(("Sin stock"),(G3))))</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9970"/>
    <outlinePr summaryBelow="0" summaryRight="0"/>
    <pageSetUpPr/>
  </sheetPr>
  <sheetViews>
    <sheetView workbookViewId="0"/>
  </sheetViews>
  <sheetFormatPr customHeight="1" defaultColWidth="12.63" defaultRowHeight="15.0"/>
  <cols>
    <col customWidth="1" min="1" max="1" width="13.25"/>
    <col customWidth="1" min="2" max="2" width="21.5"/>
    <col customWidth="1" min="3" max="3" width="74.0"/>
    <col customWidth="1" min="4" max="4" width="15.0"/>
    <col customWidth="1" min="5" max="5" width="14.25"/>
    <col customWidth="1" min="6" max="7" width="9.25"/>
  </cols>
  <sheetData>
    <row r="1" ht="15.75" customHeight="1">
      <c r="A1" s="217" t="s">
        <v>23</v>
      </c>
      <c r="B1" s="298" t="s">
        <v>24</v>
      </c>
      <c r="C1" s="217" t="s">
        <v>25</v>
      </c>
      <c r="D1" s="119" t="s">
        <v>26</v>
      </c>
      <c r="E1" s="26" t="s">
        <v>27</v>
      </c>
      <c r="F1" s="218" t="s">
        <v>28</v>
      </c>
      <c r="G1" s="217" t="s">
        <v>29</v>
      </c>
    </row>
    <row r="2" ht="15.75" customHeight="1">
      <c r="A2" s="28" t="s">
        <v>6043</v>
      </c>
      <c r="C2" s="92"/>
      <c r="D2" s="51"/>
      <c r="E2" s="51"/>
      <c r="F2" s="106"/>
      <c r="G2" s="92"/>
    </row>
    <row r="3" ht="15.75" customHeight="1">
      <c r="A3" s="158" t="s">
        <v>6044</v>
      </c>
      <c r="B3" s="166" t="s">
        <v>6045</v>
      </c>
      <c r="C3" s="159" t="s">
        <v>6046</v>
      </c>
      <c r="D3" s="96" t="s">
        <v>6047</v>
      </c>
      <c r="E3" s="96" t="s">
        <v>6048</v>
      </c>
      <c r="F3" s="97">
        <v>0.21</v>
      </c>
      <c r="G3" s="170" t="str">
        <f>IFERROR(VLOOKUP("M1",STOCK!$B$1:$Q$5608,3,FALSE),"SIN STOCK")</f>
        <v>SIN STOCK</v>
      </c>
    </row>
    <row r="4" ht="15.75" customHeight="1">
      <c r="A4" s="161" t="s">
        <v>6044</v>
      </c>
      <c r="B4" s="162" t="s">
        <v>6049</v>
      </c>
      <c r="C4" s="163" t="s">
        <v>6050</v>
      </c>
      <c r="D4" s="101" t="s">
        <v>6051</v>
      </c>
      <c r="E4" s="101" t="s">
        <v>6052</v>
      </c>
      <c r="F4" s="102">
        <v>0.21</v>
      </c>
      <c r="G4" s="46" t="str">
        <f>IFERROR(VLOOKUP("M1S",STOCK!$B$1:$Q$5608,3,FALSE),"SIN STOCK")</f>
        <v>SIN STOCK</v>
      </c>
    </row>
    <row r="5" ht="15.75" customHeight="1">
      <c r="A5" s="158" t="s">
        <v>6044</v>
      </c>
      <c r="B5" s="166" t="s">
        <v>6053</v>
      </c>
      <c r="C5" s="159" t="s">
        <v>6054</v>
      </c>
      <c r="D5" s="96" t="s">
        <v>6055</v>
      </c>
      <c r="E5" s="96" t="s">
        <v>6056</v>
      </c>
      <c r="F5" s="97">
        <v>0.21</v>
      </c>
      <c r="G5" s="46" t="str">
        <f>IFERROR(VLOOKUP("M2",STOCK!$B$1:$Q$5608,3,FALSE),"SIN STOCK")</f>
        <v>SIN STOCK</v>
      </c>
    </row>
    <row r="6" ht="15.75" customHeight="1">
      <c r="A6" s="161" t="s">
        <v>6044</v>
      </c>
      <c r="B6" s="162" t="s">
        <v>6057</v>
      </c>
      <c r="C6" s="163" t="s">
        <v>6058</v>
      </c>
      <c r="D6" s="101" t="s">
        <v>6055</v>
      </c>
      <c r="E6" s="101" t="s">
        <v>6056</v>
      </c>
      <c r="F6" s="102">
        <v>0.21</v>
      </c>
      <c r="G6" s="38" t="str">
        <f>IFERROR(VLOOKUP("M3",STOCK!$B$1:$Q$5608,3,FALSE),"SIN STOCK")</f>
        <v>Mayor a 5</v>
      </c>
    </row>
    <row r="7" ht="15.75" customHeight="1">
      <c r="A7" s="28" t="s">
        <v>6059</v>
      </c>
      <c r="C7" s="167"/>
      <c r="D7" s="51"/>
      <c r="E7" s="51"/>
      <c r="F7" s="92"/>
      <c r="G7" s="92"/>
    </row>
    <row r="8" ht="15.75" customHeight="1">
      <c r="A8" s="158" t="s">
        <v>6044</v>
      </c>
      <c r="B8" s="166" t="s">
        <v>6060</v>
      </c>
      <c r="C8" s="159" t="s">
        <v>6061</v>
      </c>
      <c r="D8" s="96" t="s">
        <v>6062</v>
      </c>
      <c r="E8" s="96" t="s">
        <v>6063</v>
      </c>
      <c r="F8" s="97">
        <v>0.105</v>
      </c>
      <c r="G8" s="38" t="str">
        <f>IFERROR(VLOOKUP("AI-1",STOCK!$B$1:$Q$5608,3,FALSE),"SIN STOCK")</f>
        <v>Menor a 5</v>
      </c>
    </row>
    <row r="9" ht="15.75" customHeight="1">
      <c r="A9" s="161" t="s">
        <v>6044</v>
      </c>
      <c r="B9" s="162" t="s">
        <v>6064</v>
      </c>
      <c r="C9" s="163" t="s">
        <v>6065</v>
      </c>
      <c r="D9" s="101" t="s">
        <v>6066</v>
      </c>
      <c r="E9" s="101" t="s">
        <v>6067</v>
      </c>
      <c r="F9" s="102">
        <v>0.21</v>
      </c>
      <c r="G9" s="46" t="str">
        <f>IFERROR(VLOOKUP("K2",STOCK!$B$1:$Q$5608,3,FALSE),"SIN STOCK")</f>
        <v>SIN STOCK</v>
      </c>
    </row>
    <row r="10" ht="15.75" customHeight="1">
      <c r="A10" s="158" t="s">
        <v>6044</v>
      </c>
      <c r="B10" s="166" t="s">
        <v>6068</v>
      </c>
      <c r="C10" s="159" t="s">
        <v>6069</v>
      </c>
      <c r="D10" s="96" t="s">
        <v>6070</v>
      </c>
      <c r="E10" s="96" t="s">
        <v>6071</v>
      </c>
      <c r="F10" s="97">
        <v>0.21</v>
      </c>
      <c r="G10" s="38" t="str">
        <f>IFERROR(VLOOKUP("M5MP",STOCK!$B$1:$Q$5608,3,FALSE),"SIN STOCK")</f>
        <v>Menor a 5</v>
      </c>
    </row>
    <row r="11" ht="15.75" customHeight="1">
      <c r="A11" s="161" t="s">
        <v>6044</v>
      </c>
      <c r="B11" s="162" t="s">
        <v>6072</v>
      </c>
      <c r="C11" s="163" t="s">
        <v>6073</v>
      </c>
      <c r="D11" s="101" t="s">
        <v>6074</v>
      </c>
      <c r="E11" s="101" t="s">
        <v>6075</v>
      </c>
      <c r="F11" s="102">
        <v>0.21</v>
      </c>
      <c r="G11" s="38" t="str">
        <f>IFERROR(VLOOKUP("NT1000",STOCK!$B$1:$Q$5608,3,FALSE),"SIN STOCK")</f>
        <v>Mayor a 5</v>
      </c>
    </row>
    <row r="12" ht="15.75" customHeight="1">
      <c r="A12" s="158" t="s">
        <v>6044</v>
      </c>
      <c r="B12" s="166" t="s">
        <v>6076</v>
      </c>
      <c r="C12" s="159" t="s">
        <v>6077</v>
      </c>
      <c r="D12" s="96" t="s">
        <v>6078</v>
      </c>
      <c r="E12" s="96" t="s">
        <v>6079</v>
      </c>
      <c r="F12" s="97">
        <v>0.21</v>
      </c>
      <c r="G12" s="38" t="str">
        <f>IFERROR(VLOOKUP("NT1A",STOCK!$B$1:$Q$5608,3,FALSE),"SIN STOCK")</f>
        <v>Menor a 5</v>
      </c>
    </row>
    <row r="13" ht="15.75" customHeight="1">
      <c r="A13" s="161" t="s">
        <v>6044</v>
      </c>
      <c r="B13" s="100" t="s">
        <v>6080</v>
      </c>
      <c r="C13" s="163" t="s">
        <v>6077</v>
      </c>
      <c r="D13" s="101" t="s">
        <v>6081</v>
      </c>
      <c r="E13" s="101" t="s">
        <v>6082</v>
      </c>
      <c r="F13" s="102">
        <v>0.21</v>
      </c>
      <c r="G13" s="38" t="str">
        <f>IFERROR(VLOOKUP("NT1-KIT",STOCK!$B$1:$Q$5608,3,FALSE),"SIN STOCK")</f>
        <v>Menor a 5</v>
      </c>
    </row>
    <row r="14" ht="15.75" customHeight="1">
      <c r="A14" s="158" t="s">
        <v>6044</v>
      </c>
      <c r="B14" s="166" t="s">
        <v>6083</v>
      </c>
      <c r="C14" s="187"/>
      <c r="D14" s="96" t="s">
        <v>6084</v>
      </c>
      <c r="E14" s="96" t="s">
        <v>6085</v>
      </c>
      <c r="F14" s="97">
        <v>0.21</v>
      </c>
      <c r="G14" s="38" t="str">
        <f>IFERROR(VLOOKUP("NT1/AI1KIT",STOCK!$B$1:$Q$5608,3,FALSE),"SIN STOCK")</f>
        <v>Mayor a 5</v>
      </c>
    </row>
    <row r="15" ht="15.75" customHeight="1">
      <c r="A15" s="161" t="s">
        <v>6044</v>
      </c>
      <c r="B15" s="162" t="s">
        <v>6086</v>
      </c>
      <c r="C15" s="163" t="s">
        <v>6087</v>
      </c>
      <c r="D15" s="101" t="s">
        <v>6081</v>
      </c>
      <c r="E15" s="101" t="s">
        <v>6082</v>
      </c>
      <c r="F15" s="102">
        <v>0.21</v>
      </c>
      <c r="G15" s="46" t="str">
        <f>IFERROR(VLOOKUP("NT1GEN5",STOCK!$B$1:$Q$5608,3,FALSE),"SIN STOCK")</f>
        <v>Menor a 5</v>
      </c>
    </row>
    <row r="16" ht="15.75" customHeight="1">
      <c r="A16" s="158" t="s">
        <v>6044</v>
      </c>
      <c r="B16" s="166" t="s">
        <v>6088</v>
      </c>
      <c r="C16" s="159" t="s">
        <v>6087</v>
      </c>
      <c r="D16" s="96" t="s">
        <v>6081</v>
      </c>
      <c r="E16" s="96" t="s">
        <v>6082</v>
      </c>
      <c r="F16" s="97">
        <v>0.21</v>
      </c>
      <c r="G16" s="46" t="str">
        <f>IFERROR(VLOOKUP("NT1GEN5B",STOCK!$B$1:$Q$5608,3,FALSE),"SIN STOCK")</f>
        <v>SIN STOCK</v>
      </c>
    </row>
    <row r="17" ht="15.75" customHeight="1">
      <c r="A17" s="161" t="s">
        <v>6044</v>
      </c>
      <c r="B17" s="162" t="s">
        <v>6089</v>
      </c>
      <c r="C17" s="163" t="s">
        <v>6077</v>
      </c>
      <c r="D17" s="101" t="s">
        <v>6090</v>
      </c>
      <c r="E17" s="101" t="s">
        <v>6091</v>
      </c>
      <c r="F17" s="102">
        <v>0.21</v>
      </c>
      <c r="G17" s="168" t="str">
        <f>IFERROR(VLOOKUP("NT1SIGNATUREBLACK",STOCK!$B$1:$Q$5608,3,FALSE),"SIN STOCK")</f>
        <v>SIN STOCK</v>
      </c>
    </row>
    <row r="18" ht="15.75" customHeight="1">
      <c r="A18" s="158" t="s">
        <v>6044</v>
      </c>
      <c r="B18" s="166" t="s">
        <v>6092</v>
      </c>
      <c r="C18" s="158" t="s">
        <v>6077</v>
      </c>
      <c r="D18" s="96" t="s">
        <v>6090</v>
      </c>
      <c r="E18" s="96" t="s">
        <v>6091</v>
      </c>
      <c r="F18" s="97">
        <v>0.21</v>
      </c>
      <c r="G18" s="46" t="str">
        <f>IFERROR(VLOOKUP("NT1SIGNATURERED",STOCK!$B$1:$Q$5608,3,FALSE),"SIN STOCK")</f>
        <v>SIN STOCK</v>
      </c>
    </row>
    <row r="19" ht="15.75" customHeight="1">
      <c r="A19" s="161" t="s">
        <v>6044</v>
      </c>
      <c r="B19" s="162" t="s">
        <v>6093</v>
      </c>
      <c r="C19" s="163" t="s">
        <v>6077</v>
      </c>
      <c r="D19" s="101" t="s">
        <v>6090</v>
      </c>
      <c r="E19" s="101" t="s">
        <v>6091</v>
      </c>
      <c r="F19" s="102">
        <v>0.21</v>
      </c>
      <c r="G19" s="46" t="str">
        <f>IFERROR(VLOOKUP("NT1SIGNATUREPINK",STOCK!$B$1:$Q$5608,3,FALSE),"SIN STOCK")</f>
        <v>SIN STOCK</v>
      </c>
    </row>
    <row r="20" ht="15.75" customHeight="1">
      <c r="A20" s="158" t="s">
        <v>6044</v>
      </c>
      <c r="B20" s="166" t="s">
        <v>6094</v>
      </c>
      <c r="C20" s="159" t="s">
        <v>6077</v>
      </c>
      <c r="D20" s="96" t="s">
        <v>6090</v>
      </c>
      <c r="E20" s="96" t="s">
        <v>6091</v>
      </c>
      <c r="F20" s="97">
        <v>0.21</v>
      </c>
      <c r="G20" s="46" t="str">
        <f>IFERROR(VLOOKUP("NT1SIGNATUREPURPLE",STOCK!$B$1:$Q$5608,3,FALSE),"SIN STOCK")</f>
        <v>SIN STOCK</v>
      </c>
    </row>
    <row r="21" ht="15.75" customHeight="1">
      <c r="A21" s="161" t="s">
        <v>6044</v>
      </c>
      <c r="B21" s="162" t="s">
        <v>6095</v>
      </c>
      <c r="C21" s="163" t="s">
        <v>6077</v>
      </c>
      <c r="D21" s="101" t="s">
        <v>6090</v>
      </c>
      <c r="E21" s="101" t="s">
        <v>6091</v>
      </c>
      <c r="F21" s="102">
        <v>0.21</v>
      </c>
      <c r="G21" s="168" t="str">
        <f>IFERROR(VLOOKUP("NT1SIGNATUREBLUE",STOCK!$B$1:$Q$5608,3,FALSE),"SIN STOCK")</f>
        <v>SIN STOCK</v>
      </c>
    </row>
    <row r="22" ht="15.75" customHeight="1">
      <c r="A22" s="158" t="s">
        <v>6044</v>
      </c>
      <c r="B22" s="166" t="s">
        <v>6096</v>
      </c>
      <c r="C22" s="159" t="s">
        <v>6077</v>
      </c>
      <c r="D22" s="96" t="s">
        <v>6090</v>
      </c>
      <c r="E22" s="96" t="s">
        <v>6091</v>
      </c>
      <c r="F22" s="97">
        <v>0.21</v>
      </c>
      <c r="G22" s="46" t="str">
        <f>IFERROR(VLOOKUP("NT1SIGNATUREGREEN",STOCK!$B$1:$Q$5608,3,FALSE),"SIN STOCK")</f>
        <v>SIN STOCK</v>
      </c>
    </row>
    <row r="23" ht="15.75" customHeight="1">
      <c r="A23" s="161" t="s">
        <v>6044</v>
      </c>
      <c r="B23" s="162" t="s">
        <v>6097</v>
      </c>
      <c r="C23" s="161" t="s">
        <v>6098</v>
      </c>
      <c r="D23" s="101" t="s">
        <v>6099</v>
      </c>
      <c r="E23" s="101" t="s">
        <v>6100</v>
      </c>
      <c r="F23" s="102">
        <v>0.21</v>
      </c>
      <c r="G23" s="38" t="str">
        <f>IFERROR(VLOOKUP("NT2000",STOCK!$B$1:$Q$5608,3,FALSE),"SIN STOCK")</f>
        <v>Mayor a 5</v>
      </c>
    </row>
    <row r="24" ht="15.75" customHeight="1">
      <c r="A24" s="158" t="s">
        <v>6044</v>
      </c>
      <c r="B24" s="166" t="s">
        <v>6101</v>
      </c>
      <c r="C24" s="159" t="s">
        <v>6102</v>
      </c>
      <c r="D24" s="96" t="s">
        <v>6103</v>
      </c>
      <c r="E24" s="96" t="s">
        <v>6104</v>
      </c>
      <c r="F24" s="97">
        <v>0.21</v>
      </c>
      <c r="G24" s="38" t="str">
        <f>IFERROR(VLOOKUP("NT2A",STOCK!$B$1:$Q$5608,3,FALSE),"SIN STOCK")</f>
        <v>Mayor a 5</v>
      </c>
    </row>
    <row r="25" ht="15.75" customHeight="1">
      <c r="A25" s="161" t="s">
        <v>6044</v>
      </c>
      <c r="B25" s="162" t="s">
        <v>6105</v>
      </c>
      <c r="C25" s="163" t="s">
        <v>6106</v>
      </c>
      <c r="D25" s="101" t="s">
        <v>6107</v>
      </c>
      <c r="E25" s="101" t="s">
        <v>6108</v>
      </c>
      <c r="F25" s="102">
        <v>0.21</v>
      </c>
      <c r="G25" s="38" t="str">
        <f>IFERROR(VLOOKUP("NT3",STOCK!$B$1:$Q$5608,3,FALSE),"SIN STOCK")</f>
        <v>Mayor a 5</v>
      </c>
    </row>
    <row r="26" ht="15.75" customHeight="1">
      <c r="A26" s="158" t="s">
        <v>6044</v>
      </c>
      <c r="B26" s="95" t="s">
        <v>6109</v>
      </c>
      <c r="C26" s="159" t="s">
        <v>6110</v>
      </c>
      <c r="D26" s="96" t="s">
        <v>6099</v>
      </c>
      <c r="E26" s="96" t="s">
        <v>6100</v>
      </c>
      <c r="F26" s="97">
        <v>0.21</v>
      </c>
      <c r="G26" s="49" t="str">
        <f>IFERROR(VLOOKUP("NT4",STOCK!$B$1:$Q$5608,3,FALSE),"SIN STOCK")</f>
        <v>Menor a 5</v>
      </c>
    </row>
    <row r="27" ht="15.75" customHeight="1">
      <c r="A27" s="161" t="s">
        <v>6044</v>
      </c>
      <c r="B27" s="162" t="s">
        <v>6111</v>
      </c>
      <c r="C27" s="163" t="s">
        <v>6112</v>
      </c>
      <c r="D27" s="101" t="s">
        <v>6113</v>
      </c>
      <c r="E27" s="101" t="s">
        <v>6114</v>
      </c>
      <c r="F27" s="102">
        <v>0.21</v>
      </c>
      <c r="G27" s="46" t="str">
        <f>IFERROR(VLOOKUP("NT5",STOCK!$B$1:$Q$5608,3,FALSE),"SIN STOCK")</f>
        <v>SIN STOCK</v>
      </c>
    </row>
    <row r="28" ht="15.75" customHeight="1">
      <c r="A28" s="158" t="s">
        <v>6044</v>
      </c>
      <c r="B28" s="166" t="s">
        <v>6115</v>
      </c>
      <c r="C28" s="159" t="s">
        <v>6116</v>
      </c>
      <c r="D28" s="96" t="s">
        <v>6074</v>
      </c>
      <c r="E28" s="96" t="s">
        <v>6075</v>
      </c>
      <c r="F28" s="97">
        <v>0.21</v>
      </c>
      <c r="G28" s="38" t="str">
        <f>IFERROR(VLOOKUP("NT55",STOCK!$B$1:$Q$5608,3,FALSE),"SIN STOCK")</f>
        <v>Menor a 5</v>
      </c>
    </row>
    <row r="29" ht="15.75" customHeight="1">
      <c r="A29" s="161" t="s">
        <v>6044</v>
      </c>
      <c r="B29" s="162" t="s">
        <v>6117</v>
      </c>
      <c r="C29" s="163" t="s">
        <v>6118</v>
      </c>
      <c r="D29" s="101" t="s">
        <v>6119</v>
      </c>
      <c r="E29" s="101" t="s">
        <v>6120</v>
      </c>
      <c r="F29" s="102">
        <v>0.21</v>
      </c>
      <c r="G29" s="46" t="str">
        <f>IFERROR(VLOOKUP("NT55MP",STOCK!$B$1:$Q$5608,3,FALSE),"SIN STOCK")</f>
        <v>SIN STOCK</v>
      </c>
    </row>
    <row r="30" ht="15.75" customHeight="1">
      <c r="A30" s="158" t="s">
        <v>6044</v>
      </c>
      <c r="B30" s="166" t="s">
        <v>6121</v>
      </c>
      <c r="C30" s="159" t="s">
        <v>6122</v>
      </c>
      <c r="D30" s="96" t="s">
        <v>6123</v>
      </c>
      <c r="E30" s="96" t="s">
        <v>6124</v>
      </c>
      <c r="F30" s="97">
        <v>0.21</v>
      </c>
      <c r="G30" s="38" t="str">
        <f>IFERROR(VLOOKUP("NT5-MP",STOCK!$B$1:$Q$5608,3,FALSE),"SIN STOCK")</f>
        <v>Mayor a 5</v>
      </c>
    </row>
    <row r="31" ht="15.75" customHeight="1">
      <c r="A31" s="161" t="s">
        <v>6044</v>
      </c>
      <c r="B31" s="162" t="s">
        <v>6125</v>
      </c>
      <c r="C31" s="163" t="s">
        <v>6126</v>
      </c>
      <c r="D31" s="101" t="s">
        <v>6127</v>
      </c>
      <c r="E31" s="101" t="s">
        <v>6128</v>
      </c>
      <c r="F31" s="102">
        <v>0.21</v>
      </c>
      <c r="G31" s="38" t="str">
        <f>IFERROR(VLOOKUP("NT6",STOCK!$B$1:$Q$5608,3,FALSE),"SIN STOCK")</f>
        <v>Mayor a 5</v>
      </c>
    </row>
    <row r="32" ht="15.75" customHeight="1">
      <c r="A32" s="158" t="s">
        <v>6044</v>
      </c>
      <c r="B32" s="166" t="s">
        <v>6129</v>
      </c>
      <c r="C32" s="159" t="s">
        <v>6130</v>
      </c>
      <c r="D32" s="96" t="s">
        <v>6131</v>
      </c>
      <c r="E32" s="96" t="s">
        <v>6132</v>
      </c>
      <c r="F32" s="97">
        <v>0.21</v>
      </c>
      <c r="G32" s="46" t="str">
        <f>IFERROR(VLOOKUP("NTK",STOCK!$B$1:$Q$5608,3,FALSE),"SIN STOCK")</f>
        <v>SIN STOCK</v>
      </c>
    </row>
    <row r="33" ht="15.75" customHeight="1">
      <c r="A33" s="161" t="s">
        <v>6044</v>
      </c>
      <c r="B33" s="162" t="s">
        <v>6133</v>
      </c>
      <c r="C33" s="163" t="s">
        <v>6134</v>
      </c>
      <c r="D33" s="101" t="s">
        <v>6135</v>
      </c>
      <c r="E33" s="101" t="s">
        <v>6136</v>
      </c>
      <c r="F33" s="102">
        <v>0.21</v>
      </c>
      <c r="G33" s="170" t="str">
        <f>IFERROR(VLOOKUP("NTR",STOCK!$B$1:$Q$5608,3,FALSE),"SIN STOCK")</f>
        <v>Menor a 5</v>
      </c>
    </row>
    <row r="34" ht="15.75" customHeight="1">
      <c r="A34" s="158" t="s">
        <v>6044</v>
      </c>
      <c r="B34" s="166" t="s">
        <v>6137</v>
      </c>
      <c r="C34" s="159" t="s">
        <v>6138</v>
      </c>
      <c r="D34" s="96" t="s">
        <v>6139</v>
      </c>
      <c r="E34" s="96" t="s">
        <v>6140</v>
      </c>
      <c r="F34" s="97">
        <v>0.21</v>
      </c>
      <c r="G34" s="251" t="str">
        <f>IFERROR(VLOOKUP("NTUSB",STOCK!$B$1:$Q$5608,3,FALSE),"SIN STOCK")</f>
        <v>Mayor a 5</v>
      </c>
    </row>
    <row r="35" ht="15.75" customHeight="1">
      <c r="A35" s="161" t="s">
        <v>6044</v>
      </c>
      <c r="B35" s="162" t="s">
        <v>6141</v>
      </c>
      <c r="C35" s="163" t="s">
        <v>6142</v>
      </c>
      <c r="D35" s="101" t="s">
        <v>6143</v>
      </c>
      <c r="E35" s="101" t="s">
        <v>6144</v>
      </c>
      <c r="F35" s="102">
        <v>0.21</v>
      </c>
      <c r="G35" s="46" t="str">
        <f>IFERROR(VLOOKUP("NTUSB+",STOCK!$B$1:$Q$5608,3,FALSE),"SIN STOCK")</f>
        <v>Menor a 5</v>
      </c>
    </row>
    <row r="36" ht="15.75" customHeight="1">
      <c r="A36" s="158" t="s">
        <v>6044</v>
      </c>
      <c r="B36" s="166" t="s">
        <v>6145</v>
      </c>
      <c r="C36" s="159" t="s">
        <v>6146</v>
      </c>
      <c r="D36" s="96" t="s">
        <v>6147</v>
      </c>
      <c r="E36" s="96" t="s">
        <v>6148</v>
      </c>
      <c r="F36" s="97">
        <v>0.21</v>
      </c>
      <c r="G36" s="46" t="str">
        <f>IFERROR(VLOOKUP("NTUSB MINI",STOCK!$B$1:$Q$5608,3,FALSE),"SIN STOCK")</f>
        <v>SIN STOCK</v>
      </c>
    </row>
    <row r="37" ht="15.75" customHeight="1">
      <c r="A37" s="161" t="s">
        <v>6044</v>
      </c>
      <c r="B37" s="162" t="s">
        <v>6149</v>
      </c>
      <c r="C37" s="163" t="s">
        <v>6150</v>
      </c>
      <c r="D37" s="101" t="s">
        <v>6151</v>
      </c>
      <c r="E37" s="101" t="s">
        <v>6152</v>
      </c>
      <c r="F37" s="102">
        <v>0.21</v>
      </c>
      <c r="G37" s="46" t="str">
        <f>IFERROR(VLOOKUP("TF5MP",STOCK!$B$1:$Q$5608,3,FALSE),"SIN STOCK")</f>
        <v>SIN STOCK</v>
      </c>
    </row>
    <row r="38" ht="15.75" customHeight="1">
      <c r="A38" s="28" t="s">
        <v>6153</v>
      </c>
      <c r="C38" s="167"/>
      <c r="D38" s="51"/>
      <c r="E38" s="51"/>
      <c r="F38" s="93"/>
      <c r="G38" s="93"/>
    </row>
    <row r="39" ht="15.75" customHeight="1">
      <c r="A39" s="158" t="s">
        <v>6044</v>
      </c>
      <c r="B39" s="166" t="s">
        <v>6154</v>
      </c>
      <c r="C39" s="159" t="s">
        <v>6155</v>
      </c>
      <c r="D39" s="96" t="s">
        <v>6156</v>
      </c>
      <c r="E39" s="96" t="s">
        <v>6157</v>
      </c>
      <c r="F39" s="97">
        <v>0.21</v>
      </c>
      <c r="G39" s="38" t="str">
        <f>IFERROR(VLOOKUP("NTG1",STOCK!$B$1:$Q$5608,3,FALSE),"SIN STOCK")</f>
        <v>Mayor a 5</v>
      </c>
    </row>
    <row r="40" ht="15.75" customHeight="1">
      <c r="A40" s="161" t="s">
        <v>6044</v>
      </c>
      <c r="B40" s="162" t="s">
        <v>6158</v>
      </c>
      <c r="C40" s="163" t="s">
        <v>6159</v>
      </c>
      <c r="D40" s="101" t="s">
        <v>6160</v>
      </c>
      <c r="E40" s="101" t="s">
        <v>6161</v>
      </c>
      <c r="F40" s="102">
        <v>0.21</v>
      </c>
      <c r="G40" s="38" t="str">
        <f>IFERROR(VLOOKUP("NTG2",STOCK!$B$1:$Q$5608,3,FALSE),"SIN STOCK")</f>
        <v>Mayor a 5</v>
      </c>
    </row>
    <row r="41" ht="15.75" customHeight="1">
      <c r="A41" s="158" t="s">
        <v>6044</v>
      </c>
      <c r="B41" s="166" t="s">
        <v>6162</v>
      </c>
      <c r="C41" s="159" t="s">
        <v>6163</v>
      </c>
      <c r="D41" s="96" t="s">
        <v>6164</v>
      </c>
      <c r="E41" s="96" t="s">
        <v>6165</v>
      </c>
      <c r="F41" s="97">
        <v>0.21</v>
      </c>
      <c r="G41" s="38" t="str">
        <f>IFERROR(VLOOKUP("NTG3",STOCK!$B$1:$Q$5608,3,FALSE),"SIN STOCK")</f>
        <v>Menor a 5</v>
      </c>
    </row>
    <row r="42" ht="15.75" customHeight="1">
      <c r="A42" s="161" t="s">
        <v>6044</v>
      </c>
      <c r="B42" s="162" t="s">
        <v>6166</v>
      </c>
      <c r="C42" s="163" t="s">
        <v>6167</v>
      </c>
      <c r="D42" s="101" t="s">
        <v>6164</v>
      </c>
      <c r="E42" s="101" t="s">
        <v>6165</v>
      </c>
      <c r="F42" s="102">
        <v>0.21</v>
      </c>
      <c r="G42" s="46" t="str">
        <f>IFERROR(VLOOKUP("NTG3B",STOCK!$B$1:$Q$5608,3,FALSE),"SIN STOCK")</f>
        <v>SIN STOCK</v>
      </c>
    </row>
    <row r="43" ht="15.75" customHeight="1">
      <c r="A43" s="158" t="s">
        <v>6044</v>
      </c>
      <c r="B43" s="166" t="s">
        <v>6168</v>
      </c>
      <c r="C43" s="159" t="s">
        <v>6169</v>
      </c>
      <c r="D43" s="96" t="s">
        <v>6170</v>
      </c>
      <c r="E43" s="96" t="s">
        <v>6171</v>
      </c>
      <c r="F43" s="97">
        <v>0.21</v>
      </c>
      <c r="G43" s="46" t="str">
        <f>IFERROR(VLOOKUP("NTG4",STOCK!$B$1:$Q$5608,3,FALSE),"SIN STOCK")</f>
        <v>Menor a 5</v>
      </c>
    </row>
    <row r="44" ht="15.75" customHeight="1">
      <c r="A44" s="161" t="s">
        <v>6044</v>
      </c>
      <c r="B44" s="162" t="s">
        <v>6172</v>
      </c>
      <c r="C44" s="163" t="s">
        <v>6173</v>
      </c>
      <c r="D44" s="101" t="s">
        <v>6174</v>
      </c>
      <c r="E44" s="101" t="s">
        <v>6175</v>
      </c>
      <c r="F44" s="102">
        <v>0.21</v>
      </c>
      <c r="G44" s="46" t="str">
        <f>IFERROR(VLOOKUP("NTG4PLUS",STOCK!$B$1:$Q$5608,3,FALSE),"SIN STOCK")</f>
        <v>SIN STOCK</v>
      </c>
    </row>
    <row r="45" ht="15.75" customHeight="1">
      <c r="A45" s="158" t="s">
        <v>6044</v>
      </c>
      <c r="B45" s="166" t="s">
        <v>6176</v>
      </c>
      <c r="C45" s="159" t="s">
        <v>6177</v>
      </c>
      <c r="D45" s="96" t="s">
        <v>6178</v>
      </c>
      <c r="E45" s="96" t="s">
        <v>6179</v>
      </c>
      <c r="F45" s="97">
        <v>0.21</v>
      </c>
      <c r="G45" s="46" t="str">
        <f>IFERROR(VLOOKUP("NTG5KIT",STOCK!$B$1:$Q$5608,3,FALSE),"SIN STOCK")</f>
        <v>SIN STOCK</v>
      </c>
    </row>
    <row r="46" ht="15.75" customHeight="1">
      <c r="A46" s="161" t="s">
        <v>6044</v>
      </c>
      <c r="B46" s="162" t="s">
        <v>6180</v>
      </c>
      <c r="C46" s="163" t="s">
        <v>6181</v>
      </c>
      <c r="D46" s="101" t="s">
        <v>6182</v>
      </c>
      <c r="E46" s="101" t="s">
        <v>6183</v>
      </c>
      <c r="F46" s="102">
        <v>0.21</v>
      </c>
      <c r="G46" s="38" t="str">
        <f>IFERROR(VLOOKUP("NTG8",STOCK!$B$1:$Q$5608,3,FALSE),"SIN STOCK")</f>
        <v>Mayor a 5</v>
      </c>
    </row>
    <row r="47">
      <c r="A47" s="28" t="s">
        <v>6184</v>
      </c>
      <c r="C47" s="167"/>
      <c r="D47" s="51"/>
      <c r="E47" s="51"/>
      <c r="F47" s="106"/>
      <c r="G47" s="92"/>
    </row>
    <row r="48">
      <c r="A48" s="158" t="s">
        <v>6044</v>
      </c>
      <c r="B48" s="166" t="s">
        <v>6185</v>
      </c>
      <c r="C48" s="159" t="s">
        <v>6186</v>
      </c>
      <c r="D48" s="96" t="s">
        <v>4425</v>
      </c>
      <c r="E48" s="96" t="s">
        <v>4426</v>
      </c>
      <c r="F48" s="97">
        <v>0.21</v>
      </c>
      <c r="G48" s="38" t="str">
        <f>IFERROR(VLOOKUP("BROADCASTER",STOCK!$B$1:$Q$5608,3,FALSE),"SIN STOCK")</f>
        <v>Mayor a 5</v>
      </c>
    </row>
    <row r="49">
      <c r="A49" s="161" t="s">
        <v>6044</v>
      </c>
      <c r="B49" s="162" t="s">
        <v>6187</v>
      </c>
      <c r="C49" s="163" t="s">
        <v>6188</v>
      </c>
      <c r="D49" s="101" t="s">
        <v>6189</v>
      </c>
      <c r="E49" s="101" t="s">
        <v>6190</v>
      </c>
      <c r="F49" s="102">
        <v>0.21</v>
      </c>
      <c r="G49" s="251" t="str">
        <f>IFERROR(VLOOKUP("PODCASTER-MKII",STOCK!$B$1:$Q$5608,3,FALSE),"SIN STOCK")</f>
        <v>SIN STOCK</v>
      </c>
    </row>
    <row r="50" ht="15.75" customHeight="1">
      <c r="A50" s="158" t="s">
        <v>6044</v>
      </c>
      <c r="B50" s="95" t="s">
        <v>6191</v>
      </c>
      <c r="C50" s="159" t="s">
        <v>6192</v>
      </c>
      <c r="D50" s="96" t="s">
        <v>6147</v>
      </c>
      <c r="E50" s="96" t="s">
        <v>6148</v>
      </c>
      <c r="F50" s="97">
        <v>0.21</v>
      </c>
      <c r="G50" s="46" t="str">
        <f>IFERROR(VLOOKUP("PODMIC",STOCK!$B$1:$Q$5608,3,FALSE),"SIN STOCK")</f>
        <v>Menor a 5</v>
      </c>
    </row>
    <row r="51" ht="15.75" customHeight="1">
      <c r="A51" s="161" t="s">
        <v>6044</v>
      </c>
      <c r="B51" s="162" t="s">
        <v>6193</v>
      </c>
      <c r="C51" s="163" t="s">
        <v>6194</v>
      </c>
      <c r="D51" s="101" t="s">
        <v>6195</v>
      </c>
      <c r="E51" s="101" t="s">
        <v>6196</v>
      </c>
      <c r="F51" s="102">
        <v>0.21</v>
      </c>
      <c r="G51" s="46" t="str">
        <f>IFERROR(VLOOKUP("PODMICUSB",STOCK!$B$1:$Q$5608,3,FALSE),"SIN STOCK")</f>
        <v>Menor a 5</v>
      </c>
    </row>
    <row r="52" ht="15.75" customHeight="1">
      <c r="A52" s="158" t="s">
        <v>6044</v>
      </c>
      <c r="B52" s="166" t="s">
        <v>6197</v>
      </c>
      <c r="C52" s="159" t="s">
        <v>6198</v>
      </c>
      <c r="D52" s="96" t="s">
        <v>6113</v>
      </c>
      <c r="E52" s="96" t="s">
        <v>6114</v>
      </c>
      <c r="F52" s="97">
        <v>0.21</v>
      </c>
      <c r="G52" s="49" t="str">
        <f>IFERROR(VLOOKUP("PODCASTER",STOCK!$B$1:$Q$5608,3,FALSE),"SIN STOCK")</f>
        <v>Menor a 5</v>
      </c>
    </row>
    <row r="53" ht="15.75" customHeight="1">
      <c r="A53" s="161" t="s">
        <v>6044</v>
      </c>
      <c r="B53" s="162" t="s">
        <v>6199</v>
      </c>
      <c r="C53" s="163" t="s">
        <v>6200</v>
      </c>
      <c r="D53" s="101" t="s">
        <v>6201</v>
      </c>
      <c r="E53" s="101" t="s">
        <v>6202</v>
      </c>
      <c r="F53" s="102">
        <v>0.21</v>
      </c>
      <c r="G53" s="168" t="str">
        <f>IFERROR(VLOOKUP("REPORTER",STOCK!$B$1:$Q$5608,3,FALSE),"SIN STOCK")</f>
        <v>SIN STOCK</v>
      </c>
    </row>
    <row r="54" ht="15.75" customHeight="1">
      <c r="A54" s="28" t="s">
        <v>6203</v>
      </c>
      <c r="C54" s="167"/>
      <c r="D54" s="51"/>
      <c r="E54" s="51"/>
      <c r="F54" s="172"/>
      <c r="G54" s="172"/>
    </row>
    <row r="55" ht="15.75" customHeight="1">
      <c r="A55" s="158" t="s">
        <v>6044</v>
      </c>
      <c r="B55" s="166" t="s">
        <v>6204</v>
      </c>
      <c r="C55" s="159" t="s">
        <v>6205</v>
      </c>
      <c r="D55" s="96" t="s">
        <v>6206</v>
      </c>
      <c r="E55" s="96" t="s">
        <v>6207</v>
      </c>
      <c r="F55" s="97">
        <v>0.21</v>
      </c>
      <c r="G55" s="168" t="str">
        <f>IFERROR(VLOOKUP("NTSF1",STOCK!$B$1:$Q$5608,3,FALSE),"SIN STOCK")</f>
        <v>SIN STOCK</v>
      </c>
    </row>
    <row r="56" ht="15.75" customHeight="1">
      <c r="A56" s="28" t="s">
        <v>6208</v>
      </c>
      <c r="C56" s="167"/>
      <c r="D56" s="51"/>
      <c r="E56" s="51"/>
      <c r="F56" s="172"/>
      <c r="G56" s="172"/>
    </row>
    <row r="57" ht="15.75" customHeight="1">
      <c r="A57" s="158" t="s">
        <v>6044</v>
      </c>
      <c r="B57" s="166" t="s">
        <v>6209</v>
      </c>
      <c r="C57" s="159" t="s">
        <v>6210</v>
      </c>
      <c r="D57" s="96" t="s">
        <v>6160</v>
      </c>
      <c r="E57" s="96" t="s">
        <v>6161</v>
      </c>
      <c r="F57" s="97">
        <v>0.21</v>
      </c>
      <c r="G57" s="168" t="str">
        <f>IFERROR(VLOOKUP("HS2BL",STOCK!$B$1:$Q$5608,3,FALSE),"SIN STOCK")</f>
        <v>SIN STOCK</v>
      </c>
    </row>
    <row r="58" ht="15.75" customHeight="1">
      <c r="A58" s="161" t="s">
        <v>6044</v>
      </c>
      <c r="B58" s="162" t="s">
        <v>6211</v>
      </c>
      <c r="C58" s="163" t="s">
        <v>6212</v>
      </c>
      <c r="D58" s="101" t="s">
        <v>6160</v>
      </c>
      <c r="E58" s="101" t="s">
        <v>6161</v>
      </c>
      <c r="F58" s="102">
        <v>0.21</v>
      </c>
      <c r="G58" s="168" t="str">
        <f>IFERROR(VLOOKUP("HS2PL",STOCK!$B$1:$Q$5608,3,FALSE),"SIN STOCK")</f>
        <v>Menor a 5</v>
      </c>
    </row>
    <row r="59" ht="15.75" customHeight="1">
      <c r="A59" s="158" t="s">
        <v>6044</v>
      </c>
      <c r="B59" s="166" t="s">
        <v>6213</v>
      </c>
      <c r="C59" s="159" t="s">
        <v>6214</v>
      </c>
      <c r="D59" s="96" t="s">
        <v>6113</v>
      </c>
      <c r="E59" s="96" t="s">
        <v>6114</v>
      </c>
      <c r="F59" s="97">
        <v>0.21</v>
      </c>
      <c r="G59" s="251" t="str">
        <f>IFERROR(VLOOKUP("LAVALIER",STOCK!$B$1:$Q$5608,3,FALSE),"SIN STOCK")</f>
        <v>Mayor a 5</v>
      </c>
    </row>
    <row r="60" ht="15.75" customHeight="1">
      <c r="A60" s="161" t="s">
        <v>6044</v>
      </c>
      <c r="B60" s="162" t="s">
        <v>6215</v>
      </c>
      <c r="C60" s="163" t="s">
        <v>6216</v>
      </c>
      <c r="D60" s="101" t="s">
        <v>6055</v>
      </c>
      <c r="E60" s="101" t="s">
        <v>6056</v>
      </c>
      <c r="F60" s="102">
        <v>0.21</v>
      </c>
      <c r="G60" s="168" t="str">
        <f>IFERROR(VLOOKUP("LAVALIERII",STOCK!$B$1:$Q$5608,3,FALSE),"SIN STOCK")</f>
        <v>Menor a 5</v>
      </c>
    </row>
    <row r="61" ht="15.75" customHeight="1">
      <c r="A61" s="158" t="s">
        <v>6044</v>
      </c>
      <c r="B61" s="166" t="s">
        <v>6217</v>
      </c>
      <c r="C61" s="159" t="s">
        <v>6218</v>
      </c>
      <c r="D61" s="96" t="s">
        <v>6219</v>
      </c>
      <c r="E61" s="96" t="s">
        <v>6220</v>
      </c>
      <c r="F61" s="97">
        <v>0.21</v>
      </c>
      <c r="G61" s="168" t="str">
        <f>IFERROR(VLOOKUP("LAVRL",STOCK!$B$1:$Q$5608,3,FALSE),"SIN STOCK")</f>
        <v>SIN STOCK</v>
      </c>
    </row>
    <row r="62" ht="15.75" customHeight="1">
      <c r="A62" s="161" t="s">
        <v>6044</v>
      </c>
      <c r="B62" s="162" t="s">
        <v>6221</v>
      </c>
      <c r="C62" s="163" t="s">
        <v>6222</v>
      </c>
      <c r="D62" s="101" t="s">
        <v>6223</v>
      </c>
      <c r="E62" s="101" t="s">
        <v>6224</v>
      </c>
      <c r="F62" s="102">
        <v>0.21</v>
      </c>
      <c r="G62" s="251" t="str">
        <f>IFERROR(VLOOKUP("Lavalier-GO",STOCK!$B$1:$Q$5608,3,FALSE),"SIN STOCK")</f>
        <v>SIN STOCK</v>
      </c>
    </row>
    <row r="63" ht="15.75" customHeight="1">
      <c r="A63" s="158" t="s">
        <v>6044</v>
      </c>
      <c r="B63" s="166" t="s">
        <v>6225</v>
      </c>
      <c r="C63" s="159" t="s">
        <v>6226</v>
      </c>
      <c r="D63" s="96" t="s">
        <v>6223</v>
      </c>
      <c r="E63" s="96" t="s">
        <v>6224</v>
      </c>
      <c r="F63" s="97">
        <v>0.21</v>
      </c>
      <c r="G63" s="46" t="str">
        <f>IFERROR(VLOOKUP("LAVGOW",STOCK!$B$1:$Q$5608,3,FALSE),"SIN STOCK")</f>
        <v>SIN STOCK</v>
      </c>
    </row>
    <row r="64" ht="15.75" customHeight="1">
      <c r="A64" s="28" t="s">
        <v>6227</v>
      </c>
      <c r="C64" s="167"/>
      <c r="D64" s="51"/>
      <c r="E64" s="51"/>
      <c r="F64" s="106"/>
      <c r="G64" s="92"/>
    </row>
    <row r="65" ht="15.75" customHeight="1">
      <c r="A65" s="158" t="s">
        <v>6044</v>
      </c>
      <c r="B65" s="166" t="s">
        <v>6228</v>
      </c>
      <c r="C65" s="159" t="s">
        <v>6229</v>
      </c>
      <c r="D65" s="96" t="s">
        <v>6230</v>
      </c>
      <c r="E65" s="96" t="s">
        <v>6231</v>
      </c>
      <c r="F65" s="97">
        <v>0.21</v>
      </c>
      <c r="G65" s="46" t="str">
        <f>IFERROR(VLOOKUP("SVMPR",STOCK!$B$1:$Q$5608,3,FALSE),"SIN STOCK")</f>
        <v>Mayor a 5</v>
      </c>
    </row>
    <row r="66" ht="15.75" customHeight="1">
      <c r="A66" s="161" t="s">
        <v>6044</v>
      </c>
      <c r="B66" s="162" t="s">
        <v>6232</v>
      </c>
      <c r="C66" s="163" t="s">
        <v>6233</v>
      </c>
      <c r="D66" s="101" t="s">
        <v>6234</v>
      </c>
      <c r="E66" s="101" t="s">
        <v>6235</v>
      </c>
      <c r="F66" s="102">
        <v>0.21</v>
      </c>
      <c r="G66" s="46" t="str">
        <f>IFERROR(VLOOKUP("SVMX",STOCK!$B$1:$Q$5608,3,FALSE),"SIN STOCK")</f>
        <v>SIN STOCK</v>
      </c>
    </row>
    <row r="67" ht="15.75" customHeight="1">
      <c r="A67" s="158" t="s">
        <v>6044</v>
      </c>
      <c r="B67" s="166" t="s">
        <v>6236</v>
      </c>
      <c r="C67" s="159" t="s">
        <v>6237</v>
      </c>
      <c r="D67" s="96" t="s">
        <v>6238</v>
      </c>
      <c r="E67" s="96" t="s">
        <v>6239</v>
      </c>
      <c r="F67" s="97">
        <v>0.21</v>
      </c>
      <c r="G67" s="251" t="str">
        <f>IFERROR(VLOOKUP("VMGO",STOCK!$B$1:$Q$5608,3,FALSE),"SIN STOCK")</f>
        <v>Menor a 5</v>
      </c>
    </row>
    <row r="68" ht="15.75" customHeight="1">
      <c r="A68" s="161" t="s">
        <v>6044</v>
      </c>
      <c r="B68" s="162" t="s">
        <v>6240</v>
      </c>
      <c r="C68" s="163" t="s">
        <v>6241</v>
      </c>
      <c r="D68" s="101" t="s">
        <v>6055</v>
      </c>
      <c r="E68" s="101" t="s">
        <v>6056</v>
      </c>
      <c r="F68" s="102">
        <v>0.21</v>
      </c>
      <c r="G68" s="38" t="str">
        <f>IFERROR(VLOOKUP("VMGOII",STOCK!$B$1:$Q$5608,3,FALSE),"SIN STOCK")</f>
        <v>SIN STOCK</v>
      </c>
    </row>
    <row r="69" ht="15.75" customHeight="1">
      <c r="A69" s="158" t="s">
        <v>6044</v>
      </c>
      <c r="B69" s="166" t="s">
        <v>6242</v>
      </c>
      <c r="C69" s="159" t="s">
        <v>6243</v>
      </c>
      <c r="D69" s="96" t="s">
        <v>6244</v>
      </c>
      <c r="E69" s="96" t="s">
        <v>6245</v>
      </c>
      <c r="F69" s="97">
        <v>0.21</v>
      </c>
      <c r="G69" s="38" t="str">
        <f>IFERROR(VLOOKUP("VMICRO",STOCK!$B$1:$Q$5608,3,FALSE),"SIN STOCK")</f>
        <v>Menor a 5</v>
      </c>
    </row>
    <row r="70" ht="15.75" customHeight="1">
      <c r="A70" s="161" t="s">
        <v>6044</v>
      </c>
      <c r="B70" s="162" t="s">
        <v>6246</v>
      </c>
      <c r="C70" s="163" t="s">
        <v>6243</v>
      </c>
      <c r="D70" s="101" t="s">
        <v>6247</v>
      </c>
      <c r="E70" s="101" t="s">
        <v>6248</v>
      </c>
      <c r="F70" s="102">
        <v>0.21</v>
      </c>
      <c r="G70" s="46" t="str">
        <f>IFERROR(VLOOKUP("VMICROII",STOCK!$B$1:$Q$5608,3,FALSE),"SIN STOCK")</f>
        <v>Menor a 5</v>
      </c>
    </row>
    <row r="71" ht="15.75" customHeight="1">
      <c r="A71" s="158" t="s">
        <v>6044</v>
      </c>
      <c r="B71" s="166" t="s">
        <v>6249</v>
      </c>
      <c r="C71" s="159" t="s">
        <v>6250</v>
      </c>
      <c r="D71" s="96" t="s">
        <v>6170</v>
      </c>
      <c r="E71" s="96" t="s">
        <v>6171</v>
      </c>
      <c r="F71" s="97">
        <v>0.21</v>
      </c>
      <c r="G71" s="251" t="str">
        <f>IFERROR(VLOOKUP("VMNTG",STOCK!$B$1:$Q$5608,3,FALSE),"SIN STOCK")</f>
        <v>Menor a 5</v>
      </c>
    </row>
    <row r="72" ht="15.75" customHeight="1">
      <c r="A72" s="161" t="s">
        <v>6044</v>
      </c>
      <c r="B72" s="162" t="s">
        <v>6251</v>
      </c>
      <c r="C72" s="163" t="s">
        <v>6252</v>
      </c>
      <c r="D72" s="101" t="s">
        <v>6253</v>
      </c>
      <c r="E72" s="101" t="s">
        <v>6254</v>
      </c>
      <c r="F72" s="102">
        <v>0.21</v>
      </c>
      <c r="G72" s="46" t="str">
        <f>IFERROR(VLOOKUP("VMP+",STOCK!$B$1:$Q$5608,3,FALSE),"SIN STOCK")</f>
        <v>SIN STOCK</v>
      </c>
    </row>
    <row r="73" ht="15.75" customHeight="1">
      <c r="A73" s="158" t="s">
        <v>6044</v>
      </c>
      <c r="B73" s="166" t="s">
        <v>6255</v>
      </c>
      <c r="C73" s="159" t="s">
        <v>6256</v>
      </c>
      <c r="D73" s="96" t="s">
        <v>6230</v>
      </c>
      <c r="E73" s="96" t="s">
        <v>6231</v>
      </c>
      <c r="F73" s="97">
        <v>0.21</v>
      </c>
      <c r="G73" s="38" t="str">
        <f>IFERROR(VLOOKUP("VMPR",STOCK!$B$1:$Q$5608,3,FALSE),"SIN STOCK")</f>
        <v>Mayor a 5</v>
      </c>
    </row>
    <row r="74" ht="15.75" customHeight="1">
      <c r="A74" s="161" t="s">
        <v>6044</v>
      </c>
      <c r="B74" s="162" t="s">
        <v>6257</v>
      </c>
      <c r="C74" s="163" t="s">
        <v>6258</v>
      </c>
      <c r="D74" s="101" t="s">
        <v>6259</v>
      </c>
      <c r="E74" s="101" t="s">
        <v>6260</v>
      </c>
      <c r="F74" s="102">
        <v>0.21</v>
      </c>
      <c r="G74" s="38" t="str">
        <f>IFERROR(VLOOKUP("VMR",STOCK!$B$1:$Q$5608,3,FALSE),"SIN STOCK")</f>
        <v>Mayor a 5</v>
      </c>
    </row>
    <row r="75" ht="15.75" customHeight="1">
      <c r="A75" s="28" t="s">
        <v>6261</v>
      </c>
      <c r="C75" s="167"/>
      <c r="D75" s="51"/>
      <c r="E75" s="51"/>
      <c r="F75" s="106"/>
      <c r="G75" s="92"/>
    </row>
    <row r="76" ht="15.75" customHeight="1">
      <c r="A76" s="158" t="s">
        <v>6044</v>
      </c>
      <c r="B76" s="166" t="s">
        <v>6262</v>
      </c>
      <c r="C76" s="159" t="s">
        <v>6263</v>
      </c>
      <c r="D76" s="96" t="s">
        <v>6264</v>
      </c>
      <c r="E76" s="96" t="s">
        <v>6265</v>
      </c>
      <c r="F76" s="97">
        <v>0.21</v>
      </c>
      <c r="G76" s="38" t="str">
        <f>IFERROR(VLOOKUP("AIMICRO",STOCK!$B$1:$Q$5608,3,FALSE),"SIN STOCK")</f>
        <v>Menor a 5</v>
      </c>
    </row>
    <row r="77" ht="15.75" customHeight="1">
      <c r="A77" s="161" t="s">
        <v>6044</v>
      </c>
      <c r="B77" s="162" t="s">
        <v>6266</v>
      </c>
      <c r="C77" s="163" t="s">
        <v>6267</v>
      </c>
      <c r="D77" s="101" t="s">
        <v>6223</v>
      </c>
      <c r="E77" s="101" t="s">
        <v>6224</v>
      </c>
      <c r="F77" s="102">
        <v>0.21</v>
      </c>
      <c r="G77" s="251" t="str">
        <f>IFERROR(VLOOKUP("SMARTLAVP",STOCK!$B$1:$Q$5608,3,FALSE),"SIN STOCK")</f>
        <v>Mayor a 5</v>
      </c>
    </row>
    <row r="78" ht="15.75" customHeight="1">
      <c r="A78" s="158" t="s">
        <v>6044</v>
      </c>
      <c r="B78" s="164" t="s">
        <v>6268</v>
      </c>
      <c r="C78" s="159" t="s">
        <v>6269</v>
      </c>
      <c r="D78" s="96" t="s">
        <v>6270</v>
      </c>
      <c r="E78" s="96" t="s">
        <v>6271</v>
      </c>
      <c r="F78" s="97">
        <v>0.21</v>
      </c>
      <c r="G78" s="38" t="str">
        <f>IFERROR(VLOOKUP("VIDEOMICME",STOCK!$B$1:$Q$5608,3,FALSE),"SIN STOCK")</f>
        <v>SIN STOCK</v>
      </c>
    </row>
    <row r="79" ht="15.75" customHeight="1">
      <c r="A79" s="161" t="s">
        <v>6044</v>
      </c>
      <c r="B79" s="100" t="s">
        <v>6272</v>
      </c>
      <c r="C79" s="163" t="s">
        <v>6273</v>
      </c>
      <c r="D79" s="101" t="s">
        <v>6264</v>
      </c>
      <c r="E79" s="101" t="s">
        <v>6265</v>
      </c>
      <c r="F79" s="102">
        <v>0.21</v>
      </c>
      <c r="G79" s="38" t="str">
        <f>IFERROR(VLOOKUP("VMMC",STOCK!$B$1:$Q$5608,3,FALSE),"SIN STOCK")</f>
        <v>Menor a 5</v>
      </c>
    </row>
    <row r="80" ht="15.75" customHeight="1">
      <c r="A80" s="158" t="s">
        <v>6044</v>
      </c>
      <c r="B80" s="166" t="s">
        <v>6274</v>
      </c>
      <c r="C80" s="159" t="s">
        <v>6275</v>
      </c>
      <c r="D80" s="96" t="s">
        <v>6264</v>
      </c>
      <c r="E80" s="96" t="s">
        <v>6265</v>
      </c>
      <c r="F80" s="97">
        <v>0.21</v>
      </c>
      <c r="G80" s="251" t="str">
        <f>IFERROR(VLOOKUP("VMML",STOCK!$B$1:$Q$5608,3,FALSE),"SIN STOCK")</f>
        <v>Menor a 5</v>
      </c>
    </row>
    <row r="81" ht="15.75" customHeight="1">
      <c r="A81" s="161" t="s">
        <v>6044</v>
      </c>
      <c r="B81" s="162" t="s">
        <v>6276</v>
      </c>
      <c r="C81" s="163" t="s">
        <v>6277</v>
      </c>
      <c r="D81" s="101" t="s">
        <v>6278</v>
      </c>
      <c r="E81" s="101" t="s">
        <v>6279</v>
      </c>
      <c r="F81" s="102">
        <v>0.21</v>
      </c>
      <c r="G81" s="168" t="str">
        <f>IFERROR(VLOOKUP("VLOGVMICRO",STOCK!$B$1:$Q$5608,3,FALSE),"SIN STOCK")</f>
        <v>SIN STOCK</v>
      </c>
    </row>
    <row r="82" ht="15.75" customHeight="1">
      <c r="A82" s="158" t="s">
        <v>6044</v>
      </c>
      <c r="B82" s="166" t="s">
        <v>6280</v>
      </c>
      <c r="C82" s="159" t="s">
        <v>6281</v>
      </c>
      <c r="D82" s="96" t="s">
        <v>6278</v>
      </c>
      <c r="E82" s="96" t="s">
        <v>6279</v>
      </c>
      <c r="F82" s="97">
        <v>0.21</v>
      </c>
      <c r="G82" s="38" t="str">
        <f>IFERROR(VLOOKUP("VLOGVMML",STOCK!$B$1:$Q$5608,3,FALSE),"SIN STOCK")</f>
        <v>Mayor a 5</v>
      </c>
    </row>
    <row r="83" ht="15.75" customHeight="1">
      <c r="A83" s="161" t="s">
        <v>6044</v>
      </c>
      <c r="B83" s="162" t="s">
        <v>6282</v>
      </c>
      <c r="C83" s="163" t="s">
        <v>6283</v>
      </c>
      <c r="D83" s="101" t="s">
        <v>6278</v>
      </c>
      <c r="E83" s="101" t="s">
        <v>6279</v>
      </c>
      <c r="F83" s="102">
        <v>0.21</v>
      </c>
      <c r="G83" s="38" t="str">
        <f>IFERROR(VLOOKUP("VLOGVMMC",STOCK!$B$1:$Q$5608,3,FALSE),"SIN STOCK")</f>
        <v>Menor a 5</v>
      </c>
    </row>
    <row r="84" ht="15.75" customHeight="1">
      <c r="A84" s="28" t="s">
        <v>6284</v>
      </c>
      <c r="C84" s="167"/>
      <c r="D84" s="51"/>
      <c r="E84" s="51"/>
      <c r="F84" s="172"/>
      <c r="G84" s="172"/>
    </row>
    <row r="85" ht="15.75" customHeight="1">
      <c r="A85" s="158" t="s">
        <v>6044</v>
      </c>
      <c r="B85" s="148" t="s">
        <v>6285</v>
      </c>
      <c r="C85" s="159" t="s">
        <v>6286</v>
      </c>
      <c r="D85" s="96" t="s">
        <v>6287</v>
      </c>
      <c r="E85" s="96" t="s">
        <v>6288</v>
      </c>
      <c r="F85" s="97">
        <v>0.21</v>
      </c>
      <c r="G85" s="251" t="str">
        <f>IFERROR(VLOOKUP("WIGOII",STOCK!$B$1:$Q$5608,3,FALSE),"SIN STOCK")</f>
        <v>Menor a 5</v>
      </c>
    </row>
    <row r="86" ht="15.75" customHeight="1">
      <c r="A86" s="161" t="s">
        <v>6044</v>
      </c>
      <c r="B86" s="162" t="s">
        <v>6289</v>
      </c>
      <c r="C86" s="163" t="s">
        <v>6290</v>
      </c>
      <c r="D86" s="101" t="s">
        <v>6291</v>
      </c>
      <c r="E86" s="101" t="s">
        <v>6292</v>
      </c>
      <c r="F86" s="102">
        <v>0.21</v>
      </c>
      <c r="G86" s="46" t="str">
        <f>IFERROR(VLOOKUP("WIGOIITX",STOCK!$B$1:$Q$5608,3,FALSE),"SIN STOCK")</f>
        <v>SIN STOCK</v>
      </c>
    </row>
    <row r="87" ht="15.75" customHeight="1">
      <c r="A87" s="158" t="s">
        <v>6044</v>
      </c>
      <c r="B87" s="166" t="s">
        <v>6293</v>
      </c>
      <c r="C87" s="159" t="s">
        <v>6294</v>
      </c>
      <c r="D87" s="96" t="s">
        <v>6295</v>
      </c>
      <c r="E87" s="96" t="s">
        <v>6296</v>
      </c>
      <c r="F87" s="97">
        <v>0.21</v>
      </c>
      <c r="G87" s="46" t="str">
        <f>IFERROR(VLOOKUP("WIGOIICHARGINGCASE",STOCK!$B$1:$Q$5608,3,FALSE),"SIN STOCK")</f>
        <v>SIN STOCK</v>
      </c>
    </row>
    <row r="88" ht="15.75" customHeight="1">
      <c r="A88" s="161" t="s">
        <v>6044</v>
      </c>
      <c r="B88" s="162" t="s">
        <v>6297</v>
      </c>
      <c r="C88" s="163" t="s">
        <v>6298</v>
      </c>
      <c r="D88" s="101" t="s">
        <v>6299</v>
      </c>
      <c r="E88" s="101" t="s">
        <v>6300</v>
      </c>
      <c r="F88" s="102">
        <v>0.21</v>
      </c>
      <c r="G88" s="251" t="str">
        <f>IFERROR(VLOOKUP("WIGOIISINGLE",STOCK!$B$1:$Q$5608,3,FALSE),"SIN STOCK")</f>
        <v>Menor a 5</v>
      </c>
    </row>
    <row r="89" ht="15.75" customHeight="1">
      <c r="A89" s="158" t="s">
        <v>6044</v>
      </c>
      <c r="B89" s="166" t="s">
        <v>6301</v>
      </c>
      <c r="C89" s="159" t="s">
        <v>6302</v>
      </c>
      <c r="D89" s="96" t="s">
        <v>6303</v>
      </c>
      <c r="E89" s="96" t="s">
        <v>6304</v>
      </c>
      <c r="F89" s="97">
        <v>0.21</v>
      </c>
      <c r="G89" s="46" t="str">
        <f>IFERROR(VLOOKUP("WIME",STOCK!$B$1:$Q$5608,3,FALSE),"SIN STOCK")</f>
        <v>Mayor a 5</v>
      </c>
    </row>
    <row r="90" ht="15.75" customHeight="1">
      <c r="A90" s="161" t="s">
        <v>6044</v>
      </c>
      <c r="B90" s="162" t="s">
        <v>6305</v>
      </c>
      <c r="C90" s="163" t="s">
        <v>6306</v>
      </c>
      <c r="D90" s="101" t="s">
        <v>6307</v>
      </c>
      <c r="E90" s="101" t="s">
        <v>5674</v>
      </c>
      <c r="F90" s="102">
        <v>0.21</v>
      </c>
      <c r="G90" s="46" t="str">
        <f>IFERROR(VLOOKUP("WIMETX",STOCK!$B$1:$Q$5608,3,FALSE),"SIN STOCK")</f>
        <v>SIN STOCK</v>
      </c>
    </row>
    <row r="91" ht="15.75" customHeight="1">
      <c r="A91" s="158" t="s">
        <v>6044</v>
      </c>
      <c r="B91" s="166" t="s">
        <v>6308</v>
      </c>
      <c r="C91" s="159" t="s">
        <v>6309</v>
      </c>
      <c r="D91" s="96" t="s">
        <v>6310</v>
      </c>
      <c r="E91" s="96" t="s">
        <v>6311</v>
      </c>
      <c r="F91" s="97">
        <v>0.21</v>
      </c>
      <c r="G91" s="46" t="str">
        <f>IFERROR(VLOOKUP("WIPRO",STOCK!$B$1:$Q$5608,3,FALSE),"SIN STOCK")</f>
        <v>Mayor a 5</v>
      </c>
    </row>
    <row r="92" ht="15.75" customHeight="1">
      <c r="A92" s="161" t="s">
        <v>6044</v>
      </c>
      <c r="B92" s="162" t="s">
        <v>6312</v>
      </c>
      <c r="C92" s="163" t="s">
        <v>6313</v>
      </c>
      <c r="D92" s="101" t="s">
        <v>6314</v>
      </c>
      <c r="E92" s="101" t="s">
        <v>6315</v>
      </c>
      <c r="F92" s="102">
        <v>0.21</v>
      </c>
      <c r="G92" s="168" t="str">
        <f>IFERROR(VLOOKUP("RODELINKPF",STOCK!$B$1:$Q$5608,3,FALSE),"SIN STOCK")</f>
        <v>SIN STOCK</v>
      </c>
    </row>
    <row r="93" ht="15.75" customHeight="1">
      <c r="A93" s="28" t="s">
        <v>6316</v>
      </c>
      <c r="C93" s="167"/>
      <c r="D93" s="51"/>
      <c r="E93" s="51"/>
      <c r="F93" s="106"/>
      <c r="G93" s="92"/>
    </row>
    <row r="94" ht="15.75" customHeight="1">
      <c r="A94" s="158" t="s">
        <v>6044</v>
      </c>
      <c r="B94" s="166" t="s">
        <v>6317</v>
      </c>
      <c r="C94" s="159" t="s">
        <v>6318</v>
      </c>
      <c r="D94" s="96" t="s">
        <v>6319</v>
      </c>
      <c r="E94" s="96" t="s">
        <v>6320</v>
      </c>
      <c r="F94" s="97">
        <v>0.21</v>
      </c>
      <c r="G94" s="168" t="str">
        <f>IFERROR(VLOOKUP("XDM100",STOCK!$B$1:$Q$5608,3,FALSE),"SIN STOCK")</f>
        <v>SIN STOCK</v>
      </c>
    </row>
    <row r="95" ht="15.75" customHeight="1">
      <c r="A95" s="161" t="s">
        <v>6044</v>
      </c>
      <c r="B95" s="162" t="s">
        <v>6321</v>
      </c>
      <c r="C95" s="163" t="s">
        <v>6322</v>
      </c>
      <c r="D95" s="101" t="s">
        <v>6303</v>
      </c>
      <c r="E95" s="101" t="s">
        <v>6304</v>
      </c>
      <c r="F95" s="102">
        <v>0.21</v>
      </c>
      <c r="G95" s="46" t="str">
        <f>IFERROR(VLOOKUP("XCM50",STOCK!$B$1:$Q$5608,3,FALSE),"SIN STOCK")</f>
        <v>SIN STOCK</v>
      </c>
    </row>
    <row r="96" ht="15.75" customHeight="1">
      <c r="A96" s="28" t="s">
        <v>6323</v>
      </c>
      <c r="C96" s="167"/>
      <c r="D96" s="51"/>
      <c r="E96" s="51"/>
      <c r="F96" s="172"/>
      <c r="G96" s="172"/>
    </row>
    <row r="97" ht="15.75" hidden="1" customHeight="1">
      <c r="A97" s="158" t="s">
        <v>6044</v>
      </c>
      <c r="B97" s="166" t="s">
        <v>6324</v>
      </c>
      <c r="C97" s="159" t="s">
        <v>6325</v>
      </c>
      <c r="D97" s="96" t="s">
        <v>6326</v>
      </c>
      <c r="E97" s="96" t="s">
        <v>6327</v>
      </c>
      <c r="F97" s="97">
        <v>0.21</v>
      </c>
      <c r="G97" s="38" t="str">
        <f>IFERROR(VLOOKUP("RCDUO-B",STOCK!$B$1:$Q$5608,3,FALSE),"SIN STOCK")</f>
        <v>Menor a 5</v>
      </c>
    </row>
    <row r="98" ht="15.75" customHeight="1">
      <c r="A98" s="161" t="s">
        <v>6044</v>
      </c>
      <c r="B98" s="162" t="s">
        <v>6328</v>
      </c>
      <c r="C98" s="163" t="s">
        <v>6329</v>
      </c>
      <c r="D98" s="101" t="s">
        <v>6330</v>
      </c>
      <c r="E98" s="101" t="s">
        <v>6331</v>
      </c>
      <c r="F98" s="102">
        <v>0.21</v>
      </c>
      <c r="G98" s="46" t="str">
        <f>IFERROR(VLOOKUP("RCP",STOCK!$B$1:$Q$5608,3,FALSE),"SIN STOCK")</f>
        <v>SIN STOCK</v>
      </c>
    </row>
    <row r="99" ht="15.75" customHeight="1">
      <c r="A99" s="161" t="s">
        <v>6044</v>
      </c>
      <c r="B99" s="162" t="s">
        <v>6332</v>
      </c>
      <c r="C99" s="163" t="s">
        <v>6333</v>
      </c>
      <c r="D99" s="101" t="s">
        <v>6334</v>
      </c>
      <c r="E99" s="101" t="s">
        <v>6335</v>
      </c>
      <c r="F99" s="102">
        <v>0.105</v>
      </c>
      <c r="G99" s="38" t="str">
        <f>IFERROR(VLOOKUP("RCPII-B",STOCK!$B$1:$Q$5608,3,FALSE),"SIN STOCK")</f>
        <v>Mayor a 5</v>
      </c>
    </row>
    <row r="100" ht="15.75" customHeight="1">
      <c r="A100" s="158" t="s">
        <v>6044</v>
      </c>
      <c r="B100" s="166" t="s">
        <v>6336</v>
      </c>
      <c r="C100" s="159" t="s">
        <v>6337</v>
      </c>
      <c r="D100" s="96" t="s">
        <v>6334</v>
      </c>
      <c r="E100" s="96" t="s">
        <v>6335</v>
      </c>
      <c r="F100" s="97">
        <v>0.105</v>
      </c>
      <c r="G100" s="38" t="str">
        <f>IFERROR(VLOOKUP("RCV",STOCK!$B$1:$Q$5608,3,FALSE),"SIN STOCK")</f>
        <v>Mayor a 5</v>
      </c>
    </row>
    <row r="101" ht="15.75" customHeight="1">
      <c r="A101" s="161" t="s">
        <v>6044</v>
      </c>
      <c r="B101" s="162" t="s">
        <v>6338</v>
      </c>
      <c r="C101" s="163" t="s">
        <v>6339</v>
      </c>
      <c r="D101" s="101" t="s">
        <v>6340</v>
      </c>
      <c r="E101" s="101" t="s">
        <v>6341</v>
      </c>
      <c r="F101" s="102">
        <v>0.21</v>
      </c>
      <c r="G101" s="168" t="str">
        <f>IFERROR(VLOOKUP("STREAMERX",STOCK!$B$1:$Q$5608,3,FALSE),"SIN STOCK")</f>
        <v>Menor a 5</v>
      </c>
    </row>
    <row r="102" ht="15.75" customHeight="1">
      <c r="A102" s="28" t="s">
        <v>30</v>
      </c>
      <c r="C102" s="167"/>
      <c r="D102" s="51"/>
      <c r="E102" s="51"/>
      <c r="F102" s="106"/>
      <c r="G102" s="92"/>
    </row>
    <row r="103" ht="15.75" customHeight="1">
      <c r="A103" s="158" t="s">
        <v>6044</v>
      </c>
      <c r="B103" s="166" t="s">
        <v>6342</v>
      </c>
      <c r="C103" s="159" t="s">
        <v>6343</v>
      </c>
      <c r="D103" s="96" t="s">
        <v>6344</v>
      </c>
      <c r="E103" s="96" t="s">
        <v>6345</v>
      </c>
      <c r="F103" s="97">
        <v>0.21</v>
      </c>
      <c r="G103" s="38" t="str">
        <f>IFERROR(VLOOKUP("NTH100",STOCK!$B$1:$Q$5608,3,FALSE),"SIN STOCK")</f>
        <v>Menor a 5</v>
      </c>
    </row>
    <row r="104" ht="15.75" customHeight="1">
      <c r="A104" s="161" t="s">
        <v>6044</v>
      </c>
      <c r="B104" s="162" t="s">
        <v>6346</v>
      </c>
      <c r="C104" s="163" t="s">
        <v>6347</v>
      </c>
      <c r="D104" s="101" t="s">
        <v>6348</v>
      </c>
      <c r="E104" s="101" t="s">
        <v>6349</v>
      </c>
      <c r="F104" s="102">
        <v>0.21</v>
      </c>
      <c r="G104" s="46" t="str">
        <f>IFERROR(VLOOKUP("NTH100M",STOCK!$B$1:$Q$5608,3,FALSE),"SIN STOCK")</f>
        <v>SIN STOCK</v>
      </c>
    </row>
    <row r="105" ht="15.75" customHeight="1">
      <c r="A105" s="158" t="s">
        <v>6044</v>
      </c>
      <c r="B105" s="166" t="s">
        <v>6350</v>
      </c>
      <c r="C105" s="159" t="s">
        <v>6351</v>
      </c>
      <c r="D105" s="96" t="s">
        <v>6244</v>
      </c>
      <c r="E105" s="96" t="s">
        <v>6245</v>
      </c>
      <c r="F105" s="97">
        <v>0.21</v>
      </c>
      <c r="G105" s="46" t="str">
        <f>IFERROR(VLOOKUP("NTHMIC",STOCK!$B$1:$Q$5608,3,FALSE),"SIN STOCK")</f>
        <v>SIN STOCK</v>
      </c>
    </row>
    <row r="106" ht="15.75" customHeight="1">
      <c r="A106" s="28" t="s">
        <v>6352</v>
      </c>
      <c r="C106" s="167"/>
      <c r="D106" s="51"/>
      <c r="E106" s="51"/>
      <c r="F106" s="106"/>
      <c r="G106" s="92"/>
    </row>
    <row r="107" ht="15.75" customHeight="1">
      <c r="A107" s="158" t="s">
        <v>6044</v>
      </c>
      <c r="B107" s="166" t="s">
        <v>6353</v>
      </c>
      <c r="C107" s="159" t="s">
        <v>6354</v>
      </c>
      <c r="D107" s="96" t="s">
        <v>6355</v>
      </c>
      <c r="E107" s="96" t="s">
        <v>6356</v>
      </c>
      <c r="F107" s="97">
        <v>0.21</v>
      </c>
      <c r="G107" s="46" t="str">
        <f>IFERROR(VLOOKUP("NTH-CABLE12",STOCK!$B$1:$Q$5608,3,FALSE),"SIN STOCK")</f>
        <v>SIN STOCK</v>
      </c>
    </row>
    <row r="108" ht="15.75" customHeight="1">
      <c r="A108" s="161" t="s">
        <v>6044</v>
      </c>
      <c r="B108" s="162" t="s">
        <v>6357</v>
      </c>
      <c r="C108" s="163" t="s">
        <v>6358</v>
      </c>
      <c r="D108" s="101" t="s">
        <v>6355</v>
      </c>
      <c r="E108" s="101" t="s">
        <v>6356</v>
      </c>
      <c r="F108" s="102">
        <v>0.21</v>
      </c>
      <c r="G108" s="46" t="str">
        <f>IFERROR(VLOOKUP("NTH-CABLE12O",STOCK!$B$1:$Q$5608,3,FALSE),"SIN STOCK")</f>
        <v>SIN STOCK</v>
      </c>
    </row>
    <row r="109" ht="15.75" customHeight="1">
      <c r="A109" s="158" t="s">
        <v>6044</v>
      </c>
      <c r="B109" s="166" t="s">
        <v>6359</v>
      </c>
      <c r="C109" s="159" t="s">
        <v>6360</v>
      </c>
      <c r="D109" s="96" t="s">
        <v>6355</v>
      </c>
      <c r="E109" s="96" t="s">
        <v>6356</v>
      </c>
      <c r="F109" s="97">
        <v>0.21</v>
      </c>
      <c r="G109" s="46" t="str">
        <f>IFERROR(VLOOKUP("NTH-CABLE12G",STOCK!$B$1:$Q$5608,3,FALSE),"SIN STOCK")</f>
        <v>SIN STOCK</v>
      </c>
    </row>
    <row r="110" ht="15.75" customHeight="1">
      <c r="A110" s="161" t="s">
        <v>6044</v>
      </c>
      <c r="B110" s="162" t="s">
        <v>6361</v>
      </c>
      <c r="C110" s="163" t="s">
        <v>6362</v>
      </c>
      <c r="D110" s="101" t="s">
        <v>6355</v>
      </c>
      <c r="E110" s="101" t="s">
        <v>6356</v>
      </c>
      <c r="F110" s="102">
        <v>0.21</v>
      </c>
      <c r="G110" s="46" t="str">
        <f>IFERROR(VLOOKUP("NTH-CABLE12P",STOCK!$B$1:$Q$5608,3,FALSE),"SIN STOCK")</f>
        <v>SIN STOCK</v>
      </c>
    </row>
    <row r="111" ht="15.75" customHeight="1">
      <c r="A111" s="158" t="s">
        <v>6044</v>
      </c>
      <c r="B111" s="166" t="s">
        <v>6363</v>
      </c>
      <c r="C111" s="159" t="s">
        <v>6364</v>
      </c>
      <c r="D111" s="96" t="s">
        <v>6355</v>
      </c>
      <c r="E111" s="96" t="s">
        <v>6356</v>
      </c>
      <c r="F111" s="97">
        <v>0.21</v>
      </c>
      <c r="G111" s="46" t="str">
        <f>IFERROR(VLOOKUP("NTH-CABLE12B",STOCK!$B$1:$Q$5608,3,FALSE),"SIN STOCK")</f>
        <v>SIN STOCK</v>
      </c>
    </row>
    <row r="112" ht="15.75" customHeight="1">
      <c r="A112" s="161" t="s">
        <v>6044</v>
      </c>
      <c r="B112" s="162" t="s">
        <v>6365</v>
      </c>
      <c r="C112" s="163" t="s">
        <v>6366</v>
      </c>
      <c r="D112" s="101" t="s">
        <v>6367</v>
      </c>
      <c r="E112" s="101" t="s">
        <v>6368</v>
      </c>
      <c r="F112" s="102">
        <v>0.21</v>
      </c>
      <c r="G112" s="46" t="str">
        <f>IFERROR(VLOOKUP("NTH-CABLE24",STOCK!$B$1:$Q$5608,3,FALSE),"SIN STOCK")</f>
        <v>SIN STOCK</v>
      </c>
    </row>
    <row r="113" ht="15.75" customHeight="1">
      <c r="A113" s="158" t="s">
        <v>6044</v>
      </c>
      <c r="B113" s="166" t="s">
        <v>6369</v>
      </c>
      <c r="C113" s="159" t="s">
        <v>6370</v>
      </c>
      <c r="D113" s="96" t="s">
        <v>6367</v>
      </c>
      <c r="E113" s="96" t="s">
        <v>6368</v>
      </c>
      <c r="F113" s="97">
        <v>0.21</v>
      </c>
      <c r="G113" s="46" t="str">
        <f>IFERROR(VLOOKUP("NTH-CABLE24O",STOCK!$B$1:$Q$5608,3,FALSE),"SIN STOCK")</f>
        <v>SIN STOCK</v>
      </c>
    </row>
    <row r="114" ht="15.75" customHeight="1">
      <c r="A114" s="161" t="s">
        <v>6044</v>
      </c>
      <c r="B114" s="162" t="s">
        <v>6371</v>
      </c>
      <c r="C114" s="163" t="s">
        <v>6372</v>
      </c>
      <c r="D114" s="101" t="s">
        <v>6367</v>
      </c>
      <c r="E114" s="101" t="s">
        <v>6368</v>
      </c>
      <c r="F114" s="102">
        <v>0.21</v>
      </c>
      <c r="G114" s="46" t="str">
        <f>IFERROR(VLOOKUP("NTH-CABLE24G",STOCK!$B$1:$Q$5608,3,FALSE),"SIN STOCK")</f>
        <v>SIN STOCK</v>
      </c>
    </row>
    <row r="115" ht="15.75" customHeight="1">
      <c r="A115" s="158" t="s">
        <v>6044</v>
      </c>
      <c r="B115" s="166" t="s">
        <v>6373</v>
      </c>
      <c r="C115" s="159" t="s">
        <v>6374</v>
      </c>
      <c r="D115" s="96" t="s">
        <v>6367</v>
      </c>
      <c r="E115" s="96" t="s">
        <v>6368</v>
      </c>
      <c r="F115" s="97">
        <v>0.21</v>
      </c>
      <c r="G115" s="46" t="str">
        <f>IFERROR(VLOOKUP("NTH-CABLE24P",STOCK!$B$1:$Q$5608,3,FALSE),"SIN STOCK")</f>
        <v>SIN STOCK</v>
      </c>
    </row>
    <row r="116" ht="15.75" customHeight="1">
      <c r="A116" s="161" t="s">
        <v>6044</v>
      </c>
      <c r="B116" s="162" t="s">
        <v>6375</v>
      </c>
      <c r="C116" s="163" t="s">
        <v>6376</v>
      </c>
      <c r="D116" s="101" t="s">
        <v>6367</v>
      </c>
      <c r="E116" s="101" t="s">
        <v>6368</v>
      </c>
      <c r="F116" s="102">
        <v>0.21</v>
      </c>
      <c r="G116" s="46" t="str">
        <f>IFERROR(VLOOKUP("NTH-CABLE24B",STOCK!$B$1:$Q$5608,3,FALSE),"SIN STOCK")</f>
        <v>SIN STOCK</v>
      </c>
    </row>
    <row r="117" ht="15.75" customHeight="1">
      <c r="A117" s="28" t="s">
        <v>6377</v>
      </c>
      <c r="C117" s="167"/>
      <c r="D117" s="51"/>
      <c r="E117" s="51"/>
      <c r="F117" s="106"/>
      <c r="G117" s="92"/>
    </row>
    <row r="118" ht="15.75" customHeight="1">
      <c r="A118" s="158" t="s">
        <v>6044</v>
      </c>
      <c r="B118" s="166" t="s">
        <v>6378</v>
      </c>
      <c r="C118" s="159" t="s">
        <v>6379</v>
      </c>
      <c r="D118" s="96" t="s">
        <v>536</v>
      </c>
      <c r="E118" s="96" t="s">
        <v>6380</v>
      </c>
      <c r="F118" s="97">
        <v>0.21</v>
      </c>
      <c r="G118" s="46" t="str">
        <f>IFERROR(VLOOKUP("HJA-4",STOCK!$B$1:$Q$5608,3,FALSE),"SIN STOCK")</f>
        <v>SIN STOCK</v>
      </c>
    </row>
    <row r="119" ht="15.75" customHeight="1">
      <c r="A119" s="161" t="s">
        <v>6044</v>
      </c>
      <c r="B119" s="162" t="s">
        <v>6381</v>
      </c>
      <c r="C119" s="163" t="s">
        <v>6382</v>
      </c>
      <c r="D119" s="101" t="s">
        <v>6383</v>
      </c>
      <c r="E119" s="101" t="s">
        <v>6384</v>
      </c>
      <c r="F119" s="102">
        <v>0.21</v>
      </c>
      <c r="G119" s="38" t="str">
        <f>IFERROR(VLOOKUP("SC1",STOCK!$B$1:$Q$5608,3,FALSE),"SIN STOCK")</f>
        <v>Mayor a 5</v>
      </c>
    </row>
    <row r="120" ht="15.75" customHeight="1">
      <c r="A120" s="158" t="s">
        <v>6044</v>
      </c>
      <c r="B120" s="166" t="s">
        <v>6385</v>
      </c>
      <c r="C120" s="159" t="s">
        <v>6386</v>
      </c>
      <c r="D120" s="96" t="s">
        <v>6387</v>
      </c>
      <c r="E120" s="96" t="s">
        <v>6388</v>
      </c>
      <c r="F120" s="97">
        <v>0.21</v>
      </c>
      <c r="G120" s="38" t="str">
        <f>IFERROR(VLOOKUP("SC2",STOCK!$B$1:$Q$5608,3,FALSE),"SIN STOCK")</f>
        <v>Mayor a 5</v>
      </c>
    </row>
    <row r="121" ht="15.75" customHeight="1">
      <c r="A121" s="161" t="s">
        <v>6044</v>
      </c>
      <c r="B121" s="162" t="s">
        <v>6389</v>
      </c>
      <c r="C121" s="163" t="s">
        <v>6390</v>
      </c>
      <c r="D121" s="101" t="s">
        <v>6387</v>
      </c>
      <c r="E121" s="101" t="s">
        <v>6388</v>
      </c>
      <c r="F121" s="102">
        <v>0.21</v>
      </c>
      <c r="G121" s="38" t="str">
        <f>IFERROR(VLOOKUP("SC3",STOCK!$B$1:$Q$5608,3,FALSE),"SIN STOCK")</f>
        <v>Mayor a 5</v>
      </c>
    </row>
    <row r="122" ht="15.75" customHeight="1">
      <c r="A122" s="158" t="s">
        <v>6044</v>
      </c>
      <c r="B122" s="166" t="s">
        <v>6391</v>
      </c>
      <c r="C122" s="159" t="s">
        <v>6392</v>
      </c>
      <c r="D122" s="96" t="s">
        <v>6387</v>
      </c>
      <c r="E122" s="96" t="s">
        <v>6388</v>
      </c>
      <c r="F122" s="97">
        <v>0.21</v>
      </c>
      <c r="G122" s="38" t="str">
        <f>IFERROR(VLOOKUP("SC4",STOCK!$B$1:$Q$5608,3,FALSE),"SIN STOCK")</f>
        <v>Mayor a 5</v>
      </c>
    </row>
    <row r="123" ht="15.75" customHeight="1">
      <c r="A123" s="161" t="s">
        <v>6044</v>
      </c>
      <c r="B123" s="162" t="s">
        <v>6393</v>
      </c>
      <c r="C123" s="163" t="s">
        <v>6394</v>
      </c>
      <c r="D123" s="101" t="s">
        <v>6395</v>
      </c>
      <c r="E123" s="101" t="s">
        <v>6396</v>
      </c>
      <c r="F123" s="102">
        <v>0.21</v>
      </c>
      <c r="G123" s="38" t="str">
        <f>IFERROR(VLOOKUP("SC6",STOCK!$B$1:$Q$5608,3,FALSE),"SIN STOCK")</f>
        <v>Mayor a 5</v>
      </c>
    </row>
    <row r="124" ht="15.75" customHeight="1">
      <c r="A124" s="158" t="s">
        <v>6044</v>
      </c>
      <c r="B124" s="164" t="s">
        <v>6397</v>
      </c>
      <c r="C124" s="163" t="s">
        <v>6398</v>
      </c>
      <c r="D124" s="96" t="s">
        <v>6399</v>
      </c>
      <c r="E124" s="96" t="s">
        <v>6400</v>
      </c>
      <c r="F124" s="97">
        <v>0.21</v>
      </c>
      <c r="G124" s="169"/>
    </row>
    <row r="125" ht="15.75" customHeight="1">
      <c r="A125" s="161" t="s">
        <v>6044</v>
      </c>
      <c r="B125" s="162" t="s">
        <v>6401</v>
      </c>
      <c r="C125" s="163" t="s">
        <v>6402</v>
      </c>
      <c r="D125" s="101" t="s">
        <v>6387</v>
      </c>
      <c r="E125" s="101" t="s">
        <v>6388</v>
      </c>
      <c r="F125" s="102">
        <v>0.21</v>
      </c>
      <c r="G125" s="46" t="str">
        <f>IFERROR(VLOOKUP("SC7",STOCK!$B$1:$Q$5608,3,FALSE),"SIN STOCK")</f>
        <v>Menor a 5</v>
      </c>
    </row>
    <row r="126" ht="15.75" customHeight="1">
      <c r="A126" s="158" t="s">
        <v>6044</v>
      </c>
      <c r="B126" s="166" t="s">
        <v>6403</v>
      </c>
      <c r="C126" s="159" t="s">
        <v>6404</v>
      </c>
      <c r="D126" s="96" t="s">
        <v>6405</v>
      </c>
      <c r="E126" s="96" t="s">
        <v>5926</v>
      </c>
      <c r="F126" s="97">
        <v>0.21</v>
      </c>
      <c r="G126" s="38" t="str">
        <f>IFERROR(VLOOKUP("SC8",STOCK!$B$1:$Q$5608,3,FALSE),"SIN STOCK")</f>
        <v>Mayor a 5</v>
      </c>
    </row>
    <row r="127" ht="15.75" customHeight="1">
      <c r="A127" s="161" t="s">
        <v>6044</v>
      </c>
      <c r="B127" s="162" t="s">
        <v>6406</v>
      </c>
      <c r="C127" s="163" t="s">
        <v>6407</v>
      </c>
      <c r="D127" s="101" t="s">
        <v>6408</v>
      </c>
      <c r="E127" s="101" t="s">
        <v>6409</v>
      </c>
      <c r="F127" s="102">
        <v>0.21</v>
      </c>
      <c r="G127" s="38" t="str">
        <f>IFERROR(VLOOKUP("SC9",STOCK!$B$1:$Q$5608,3,FALSE),"SIN STOCK")</f>
        <v>Mayor a 5</v>
      </c>
    </row>
    <row r="128" ht="15.75" customHeight="1">
      <c r="A128" s="158" t="s">
        <v>6044</v>
      </c>
      <c r="B128" s="166" t="s">
        <v>6410</v>
      </c>
      <c r="C128" s="159" t="s">
        <v>6411</v>
      </c>
      <c r="D128" s="96" t="s">
        <v>6412</v>
      </c>
      <c r="E128" s="96" t="s">
        <v>6413</v>
      </c>
      <c r="F128" s="97">
        <v>0.21</v>
      </c>
      <c r="G128" s="46" t="str">
        <f>IFERROR(VLOOKUP("SC10",STOCK!$B$1:$Q$5608,3,FALSE),"SIN STOCK")</f>
        <v>SIN STOCK</v>
      </c>
    </row>
    <row r="129" ht="15.75" customHeight="1">
      <c r="A129" s="161" t="s">
        <v>6044</v>
      </c>
      <c r="B129" s="162" t="s">
        <v>6414</v>
      </c>
      <c r="C129" s="163" t="s">
        <v>6415</v>
      </c>
      <c r="D129" s="101" t="s">
        <v>6416</v>
      </c>
      <c r="E129" s="101" t="s">
        <v>6417</v>
      </c>
      <c r="F129" s="102">
        <v>0.21</v>
      </c>
      <c r="G129" s="38" t="str">
        <f>IFERROR(VLOOKUP("SC11",STOCK!$B$1:$Q$5608,3,FALSE),"SIN STOCK")</f>
        <v>Mayor a 5</v>
      </c>
    </row>
    <row r="130" ht="15.75" customHeight="1">
      <c r="A130" s="158" t="s">
        <v>6044</v>
      </c>
      <c r="B130" s="166" t="s">
        <v>6418</v>
      </c>
      <c r="C130" s="159" t="s">
        <v>6419</v>
      </c>
      <c r="D130" s="96" t="s">
        <v>6420</v>
      </c>
      <c r="E130" s="96" t="s">
        <v>6421</v>
      </c>
      <c r="F130" s="97">
        <v>0.21</v>
      </c>
      <c r="G130" s="38" t="str">
        <f>IFERROR(VLOOKUP("VXLR",STOCK!$B$1:$Q$5608,3,FALSE),"SIN STOCK")</f>
        <v>Mayor a 5</v>
      </c>
    </row>
    <row r="131" ht="15.75" customHeight="1">
      <c r="A131" s="161" t="s">
        <v>6044</v>
      </c>
      <c r="B131" s="162" t="s">
        <v>6422</v>
      </c>
      <c r="C131" s="163" t="s">
        <v>6423</v>
      </c>
      <c r="D131" s="101" t="s">
        <v>6424</v>
      </c>
      <c r="E131" s="101" t="s">
        <v>6425</v>
      </c>
      <c r="F131" s="102">
        <v>0.21</v>
      </c>
      <c r="G131" s="46" t="str">
        <f>IFERROR(VLOOKUP("VXLR+",STOCK!$B$1:$Q$5608,3,FALSE),"SIN STOCK")</f>
        <v>SIN STOCK</v>
      </c>
    </row>
    <row r="132" ht="15.75" customHeight="1">
      <c r="A132" s="158" t="s">
        <v>6044</v>
      </c>
      <c r="B132" s="166" t="s">
        <v>6426</v>
      </c>
      <c r="C132" s="159" t="s">
        <v>6427</v>
      </c>
      <c r="D132" s="96" t="s">
        <v>6428</v>
      </c>
      <c r="E132" s="96" t="s">
        <v>6429</v>
      </c>
      <c r="F132" s="97">
        <v>0.21</v>
      </c>
      <c r="G132" s="46" t="str">
        <f>IFERROR(VLOOKUP("VXLRPRO",STOCK!$B$1:$Q$5608,3,FALSE),"SIN STOCK")</f>
        <v>SIN STOCK</v>
      </c>
    </row>
    <row r="133" ht="15.75" customHeight="1">
      <c r="A133" s="28" t="s">
        <v>6430</v>
      </c>
      <c r="C133" s="167"/>
      <c r="D133" s="51"/>
      <c r="E133" s="51"/>
      <c r="F133" s="106"/>
      <c r="G133" s="92"/>
    </row>
    <row r="134" ht="15.75" customHeight="1">
      <c r="A134" s="158" t="s">
        <v>6044</v>
      </c>
      <c r="B134" s="166" t="s">
        <v>6431</v>
      </c>
      <c r="C134" s="159" t="s">
        <v>6432</v>
      </c>
      <c r="D134" s="96" t="s">
        <v>6433</v>
      </c>
      <c r="E134" s="96" t="s">
        <v>6434</v>
      </c>
      <c r="F134" s="97">
        <v>0.21</v>
      </c>
      <c r="G134" s="38" t="str">
        <f>IFERROR(VLOOKUP("BOOMPOLE",STOCK!$B$1:$Q$5608,3,FALSE),"SIN STOCK")</f>
        <v>Mayor a 5</v>
      </c>
    </row>
    <row r="135" ht="15.75" customHeight="1">
      <c r="A135" s="161" t="s">
        <v>6044</v>
      </c>
      <c r="B135" s="162" t="s">
        <v>6435</v>
      </c>
      <c r="C135" s="163" t="s">
        <v>6436</v>
      </c>
      <c r="D135" s="101" t="s">
        <v>6387</v>
      </c>
      <c r="E135" s="101" t="s">
        <v>6388</v>
      </c>
      <c r="F135" s="102">
        <v>0.21</v>
      </c>
      <c r="G135" s="46" t="str">
        <f>IFERROR(VLOOKUP("BOOMPOLECLIPS",STOCK!$B$1:$Q$5608,3,FALSE),"SIN STOCK")</f>
        <v>SIN STOCK</v>
      </c>
    </row>
    <row r="136" ht="15.75" customHeight="1">
      <c r="A136" s="158" t="s">
        <v>6044</v>
      </c>
      <c r="B136" s="166" t="s">
        <v>6437</v>
      </c>
      <c r="C136" s="159" t="s">
        <v>6438</v>
      </c>
      <c r="D136" s="96" t="s">
        <v>6439</v>
      </c>
      <c r="E136" s="96" t="s">
        <v>6440</v>
      </c>
      <c r="F136" s="97">
        <v>0.21</v>
      </c>
      <c r="G136" s="46" t="str">
        <f>IFERROR(VLOOKUP("BOOMPOLEMICRO",STOCK!$B$1:$Q$5608,3,FALSE),"SIN STOCK")</f>
        <v>SIN STOCK</v>
      </c>
    </row>
    <row r="137" ht="15.75" customHeight="1">
      <c r="A137" s="161" t="s">
        <v>6044</v>
      </c>
      <c r="B137" s="162" t="s">
        <v>6441</v>
      </c>
      <c r="C137" s="163" t="s">
        <v>6442</v>
      </c>
      <c r="D137" s="101" t="s">
        <v>6443</v>
      </c>
      <c r="E137" s="101" t="s">
        <v>6444</v>
      </c>
      <c r="F137" s="102">
        <v>0.21</v>
      </c>
      <c r="G137" s="38" t="str">
        <f>IFERROR(VLOOKUP("BOOMPOLEMICROP",STOCK!$B$1:$Q$5608,3,FALSE),"SIN STOCK")</f>
        <v>SIN STOCK</v>
      </c>
    </row>
    <row r="138" ht="15.75" customHeight="1">
      <c r="A138" s="158" t="s">
        <v>6044</v>
      </c>
      <c r="B138" s="166" t="s">
        <v>6445</v>
      </c>
      <c r="C138" s="159" t="s">
        <v>6446</v>
      </c>
      <c r="D138" s="96" t="s">
        <v>6443</v>
      </c>
      <c r="E138" s="96" t="s">
        <v>6444</v>
      </c>
      <c r="F138" s="97">
        <v>0.21</v>
      </c>
      <c r="G138" s="38" t="str">
        <f>IFERROR(VLOOKUP("BOOMPOLEMINI",STOCK!$B$1:$Q$5608,3,FALSE),"SIN STOCK")</f>
        <v>SIN STOCK</v>
      </c>
    </row>
    <row r="139" ht="15.75" customHeight="1">
      <c r="A139" s="161" t="s">
        <v>6044</v>
      </c>
      <c r="B139" s="162" t="s">
        <v>6447</v>
      </c>
      <c r="C139" s="163" t="s">
        <v>6448</v>
      </c>
      <c r="D139" s="101" t="s">
        <v>6449</v>
      </c>
      <c r="E139" s="101" t="s">
        <v>6450</v>
      </c>
      <c r="F139" s="102">
        <v>0.21</v>
      </c>
      <c r="G139" s="38" t="str">
        <f>IFERROR(VLOOKUP("BOOMPOLEPRO",STOCK!$B$1:$Q$5608,3,FALSE),"SIN STOCK")</f>
        <v>Mayor a 5</v>
      </c>
    </row>
    <row r="140" ht="15.75" customHeight="1">
      <c r="A140" s="28" t="s">
        <v>6451</v>
      </c>
      <c r="C140" s="167"/>
      <c r="D140" s="51"/>
      <c r="E140" s="51"/>
      <c r="F140" s="106"/>
      <c r="G140" s="92"/>
    </row>
    <row r="141" ht="15.75" customHeight="1">
      <c r="A141" s="158" t="s">
        <v>6044</v>
      </c>
      <c r="B141" s="166" t="s">
        <v>6452</v>
      </c>
      <c r="C141" s="159" t="s">
        <v>6453</v>
      </c>
      <c r="D141" s="96" t="s">
        <v>3244</v>
      </c>
      <c r="E141" s="96" t="s">
        <v>3245</v>
      </c>
      <c r="F141" s="97">
        <v>0.21</v>
      </c>
      <c r="G141" s="46" t="str">
        <f>IFERROR(VLOOKUP("XLR3M",STOCK!$B$1:$Q$5608,3,FALSE),"SIN STOCK")</f>
        <v>SIN STOCK</v>
      </c>
    </row>
    <row r="142" ht="15.75" customHeight="1">
      <c r="A142" s="161" t="s">
        <v>6044</v>
      </c>
      <c r="B142" s="162" t="s">
        <v>6454</v>
      </c>
      <c r="C142" s="163" t="s">
        <v>6455</v>
      </c>
      <c r="D142" s="101" t="s">
        <v>3244</v>
      </c>
      <c r="E142" s="101" t="s">
        <v>3245</v>
      </c>
      <c r="F142" s="102">
        <v>0.21</v>
      </c>
      <c r="G142" s="46" t="str">
        <f>IFERROR(VLOOKUP("XLR3M-B",STOCK!$B$1:$Q$5608,3,FALSE),"SIN STOCK")</f>
        <v>SIN STOCK</v>
      </c>
    </row>
    <row r="143" ht="15.75" customHeight="1">
      <c r="A143" s="158" t="s">
        <v>6044</v>
      </c>
      <c r="B143" s="166" t="s">
        <v>6456</v>
      </c>
      <c r="C143" s="159" t="s">
        <v>6457</v>
      </c>
      <c r="D143" s="96" t="s">
        <v>3244</v>
      </c>
      <c r="E143" s="96" t="s">
        <v>3245</v>
      </c>
      <c r="F143" s="97">
        <v>0.21</v>
      </c>
      <c r="G143" s="46" t="str">
        <f>IFERROR(VLOOKUP("XLR3M-G",STOCK!$B$1:$Q$5608,3,FALSE),"SIN STOCK")</f>
        <v>SIN STOCK</v>
      </c>
    </row>
    <row r="144" ht="15.75" customHeight="1">
      <c r="A144" s="161" t="s">
        <v>6044</v>
      </c>
      <c r="B144" s="162" t="s">
        <v>6458</v>
      </c>
      <c r="C144" s="163" t="s">
        <v>6459</v>
      </c>
      <c r="D144" s="101" t="s">
        <v>3244</v>
      </c>
      <c r="E144" s="101" t="s">
        <v>3245</v>
      </c>
      <c r="F144" s="102">
        <v>0.21</v>
      </c>
      <c r="G144" s="46" t="str">
        <f>IFERROR(VLOOKUP("XLR3M-O",STOCK!$B$1:$Q$5608,3,FALSE),"SIN STOCK")</f>
        <v>SIN STOCK</v>
      </c>
    </row>
    <row r="145" ht="15.75" customHeight="1">
      <c r="A145" s="158" t="s">
        <v>6044</v>
      </c>
      <c r="B145" s="166" t="s">
        <v>6460</v>
      </c>
      <c r="C145" s="159" t="s">
        <v>6461</v>
      </c>
      <c r="D145" s="96" t="s">
        <v>3244</v>
      </c>
      <c r="E145" s="96" t="s">
        <v>3245</v>
      </c>
      <c r="F145" s="97">
        <v>0.21</v>
      </c>
      <c r="G145" s="46" t="str">
        <f>IFERROR(VLOOKUP("XLR3M-P",STOCK!$B$1:$Q$5608,3,FALSE),"SIN STOCK")</f>
        <v>SIN STOCK</v>
      </c>
    </row>
    <row r="146" ht="15.75" customHeight="1">
      <c r="A146" s="161" t="s">
        <v>6044</v>
      </c>
      <c r="B146" s="162" t="s">
        <v>6462</v>
      </c>
      <c r="C146" s="163" t="s">
        <v>6463</v>
      </c>
      <c r="D146" s="101" t="s">
        <v>3244</v>
      </c>
      <c r="E146" s="101" t="s">
        <v>3245</v>
      </c>
      <c r="F146" s="102">
        <v>0.21</v>
      </c>
      <c r="G146" s="46" t="str">
        <f>IFERROR(VLOOKUP("XLR3M-PU",STOCK!$B$1:$Q$5608,3,FALSE),"SIN STOCK")</f>
        <v>SIN STOCK</v>
      </c>
    </row>
    <row r="147" ht="15.75" customHeight="1">
      <c r="A147" s="158" t="s">
        <v>6044</v>
      </c>
      <c r="B147" s="166" t="s">
        <v>6464</v>
      </c>
      <c r="C147" s="159" t="s">
        <v>6465</v>
      </c>
      <c r="D147" s="96" t="s">
        <v>3244</v>
      </c>
      <c r="E147" s="96" t="s">
        <v>3245</v>
      </c>
      <c r="F147" s="97">
        <v>0.21</v>
      </c>
      <c r="G147" s="46" t="str">
        <f>IFERROR(VLOOKUP("XLR3M-R",STOCK!$B$1:$Q$5608,3,FALSE),"SIN STOCK")</f>
        <v>SIN STOCK</v>
      </c>
    </row>
    <row r="148" ht="15.75" customHeight="1">
      <c r="A148" s="161" t="s">
        <v>6044</v>
      </c>
      <c r="B148" s="162" t="s">
        <v>6466</v>
      </c>
      <c r="C148" s="163" t="s">
        <v>6467</v>
      </c>
      <c r="D148" s="101" t="s">
        <v>6468</v>
      </c>
      <c r="E148" s="101" t="s">
        <v>5907</v>
      </c>
      <c r="F148" s="102">
        <v>0.21</v>
      </c>
      <c r="G148" s="46" t="str">
        <f>IFERROR(VLOOKUP("XLR6M",STOCK!$B$1:$Q$5608,3,FALSE),"SIN STOCK")</f>
        <v>SIN STOCK</v>
      </c>
    </row>
    <row r="149" ht="15.75" customHeight="1">
      <c r="A149" s="158" t="s">
        <v>6044</v>
      </c>
      <c r="B149" s="166" t="s">
        <v>6469</v>
      </c>
      <c r="C149" s="159" t="s">
        <v>6470</v>
      </c>
      <c r="D149" s="96" t="s">
        <v>6468</v>
      </c>
      <c r="E149" s="96" t="s">
        <v>5907</v>
      </c>
      <c r="F149" s="97">
        <v>0.21</v>
      </c>
      <c r="G149" s="46" t="str">
        <f>IFERROR(VLOOKUP("XLR6M-B",STOCK!$B$1:$Q$5608,3,FALSE),"SIN STOCK")</f>
        <v>SIN STOCK</v>
      </c>
    </row>
    <row r="150" ht="15.75" customHeight="1">
      <c r="A150" s="161" t="s">
        <v>6044</v>
      </c>
      <c r="B150" s="162" t="s">
        <v>6471</v>
      </c>
      <c r="C150" s="163" t="s">
        <v>6472</v>
      </c>
      <c r="D150" s="101" t="s">
        <v>6468</v>
      </c>
      <c r="E150" s="101" t="s">
        <v>5907</v>
      </c>
      <c r="F150" s="102">
        <v>0.21</v>
      </c>
      <c r="G150" s="46" t="str">
        <f>IFERROR(VLOOKUP("XLR6M-G",STOCK!$B$1:$Q$5608,3,FALSE),"SIN STOCK")</f>
        <v>SIN STOCK</v>
      </c>
    </row>
    <row r="151" ht="15.75" customHeight="1">
      <c r="A151" s="158" t="s">
        <v>6044</v>
      </c>
      <c r="B151" s="166" t="s">
        <v>6473</v>
      </c>
      <c r="C151" s="159" t="s">
        <v>6474</v>
      </c>
      <c r="D151" s="96" t="s">
        <v>6468</v>
      </c>
      <c r="E151" s="96" t="s">
        <v>5907</v>
      </c>
      <c r="F151" s="97">
        <v>0.21</v>
      </c>
      <c r="G151" s="46" t="str">
        <f>IFERROR(VLOOKUP("XLR6M-O",STOCK!$B$1:$Q$5608,3,FALSE),"SIN STOCK")</f>
        <v>SIN STOCK</v>
      </c>
    </row>
    <row r="152" ht="15.75" customHeight="1">
      <c r="A152" s="161" t="s">
        <v>6044</v>
      </c>
      <c r="B152" s="162" t="s">
        <v>6475</v>
      </c>
      <c r="C152" s="163" t="s">
        <v>6476</v>
      </c>
      <c r="D152" s="101" t="s">
        <v>6468</v>
      </c>
      <c r="E152" s="101" t="s">
        <v>5907</v>
      </c>
      <c r="F152" s="102">
        <v>0.21</v>
      </c>
      <c r="G152" s="46" t="str">
        <f>IFERROR(VLOOKUP("XLR6M-P",STOCK!$B$1:$Q$5608,3,FALSE),"SIN STOCK")</f>
        <v>SIN STOCK</v>
      </c>
    </row>
    <row r="153" ht="15.75" customHeight="1">
      <c r="A153" s="158" t="s">
        <v>6044</v>
      </c>
      <c r="B153" s="166" t="s">
        <v>6477</v>
      </c>
      <c r="C153" s="159" t="s">
        <v>6478</v>
      </c>
      <c r="D153" s="96" t="s">
        <v>6468</v>
      </c>
      <c r="E153" s="96" t="s">
        <v>5907</v>
      </c>
      <c r="F153" s="97">
        <v>0.21</v>
      </c>
      <c r="G153" s="46" t="str">
        <f>IFERROR(VLOOKUP("XLR6M-PU",STOCK!$B$1:$Q$5608,3,FALSE),"SIN STOCK")</f>
        <v>SIN STOCK</v>
      </c>
    </row>
    <row r="154" ht="15.75" customHeight="1">
      <c r="A154" s="161" t="s">
        <v>6044</v>
      </c>
      <c r="B154" s="162" t="s">
        <v>6479</v>
      </c>
      <c r="C154" s="163" t="s">
        <v>6480</v>
      </c>
      <c r="D154" s="101" t="s">
        <v>6468</v>
      </c>
      <c r="E154" s="101" t="s">
        <v>5907</v>
      </c>
      <c r="F154" s="102">
        <v>0.21</v>
      </c>
      <c r="G154" s="46" t="str">
        <f>IFERROR(VLOOKUP("XLR6M-R",STOCK!$B$1:$Q$5608,3,FALSE),"SIN STOCK")</f>
        <v>SIN STOCK</v>
      </c>
    </row>
    <row r="155" ht="15.75" customHeight="1">
      <c r="A155" s="28" t="s">
        <v>6481</v>
      </c>
      <c r="C155" s="167"/>
      <c r="D155" s="51"/>
      <c r="E155" s="51"/>
      <c r="F155" s="106"/>
      <c r="G155" s="92"/>
    </row>
    <row r="156" ht="15.75" customHeight="1">
      <c r="A156" s="158" t="s">
        <v>6044</v>
      </c>
      <c r="B156" s="166" t="s">
        <v>6482</v>
      </c>
      <c r="C156" s="159" t="s">
        <v>6483</v>
      </c>
      <c r="D156" s="96" t="s">
        <v>6383</v>
      </c>
      <c r="E156" s="96" t="s">
        <v>6384</v>
      </c>
      <c r="F156" s="97">
        <v>0.21</v>
      </c>
      <c r="G156" s="38" t="str">
        <f>IFERROR(VLOOKUP("COLORS1",STOCK!$B$1:$Q$5608,3,FALSE),"SIN STOCK")</f>
        <v>Mayor a 5</v>
      </c>
    </row>
    <row r="157" ht="15.75" customHeight="1">
      <c r="A157" s="161" t="s">
        <v>6044</v>
      </c>
      <c r="B157" s="162" t="s">
        <v>6484</v>
      </c>
      <c r="C157" s="163" t="s">
        <v>6485</v>
      </c>
      <c r="D157" s="101" t="s">
        <v>6486</v>
      </c>
      <c r="E157" s="101" t="s">
        <v>6487</v>
      </c>
      <c r="F157" s="102">
        <v>0.21</v>
      </c>
      <c r="G157" s="46" t="str">
        <f>IFERROR(VLOOKUP("COLORS2",STOCK!$B$1:$Q$5608,3,FALSE),"SIN STOCK")</f>
        <v>SIN STOCK</v>
      </c>
    </row>
    <row r="158" ht="15.75" customHeight="1">
      <c r="A158" s="158" t="s">
        <v>6044</v>
      </c>
      <c r="B158" s="166" t="s">
        <v>6488</v>
      </c>
      <c r="C158" s="159" t="s">
        <v>6489</v>
      </c>
      <c r="D158" s="96" t="s">
        <v>6490</v>
      </c>
      <c r="E158" s="96" t="s">
        <v>6491</v>
      </c>
      <c r="F158" s="97">
        <v>0.21</v>
      </c>
      <c r="G158" s="46" t="str">
        <f>IFERROR(VLOOKUP("COLORS3",STOCK!$B$1:$Q$5608,3,FALSE),"SIN STOCK")</f>
        <v>SIN STOCK</v>
      </c>
    </row>
    <row r="159" ht="15.75" customHeight="1">
      <c r="A159" s="161" t="s">
        <v>6044</v>
      </c>
      <c r="B159" s="162" t="s">
        <v>6492</v>
      </c>
      <c r="C159" s="163" t="s">
        <v>6493</v>
      </c>
      <c r="D159" s="101" t="s">
        <v>6494</v>
      </c>
      <c r="E159" s="101" t="s">
        <v>6495</v>
      </c>
      <c r="F159" s="102">
        <v>0.21</v>
      </c>
      <c r="G159" s="38" t="str">
        <f>IFERROR(VLOOKUP("DC-USB1",STOCK!$B$1:$Q$5608,3,FALSE),"SIN STOCK")</f>
        <v>Mayor a 5</v>
      </c>
    </row>
    <row r="160" ht="15.75" customHeight="1">
      <c r="A160" s="158" t="s">
        <v>6044</v>
      </c>
      <c r="B160" s="166" t="s">
        <v>6496</v>
      </c>
      <c r="C160" s="159" t="s">
        <v>6497</v>
      </c>
      <c r="D160" s="96" t="s">
        <v>6498</v>
      </c>
      <c r="E160" s="96" t="s">
        <v>6499</v>
      </c>
      <c r="F160" s="97">
        <v>0.21</v>
      </c>
      <c r="G160" s="46" t="str">
        <f>IFERROR(VLOOKUP("PG2RCABLE",STOCK!$B$1:$Q$5608,3,FALSE),"SIN STOCK")</f>
        <v>SIN STOCK</v>
      </c>
    </row>
    <row r="161" ht="15.75" customHeight="1">
      <c r="A161" s="161" t="s">
        <v>6044</v>
      </c>
      <c r="B161" s="162" t="s">
        <v>6500</v>
      </c>
      <c r="C161" s="163" t="s">
        <v>6501</v>
      </c>
      <c r="D161" s="101" t="s">
        <v>6502</v>
      </c>
      <c r="E161" s="101" t="s">
        <v>6503</v>
      </c>
      <c r="F161" s="102">
        <v>0.21</v>
      </c>
      <c r="G161" s="46" t="str">
        <f>IFERROR(VLOOKUP("VC1",STOCK!$B$1:$Q$5608,3,FALSE),"SIN STOCK")</f>
        <v>Mayor a 5</v>
      </c>
    </row>
    <row r="162" ht="15.75" customHeight="1">
      <c r="A162" s="158" t="s">
        <v>6044</v>
      </c>
      <c r="B162" s="166" t="s">
        <v>6504</v>
      </c>
      <c r="C162" s="159" t="s">
        <v>6505</v>
      </c>
      <c r="D162" s="96" t="s">
        <v>6506</v>
      </c>
      <c r="E162" s="96" t="s">
        <v>6507</v>
      </c>
      <c r="F162" s="97">
        <v>0.21</v>
      </c>
      <c r="G162" s="46" t="str">
        <f>IFERROR(VLOOKUP("XLR-ID",STOCK!$B$1:$Q$5608,3,FALSE),"SIN STOCK")</f>
        <v>Mayor a 5</v>
      </c>
    </row>
    <row r="163" ht="15.75" customHeight="1">
      <c r="A163" s="28" t="s">
        <v>6508</v>
      </c>
      <c r="C163" s="167"/>
      <c r="D163" s="51"/>
      <c r="E163" s="51"/>
      <c r="F163" s="106"/>
      <c r="G163" s="92"/>
    </row>
    <row r="164" ht="15.75" customHeight="1">
      <c r="A164" s="158" t="s">
        <v>6044</v>
      </c>
      <c r="B164" s="166" t="s">
        <v>6509</v>
      </c>
      <c r="C164" s="159" t="s">
        <v>6510</v>
      </c>
      <c r="D164" s="96" t="s">
        <v>6412</v>
      </c>
      <c r="E164" s="96" t="s">
        <v>6413</v>
      </c>
      <c r="F164" s="97">
        <v>0.21</v>
      </c>
      <c r="G164" s="46" t="str">
        <f>IFERROR(VLOOKUP("SC15",STOCK!$B$1:$Q$5608,3,FALSE),"SIN STOCK")</f>
        <v>Menor a 5</v>
      </c>
    </row>
    <row r="165" ht="15.75" customHeight="1">
      <c r="A165" s="161" t="s">
        <v>6044</v>
      </c>
      <c r="B165" s="162" t="s">
        <v>6511</v>
      </c>
      <c r="C165" s="163" t="s">
        <v>6512</v>
      </c>
      <c r="D165" s="101" t="s">
        <v>6395</v>
      </c>
      <c r="E165" s="101" t="s">
        <v>6396</v>
      </c>
      <c r="F165" s="102">
        <v>0.21</v>
      </c>
      <c r="G165" s="46" t="str">
        <f>IFERROR(VLOOKUP("SC16",STOCK!$B$1:$Q$5608,3,FALSE),"SIN STOCK")</f>
        <v>Menor a 5</v>
      </c>
    </row>
    <row r="166" ht="15.75" customHeight="1">
      <c r="A166" s="158" t="s">
        <v>6044</v>
      </c>
      <c r="B166" s="166" t="s">
        <v>6513</v>
      </c>
      <c r="C166" s="159" t="s">
        <v>6514</v>
      </c>
      <c r="D166" s="96" t="s">
        <v>6383</v>
      </c>
      <c r="E166" s="96" t="s">
        <v>6384</v>
      </c>
      <c r="F166" s="97">
        <v>0.21</v>
      </c>
      <c r="G166" s="46" t="str">
        <f>IFERROR(VLOOKUP("SC17",STOCK!$B$1:$Q$5608,3,FALSE),"SIN STOCK")</f>
        <v>SIN STOCK</v>
      </c>
    </row>
    <row r="167" ht="15.75" customHeight="1">
      <c r="A167" s="161" t="s">
        <v>6044</v>
      </c>
      <c r="B167" s="162" t="s">
        <v>6515</v>
      </c>
      <c r="C167" s="163" t="s">
        <v>6516</v>
      </c>
      <c r="D167" s="101" t="s">
        <v>6395</v>
      </c>
      <c r="E167" s="101" t="s">
        <v>6396</v>
      </c>
      <c r="F167" s="102">
        <v>0.21</v>
      </c>
      <c r="G167" s="46" t="str">
        <f>IFERROR(VLOOKUP("SC18",STOCK!$B$1:$Q$5608,3,FALSE),"SIN STOCK")</f>
        <v>Mayor a 5</v>
      </c>
    </row>
    <row r="168" ht="15.75" customHeight="1">
      <c r="A168" s="158" t="s">
        <v>6044</v>
      </c>
      <c r="B168" s="166" t="s">
        <v>6517</v>
      </c>
      <c r="C168" s="159" t="s">
        <v>6518</v>
      </c>
      <c r="D168" s="96" t="s">
        <v>6424</v>
      </c>
      <c r="E168" s="96" t="s">
        <v>6425</v>
      </c>
      <c r="F168" s="97">
        <v>0.21</v>
      </c>
      <c r="G168" s="46" t="str">
        <f>IFERROR(VLOOKUP("SC21",STOCK!$B$1:$Q$5608,3,FALSE),"SIN STOCK")</f>
        <v>SIN STOCK</v>
      </c>
    </row>
    <row r="169" ht="15.75" customHeight="1">
      <c r="A169" s="161" t="s">
        <v>6044</v>
      </c>
      <c r="B169" s="162" t="s">
        <v>6519</v>
      </c>
      <c r="C169" s="163" t="s">
        <v>6520</v>
      </c>
      <c r="D169" s="101" t="s">
        <v>6395</v>
      </c>
      <c r="E169" s="101" t="s">
        <v>6396</v>
      </c>
      <c r="F169" s="102">
        <v>0.21</v>
      </c>
      <c r="G169" s="46" t="str">
        <f>IFERROR(VLOOKUP("SC22",STOCK!$B$1:$Q$5608,3,FALSE),"SIN STOCK")</f>
        <v>SIN STOCK</v>
      </c>
    </row>
    <row r="170" ht="15.75" customHeight="1">
      <c r="A170" s="158" t="s">
        <v>6044</v>
      </c>
      <c r="B170" s="166" t="s">
        <v>6521</v>
      </c>
      <c r="C170" s="159" t="s">
        <v>6522</v>
      </c>
      <c r="D170" s="96" t="s">
        <v>6523</v>
      </c>
      <c r="E170" s="96" t="s">
        <v>6524</v>
      </c>
      <c r="F170" s="97">
        <v>0.21</v>
      </c>
      <c r="G170" s="46" t="str">
        <f>IFERROR(VLOOKUP("SC19",STOCK!$B$1:$Q$5608,3,FALSE),"SIN STOCK")</f>
        <v>Menor a 5</v>
      </c>
    </row>
    <row r="171" ht="15.75" customHeight="1">
      <c r="A171" s="28" t="s">
        <v>6525</v>
      </c>
      <c r="C171" s="167"/>
      <c r="D171" s="51"/>
      <c r="E171" s="51"/>
      <c r="F171" s="106"/>
      <c r="G171" s="92"/>
    </row>
    <row r="172" ht="15.75" customHeight="1">
      <c r="A172" s="158" t="s">
        <v>6044</v>
      </c>
      <c r="B172" s="166" t="s">
        <v>6526</v>
      </c>
      <c r="C172" s="159" t="s">
        <v>6527</v>
      </c>
      <c r="D172" s="96" t="s">
        <v>6528</v>
      </c>
      <c r="E172" s="96" t="s">
        <v>6529</v>
      </c>
      <c r="F172" s="97">
        <v>0.21</v>
      </c>
      <c r="G172" s="46" t="str">
        <f>IFERROR(VLOOKUP("CLIP1",STOCK!$B$1:$Q$5608,3,FALSE),"SIN STOCK")</f>
        <v>SIN STOCK</v>
      </c>
    </row>
    <row r="173" ht="15.75" customHeight="1">
      <c r="A173" s="161" t="s">
        <v>6044</v>
      </c>
      <c r="B173" s="162" t="s">
        <v>6530</v>
      </c>
      <c r="C173" s="163" t="s">
        <v>6531</v>
      </c>
      <c r="D173" s="101" t="s">
        <v>6523</v>
      </c>
      <c r="E173" s="101" t="s">
        <v>6524</v>
      </c>
      <c r="F173" s="102">
        <v>0.21</v>
      </c>
      <c r="G173" s="46" t="str">
        <f>IFERROR(VLOOKUP("LAVCLIP",STOCK!$B$1:$Q$5608,3,FALSE),"SIN STOCK")</f>
        <v>Menor a 5</v>
      </c>
    </row>
    <row r="174" ht="15.75" customHeight="1">
      <c r="A174" s="158" t="s">
        <v>6044</v>
      </c>
      <c r="B174" s="166" t="s">
        <v>6532</v>
      </c>
      <c r="C174" s="159" t="s">
        <v>6533</v>
      </c>
      <c r="D174" s="96" t="s">
        <v>6387</v>
      </c>
      <c r="E174" s="96" t="s">
        <v>6388</v>
      </c>
      <c r="F174" s="97">
        <v>0.21</v>
      </c>
      <c r="G174" s="46" t="str">
        <f>IFERROR(VLOOKUP("VAMPIRECLIP",STOCK!$B$1:$Q$5608,3,FALSE),"SIN STOCK")</f>
        <v>SIN STOCK</v>
      </c>
    </row>
    <row r="175" ht="15.75" customHeight="1">
      <c r="A175" s="28" t="s">
        <v>6534</v>
      </c>
      <c r="C175" s="167"/>
      <c r="D175" s="51"/>
      <c r="E175" s="51"/>
      <c r="F175" s="106"/>
      <c r="G175" s="92"/>
    </row>
    <row r="176" ht="15.75" customHeight="1">
      <c r="A176" s="158" t="s">
        <v>6044</v>
      </c>
      <c r="B176" s="166" t="s">
        <v>6535</v>
      </c>
      <c r="C176" s="159" t="s">
        <v>6536</v>
      </c>
      <c r="D176" s="96" t="s">
        <v>6537</v>
      </c>
      <c r="E176" s="96" t="s">
        <v>6538</v>
      </c>
      <c r="F176" s="97">
        <v>0.21</v>
      </c>
      <c r="G176" s="38" t="str">
        <f>IFERROR(VLOOKUP("MICON1",STOCK!$B$1:$Q$5608,3,FALSE),"SIN STOCK")</f>
        <v>Mayor a 5</v>
      </c>
    </row>
    <row r="177" ht="15.75" customHeight="1">
      <c r="A177" s="161" t="s">
        <v>6044</v>
      </c>
      <c r="B177" s="162" t="s">
        <v>6539</v>
      </c>
      <c r="C177" s="163" t="s">
        <v>6540</v>
      </c>
      <c r="D177" s="101" t="s">
        <v>6541</v>
      </c>
      <c r="E177" s="101" t="s">
        <v>6542</v>
      </c>
      <c r="F177" s="102">
        <v>0.21</v>
      </c>
      <c r="G177" s="46" t="str">
        <f>IFERROR(VLOOKUP("MICON10",STOCK!$B$1:$Q$5608,3,FALSE),"SIN STOCK")</f>
        <v>SIN STOCK</v>
      </c>
    </row>
    <row r="178" ht="15.75" customHeight="1">
      <c r="A178" s="158" t="s">
        <v>6044</v>
      </c>
      <c r="B178" s="166" t="s">
        <v>6543</v>
      </c>
      <c r="C178" s="159" t="s">
        <v>6544</v>
      </c>
      <c r="D178" s="96" t="s">
        <v>6541</v>
      </c>
      <c r="E178" s="96" t="s">
        <v>6542</v>
      </c>
      <c r="F178" s="97">
        <v>0.21</v>
      </c>
      <c r="G178" s="46" t="str">
        <f>IFERROR(VLOOKUP("MICON11",STOCK!$B$1:$Q$5608,3,FALSE),"SIN STOCK")</f>
        <v>Mayor a 5</v>
      </c>
    </row>
    <row r="179" ht="15.75" customHeight="1">
      <c r="A179" s="161" t="s">
        <v>6044</v>
      </c>
      <c r="B179" s="162" t="s">
        <v>6545</v>
      </c>
      <c r="C179" s="163" t="s">
        <v>6546</v>
      </c>
      <c r="D179" s="101" t="s">
        <v>6537</v>
      </c>
      <c r="E179" s="101" t="s">
        <v>6538</v>
      </c>
      <c r="F179" s="102">
        <v>0.21</v>
      </c>
      <c r="G179" s="38" t="str">
        <f>IFERROR(VLOOKUP("MICON2",STOCK!$B$1:$Q$5608,3,FALSE),"SIN STOCK")</f>
        <v>Mayor a 5</v>
      </c>
    </row>
    <row r="180" ht="15.75" customHeight="1">
      <c r="A180" s="158" t="s">
        <v>6044</v>
      </c>
      <c r="B180" s="166" t="s">
        <v>6547</v>
      </c>
      <c r="C180" s="159" t="s">
        <v>6548</v>
      </c>
      <c r="D180" s="96" t="s">
        <v>6541</v>
      </c>
      <c r="E180" s="96" t="s">
        <v>6542</v>
      </c>
      <c r="F180" s="97">
        <v>0.21</v>
      </c>
      <c r="G180" s="38" t="str">
        <f>IFERROR(VLOOKUP("MICON3",STOCK!$B$1:$Q$5608,3,FALSE),"SIN STOCK")</f>
        <v>Mayor a 5</v>
      </c>
    </row>
    <row r="181" ht="15.75" customHeight="1">
      <c r="A181" s="161" t="s">
        <v>6044</v>
      </c>
      <c r="B181" s="162" t="s">
        <v>6549</v>
      </c>
      <c r="C181" s="163" t="s">
        <v>6550</v>
      </c>
      <c r="D181" s="101" t="s">
        <v>6551</v>
      </c>
      <c r="E181" s="101" t="s">
        <v>6552</v>
      </c>
      <c r="F181" s="102">
        <v>0.21</v>
      </c>
      <c r="G181" s="46" t="str">
        <f>IFERROR(VLOOKUP("MICON4",STOCK!$B$1:$Q$5608,3,FALSE),"SIN STOCK")</f>
        <v>SIN STOCK</v>
      </c>
    </row>
    <row r="182" ht="15.75" customHeight="1">
      <c r="A182" s="158" t="s">
        <v>6044</v>
      </c>
      <c r="B182" s="166" t="s">
        <v>6553</v>
      </c>
      <c r="C182" s="159" t="s">
        <v>6554</v>
      </c>
      <c r="D182" s="96" t="s">
        <v>6551</v>
      </c>
      <c r="E182" s="96" t="s">
        <v>6552</v>
      </c>
      <c r="F182" s="97">
        <v>0.21</v>
      </c>
      <c r="G182" s="46" t="str">
        <f>IFERROR(VLOOKUP("MICON5",STOCK!$B$1:$Q$5608,3,FALSE),"SIN STOCK")</f>
        <v>SIN STOCK</v>
      </c>
    </row>
    <row r="183" ht="15.75" customHeight="1">
      <c r="A183" s="161" t="s">
        <v>6044</v>
      </c>
      <c r="B183" s="162" t="s">
        <v>6555</v>
      </c>
      <c r="C183" s="163" t="s">
        <v>6556</v>
      </c>
      <c r="D183" s="101" t="s">
        <v>6541</v>
      </c>
      <c r="E183" s="101" t="s">
        <v>6542</v>
      </c>
      <c r="F183" s="102">
        <v>0.21</v>
      </c>
      <c r="G183" s="46" t="str">
        <f>IFERROR(VLOOKUP("MICON6",STOCK!$B$1:$Q$5608,3,FALSE),"SIN STOCK")</f>
        <v>SIN STOCK</v>
      </c>
    </row>
    <row r="184" ht="15.75" customHeight="1">
      <c r="A184" s="158" t="s">
        <v>6044</v>
      </c>
      <c r="B184" s="166" t="s">
        <v>6557</v>
      </c>
      <c r="C184" s="159" t="s">
        <v>6558</v>
      </c>
      <c r="D184" s="96" t="s">
        <v>6541</v>
      </c>
      <c r="E184" s="96" t="s">
        <v>6542</v>
      </c>
      <c r="F184" s="97">
        <v>0.21</v>
      </c>
      <c r="G184" s="46" t="str">
        <f>IFERROR(VLOOKUP("MICON7",STOCK!$B$1:$Q$5608,3,FALSE),"SIN STOCK")</f>
        <v>SIN STOCK</v>
      </c>
    </row>
    <row r="185" ht="15.75" customHeight="1">
      <c r="A185" s="161" t="s">
        <v>6044</v>
      </c>
      <c r="B185" s="162" t="s">
        <v>6559</v>
      </c>
      <c r="C185" s="163" t="s">
        <v>6560</v>
      </c>
      <c r="D185" s="101" t="s">
        <v>6537</v>
      </c>
      <c r="E185" s="101" t="s">
        <v>6538</v>
      </c>
      <c r="F185" s="102">
        <v>0.21</v>
      </c>
      <c r="G185" s="46" t="str">
        <f>IFERROR(VLOOKUP("MICON8",STOCK!$B$1:$Q$5608,3,FALSE),"SIN STOCK")</f>
        <v>SIN STOCK</v>
      </c>
    </row>
    <row r="186" ht="15.75" customHeight="1">
      <c r="A186" s="158" t="s">
        <v>6044</v>
      </c>
      <c r="B186" s="166" t="s">
        <v>6561</v>
      </c>
      <c r="C186" s="159" t="s">
        <v>6562</v>
      </c>
      <c r="D186" s="96" t="s">
        <v>6563</v>
      </c>
      <c r="E186" s="96" t="s">
        <v>6564</v>
      </c>
      <c r="F186" s="97">
        <v>0.21</v>
      </c>
      <c r="G186" s="46" t="str">
        <f>IFERROR(VLOOKUP("MICON9",STOCK!$B$1:$Q$5608,3,FALSE),"SIN STOCK")</f>
        <v>SIN STOCK</v>
      </c>
    </row>
    <row r="187" ht="15.75" customHeight="1">
      <c r="A187" s="161" t="s">
        <v>6044</v>
      </c>
      <c r="B187" s="162" t="s">
        <v>6565</v>
      </c>
      <c r="C187" s="163" t="s">
        <v>6566</v>
      </c>
      <c r="D187" s="101" t="s">
        <v>6567</v>
      </c>
      <c r="E187" s="101" t="s">
        <v>6568</v>
      </c>
      <c r="F187" s="102">
        <v>0.21</v>
      </c>
      <c r="G187" s="46" t="str">
        <f>IFERROR(VLOOKUP("MICONCABLE3M",STOCK!$B$1:$Q$5608,3,FALSE),"SIN STOCK")</f>
        <v>SIN STOCK</v>
      </c>
    </row>
    <row r="188" ht="15.75" customHeight="1">
      <c r="A188" s="158" t="s">
        <v>6044</v>
      </c>
      <c r="B188" s="166" t="s">
        <v>6569</v>
      </c>
      <c r="C188" s="159" t="s">
        <v>6570</v>
      </c>
      <c r="D188" s="96" t="s">
        <v>6571</v>
      </c>
      <c r="E188" s="96" t="s">
        <v>6572</v>
      </c>
      <c r="F188" s="97">
        <v>0.21</v>
      </c>
      <c r="G188" s="38" t="str">
        <f>IFERROR(VLOOKUP("MICONCABLEB",STOCK!$B$1:$Q$5608,3,FALSE),"SIN STOCK")</f>
        <v>Mayor a 5</v>
      </c>
    </row>
    <row r="189" ht="15.75" customHeight="1">
      <c r="A189" s="161" t="s">
        <v>6044</v>
      </c>
      <c r="B189" s="162" t="s">
        <v>6573</v>
      </c>
      <c r="C189" s="163" t="s">
        <v>6574</v>
      </c>
      <c r="D189" s="101" t="s">
        <v>6571</v>
      </c>
      <c r="E189" s="101" t="s">
        <v>6572</v>
      </c>
      <c r="F189" s="102">
        <v>0.21</v>
      </c>
      <c r="G189" s="38" t="str">
        <f>IFERROR(VLOOKUP("MICONCABLEP",STOCK!$B$1:$Q$5608,3,FALSE),"SIN STOCK")</f>
        <v>Mayor a 5</v>
      </c>
    </row>
    <row r="190" ht="15.75" customHeight="1">
      <c r="A190" s="28" t="s">
        <v>6575</v>
      </c>
      <c r="C190" s="167"/>
      <c r="D190" s="51"/>
      <c r="E190" s="51"/>
      <c r="F190" s="106"/>
      <c r="G190" s="92"/>
    </row>
    <row r="191" ht="15.75" customHeight="1">
      <c r="A191" s="158" t="s">
        <v>6044</v>
      </c>
      <c r="B191" s="166" t="s">
        <v>6576</v>
      </c>
      <c r="C191" s="159" t="s">
        <v>6577</v>
      </c>
      <c r="D191" s="96" t="s">
        <v>6502</v>
      </c>
      <c r="E191" s="96" t="s">
        <v>6503</v>
      </c>
      <c r="F191" s="97">
        <v>0.21</v>
      </c>
      <c r="G191" s="46" t="str">
        <f>IFERROR(VLOOKUP("RM1",STOCK!$B$1:$Q$5608,3,FALSE),"SIN STOCK")</f>
        <v>SIN STOCK</v>
      </c>
    </row>
    <row r="192" ht="15.75" customHeight="1">
      <c r="A192" s="161" t="s">
        <v>6044</v>
      </c>
      <c r="B192" s="162" t="s">
        <v>6578</v>
      </c>
      <c r="C192" s="163" t="s">
        <v>6579</v>
      </c>
      <c r="D192" s="101" t="s">
        <v>6502</v>
      </c>
      <c r="E192" s="101" t="s">
        <v>6503</v>
      </c>
      <c r="F192" s="102">
        <v>0.21</v>
      </c>
      <c r="G192" s="38" t="str">
        <f>IFERROR(VLOOKUP("RM2",STOCK!$B$1:$Q$5608,3,FALSE),"SIN STOCK")</f>
        <v>Mayor a 5</v>
      </c>
    </row>
    <row r="193" ht="15.75" customHeight="1">
      <c r="A193" s="158" t="s">
        <v>6044</v>
      </c>
      <c r="B193" s="166" t="s">
        <v>6580</v>
      </c>
      <c r="C193" s="159" t="s">
        <v>6581</v>
      </c>
      <c r="D193" s="96" t="s">
        <v>6502</v>
      </c>
      <c r="E193" s="96" t="s">
        <v>6503</v>
      </c>
      <c r="F193" s="97">
        <v>0.21</v>
      </c>
      <c r="G193" s="38" t="str">
        <f>IFERROR(VLOOKUP("RM3",STOCK!$B$1:$Q$5608,3,FALSE),"SIN STOCK")</f>
        <v>Mayor a 5</v>
      </c>
    </row>
    <row r="194" ht="15.75" customHeight="1">
      <c r="A194" s="161" t="s">
        <v>6044</v>
      </c>
      <c r="B194" s="162" t="s">
        <v>5751</v>
      </c>
      <c r="C194" s="163" t="s">
        <v>6582</v>
      </c>
      <c r="D194" s="101" t="s">
        <v>6502</v>
      </c>
      <c r="E194" s="101" t="s">
        <v>6503</v>
      </c>
      <c r="F194" s="102">
        <v>0.21</v>
      </c>
      <c r="G194" s="38" t="str">
        <f>IFERROR(VLOOKUP("RM5",STOCK!$B$1:$Q$5608,3,FALSE),"SIN STOCK")</f>
        <v>Menor a 5</v>
      </c>
    </row>
    <row r="195" ht="15.75" customHeight="1">
      <c r="A195" s="28" t="s">
        <v>6583</v>
      </c>
      <c r="C195" s="167"/>
      <c r="D195" s="51"/>
      <c r="E195" s="51"/>
      <c r="F195" s="106"/>
      <c r="G195" s="104"/>
    </row>
    <row r="196" ht="15.75" customHeight="1">
      <c r="A196" s="158" t="s">
        <v>6044</v>
      </c>
      <c r="B196" s="166" t="s">
        <v>6584</v>
      </c>
      <c r="C196" s="159" t="s">
        <v>6585</v>
      </c>
      <c r="D196" s="96" t="s">
        <v>6586</v>
      </c>
      <c r="E196" s="96" t="s">
        <v>6587</v>
      </c>
      <c r="F196" s="97">
        <v>0.21</v>
      </c>
      <c r="G196" s="237" t="str">
        <f>IFERROR(VLOOKUP("HD200PRO",STOCK!$B$1:$Q$5608,3,FALSE),"SIN STOCK")</f>
        <v>SIN STOCK</v>
      </c>
    </row>
    <row r="197" ht="15.75" customHeight="1">
      <c r="A197" s="161" t="s">
        <v>6044</v>
      </c>
      <c r="B197" s="162" t="s">
        <v>6588</v>
      </c>
      <c r="C197" s="163" t="s">
        <v>6589</v>
      </c>
      <c r="D197" s="101" t="s">
        <v>6387</v>
      </c>
      <c r="E197" s="101" t="s">
        <v>6388</v>
      </c>
      <c r="F197" s="102">
        <v>0.21</v>
      </c>
      <c r="G197" s="237" t="str">
        <f>IFERROR(VLOOKUP("HD200PRO",STOCK!$B$1:$Q$5608,3,FALSE),"SIN STOCK")</f>
        <v>SIN STOCK</v>
      </c>
    </row>
    <row r="198" ht="15.75" customHeight="1">
      <c r="A198" s="158" t="s">
        <v>6044</v>
      </c>
      <c r="B198" s="166" t="s">
        <v>6590</v>
      </c>
      <c r="C198" s="159" t="s">
        <v>6591</v>
      </c>
      <c r="D198" s="96" t="s">
        <v>6592</v>
      </c>
      <c r="E198" s="96" t="s">
        <v>6593</v>
      </c>
      <c r="F198" s="97">
        <v>0.21</v>
      </c>
      <c r="G198" s="237" t="str">
        <f>IFERROR(VLOOKUP("HD200PRO",STOCK!$B$1:$Q$5608,3,FALSE),"SIN STOCK")</f>
        <v>SIN STOCK</v>
      </c>
    </row>
    <row r="199" ht="15.75" customHeight="1">
      <c r="A199" s="161" t="s">
        <v>6044</v>
      </c>
      <c r="B199" s="162" t="s">
        <v>6594</v>
      </c>
      <c r="C199" s="163" t="s">
        <v>6595</v>
      </c>
      <c r="D199" s="101" t="s">
        <v>6528</v>
      </c>
      <c r="E199" s="101" t="s">
        <v>6529</v>
      </c>
      <c r="F199" s="102">
        <v>0.21</v>
      </c>
      <c r="G199" s="237" t="str">
        <f>IFERROR(VLOOKUP("HD200PRO",STOCK!$B$1:$Q$5608,3,FALSE),"SIN STOCK")</f>
        <v>SIN STOCK</v>
      </c>
    </row>
    <row r="200" ht="15.75" customHeight="1">
      <c r="A200" s="158" t="s">
        <v>6044</v>
      </c>
      <c r="B200" s="299" t="s">
        <v>6596</v>
      </c>
      <c r="C200" s="159" t="s">
        <v>6597</v>
      </c>
      <c r="D200" s="96" t="s">
        <v>6424</v>
      </c>
      <c r="E200" s="96" t="s">
        <v>6425</v>
      </c>
      <c r="F200" s="97">
        <v>0.21</v>
      </c>
      <c r="G200" s="237" t="str">
        <f>IFERROR(VLOOKUP("HD200PRO",STOCK!$B$1:$Q$5608,3,FALSE),"SIN STOCK")</f>
        <v>SIN STOCK</v>
      </c>
    </row>
    <row r="201" ht="15.75" customHeight="1">
      <c r="A201" s="161" t="s">
        <v>6044</v>
      </c>
      <c r="B201" s="162" t="s">
        <v>6598</v>
      </c>
      <c r="C201" s="163" t="s">
        <v>6599</v>
      </c>
      <c r="D201" s="101" t="s">
        <v>6439</v>
      </c>
      <c r="E201" s="101" t="s">
        <v>6440</v>
      </c>
      <c r="F201" s="102">
        <v>0.21</v>
      </c>
      <c r="G201" s="237" t="str">
        <f>IFERROR(VLOOKUP("HD200PRO",STOCK!$B$1:$Q$5608,3,FALSE),"SIN STOCK")</f>
        <v>SIN STOCK</v>
      </c>
    </row>
    <row r="202" ht="15.75" customHeight="1">
      <c r="A202" s="158" t="s">
        <v>6044</v>
      </c>
      <c r="B202" s="166" t="s">
        <v>6600</v>
      </c>
      <c r="C202" s="159" t="s">
        <v>6601</v>
      </c>
      <c r="D202" s="96" t="s">
        <v>6383</v>
      </c>
      <c r="E202" s="96" t="s">
        <v>6384</v>
      </c>
      <c r="F202" s="97">
        <v>0.21</v>
      </c>
      <c r="G202" s="237" t="str">
        <f>IFERROR(VLOOKUP("HD200PRO",STOCK!$B$1:$Q$5608,3,FALSE),"SIN STOCK")</f>
        <v>SIN STOCK</v>
      </c>
    </row>
    <row r="203" ht="15.75" customHeight="1">
      <c r="A203" s="161" t="s">
        <v>6044</v>
      </c>
      <c r="B203" s="162" t="s">
        <v>6602</v>
      </c>
      <c r="C203" s="163" t="s">
        <v>6603</v>
      </c>
      <c r="D203" s="101" t="s">
        <v>6424</v>
      </c>
      <c r="E203" s="101" t="s">
        <v>6425</v>
      </c>
      <c r="F203" s="102">
        <v>0.21</v>
      </c>
      <c r="G203" s="237" t="str">
        <f>IFERROR(VLOOKUP("HD200PRO",STOCK!$B$1:$Q$5608,3,FALSE),"SIN STOCK")</f>
        <v>SIN STOCK</v>
      </c>
    </row>
    <row r="204" ht="15.75" customHeight="1">
      <c r="A204" s="158" t="s">
        <v>6044</v>
      </c>
      <c r="B204" s="166" t="s">
        <v>6604</v>
      </c>
      <c r="C204" s="159" t="s">
        <v>6605</v>
      </c>
      <c r="D204" s="96" t="s">
        <v>6424</v>
      </c>
      <c r="E204" s="96" t="s">
        <v>6425</v>
      </c>
      <c r="F204" s="97">
        <v>0.21</v>
      </c>
      <c r="G204" s="237" t="str">
        <f>IFERROR(VLOOKUP("HD200PRO",STOCK!$B$1:$Q$5608,3,FALSE),"SIN STOCK")</f>
        <v>SIN STOCK</v>
      </c>
    </row>
    <row r="205" ht="15.75" customHeight="1">
      <c r="A205" s="161" t="s">
        <v>6044</v>
      </c>
      <c r="B205" s="162" t="s">
        <v>6606</v>
      </c>
      <c r="C205" s="163" t="s">
        <v>6607</v>
      </c>
      <c r="D205" s="101" t="s">
        <v>6424</v>
      </c>
      <c r="E205" s="101" t="s">
        <v>6425</v>
      </c>
      <c r="F205" s="102">
        <v>0.21</v>
      </c>
      <c r="G205" s="237" t="str">
        <f>IFERROR(VLOOKUP("HD200PRO",STOCK!$B$1:$Q$5608,3,FALSE),"SIN STOCK")</f>
        <v>SIN STOCK</v>
      </c>
    </row>
    <row r="206" ht="15.75" customHeight="1">
      <c r="A206" s="158" t="s">
        <v>6044</v>
      </c>
      <c r="B206" s="166" t="s">
        <v>6608</v>
      </c>
      <c r="C206" s="159" t="s">
        <v>6609</v>
      </c>
      <c r="D206" s="96" t="s">
        <v>6610</v>
      </c>
      <c r="E206" s="96" t="s">
        <v>6611</v>
      </c>
      <c r="F206" s="97">
        <v>0.21</v>
      </c>
      <c r="G206" s="237" t="str">
        <f>IFERROR(VLOOKUP("HD200PRO",STOCK!$B$1:$Q$5608,3,FALSE),"SIN STOCK")</f>
        <v>SIN STOCK</v>
      </c>
    </row>
    <row r="207" ht="15.75" customHeight="1">
      <c r="A207" s="161" t="s">
        <v>6044</v>
      </c>
      <c r="B207" s="162" t="s">
        <v>6612</v>
      </c>
      <c r="C207" s="163" t="s">
        <v>6613</v>
      </c>
      <c r="D207" s="101" t="s">
        <v>6592</v>
      </c>
      <c r="E207" s="101" t="s">
        <v>6593</v>
      </c>
      <c r="F207" s="102">
        <v>0.21</v>
      </c>
      <c r="G207" s="237" t="str">
        <f>IFERROR(VLOOKUP("HD200PRO",STOCK!$B$1:$Q$5608,3,FALSE),"SIN STOCK")</f>
        <v>SIN STOCK</v>
      </c>
    </row>
    <row r="208" ht="15.75" customHeight="1">
      <c r="A208" s="158" t="s">
        <v>6044</v>
      </c>
      <c r="B208" s="166" t="s">
        <v>6614</v>
      </c>
      <c r="C208" s="159" t="s">
        <v>6615</v>
      </c>
      <c r="D208" s="96" t="s">
        <v>6395</v>
      </c>
      <c r="E208" s="96" t="s">
        <v>6396</v>
      </c>
      <c r="F208" s="97">
        <v>0.21</v>
      </c>
      <c r="G208" s="237" t="str">
        <f>IFERROR(VLOOKUP("HD200PRO",STOCK!$B$1:$Q$5608,3,FALSE),"SIN STOCK")</f>
        <v>SIN STOCK</v>
      </c>
    </row>
    <row r="209" ht="15.75" customHeight="1">
      <c r="A209" s="161" t="s">
        <v>6044</v>
      </c>
      <c r="B209" s="162" t="s">
        <v>6616</v>
      </c>
      <c r="C209" s="163" t="s">
        <v>6617</v>
      </c>
      <c r="D209" s="101" t="s">
        <v>6618</v>
      </c>
      <c r="E209" s="101" t="s">
        <v>6619</v>
      </c>
      <c r="F209" s="102">
        <v>0.21</v>
      </c>
      <c r="G209" s="237" t="str">
        <f>IFERROR(VLOOKUP("HD200PRO",STOCK!$B$1:$Q$5608,3,FALSE),"SIN STOCK")</f>
        <v>SIN STOCK</v>
      </c>
    </row>
    <row r="210" ht="15.75" customHeight="1">
      <c r="A210" s="158" t="s">
        <v>6044</v>
      </c>
      <c r="B210" s="166" t="s">
        <v>6620</v>
      </c>
      <c r="C210" s="159" t="s">
        <v>6621</v>
      </c>
      <c r="D210" s="96" t="s">
        <v>6622</v>
      </c>
      <c r="E210" s="96" t="s">
        <v>6623</v>
      </c>
      <c r="F210" s="97">
        <v>0.21</v>
      </c>
      <c r="G210" s="38" t="str">
        <f>IFERROR(VLOOKUP("HD200PRO",STOCK!$B$1:$Q$5608,3,FALSE),"SIN STOCK")</f>
        <v>SIN STOCK</v>
      </c>
    </row>
    <row r="211" ht="15.75" customHeight="1">
      <c r="A211" s="28" t="s">
        <v>6624</v>
      </c>
      <c r="C211" s="167"/>
      <c r="D211" s="51"/>
      <c r="E211" s="51"/>
      <c r="F211" s="106"/>
      <c r="G211" s="92"/>
    </row>
    <row r="212" ht="15.75" customHeight="1">
      <c r="A212" s="158" t="s">
        <v>6044</v>
      </c>
      <c r="B212" s="166" t="s">
        <v>6625</v>
      </c>
      <c r="C212" s="159" t="s">
        <v>6626</v>
      </c>
      <c r="D212" s="96" t="s">
        <v>6428</v>
      </c>
      <c r="E212" s="96" t="s">
        <v>6429</v>
      </c>
      <c r="F212" s="97">
        <v>0.21</v>
      </c>
      <c r="G212" s="38" t="str">
        <f>IFERROR(VLOOKUP("HD200PRO",STOCK!$B$1:$Q$5608,3,FALSE),"SIN STOCK")</f>
        <v>SIN STOCK</v>
      </c>
    </row>
    <row r="213" ht="15.75" customHeight="1">
      <c r="A213" s="161" t="s">
        <v>6044</v>
      </c>
      <c r="B213" s="162" t="s">
        <v>6627</v>
      </c>
      <c r="C213" s="163" t="s">
        <v>6628</v>
      </c>
      <c r="D213" s="101" t="s">
        <v>6629</v>
      </c>
      <c r="E213" s="101" t="s">
        <v>6630</v>
      </c>
      <c r="F213" s="102">
        <v>0.21</v>
      </c>
      <c r="G213" s="38" t="str">
        <f>IFERROR(VLOOKUP("HD200PRO",STOCK!$B$1:$Q$5608,3,FALSE),"SIN STOCK")</f>
        <v>SIN STOCK</v>
      </c>
    </row>
    <row r="214" ht="15.75" customHeight="1">
      <c r="A214" s="158" t="s">
        <v>6044</v>
      </c>
      <c r="B214" s="166" t="s">
        <v>6631</v>
      </c>
      <c r="C214" s="159" t="s">
        <v>6632</v>
      </c>
      <c r="D214" s="96" t="s">
        <v>6633</v>
      </c>
      <c r="E214" s="96" t="s">
        <v>6634</v>
      </c>
      <c r="F214" s="97">
        <v>0.21</v>
      </c>
      <c r="G214" s="38" t="str">
        <f>IFERROR(VLOOKUP("HD200PRO",STOCK!$B$1:$Q$5608,3,FALSE),"SIN STOCK")</f>
        <v>SIN STOCK</v>
      </c>
    </row>
    <row r="215" ht="15.75" customHeight="1">
      <c r="A215" s="161" t="s">
        <v>6044</v>
      </c>
      <c r="B215" s="162" t="s">
        <v>6635</v>
      </c>
      <c r="C215" s="163" t="s">
        <v>6636</v>
      </c>
      <c r="D215" s="101" t="s">
        <v>6633</v>
      </c>
      <c r="E215" s="101" t="s">
        <v>6634</v>
      </c>
      <c r="F215" s="102">
        <v>0.21</v>
      </c>
      <c r="G215" s="38" t="str">
        <f>IFERROR(VLOOKUP("HD200PRO",STOCK!$B$1:$Q$5608,3,FALSE),"SIN STOCK")</f>
        <v>SIN STOCK</v>
      </c>
    </row>
    <row r="216" ht="15.75" customHeight="1">
      <c r="A216" s="158" t="s">
        <v>6044</v>
      </c>
      <c r="B216" s="166" t="s">
        <v>6637</v>
      </c>
      <c r="C216" s="159" t="s">
        <v>6638</v>
      </c>
      <c r="D216" s="96" t="s">
        <v>6439</v>
      </c>
      <c r="E216" s="96" t="s">
        <v>6440</v>
      </c>
      <c r="F216" s="97">
        <v>0.21</v>
      </c>
      <c r="G216" s="38" t="str">
        <f>IFERROR(VLOOKUP("HD200PRO",STOCK!$B$1:$Q$5608,3,FALSE),"SIN STOCK")</f>
        <v>SIN STOCK</v>
      </c>
    </row>
    <row r="217" ht="15.75" customHeight="1">
      <c r="A217" s="161" t="s">
        <v>6044</v>
      </c>
      <c r="B217" s="162" t="s">
        <v>6639</v>
      </c>
      <c r="C217" s="163" t="s">
        <v>6640</v>
      </c>
      <c r="D217" s="101" t="s">
        <v>6641</v>
      </c>
      <c r="E217" s="101" t="s">
        <v>6642</v>
      </c>
      <c r="F217" s="102">
        <v>0.21</v>
      </c>
      <c r="G217" s="38" t="str">
        <f>IFERROR(VLOOKUP("HD200PRO",STOCK!$B$1:$Q$5608,3,FALSE),"SIN STOCK")</f>
        <v>SIN STOCK</v>
      </c>
    </row>
    <row r="218" ht="15.75" customHeight="1">
      <c r="A218" s="158" t="s">
        <v>6044</v>
      </c>
      <c r="B218" s="166" t="s">
        <v>6643</v>
      </c>
      <c r="C218" s="159" t="s">
        <v>6644</v>
      </c>
      <c r="D218" s="96" t="s">
        <v>6439</v>
      </c>
      <c r="E218" s="96" t="s">
        <v>6440</v>
      </c>
      <c r="F218" s="97">
        <v>0.21</v>
      </c>
      <c r="G218" s="38" t="str">
        <f>IFERROR(VLOOKUP("HD200PRO",STOCK!$B$1:$Q$5608,3,FALSE),"SIN STOCK")</f>
        <v>SIN STOCK</v>
      </c>
    </row>
    <row r="219" ht="15.75" customHeight="1">
      <c r="A219" s="161" t="s">
        <v>6044</v>
      </c>
      <c r="B219" s="162" t="s">
        <v>6645</v>
      </c>
      <c r="C219" s="163" t="s">
        <v>6646</v>
      </c>
      <c r="D219" s="101" t="s">
        <v>6647</v>
      </c>
      <c r="E219" s="101" t="s">
        <v>5627</v>
      </c>
      <c r="F219" s="102">
        <v>0.21</v>
      </c>
      <c r="G219" s="38" t="str">
        <f>IFERROR(VLOOKUP("HD200PRO",STOCK!$B$1:$Q$5608,3,FALSE),"SIN STOCK")</f>
        <v>SIN STOCK</v>
      </c>
    </row>
    <row r="220" ht="15.75" customHeight="1">
      <c r="A220" s="28" t="s">
        <v>6648</v>
      </c>
      <c r="C220" s="167"/>
      <c r="D220" s="51"/>
      <c r="E220" s="51"/>
      <c r="F220" s="106"/>
      <c r="G220" s="92"/>
    </row>
    <row r="221" ht="15.75" customHeight="1">
      <c r="A221" s="158" t="s">
        <v>6044</v>
      </c>
      <c r="B221" s="166" t="s">
        <v>6649</v>
      </c>
      <c r="C221" s="159" t="s">
        <v>6650</v>
      </c>
      <c r="D221" s="96" t="s">
        <v>6523</v>
      </c>
      <c r="E221" s="96" t="s">
        <v>6524</v>
      </c>
      <c r="F221" s="97">
        <v>0.21</v>
      </c>
      <c r="G221" s="38" t="str">
        <f>IFERROR(VLOOKUP("HD200PRO",STOCK!$B$1:$Q$5608,3,FALSE),"SIN STOCK")</f>
        <v>SIN STOCK</v>
      </c>
    </row>
    <row r="222" ht="15.75" customHeight="1">
      <c r="A222" s="161" t="s">
        <v>6044</v>
      </c>
      <c r="B222" s="162" t="s">
        <v>6651</v>
      </c>
      <c r="C222" s="163" t="s">
        <v>6652</v>
      </c>
      <c r="D222" s="101" t="s">
        <v>6653</v>
      </c>
      <c r="E222" s="101" t="s">
        <v>6654</v>
      </c>
      <c r="F222" s="102">
        <v>0.21</v>
      </c>
      <c r="G222" s="38" t="str">
        <f>IFERROR(VLOOKUP("HD200PRO",STOCK!$B$1:$Q$5608,3,FALSE),"SIN STOCK")</f>
        <v>SIN STOCK</v>
      </c>
    </row>
    <row r="223" ht="15.75" customHeight="1">
      <c r="A223" s="158" t="s">
        <v>6044</v>
      </c>
      <c r="B223" s="166" t="s">
        <v>6655</v>
      </c>
      <c r="C223" s="159" t="s">
        <v>6656</v>
      </c>
      <c r="D223" s="96" t="s">
        <v>6657</v>
      </c>
      <c r="E223" s="96" t="s">
        <v>6658</v>
      </c>
      <c r="F223" s="97">
        <v>0.21</v>
      </c>
      <c r="G223" s="38" t="str">
        <f>IFERROR(VLOOKUP("HD200PRO",STOCK!$B$1:$Q$5608,3,FALSE),"SIN STOCK")</f>
        <v>SIN STOCK</v>
      </c>
    </row>
    <row r="224" ht="15.75" customHeight="1">
      <c r="A224" s="161" t="s">
        <v>6044</v>
      </c>
      <c r="B224" s="162" t="s">
        <v>6659</v>
      </c>
      <c r="C224" s="163" t="s">
        <v>6660</v>
      </c>
      <c r="D224" s="101" t="s">
        <v>6661</v>
      </c>
      <c r="E224" s="101" t="s">
        <v>6662</v>
      </c>
      <c r="F224" s="102">
        <v>0.21</v>
      </c>
      <c r="G224" s="38" t="str">
        <f>IFERROR(VLOOKUP("HD200PRO",STOCK!$B$1:$Q$5608,3,FALSE),"SIN STOCK")</f>
        <v>SIN STOCK</v>
      </c>
    </row>
    <row r="225" ht="15.75" customHeight="1">
      <c r="A225" s="158" t="s">
        <v>6044</v>
      </c>
      <c r="B225" s="166" t="s">
        <v>6663</v>
      </c>
      <c r="C225" s="159" t="s">
        <v>6664</v>
      </c>
      <c r="D225" s="96" t="s">
        <v>6665</v>
      </c>
      <c r="E225" s="96" t="s">
        <v>6666</v>
      </c>
      <c r="F225" s="97">
        <v>0.21</v>
      </c>
      <c r="G225" s="38" t="str">
        <f>IFERROR(VLOOKUP("HD200PRO",STOCK!$B$1:$Q$5608,3,FALSE),"SIN STOCK")</f>
        <v>SIN STOCK</v>
      </c>
    </row>
    <row r="226" ht="15.75" customHeight="1">
      <c r="A226" s="161" t="s">
        <v>6044</v>
      </c>
      <c r="B226" s="162" t="s">
        <v>6667</v>
      </c>
      <c r="C226" s="163" t="s">
        <v>6668</v>
      </c>
      <c r="D226" s="101" t="s">
        <v>6669</v>
      </c>
      <c r="E226" s="101" t="s">
        <v>6670</v>
      </c>
      <c r="F226" s="102">
        <v>0.21</v>
      </c>
      <c r="G226" s="38" t="str">
        <f>IFERROR(VLOOKUP("HD200PRO",STOCK!$B$1:$Q$5608,3,FALSE),"SIN STOCK")</f>
        <v>SIN STOCK</v>
      </c>
    </row>
    <row r="227" ht="15.75" customHeight="1">
      <c r="A227" s="28" t="s">
        <v>6671</v>
      </c>
      <c r="C227" s="167"/>
      <c r="D227" s="51"/>
      <c r="E227" s="51"/>
      <c r="F227" s="106"/>
      <c r="G227" s="92"/>
    </row>
    <row r="228" ht="15.75" customHeight="1">
      <c r="A228" s="158" t="s">
        <v>6044</v>
      </c>
      <c r="B228" s="166" t="s">
        <v>6672</v>
      </c>
      <c r="C228" s="159" t="s">
        <v>6673</v>
      </c>
      <c r="D228" s="96" t="s">
        <v>6674</v>
      </c>
      <c r="E228" s="96" t="s">
        <v>6675</v>
      </c>
      <c r="F228" s="97">
        <v>0.21</v>
      </c>
      <c r="G228" s="38" t="str">
        <f>IFERROR(VLOOKUP("HD200PRO",STOCK!$B$1:$Q$5608,3,FALSE),"SIN STOCK")</f>
        <v>SIN STOCK</v>
      </c>
    </row>
    <row r="229" ht="15.75" customHeight="1">
      <c r="A229" s="161" t="s">
        <v>6044</v>
      </c>
      <c r="B229" s="165" t="s">
        <v>6676</v>
      </c>
      <c r="C229" s="163" t="s">
        <v>6677</v>
      </c>
      <c r="D229" s="101" t="s">
        <v>6647</v>
      </c>
      <c r="E229" s="101" t="s">
        <v>5627</v>
      </c>
      <c r="F229" s="102">
        <v>0.21</v>
      </c>
      <c r="G229" s="38" t="str">
        <f>IFERROR(VLOOKUP("HD200PRO",STOCK!$B$1:$Q$5608,3,FALSE),"SIN STOCK")</f>
        <v>SIN STOCK</v>
      </c>
    </row>
    <row r="230" ht="15.75" customHeight="1">
      <c r="A230" s="158" t="s">
        <v>6044</v>
      </c>
      <c r="B230" s="166" t="s">
        <v>6678</v>
      </c>
      <c r="C230" s="159" t="s">
        <v>6679</v>
      </c>
      <c r="D230" s="96" t="s">
        <v>6680</v>
      </c>
      <c r="E230" s="96" t="s">
        <v>6681</v>
      </c>
      <c r="F230" s="97">
        <v>0.21</v>
      </c>
      <c r="G230" s="38" t="str">
        <f>IFERROR(VLOOKUP("HD200PRO",STOCK!$B$1:$Q$5608,3,FALSE),"SIN STOCK")</f>
        <v>SIN STOCK</v>
      </c>
    </row>
    <row r="231" ht="15.75" customHeight="1">
      <c r="A231" s="161" t="s">
        <v>6044</v>
      </c>
      <c r="B231" s="162" t="s">
        <v>6682</v>
      </c>
      <c r="C231" s="163" t="s">
        <v>6683</v>
      </c>
      <c r="D231" s="101" t="s">
        <v>6424</v>
      </c>
      <c r="E231" s="101" t="s">
        <v>6425</v>
      </c>
      <c r="F231" s="102">
        <v>0.21</v>
      </c>
      <c r="G231" s="38" t="str">
        <f>IFERROR(VLOOKUP("HD200PRO",STOCK!$B$1:$Q$5608,3,FALSE),"SIN STOCK")</f>
        <v>SIN STOCK</v>
      </c>
    </row>
    <row r="232" ht="15.75" customHeight="1">
      <c r="A232" s="158" t="s">
        <v>6044</v>
      </c>
      <c r="B232" s="164" t="s">
        <v>6684</v>
      </c>
      <c r="C232" s="159" t="s">
        <v>6685</v>
      </c>
      <c r="D232" s="96" t="s">
        <v>6622</v>
      </c>
      <c r="E232" s="96" t="s">
        <v>6623</v>
      </c>
      <c r="F232" s="97">
        <v>0.21</v>
      </c>
      <c r="G232" s="38" t="str">
        <f>IFERROR(VLOOKUP("HD200PRO",STOCK!$B$1:$Q$5608,3,FALSE),"SIN STOCK")</f>
        <v>SIN STOCK</v>
      </c>
    </row>
    <row r="233" ht="15.75" customHeight="1">
      <c r="A233" s="161" t="s">
        <v>6044</v>
      </c>
      <c r="B233" s="162" t="s">
        <v>6686</v>
      </c>
      <c r="C233" s="163" t="s">
        <v>6687</v>
      </c>
      <c r="D233" s="101" t="s">
        <v>6688</v>
      </c>
      <c r="E233" s="101" t="s">
        <v>6689</v>
      </c>
      <c r="F233" s="102">
        <v>0.21</v>
      </c>
      <c r="G233" s="38" t="str">
        <f>IFERROR(VLOOKUP("HD200PRO",STOCK!$B$1:$Q$5608,3,FALSE),"SIN STOCK")</f>
        <v>SIN STOCK</v>
      </c>
    </row>
    <row r="234" ht="15.75" customHeight="1">
      <c r="A234" s="158" t="s">
        <v>6044</v>
      </c>
      <c r="B234" s="166" t="s">
        <v>6690</v>
      </c>
      <c r="C234" s="159" t="s">
        <v>6679</v>
      </c>
      <c r="D234" s="96" t="s">
        <v>6622</v>
      </c>
      <c r="E234" s="96" t="s">
        <v>6623</v>
      </c>
      <c r="F234" s="97">
        <v>0.21</v>
      </c>
      <c r="G234" s="38" t="str">
        <f>IFERROR(VLOOKUP("HD200PRO",STOCK!$B$1:$Q$5608,3,FALSE),"SIN STOCK")</f>
        <v>SIN STOCK</v>
      </c>
    </row>
    <row r="235" ht="15.75" customHeight="1">
      <c r="A235" s="161" t="s">
        <v>6044</v>
      </c>
      <c r="B235" s="162" t="s">
        <v>6691</v>
      </c>
      <c r="C235" s="163" t="s">
        <v>6692</v>
      </c>
      <c r="D235" s="101" t="s">
        <v>6523</v>
      </c>
      <c r="E235" s="101" t="s">
        <v>6524</v>
      </c>
      <c r="F235" s="102">
        <v>0.21</v>
      </c>
      <c r="G235" s="38" t="str">
        <f>IFERROR(VLOOKUP("HD200PRO",STOCK!$B$1:$Q$5608,3,FALSE),"SIN STOCK")</f>
        <v>SIN STOCK</v>
      </c>
    </row>
    <row r="236" ht="15.75" customHeight="1">
      <c r="A236" s="158" t="s">
        <v>6044</v>
      </c>
      <c r="B236" s="164" t="s">
        <v>6693</v>
      </c>
      <c r="C236" s="159" t="s">
        <v>6694</v>
      </c>
      <c r="D236" s="96" t="s">
        <v>6592</v>
      </c>
      <c r="E236" s="96" t="s">
        <v>6593</v>
      </c>
      <c r="F236" s="97">
        <v>0.21</v>
      </c>
      <c r="G236" s="38" t="str">
        <f>IFERROR(VLOOKUP("HD200PRO",STOCK!$B$1:$Q$5608,3,FALSE),"SIN STOCK")</f>
        <v>SIN STOCK</v>
      </c>
    </row>
    <row r="237" ht="15.75" customHeight="1">
      <c r="A237" s="161" t="s">
        <v>6044</v>
      </c>
      <c r="B237" s="162" t="s">
        <v>6695</v>
      </c>
      <c r="C237" s="163" t="s">
        <v>6696</v>
      </c>
      <c r="D237" s="101" t="s">
        <v>6439</v>
      </c>
      <c r="E237" s="101" t="s">
        <v>6440</v>
      </c>
      <c r="F237" s="102">
        <v>0.21</v>
      </c>
      <c r="G237" s="38" t="str">
        <f>IFERROR(VLOOKUP("HD200PRO",STOCK!$B$1:$Q$5608,3,FALSE),"SIN STOCK")</f>
        <v>SIN STOCK</v>
      </c>
    </row>
    <row r="238" ht="15.75" customHeight="1">
      <c r="A238" s="158" t="s">
        <v>6044</v>
      </c>
      <c r="B238" s="166" t="s">
        <v>6697</v>
      </c>
      <c r="C238" s="159" t="s">
        <v>6698</v>
      </c>
      <c r="D238" s="96" t="s">
        <v>6523</v>
      </c>
      <c r="E238" s="96" t="s">
        <v>6524</v>
      </c>
      <c r="F238" s="97">
        <v>0.21</v>
      </c>
      <c r="G238" s="38" t="str">
        <f>IFERROR(VLOOKUP("HD200PRO",STOCK!$B$1:$Q$5608,3,FALSE),"SIN STOCK")</f>
        <v>SIN STOCK</v>
      </c>
    </row>
    <row r="239" ht="15.75" customHeight="1">
      <c r="A239" s="161" t="s">
        <v>6044</v>
      </c>
      <c r="B239" s="162" t="s">
        <v>6699</v>
      </c>
      <c r="C239" s="163" t="s">
        <v>6700</v>
      </c>
      <c r="D239" s="101" t="s">
        <v>6502</v>
      </c>
      <c r="E239" s="101" t="s">
        <v>6503</v>
      </c>
      <c r="F239" s="102">
        <v>0.21</v>
      </c>
      <c r="G239" s="38" t="str">
        <f>IFERROR(VLOOKUP("HD200PRO",STOCK!$B$1:$Q$5608,3,FALSE),"SIN STOCK")</f>
        <v>SIN STOCK</v>
      </c>
    </row>
    <row r="240" ht="15.75" customHeight="1">
      <c r="A240" s="158" t="s">
        <v>6044</v>
      </c>
      <c r="B240" s="166" t="s">
        <v>6701</v>
      </c>
      <c r="C240" s="159" t="s">
        <v>6702</v>
      </c>
      <c r="D240" s="96" t="s">
        <v>6502</v>
      </c>
      <c r="E240" s="96" t="s">
        <v>6503</v>
      </c>
      <c r="F240" s="97">
        <v>0.21</v>
      </c>
      <c r="G240" s="38" t="str">
        <f>IFERROR(VLOOKUP("HD200PRO",STOCK!$B$1:$Q$5608,3,FALSE),"SIN STOCK")</f>
        <v>SIN STOCK</v>
      </c>
    </row>
    <row r="241" ht="15.75" customHeight="1">
      <c r="A241" s="161" t="s">
        <v>6044</v>
      </c>
      <c r="B241" s="162" t="s">
        <v>6703</v>
      </c>
      <c r="C241" s="163" t="s">
        <v>6702</v>
      </c>
      <c r="D241" s="101" t="s">
        <v>6395</v>
      </c>
      <c r="E241" s="101" t="s">
        <v>6396</v>
      </c>
      <c r="F241" s="102">
        <v>0.21</v>
      </c>
      <c r="G241" s="38" t="str">
        <f>IFERROR(VLOOKUP("HD200PRO",STOCK!$B$1:$Q$5608,3,FALSE),"SIN STOCK")</f>
        <v>SIN STOCK</v>
      </c>
    </row>
    <row r="242" ht="15.75" customHeight="1">
      <c r="A242" s="158" t="s">
        <v>6044</v>
      </c>
      <c r="B242" s="166" t="s">
        <v>6704</v>
      </c>
      <c r="C242" s="159" t="s">
        <v>6705</v>
      </c>
      <c r="D242" s="96" t="s">
        <v>6502</v>
      </c>
      <c r="E242" s="96" t="s">
        <v>6503</v>
      </c>
      <c r="F242" s="97">
        <v>0.21</v>
      </c>
      <c r="G242" s="38" t="str">
        <f>IFERROR(VLOOKUP("HD200PRO",STOCK!$B$1:$Q$5608,3,FALSE),"SIN STOCK")</f>
        <v>SIN STOCK</v>
      </c>
    </row>
    <row r="243" ht="15.75" customHeight="1">
      <c r="A243" s="161" t="s">
        <v>6044</v>
      </c>
      <c r="B243" s="162" t="s">
        <v>6706</v>
      </c>
      <c r="C243" s="163" t="s">
        <v>6702</v>
      </c>
      <c r="D243" s="101" t="s">
        <v>6395</v>
      </c>
      <c r="E243" s="101" t="s">
        <v>6396</v>
      </c>
      <c r="F243" s="102">
        <v>0.21</v>
      </c>
      <c r="G243" s="38" t="str">
        <f>IFERROR(VLOOKUP("HD200PRO",STOCK!$B$1:$Q$5608,3,FALSE),"SIN STOCK")</f>
        <v>SIN STOCK</v>
      </c>
    </row>
    <row r="244" ht="15.75" customHeight="1">
      <c r="A244" s="158" t="s">
        <v>6044</v>
      </c>
      <c r="B244" s="166" t="s">
        <v>6707</v>
      </c>
      <c r="C244" s="159" t="s">
        <v>6708</v>
      </c>
      <c r="D244" s="96" t="s">
        <v>6709</v>
      </c>
      <c r="E244" s="96" t="s">
        <v>6710</v>
      </c>
      <c r="F244" s="97">
        <v>0.21</v>
      </c>
      <c r="G244" s="38" t="str">
        <f>IFERROR(VLOOKUP("HD200PRO",STOCK!$B$1:$Q$5608,3,FALSE),"SIN STOCK")</f>
        <v>SIN STOCK</v>
      </c>
    </row>
    <row r="245" ht="15.75" customHeight="1">
      <c r="A245" s="161" t="s">
        <v>6044</v>
      </c>
      <c r="B245" s="162" t="s">
        <v>6711</v>
      </c>
      <c r="C245" s="163" t="s">
        <v>6712</v>
      </c>
      <c r="D245" s="101" t="s">
        <v>6709</v>
      </c>
      <c r="E245" s="101" t="s">
        <v>6710</v>
      </c>
      <c r="F245" s="102">
        <v>0.21</v>
      </c>
      <c r="G245" s="38" t="str">
        <f>IFERROR(VLOOKUP("HD200PRO",STOCK!$B$1:$Q$5608,3,FALSE),"SIN STOCK")</f>
        <v>SIN STOCK</v>
      </c>
    </row>
    <row r="246" ht="15.75" customHeight="1">
      <c r="A246" s="158" t="s">
        <v>6044</v>
      </c>
      <c r="B246" s="166" t="s">
        <v>6713</v>
      </c>
      <c r="C246" s="159" t="s">
        <v>6714</v>
      </c>
      <c r="D246" s="96" t="s">
        <v>6424</v>
      </c>
      <c r="E246" s="96" t="s">
        <v>6425</v>
      </c>
      <c r="F246" s="97">
        <v>0.21</v>
      </c>
      <c r="G246" s="38" t="str">
        <f>IFERROR(VLOOKUP("HD200PRO",STOCK!$B$1:$Q$5608,3,FALSE),"SIN STOCK")</f>
        <v>SIN STOCK</v>
      </c>
    </row>
    <row r="247" ht="15.75" customHeight="1">
      <c r="A247" s="161" t="s">
        <v>6044</v>
      </c>
      <c r="B247" s="162" t="s">
        <v>6715</v>
      </c>
      <c r="C247" s="163" t="s">
        <v>6716</v>
      </c>
      <c r="D247" s="101" t="s">
        <v>6383</v>
      </c>
      <c r="E247" s="101" t="s">
        <v>6384</v>
      </c>
      <c r="F247" s="102">
        <v>0.21</v>
      </c>
      <c r="G247" s="38" t="str">
        <f>IFERROR(VLOOKUP("HD200PRO",STOCK!$B$1:$Q$5608,3,FALSE),"SIN STOCK")</f>
        <v>SIN STOCK</v>
      </c>
    </row>
    <row r="248" ht="15.75" customHeight="1">
      <c r="A248" s="158" t="s">
        <v>6044</v>
      </c>
      <c r="B248" s="166" t="s">
        <v>6717</v>
      </c>
      <c r="C248" s="159" t="s">
        <v>6718</v>
      </c>
      <c r="D248" s="96" t="s">
        <v>6719</v>
      </c>
      <c r="E248" s="96" t="s">
        <v>6720</v>
      </c>
      <c r="F248" s="97">
        <v>0.21</v>
      </c>
      <c r="G248" s="38" t="str">
        <f>IFERROR(VLOOKUP("HD200PRO",STOCK!$B$1:$Q$5608,3,FALSE),"SIN STOCK")</f>
        <v>SIN STOCK</v>
      </c>
    </row>
    <row r="249" ht="15.75" customHeight="1">
      <c r="A249" s="161" t="s">
        <v>6044</v>
      </c>
      <c r="B249" s="162" t="s">
        <v>6721</v>
      </c>
      <c r="C249" s="163" t="s">
        <v>6722</v>
      </c>
      <c r="D249" s="101" t="s">
        <v>6719</v>
      </c>
      <c r="E249" s="101" t="s">
        <v>6720</v>
      </c>
      <c r="F249" s="102">
        <v>0.21</v>
      </c>
      <c r="G249" s="38" t="str">
        <f>IFERROR(VLOOKUP("HD200PRO",STOCK!$B$1:$Q$5608,3,FALSE),"SIN STOCK")</f>
        <v>SIN STOCK</v>
      </c>
    </row>
    <row r="250" ht="15.75" customHeight="1">
      <c r="A250" s="158" t="s">
        <v>6044</v>
      </c>
      <c r="B250" s="166" t="s">
        <v>6723</v>
      </c>
      <c r="C250" s="159" t="s">
        <v>6724</v>
      </c>
      <c r="D250" s="96" t="s">
        <v>6719</v>
      </c>
      <c r="E250" s="96" t="s">
        <v>6720</v>
      </c>
      <c r="F250" s="97">
        <v>0.21</v>
      </c>
      <c r="G250" s="38" t="str">
        <f>IFERROR(VLOOKUP("HD200PRO",STOCK!$B$1:$Q$5608,3,FALSE),"SIN STOCK")</f>
        <v>SIN STOCK</v>
      </c>
    </row>
    <row r="251" ht="15.75" customHeight="1">
      <c r="A251" s="161" t="s">
        <v>6044</v>
      </c>
      <c r="B251" s="162" t="s">
        <v>6725</v>
      </c>
      <c r="C251" s="163" t="s">
        <v>6726</v>
      </c>
      <c r="D251" s="101" t="s">
        <v>6719</v>
      </c>
      <c r="E251" s="101" t="s">
        <v>6720</v>
      </c>
      <c r="F251" s="102">
        <v>0.21</v>
      </c>
      <c r="G251" s="38" t="str">
        <f>IFERROR(VLOOKUP("HD200PRO",STOCK!$B$1:$Q$5608,3,FALSE),"SIN STOCK")</f>
        <v>SIN STOCK</v>
      </c>
    </row>
    <row r="252" ht="15.75" customHeight="1">
      <c r="A252" s="158" t="s">
        <v>6044</v>
      </c>
      <c r="B252" s="166" t="s">
        <v>6727</v>
      </c>
      <c r="C252" s="159" t="s">
        <v>6728</v>
      </c>
      <c r="D252" s="96" t="s">
        <v>6622</v>
      </c>
      <c r="E252" s="96" t="s">
        <v>6623</v>
      </c>
      <c r="F252" s="97">
        <v>0.21</v>
      </c>
      <c r="G252" s="38" t="str">
        <f>IFERROR(VLOOKUP("HD200PRO",STOCK!$B$1:$Q$5608,3,FALSE),"SIN STOCK")</f>
        <v>SIN STOCK</v>
      </c>
    </row>
    <row r="253" ht="15.75" customHeight="1">
      <c r="A253" s="161" t="s">
        <v>6044</v>
      </c>
      <c r="B253" s="162" t="s">
        <v>6729</v>
      </c>
      <c r="C253" s="163" t="s">
        <v>6730</v>
      </c>
      <c r="D253" s="101" t="s">
        <v>6424</v>
      </c>
      <c r="E253" s="101" t="s">
        <v>6425</v>
      </c>
      <c r="F253" s="102">
        <v>0.21</v>
      </c>
      <c r="G253" s="38" t="str">
        <f>IFERROR(VLOOKUP("HD200PRO",STOCK!$B$1:$Q$5608,3,FALSE),"SIN STOCK")</f>
        <v>SIN STOCK</v>
      </c>
    </row>
    <row r="254" ht="15.75" customHeight="1">
      <c r="A254" s="158" t="s">
        <v>6044</v>
      </c>
      <c r="B254" s="166" t="s">
        <v>6731</v>
      </c>
      <c r="C254" s="159" t="s">
        <v>6732</v>
      </c>
      <c r="D254" s="96" t="s">
        <v>6719</v>
      </c>
      <c r="E254" s="96" t="s">
        <v>6720</v>
      </c>
      <c r="F254" s="97">
        <v>0.21</v>
      </c>
      <c r="G254" s="38" t="str">
        <f>IFERROR(VLOOKUP("HD200PRO",STOCK!$B$1:$Q$5608,3,FALSE),"SIN STOCK")</f>
        <v>SIN STOCK</v>
      </c>
    </row>
    <row r="255" ht="15.75" customHeight="1">
      <c r="A255" s="161" t="s">
        <v>6044</v>
      </c>
      <c r="B255" s="162" t="s">
        <v>6733</v>
      </c>
      <c r="C255" s="163" t="s">
        <v>6734</v>
      </c>
      <c r="D255" s="101" t="s">
        <v>6502</v>
      </c>
      <c r="E255" s="101" t="s">
        <v>6503</v>
      </c>
      <c r="F255" s="102">
        <v>0.21</v>
      </c>
      <c r="G255" s="38" t="str">
        <f>IFERROR(VLOOKUP("HD200PRO",STOCK!$B$1:$Q$5608,3,FALSE),"SIN STOCK")</f>
        <v>SIN STOCK</v>
      </c>
    </row>
    <row r="256" ht="15.75" customHeight="1">
      <c r="A256" s="158" t="s">
        <v>6044</v>
      </c>
      <c r="B256" s="166" t="s">
        <v>6735</v>
      </c>
      <c r="C256" s="159" t="s">
        <v>6736</v>
      </c>
      <c r="D256" s="96" t="s">
        <v>6502</v>
      </c>
      <c r="E256" s="96" t="s">
        <v>6503</v>
      </c>
      <c r="F256" s="97">
        <v>0.21</v>
      </c>
      <c r="G256" s="38" t="str">
        <f>IFERROR(VLOOKUP("HD200PRO",STOCK!$B$1:$Q$5608,3,FALSE),"SIN STOCK")</f>
        <v>SIN STOCK</v>
      </c>
    </row>
    <row r="257" ht="15.75" customHeight="1">
      <c r="A257" s="161" t="s">
        <v>6044</v>
      </c>
      <c r="B257" s="162" t="s">
        <v>6737</v>
      </c>
      <c r="C257" s="163" t="s">
        <v>6738</v>
      </c>
      <c r="D257" s="101" t="s">
        <v>6502</v>
      </c>
      <c r="E257" s="101" t="s">
        <v>6503</v>
      </c>
      <c r="F257" s="102">
        <v>0.21</v>
      </c>
      <c r="G257" s="38" t="str">
        <f>IFERROR(VLOOKUP("HD200PRO",STOCK!$B$1:$Q$5608,3,FALSE),"SIN STOCK")</f>
        <v>SIN STOCK</v>
      </c>
    </row>
    <row r="258" ht="15.75" customHeight="1">
      <c r="A258" s="158" t="s">
        <v>6044</v>
      </c>
      <c r="B258" s="158" t="s">
        <v>6739</v>
      </c>
      <c r="C258" s="159" t="s">
        <v>6740</v>
      </c>
      <c r="D258" s="96" t="s">
        <v>6395</v>
      </c>
      <c r="E258" s="96" t="s">
        <v>6396</v>
      </c>
      <c r="F258" s="97">
        <v>0.21</v>
      </c>
      <c r="G258" s="38" t="str">
        <f>IFERROR(VLOOKUP("HD200PRO",STOCK!$B$1:$Q$5608,3,FALSE),"SIN STOCK")</f>
        <v>SIN STOCK</v>
      </c>
    </row>
    <row r="259" ht="15.75" customHeight="1">
      <c r="A259" s="161" t="s">
        <v>6044</v>
      </c>
      <c r="B259" s="161" t="s">
        <v>6741</v>
      </c>
      <c r="C259" s="163" t="s">
        <v>6742</v>
      </c>
      <c r="D259" s="101" t="s">
        <v>6743</v>
      </c>
      <c r="E259" s="101" t="s">
        <v>6744</v>
      </c>
      <c r="F259" s="102">
        <v>0.21</v>
      </c>
      <c r="G259" s="169"/>
    </row>
    <row r="260" ht="15.75" customHeight="1">
      <c r="A260" s="158" t="s">
        <v>6044</v>
      </c>
      <c r="B260" s="158" t="s">
        <v>6745</v>
      </c>
      <c r="C260" s="159" t="s">
        <v>6746</v>
      </c>
      <c r="D260" s="96" t="s">
        <v>6743</v>
      </c>
      <c r="E260" s="96" t="s">
        <v>6744</v>
      </c>
      <c r="F260" s="97">
        <v>0.21</v>
      </c>
      <c r="G260" s="169"/>
    </row>
    <row r="261" ht="15.75" customHeight="1">
      <c r="A261" s="161" t="s">
        <v>6044</v>
      </c>
      <c r="B261" s="161" t="s">
        <v>6747</v>
      </c>
      <c r="C261" s="163" t="s">
        <v>6748</v>
      </c>
      <c r="D261" s="101" t="s">
        <v>6743</v>
      </c>
      <c r="E261" s="101" t="s">
        <v>6744</v>
      </c>
      <c r="F261" s="102">
        <v>0.21</v>
      </c>
      <c r="G261" s="169"/>
    </row>
    <row r="262" ht="15.75" customHeight="1">
      <c r="A262" s="158" t="s">
        <v>6044</v>
      </c>
      <c r="B262" s="158" t="s">
        <v>6749</v>
      </c>
      <c r="C262" s="159" t="s">
        <v>6750</v>
      </c>
      <c r="D262" s="96" t="s">
        <v>6743</v>
      </c>
      <c r="E262" s="96" t="s">
        <v>6744</v>
      </c>
      <c r="F262" s="97">
        <v>0.21</v>
      </c>
      <c r="G262" s="169"/>
    </row>
    <row r="263" ht="15.75" customHeight="1">
      <c r="A263" s="161" t="s">
        <v>6044</v>
      </c>
      <c r="B263" s="161" t="s">
        <v>6751</v>
      </c>
      <c r="C263" s="163" t="s">
        <v>6752</v>
      </c>
      <c r="D263" s="101" t="s">
        <v>6743</v>
      </c>
      <c r="E263" s="101" t="s">
        <v>6744</v>
      </c>
      <c r="F263" s="102">
        <v>0.21</v>
      </c>
      <c r="G263" s="169"/>
    </row>
    <row r="264" ht="15.75" customHeight="1">
      <c r="A264" s="158" t="s">
        <v>6044</v>
      </c>
      <c r="B264" s="158" t="s">
        <v>6753</v>
      </c>
      <c r="C264" s="159" t="s">
        <v>6754</v>
      </c>
      <c r="D264" s="96" t="s">
        <v>6743</v>
      </c>
      <c r="E264" s="96" t="s">
        <v>6744</v>
      </c>
      <c r="F264" s="97">
        <v>0.21</v>
      </c>
      <c r="G264" s="169"/>
    </row>
    <row r="265" ht="15.75" customHeight="1">
      <c r="A265" s="161" t="s">
        <v>6044</v>
      </c>
      <c r="B265" s="161" t="s">
        <v>6755</v>
      </c>
      <c r="C265" s="163" t="s">
        <v>6756</v>
      </c>
      <c r="D265" s="101" t="s">
        <v>6743</v>
      </c>
      <c r="E265" s="101" t="s">
        <v>6744</v>
      </c>
      <c r="F265" s="102">
        <v>0.21</v>
      </c>
      <c r="G265" s="169"/>
    </row>
    <row r="266" ht="15.75" customHeight="1">
      <c r="A266" s="158" t="s">
        <v>6044</v>
      </c>
      <c r="B266" s="158" t="s">
        <v>6757</v>
      </c>
      <c r="C266" s="159" t="s">
        <v>6758</v>
      </c>
      <c r="D266" s="96" t="s">
        <v>6743</v>
      </c>
      <c r="E266" s="96" t="s">
        <v>6744</v>
      </c>
      <c r="F266" s="97">
        <v>0.21</v>
      </c>
      <c r="G266" s="169"/>
    </row>
    <row r="267" ht="15.75" customHeight="1">
      <c r="A267" s="161" t="s">
        <v>6044</v>
      </c>
      <c r="B267" s="161" t="s">
        <v>6759</v>
      </c>
      <c r="C267" s="300"/>
      <c r="D267" s="101" t="s">
        <v>6760</v>
      </c>
      <c r="E267" s="101" t="s">
        <v>6761</v>
      </c>
      <c r="F267" s="102">
        <v>0.21</v>
      </c>
      <c r="G267" s="169"/>
    </row>
    <row r="268" ht="15.75" customHeight="1">
      <c r="A268" s="158" t="s">
        <v>6044</v>
      </c>
      <c r="B268" s="158" t="s">
        <v>6762</v>
      </c>
      <c r="C268" s="187"/>
      <c r="D268" s="96" t="s">
        <v>6760</v>
      </c>
      <c r="E268" s="96" t="s">
        <v>6761</v>
      </c>
      <c r="F268" s="97">
        <v>0.21</v>
      </c>
      <c r="G268" s="169"/>
    </row>
    <row r="269" ht="15.75" customHeight="1">
      <c r="A269" s="161" t="s">
        <v>6044</v>
      </c>
      <c r="B269" s="161" t="s">
        <v>6763</v>
      </c>
      <c r="C269" s="300"/>
      <c r="D269" s="101" t="s">
        <v>6760</v>
      </c>
      <c r="E269" s="101" t="s">
        <v>6761</v>
      </c>
      <c r="F269" s="102">
        <v>0.21</v>
      </c>
      <c r="G269" s="169"/>
    </row>
    <row r="270" ht="15.75" customHeight="1">
      <c r="A270" s="158" t="s">
        <v>6044</v>
      </c>
      <c r="B270" s="158" t="s">
        <v>6764</v>
      </c>
      <c r="C270" s="187"/>
      <c r="D270" s="96" t="s">
        <v>6765</v>
      </c>
      <c r="E270" s="96" t="s">
        <v>6766</v>
      </c>
      <c r="F270" s="97">
        <v>0.21</v>
      </c>
      <c r="G270" s="169"/>
    </row>
    <row r="271" ht="15.75" customHeight="1">
      <c r="A271" s="186"/>
      <c r="B271" s="186"/>
      <c r="C271" s="187"/>
      <c r="D271" s="225"/>
      <c r="E271" s="225"/>
      <c r="F271" s="226"/>
      <c r="G271" s="169"/>
    </row>
    <row r="272" ht="15.75" customHeight="1">
      <c r="A272" s="186"/>
      <c r="B272" s="186"/>
      <c r="C272" s="187"/>
      <c r="D272" s="225"/>
      <c r="E272" s="225"/>
      <c r="F272" s="226"/>
      <c r="G272" s="169"/>
    </row>
    <row r="273" ht="15.75" customHeight="1">
      <c r="A273" s="186"/>
      <c r="B273" s="186"/>
      <c r="C273" s="187"/>
      <c r="D273" s="225"/>
      <c r="E273" s="225"/>
      <c r="F273" s="226"/>
      <c r="G273" s="169"/>
    </row>
    <row r="274" ht="15.75" customHeight="1">
      <c r="A274" s="186"/>
      <c r="B274" s="186"/>
      <c r="C274" s="187"/>
      <c r="D274" s="225"/>
      <c r="E274" s="225"/>
      <c r="F274" s="226"/>
      <c r="G274" s="169"/>
    </row>
    <row r="275" ht="15.75" customHeight="1">
      <c r="A275" s="186"/>
      <c r="B275" s="186"/>
      <c r="C275" s="187"/>
      <c r="D275" s="225"/>
      <c r="E275" s="225"/>
      <c r="F275" s="226"/>
      <c r="G275" s="169"/>
    </row>
    <row r="276" ht="15.75" customHeight="1">
      <c r="A276" s="186"/>
      <c r="B276" s="186"/>
      <c r="C276" s="187"/>
      <c r="D276" s="225"/>
      <c r="E276" s="225"/>
      <c r="F276" s="226"/>
      <c r="G276" s="169"/>
    </row>
    <row r="277" ht="15.75" customHeight="1">
      <c r="A277" s="186"/>
      <c r="B277" s="186"/>
      <c r="C277" s="187"/>
      <c r="D277" s="225"/>
      <c r="E277" s="225"/>
      <c r="F277" s="226"/>
      <c r="G277" s="169"/>
    </row>
    <row r="278" ht="15.75" customHeight="1">
      <c r="A278" s="186"/>
      <c r="B278" s="186"/>
      <c r="C278" s="187"/>
      <c r="D278" s="225"/>
      <c r="E278" s="225"/>
      <c r="F278" s="226"/>
      <c r="G278" s="169"/>
    </row>
    <row r="279" ht="15.75" customHeight="1">
      <c r="A279" s="186"/>
      <c r="B279" s="186"/>
      <c r="C279" s="187"/>
      <c r="D279" s="225"/>
      <c r="E279" s="225"/>
      <c r="F279" s="226"/>
      <c r="G279" s="169"/>
    </row>
    <row r="280" ht="15.75" customHeight="1">
      <c r="A280" s="186"/>
      <c r="B280" s="186"/>
      <c r="C280" s="187"/>
      <c r="D280" s="225"/>
      <c r="E280" s="225"/>
      <c r="F280" s="226"/>
      <c r="G280" s="169"/>
    </row>
    <row r="281" ht="15.75" customHeight="1">
      <c r="A281" s="186"/>
      <c r="B281" s="186"/>
      <c r="C281" s="187"/>
      <c r="D281" s="225"/>
      <c r="E281" s="225"/>
      <c r="F281" s="226"/>
      <c r="G281" s="169"/>
    </row>
    <row r="282" ht="15.75" customHeight="1">
      <c r="A282" s="186"/>
      <c r="B282" s="186"/>
      <c r="C282" s="187"/>
      <c r="D282" s="225"/>
      <c r="E282" s="225"/>
      <c r="F282" s="226"/>
      <c r="G282" s="169"/>
    </row>
    <row r="283" ht="15.75" customHeight="1">
      <c r="A283" s="186"/>
      <c r="B283" s="186"/>
      <c r="C283" s="187"/>
      <c r="D283" s="225"/>
      <c r="E283" s="225"/>
      <c r="F283" s="226"/>
      <c r="G283" s="169"/>
    </row>
    <row r="284" ht="15.75" customHeight="1">
      <c r="A284" s="186"/>
      <c r="B284" s="186"/>
      <c r="C284" s="187"/>
      <c r="D284" s="225"/>
      <c r="E284" s="225"/>
      <c r="F284" s="226"/>
      <c r="G284" s="169"/>
    </row>
    <row r="285" ht="15.75" customHeight="1">
      <c r="A285" s="186"/>
      <c r="B285" s="186"/>
      <c r="C285" s="187"/>
      <c r="D285" s="225"/>
      <c r="E285" s="225"/>
      <c r="F285" s="226"/>
      <c r="G285" s="169"/>
    </row>
    <row r="286" ht="15.75" customHeight="1">
      <c r="A286" s="186"/>
      <c r="B286" s="186"/>
      <c r="C286" s="187"/>
      <c r="D286" s="225"/>
      <c r="E286" s="225"/>
      <c r="F286" s="226"/>
      <c r="G286" s="169"/>
    </row>
    <row r="287" ht="15.75" customHeight="1">
      <c r="A287" s="186"/>
      <c r="B287" s="186"/>
      <c r="C287" s="187"/>
      <c r="D287" s="225"/>
      <c r="E287" s="225"/>
      <c r="F287" s="226"/>
      <c r="G287" s="169"/>
    </row>
    <row r="288" ht="15.75" customHeight="1">
      <c r="A288" s="186"/>
      <c r="B288" s="186"/>
      <c r="C288" s="187"/>
      <c r="D288" s="225"/>
      <c r="E288" s="225"/>
      <c r="F288" s="226"/>
      <c r="G288" s="169"/>
    </row>
    <row r="289" ht="15.75" customHeight="1">
      <c r="A289" s="186"/>
      <c r="B289" s="186"/>
      <c r="C289" s="187"/>
      <c r="D289" s="225"/>
      <c r="E289" s="225"/>
      <c r="F289" s="226"/>
      <c r="G289" s="169"/>
    </row>
    <row r="290" ht="15.75" customHeight="1">
      <c r="A290" s="186"/>
      <c r="B290" s="186"/>
      <c r="C290" s="187"/>
      <c r="D290" s="225"/>
      <c r="E290" s="225"/>
      <c r="F290" s="226"/>
      <c r="G290" s="169"/>
    </row>
    <row r="291" ht="15.75" customHeight="1">
      <c r="A291" s="186"/>
      <c r="B291" s="186"/>
      <c r="C291" s="187"/>
      <c r="D291" s="225"/>
      <c r="E291" s="225"/>
      <c r="F291" s="226"/>
      <c r="G291" s="169"/>
    </row>
    <row r="292" ht="15.75" customHeight="1">
      <c r="A292" s="186"/>
      <c r="B292" s="186"/>
      <c r="C292" s="187"/>
      <c r="D292" s="225"/>
      <c r="E292" s="225"/>
      <c r="F292" s="226"/>
      <c r="G292" s="169"/>
    </row>
    <row r="293" ht="15.75" customHeight="1">
      <c r="A293" s="186"/>
      <c r="B293" s="186"/>
      <c r="C293" s="187"/>
      <c r="D293" s="225"/>
      <c r="E293" s="225"/>
      <c r="F293" s="226"/>
      <c r="G293" s="169"/>
    </row>
    <row r="294" ht="15.75" customHeight="1">
      <c r="A294" s="186"/>
      <c r="B294" s="186"/>
      <c r="C294" s="187"/>
      <c r="D294" s="225"/>
      <c r="E294" s="225"/>
      <c r="F294" s="226"/>
      <c r="G294" s="169"/>
    </row>
    <row r="295" ht="15.75" customHeight="1">
      <c r="A295" s="186"/>
      <c r="B295" s="186"/>
      <c r="C295" s="187"/>
      <c r="D295" s="225"/>
      <c r="E295" s="225"/>
      <c r="F295" s="226"/>
      <c r="G295" s="169"/>
    </row>
    <row r="296" ht="15.75" customHeight="1">
      <c r="A296" s="186"/>
      <c r="B296" s="186"/>
      <c r="C296" s="187"/>
      <c r="D296" s="225"/>
      <c r="E296" s="225"/>
      <c r="F296" s="226"/>
      <c r="G296" s="169"/>
    </row>
    <row r="297" ht="15.75" customHeight="1">
      <c r="A297" s="186"/>
      <c r="B297" s="186"/>
      <c r="C297" s="187"/>
      <c r="D297" s="225"/>
      <c r="E297" s="225"/>
      <c r="F297" s="226"/>
      <c r="G297" s="169"/>
    </row>
    <row r="298" ht="15.75" customHeight="1">
      <c r="A298" s="186"/>
      <c r="B298" s="186"/>
      <c r="C298" s="187"/>
      <c r="D298" s="225"/>
      <c r="E298" s="225"/>
      <c r="F298" s="226"/>
      <c r="G298" s="169"/>
    </row>
    <row r="299" ht="15.75" customHeight="1">
      <c r="A299" s="186"/>
      <c r="B299" s="186"/>
      <c r="C299" s="187"/>
      <c r="D299" s="225"/>
      <c r="E299" s="225"/>
      <c r="F299" s="226"/>
      <c r="G299" s="169"/>
    </row>
    <row r="300" ht="15.75" customHeight="1">
      <c r="A300" s="186"/>
      <c r="B300" s="186"/>
      <c r="C300" s="187"/>
      <c r="D300" s="225"/>
      <c r="E300" s="225"/>
      <c r="F300" s="226"/>
      <c r="G300" s="169"/>
    </row>
    <row r="301" ht="15.75" customHeight="1">
      <c r="A301" s="186"/>
      <c r="B301" s="186"/>
      <c r="C301" s="187"/>
      <c r="D301" s="225"/>
      <c r="E301" s="225"/>
      <c r="F301" s="226"/>
      <c r="G301" s="169"/>
    </row>
    <row r="302" ht="15.75" customHeight="1">
      <c r="A302" s="186"/>
      <c r="B302" s="186"/>
      <c r="C302" s="187"/>
      <c r="D302" s="225"/>
      <c r="E302" s="225"/>
      <c r="F302" s="226"/>
      <c r="G302" s="169"/>
    </row>
    <row r="303" ht="15.75" customHeight="1">
      <c r="A303" s="186"/>
      <c r="B303" s="186"/>
      <c r="C303" s="187"/>
      <c r="D303" s="225"/>
      <c r="E303" s="225"/>
      <c r="F303" s="226"/>
      <c r="G303" s="169"/>
    </row>
    <row r="304" ht="15.75" customHeight="1">
      <c r="A304" s="186"/>
      <c r="B304" s="186"/>
      <c r="C304" s="187"/>
      <c r="D304" s="225"/>
      <c r="E304" s="225"/>
      <c r="F304" s="226"/>
      <c r="G304" s="169"/>
    </row>
    <row r="305" ht="15.75" customHeight="1">
      <c r="A305" s="186"/>
      <c r="B305" s="186"/>
      <c r="C305" s="187"/>
      <c r="D305" s="225"/>
      <c r="E305" s="225"/>
      <c r="F305" s="226"/>
      <c r="G305" s="169"/>
    </row>
    <row r="306" ht="15.75" customHeight="1">
      <c r="A306" s="186"/>
      <c r="B306" s="186"/>
      <c r="C306" s="187"/>
      <c r="D306" s="225"/>
      <c r="E306" s="225"/>
      <c r="F306" s="226"/>
      <c r="G306" s="169"/>
    </row>
    <row r="307" ht="15.75" customHeight="1">
      <c r="A307" s="186"/>
      <c r="B307" s="186"/>
      <c r="C307" s="187"/>
      <c r="D307" s="225"/>
      <c r="E307" s="225"/>
      <c r="F307" s="226"/>
      <c r="G307" s="169"/>
    </row>
    <row r="308" ht="15.75" customHeight="1">
      <c r="A308" s="186"/>
      <c r="B308" s="186"/>
      <c r="C308" s="187"/>
      <c r="D308" s="225"/>
      <c r="E308" s="225"/>
      <c r="F308" s="226"/>
      <c r="G308" s="169"/>
    </row>
    <row r="309" ht="15.75" customHeight="1">
      <c r="A309" s="186"/>
      <c r="B309" s="186"/>
      <c r="C309" s="187"/>
      <c r="D309" s="225"/>
      <c r="E309" s="225"/>
      <c r="F309" s="226"/>
      <c r="G309" s="169"/>
    </row>
    <row r="310" ht="15.75" customHeight="1">
      <c r="A310" s="186"/>
      <c r="B310" s="186"/>
      <c r="C310" s="187"/>
      <c r="D310" s="225"/>
      <c r="E310" s="225"/>
      <c r="F310" s="226"/>
      <c r="G310" s="169"/>
    </row>
    <row r="311" ht="15.75" customHeight="1">
      <c r="A311" s="186"/>
      <c r="B311" s="186"/>
      <c r="C311" s="187"/>
      <c r="D311" s="225"/>
      <c r="E311" s="225"/>
      <c r="F311" s="226"/>
      <c r="G311" s="169"/>
    </row>
    <row r="312" ht="15.75" customHeight="1">
      <c r="A312" s="186"/>
      <c r="B312" s="186"/>
      <c r="C312" s="187"/>
      <c r="D312" s="225"/>
      <c r="E312" s="225"/>
      <c r="F312" s="226"/>
      <c r="G312" s="169"/>
    </row>
    <row r="313" ht="15.75" customHeight="1">
      <c r="A313" s="186"/>
      <c r="B313" s="186"/>
      <c r="C313" s="187"/>
      <c r="D313" s="225"/>
      <c r="E313" s="225"/>
      <c r="F313" s="226"/>
      <c r="G313" s="169"/>
    </row>
    <row r="314" ht="15.75" customHeight="1">
      <c r="A314" s="186"/>
      <c r="B314" s="186"/>
      <c r="C314" s="187"/>
      <c r="D314" s="225"/>
      <c r="E314" s="225"/>
      <c r="F314" s="226"/>
      <c r="G314" s="169"/>
    </row>
    <row r="315" ht="15.75" customHeight="1">
      <c r="A315" s="186"/>
      <c r="B315" s="186"/>
      <c r="C315" s="187"/>
      <c r="D315" s="225"/>
      <c r="E315" s="225"/>
      <c r="F315" s="226"/>
      <c r="G315" s="169"/>
    </row>
    <row r="316" ht="15.75" customHeight="1">
      <c r="A316" s="186"/>
      <c r="B316" s="186"/>
      <c r="C316" s="187"/>
      <c r="D316" s="225"/>
      <c r="E316" s="225"/>
      <c r="F316" s="226"/>
      <c r="G316" s="169"/>
    </row>
    <row r="317" ht="15.75" customHeight="1">
      <c r="A317" s="186"/>
      <c r="B317" s="186"/>
      <c r="C317" s="187"/>
      <c r="D317" s="225"/>
      <c r="E317" s="225"/>
      <c r="F317" s="226"/>
      <c r="G317" s="169"/>
    </row>
    <row r="318" ht="15.75" customHeight="1">
      <c r="A318" s="186"/>
      <c r="B318" s="186"/>
      <c r="C318" s="187"/>
      <c r="D318" s="225"/>
      <c r="E318" s="225"/>
      <c r="F318" s="226"/>
      <c r="G318" s="169"/>
    </row>
    <row r="319" ht="15.75" customHeight="1">
      <c r="A319" s="186"/>
      <c r="B319" s="186"/>
      <c r="C319" s="187"/>
      <c r="D319" s="225"/>
      <c r="E319" s="225"/>
      <c r="F319" s="226"/>
      <c r="G319" s="169"/>
    </row>
    <row r="320" ht="15.75" customHeight="1">
      <c r="A320" s="186"/>
      <c r="B320" s="186"/>
      <c r="C320" s="187"/>
      <c r="D320" s="225"/>
      <c r="E320" s="225"/>
      <c r="F320" s="226"/>
      <c r="G320" s="169"/>
    </row>
    <row r="321" ht="15.75" customHeight="1">
      <c r="A321" s="186"/>
      <c r="B321" s="186"/>
      <c r="C321" s="187"/>
      <c r="D321" s="225"/>
      <c r="E321" s="225"/>
      <c r="F321" s="226"/>
      <c r="G321" s="169"/>
    </row>
    <row r="322" ht="15.75" customHeight="1">
      <c r="A322" s="186"/>
      <c r="B322" s="186"/>
      <c r="C322" s="187"/>
      <c r="D322" s="225"/>
      <c r="E322" s="225"/>
      <c r="F322" s="226"/>
      <c r="G322" s="169"/>
    </row>
    <row r="323" ht="15.75" customHeight="1">
      <c r="A323" s="186"/>
      <c r="B323" s="186"/>
      <c r="C323" s="187"/>
      <c r="D323" s="225"/>
      <c r="E323" s="225"/>
      <c r="F323" s="226"/>
      <c r="G323" s="169"/>
    </row>
    <row r="324" ht="15.75" customHeight="1">
      <c r="A324" s="186"/>
      <c r="B324" s="186"/>
      <c r="C324" s="187"/>
      <c r="D324" s="225"/>
      <c r="E324" s="225"/>
      <c r="F324" s="226"/>
      <c r="G324" s="169"/>
    </row>
    <row r="325" ht="15.75" customHeight="1">
      <c r="A325" s="186"/>
      <c r="B325" s="186"/>
      <c r="C325" s="187"/>
      <c r="D325" s="225"/>
      <c r="E325" s="225"/>
      <c r="F325" s="226"/>
      <c r="G325" s="169"/>
    </row>
    <row r="326" ht="15.75" customHeight="1">
      <c r="A326" s="186"/>
      <c r="B326" s="186"/>
      <c r="C326" s="187"/>
      <c r="D326" s="225"/>
      <c r="E326" s="225"/>
      <c r="F326" s="226"/>
      <c r="G326" s="169"/>
    </row>
    <row r="327" ht="15.75" customHeight="1">
      <c r="A327" s="186"/>
      <c r="B327" s="186"/>
      <c r="C327" s="187"/>
      <c r="D327" s="225"/>
      <c r="E327" s="225"/>
      <c r="F327" s="226"/>
      <c r="G327" s="169"/>
    </row>
    <row r="328" ht="15.75" customHeight="1">
      <c r="A328" s="186"/>
      <c r="B328" s="186"/>
      <c r="C328" s="187"/>
      <c r="D328" s="225"/>
      <c r="E328" s="225"/>
      <c r="F328" s="226"/>
      <c r="G328" s="169"/>
    </row>
    <row r="329" ht="15.75" customHeight="1">
      <c r="A329" s="186"/>
      <c r="B329" s="186"/>
      <c r="C329" s="187"/>
      <c r="D329" s="225"/>
      <c r="E329" s="225"/>
      <c r="F329" s="226"/>
      <c r="G329" s="169"/>
    </row>
    <row r="330" ht="15.75" customHeight="1">
      <c r="A330" s="186"/>
      <c r="B330" s="186"/>
      <c r="C330" s="187"/>
      <c r="D330" s="225"/>
      <c r="E330" s="225"/>
      <c r="F330" s="226"/>
      <c r="G330" s="169"/>
    </row>
    <row r="331" ht="15.75" customHeight="1">
      <c r="A331" s="186"/>
      <c r="B331" s="186"/>
      <c r="C331" s="187"/>
      <c r="D331" s="225"/>
      <c r="E331" s="225"/>
      <c r="F331" s="226"/>
      <c r="G331" s="169"/>
    </row>
    <row r="332" ht="15.75" customHeight="1">
      <c r="A332" s="186"/>
      <c r="B332" s="186"/>
      <c r="C332" s="187"/>
      <c r="D332" s="225"/>
      <c r="E332" s="225"/>
      <c r="F332" s="226"/>
      <c r="G332" s="169"/>
    </row>
    <row r="333" ht="15.75" customHeight="1">
      <c r="A333" s="186"/>
      <c r="B333" s="186"/>
      <c r="C333" s="187"/>
      <c r="D333" s="225"/>
      <c r="E333" s="225"/>
      <c r="F333" s="226"/>
      <c r="G333" s="169"/>
    </row>
    <row r="334" ht="15.75" customHeight="1">
      <c r="A334" s="186"/>
      <c r="B334" s="186"/>
      <c r="C334" s="187"/>
      <c r="D334" s="225"/>
      <c r="E334" s="225"/>
      <c r="F334" s="226"/>
      <c r="G334" s="169"/>
    </row>
    <row r="335" ht="15.75" customHeight="1">
      <c r="A335" s="186"/>
      <c r="B335" s="186"/>
      <c r="C335" s="187"/>
      <c r="D335" s="225"/>
      <c r="E335" s="225"/>
      <c r="F335" s="226"/>
      <c r="G335" s="169"/>
    </row>
    <row r="336" ht="15.75" customHeight="1">
      <c r="A336" s="186"/>
      <c r="B336" s="186"/>
      <c r="C336" s="187"/>
      <c r="D336" s="225"/>
      <c r="E336" s="225"/>
      <c r="F336" s="226"/>
      <c r="G336" s="169"/>
    </row>
    <row r="337" ht="15.75" customHeight="1">
      <c r="A337" s="186"/>
      <c r="B337" s="186"/>
      <c r="C337" s="187"/>
      <c r="D337" s="225"/>
      <c r="E337" s="225"/>
      <c r="F337" s="226"/>
      <c r="G337" s="169"/>
    </row>
    <row r="338" ht="15.75" customHeight="1">
      <c r="A338" s="186"/>
      <c r="B338" s="186"/>
      <c r="C338" s="187"/>
      <c r="D338" s="225"/>
      <c r="E338" s="225"/>
      <c r="F338" s="226"/>
      <c r="G338" s="169"/>
    </row>
    <row r="339" ht="15.75" customHeight="1">
      <c r="A339" s="186"/>
      <c r="B339" s="186"/>
      <c r="C339" s="187"/>
      <c r="D339" s="225"/>
      <c r="E339" s="225"/>
      <c r="F339" s="226"/>
      <c r="G339" s="169"/>
    </row>
    <row r="340" ht="15.75" customHeight="1">
      <c r="A340" s="186"/>
      <c r="B340" s="186"/>
      <c r="C340" s="187"/>
      <c r="D340" s="225"/>
      <c r="E340" s="225"/>
      <c r="F340" s="226"/>
      <c r="G340" s="169"/>
    </row>
    <row r="341" ht="15.75" customHeight="1">
      <c r="A341" s="186"/>
      <c r="B341" s="186"/>
      <c r="C341" s="187"/>
      <c r="D341" s="225"/>
      <c r="E341" s="225"/>
      <c r="F341" s="226"/>
      <c r="G341" s="169"/>
    </row>
    <row r="342" ht="15.75" customHeight="1">
      <c r="A342" s="186"/>
      <c r="B342" s="186"/>
      <c r="C342" s="187"/>
      <c r="D342" s="225"/>
      <c r="E342" s="225"/>
      <c r="F342" s="226"/>
      <c r="G342" s="169"/>
    </row>
    <row r="343" ht="15.75" customHeight="1">
      <c r="A343" s="186"/>
      <c r="B343" s="186"/>
      <c r="C343" s="187"/>
      <c r="D343" s="225"/>
      <c r="E343" s="225"/>
      <c r="F343" s="226"/>
      <c r="G343" s="169"/>
    </row>
    <row r="344" ht="15.75" customHeight="1">
      <c r="A344" s="186"/>
      <c r="B344" s="186"/>
      <c r="C344" s="187"/>
      <c r="D344" s="225"/>
      <c r="E344" s="225"/>
      <c r="F344" s="226"/>
      <c r="G344" s="169"/>
    </row>
    <row r="345" ht="15.75" customHeight="1">
      <c r="A345" s="186"/>
      <c r="B345" s="186"/>
      <c r="C345" s="187"/>
      <c r="D345" s="225"/>
      <c r="E345" s="225"/>
      <c r="F345" s="226"/>
      <c r="G345" s="169"/>
    </row>
    <row r="346" ht="15.75" customHeight="1">
      <c r="A346" s="186"/>
      <c r="B346" s="186"/>
      <c r="C346" s="187"/>
      <c r="D346" s="225"/>
      <c r="E346" s="225"/>
      <c r="F346" s="226"/>
      <c r="G346" s="169"/>
    </row>
    <row r="347" ht="15.75" customHeight="1">
      <c r="A347" s="186"/>
      <c r="B347" s="186"/>
      <c r="C347" s="187"/>
      <c r="D347" s="225"/>
      <c r="E347" s="225"/>
      <c r="F347" s="226"/>
      <c r="G347" s="169"/>
    </row>
    <row r="348" ht="15.75" customHeight="1">
      <c r="A348" s="186"/>
      <c r="B348" s="186"/>
      <c r="C348" s="187"/>
      <c r="D348" s="225"/>
      <c r="E348" s="225"/>
      <c r="F348" s="226"/>
      <c r="G348" s="169"/>
    </row>
    <row r="349" ht="15.75" customHeight="1">
      <c r="A349" s="186"/>
      <c r="B349" s="186"/>
      <c r="C349" s="187"/>
      <c r="D349" s="225"/>
      <c r="E349" s="225"/>
      <c r="F349" s="226"/>
      <c r="G349" s="169"/>
    </row>
    <row r="350" ht="15.75" customHeight="1">
      <c r="A350" s="186"/>
      <c r="B350" s="186"/>
      <c r="C350" s="187"/>
      <c r="D350" s="225"/>
      <c r="E350" s="225"/>
      <c r="F350" s="226"/>
      <c r="G350" s="169"/>
    </row>
    <row r="351" ht="15.75" customHeight="1">
      <c r="A351" s="186"/>
      <c r="B351" s="186"/>
      <c r="C351" s="187"/>
      <c r="D351" s="225"/>
      <c r="E351" s="225"/>
      <c r="F351" s="226"/>
      <c r="G351" s="169"/>
    </row>
    <row r="352" ht="15.75" customHeight="1">
      <c r="A352" s="186"/>
      <c r="B352" s="186"/>
      <c r="C352" s="187"/>
      <c r="D352" s="225"/>
      <c r="E352" s="225"/>
      <c r="F352" s="226"/>
      <c r="G352" s="169"/>
    </row>
    <row r="353" ht="15.75" customHeight="1">
      <c r="A353" s="186"/>
      <c r="B353" s="186"/>
      <c r="C353" s="187"/>
      <c r="D353" s="225"/>
      <c r="E353" s="225"/>
      <c r="F353" s="226"/>
      <c r="G353" s="169"/>
    </row>
    <row r="354" ht="15.75" customHeight="1">
      <c r="A354" s="186"/>
      <c r="B354" s="186"/>
      <c r="C354" s="187"/>
      <c r="D354" s="225"/>
      <c r="E354" s="225"/>
      <c r="F354" s="226"/>
      <c r="G354" s="169"/>
    </row>
    <row r="355" ht="15.75" customHeight="1">
      <c r="A355" s="186"/>
      <c r="B355" s="186"/>
      <c r="C355" s="187"/>
      <c r="D355" s="225"/>
      <c r="E355" s="225"/>
      <c r="F355" s="226"/>
      <c r="G355" s="169"/>
    </row>
    <row r="356" ht="15.75" customHeight="1">
      <c r="A356" s="186"/>
      <c r="B356" s="186"/>
      <c r="C356" s="187"/>
      <c r="D356" s="225"/>
      <c r="E356" s="225"/>
      <c r="F356" s="226"/>
      <c r="G356" s="169"/>
    </row>
    <row r="357" ht="15.75" customHeight="1">
      <c r="A357" s="186"/>
      <c r="B357" s="186"/>
      <c r="C357" s="187"/>
      <c r="D357" s="225"/>
      <c r="E357" s="225"/>
      <c r="F357" s="226"/>
      <c r="G357" s="169"/>
    </row>
    <row r="358" ht="15.75" customHeight="1">
      <c r="A358" s="186"/>
      <c r="B358" s="186"/>
      <c r="C358" s="187"/>
      <c r="D358" s="225"/>
      <c r="E358" s="225"/>
      <c r="F358" s="226"/>
      <c r="G358" s="169"/>
    </row>
    <row r="359" ht="15.75" customHeight="1">
      <c r="A359" s="186"/>
      <c r="B359" s="186"/>
      <c r="C359" s="187"/>
      <c r="D359" s="225"/>
      <c r="E359" s="225"/>
      <c r="F359" s="226"/>
      <c r="G359" s="169"/>
    </row>
    <row r="360" ht="15.75" customHeight="1">
      <c r="A360" s="186"/>
      <c r="B360" s="186"/>
      <c r="C360" s="187"/>
      <c r="D360" s="225"/>
      <c r="E360" s="225"/>
      <c r="F360" s="226"/>
      <c r="G360" s="169"/>
    </row>
    <row r="361" ht="15.75" customHeight="1">
      <c r="A361" s="186"/>
      <c r="B361" s="186"/>
      <c r="C361" s="187"/>
      <c r="D361" s="225"/>
      <c r="E361" s="225"/>
      <c r="F361" s="226"/>
      <c r="G361" s="169"/>
    </row>
    <row r="362" ht="15.75" customHeight="1">
      <c r="A362" s="186"/>
      <c r="B362" s="186"/>
      <c r="C362" s="187"/>
      <c r="D362" s="225"/>
      <c r="E362" s="225"/>
      <c r="F362" s="226"/>
      <c r="G362" s="169"/>
    </row>
    <row r="363" ht="15.75" customHeight="1">
      <c r="A363" s="186"/>
      <c r="B363" s="186"/>
      <c r="C363" s="187"/>
      <c r="D363" s="225"/>
      <c r="E363" s="225"/>
      <c r="F363" s="226"/>
      <c r="G363" s="169"/>
    </row>
    <row r="364" ht="15.75" customHeight="1">
      <c r="A364" s="186"/>
      <c r="B364" s="186"/>
      <c r="C364" s="187"/>
      <c r="D364" s="225"/>
      <c r="E364" s="225"/>
      <c r="F364" s="226"/>
      <c r="G364" s="169"/>
    </row>
    <row r="365" ht="15.75" customHeight="1">
      <c r="A365" s="186"/>
      <c r="B365" s="186"/>
      <c r="C365" s="187"/>
      <c r="D365" s="225"/>
      <c r="E365" s="225"/>
      <c r="F365" s="226"/>
      <c r="G365" s="169"/>
    </row>
    <row r="366" ht="15.75" customHeight="1">
      <c r="A366" s="186"/>
      <c r="B366" s="186"/>
      <c r="C366" s="187"/>
      <c r="D366" s="225"/>
      <c r="E366" s="225"/>
      <c r="F366" s="226"/>
      <c r="G366" s="169"/>
    </row>
    <row r="367" ht="15.75" customHeight="1">
      <c r="A367" s="186"/>
      <c r="B367" s="186"/>
      <c r="C367" s="187"/>
      <c r="D367" s="225"/>
      <c r="E367" s="225"/>
      <c r="F367" s="226"/>
      <c r="G367" s="169"/>
    </row>
    <row r="368" ht="15.75" customHeight="1">
      <c r="A368" s="186"/>
      <c r="B368" s="186"/>
      <c r="C368" s="187"/>
      <c r="D368" s="225"/>
      <c r="E368" s="225"/>
      <c r="F368" s="226"/>
      <c r="G368" s="169"/>
    </row>
    <row r="369" ht="15.75" customHeight="1">
      <c r="A369" s="186"/>
      <c r="B369" s="186"/>
      <c r="C369" s="187"/>
      <c r="D369" s="225"/>
      <c r="E369" s="225"/>
      <c r="F369" s="226"/>
      <c r="G369" s="169"/>
    </row>
    <row r="370" ht="15.75" customHeight="1">
      <c r="A370" s="186"/>
      <c r="B370" s="186"/>
      <c r="C370" s="187"/>
      <c r="D370" s="225"/>
      <c r="E370" s="225"/>
      <c r="F370" s="226"/>
      <c r="G370" s="169"/>
    </row>
    <row r="371" ht="15.75" customHeight="1">
      <c r="A371" s="186"/>
      <c r="B371" s="186"/>
      <c r="C371" s="187"/>
      <c r="D371" s="225"/>
      <c r="E371" s="225"/>
      <c r="F371" s="226"/>
      <c r="G371" s="169"/>
    </row>
    <row r="372" ht="15.75" customHeight="1">
      <c r="A372" s="186"/>
      <c r="B372" s="186"/>
      <c r="C372" s="187"/>
      <c r="D372" s="225"/>
      <c r="E372" s="225"/>
      <c r="F372" s="226"/>
      <c r="G372" s="169"/>
    </row>
    <row r="373" ht="15.75" customHeight="1">
      <c r="A373" s="186"/>
      <c r="B373" s="186"/>
      <c r="C373" s="187"/>
      <c r="D373" s="225"/>
      <c r="E373" s="225"/>
      <c r="F373" s="226"/>
      <c r="G373" s="169"/>
    </row>
    <row r="374" ht="15.75" customHeight="1">
      <c r="A374" s="186"/>
      <c r="B374" s="186"/>
      <c r="C374" s="187"/>
      <c r="D374" s="225"/>
      <c r="E374" s="225"/>
      <c r="F374" s="226"/>
      <c r="G374" s="169"/>
    </row>
    <row r="375" ht="15.75" customHeight="1">
      <c r="A375" s="186"/>
      <c r="B375" s="186"/>
      <c r="C375" s="187"/>
      <c r="D375" s="225"/>
      <c r="E375" s="225"/>
      <c r="F375" s="226"/>
      <c r="G375" s="169"/>
    </row>
    <row r="376" ht="15.75" customHeight="1">
      <c r="A376" s="186"/>
      <c r="B376" s="186"/>
      <c r="C376" s="187"/>
      <c r="D376" s="225"/>
      <c r="E376" s="225"/>
      <c r="F376" s="226"/>
      <c r="G376" s="169"/>
    </row>
    <row r="377" ht="15.75" customHeight="1">
      <c r="A377" s="186"/>
      <c r="B377" s="186"/>
      <c r="C377" s="187"/>
      <c r="D377" s="225"/>
      <c r="E377" s="225"/>
      <c r="F377" s="226"/>
      <c r="G377" s="169"/>
    </row>
    <row r="378" ht="15.75" customHeight="1">
      <c r="A378" s="186"/>
      <c r="B378" s="186"/>
      <c r="C378" s="187"/>
      <c r="D378" s="225"/>
      <c r="E378" s="225"/>
      <c r="F378" s="226"/>
      <c r="G378" s="169"/>
    </row>
    <row r="379" ht="15.75" customHeight="1">
      <c r="A379" s="186"/>
      <c r="B379" s="186"/>
      <c r="C379" s="187"/>
      <c r="D379" s="225"/>
      <c r="E379" s="225"/>
      <c r="F379" s="226"/>
      <c r="G379" s="169"/>
    </row>
    <row r="380" ht="15.75" customHeight="1">
      <c r="A380" s="186"/>
      <c r="B380" s="186"/>
      <c r="C380" s="187"/>
      <c r="D380" s="225"/>
      <c r="E380" s="225"/>
      <c r="F380" s="226"/>
      <c r="G380" s="169"/>
    </row>
    <row r="381" ht="15.75" customHeight="1">
      <c r="A381" s="186"/>
      <c r="B381" s="186"/>
      <c r="C381" s="187"/>
      <c r="D381" s="225"/>
      <c r="E381" s="225"/>
      <c r="F381" s="226"/>
      <c r="G381" s="169"/>
    </row>
    <row r="382" ht="15.75" customHeight="1">
      <c r="A382" s="186"/>
      <c r="B382" s="186"/>
      <c r="C382" s="187"/>
      <c r="D382" s="225"/>
      <c r="E382" s="225"/>
      <c r="F382" s="226"/>
      <c r="G382" s="169"/>
    </row>
    <row r="383" ht="15.75" customHeight="1">
      <c r="A383" s="186"/>
      <c r="B383" s="186"/>
      <c r="C383" s="187"/>
      <c r="D383" s="225"/>
      <c r="E383" s="225"/>
      <c r="F383" s="226"/>
      <c r="G383" s="169"/>
    </row>
    <row r="384" ht="15.75" customHeight="1">
      <c r="A384" s="186"/>
      <c r="B384" s="186"/>
      <c r="C384" s="187"/>
      <c r="D384" s="225"/>
      <c r="E384" s="225"/>
      <c r="F384" s="226"/>
      <c r="G384" s="169"/>
    </row>
    <row r="385" ht="15.75" customHeight="1">
      <c r="A385" s="186"/>
      <c r="B385" s="186"/>
      <c r="C385" s="187"/>
      <c r="D385" s="225"/>
      <c r="E385" s="225"/>
      <c r="F385" s="226"/>
      <c r="G385" s="169"/>
    </row>
    <row r="386" ht="15.75" customHeight="1">
      <c r="A386" s="186"/>
      <c r="B386" s="186"/>
      <c r="C386" s="187"/>
      <c r="D386" s="225"/>
      <c r="E386" s="225"/>
      <c r="F386" s="226"/>
      <c r="G386" s="169"/>
    </row>
    <row r="387" ht="15.75" customHeight="1">
      <c r="A387" s="186"/>
      <c r="B387" s="186"/>
      <c r="C387" s="187"/>
      <c r="D387" s="225"/>
      <c r="E387" s="225"/>
      <c r="F387" s="226"/>
      <c r="G387" s="169"/>
    </row>
    <row r="388" ht="15.75" customHeight="1">
      <c r="A388" s="186"/>
      <c r="B388" s="186"/>
      <c r="C388" s="187"/>
      <c r="D388" s="225"/>
      <c r="E388" s="225"/>
      <c r="F388" s="226"/>
      <c r="G388" s="169"/>
    </row>
    <row r="389" ht="15.75" customHeight="1">
      <c r="A389" s="186"/>
      <c r="B389" s="186"/>
      <c r="C389" s="187"/>
      <c r="D389" s="225"/>
      <c r="E389" s="225"/>
      <c r="F389" s="226"/>
      <c r="G389" s="169"/>
    </row>
    <row r="390" ht="15.75" customHeight="1">
      <c r="A390" s="186"/>
      <c r="B390" s="186"/>
      <c r="C390" s="187"/>
      <c r="D390" s="225"/>
      <c r="E390" s="225"/>
      <c r="F390" s="226"/>
      <c r="G390" s="169"/>
    </row>
    <row r="391" ht="15.75" customHeight="1">
      <c r="A391" s="186"/>
      <c r="B391" s="186"/>
      <c r="C391" s="187"/>
      <c r="D391" s="225"/>
      <c r="E391" s="225"/>
      <c r="F391" s="226"/>
      <c r="G391" s="169"/>
    </row>
    <row r="392" ht="15.75" customHeight="1">
      <c r="A392" s="186"/>
      <c r="B392" s="186"/>
      <c r="C392" s="187"/>
      <c r="D392" s="225"/>
      <c r="E392" s="225"/>
      <c r="F392" s="226"/>
      <c r="G392" s="169"/>
    </row>
    <row r="393" ht="15.75" customHeight="1">
      <c r="A393" s="186"/>
      <c r="B393" s="186"/>
      <c r="C393" s="187"/>
      <c r="D393" s="225"/>
      <c r="E393" s="225"/>
      <c r="F393" s="226"/>
      <c r="G393" s="169"/>
    </row>
    <row r="394" ht="15.75" customHeight="1">
      <c r="A394" s="186"/>
      <c r="B394" s="186"/>
      <c r="C394" s="187"/>
      <c r="D394" s="225"/>
      <c r="E394" s="225"/>
      <c r="F394" s="226"/>
      <c r="G394" s="169"/>
    </row>
    <row r="395" ht="15.75" customHeight="1">
      <c r="A395" s="186"/>
      <c r="B395" s="186"/>
      <c r="C395" s="187"/>
      <c r="D395" s="225"/>
      <c r="E395" s="225"/>
      <c r="F395" s="226"/>
      <c r="G395" s="169"/>
    </row>
    <row r="396" ht="15.75" customHeight="1">
      <c r="A396" s="186"/>
      <c r="B396" s="186"/>
      <c r="C396" s="187"/>
      <c r="D396" s="225"/>
      <c r="E396" s="225"/>
      <c r="F396" s="226"/>
      <c r="G396" s="169"/>
    </row>
    <row r="397" ht="15.75" customHeight="1">
      <c r="A397" s="186"/>
      <c r="B397" s="186"/>
      <c r="C397" s="187"/>
      <c r="D397" s="225"/>
      <c r="E397" s="225"/>
      <c r="F397" s="226"/>
      <c r="G397" s="169"/>
    </row>
    <row r="398" ht="15.75" customHeight="1">
      <c r="A398" s="186"/>
      <c r="B398" s="186"/>
      <c r="C398" s="187"/>
      <c r="D398" s="225"/>
      <c r="E398" s="225"/>
      <c r="F398" s="226"/>
      <c r="G398" s="169"/>
    </row>
    <row r="399" ht="15.75" customHeight="1">
      <c r="A399" s="186"/>
      <c r="B399" s="186"/>
      <c r="C399" s="187"/>
      <c r="D399" s="225"/>
      <c r="E399" s="225"/>
      <c r="F399" s="226"/>
      <c r="G399" s="169"/>
    </row>
    <row r="400" ht="15.75" customHeight="1">
      <c r="A400" s="186"/>
      <c r="B400" s="186"/>
      <c r="C400" s="187"/>
      <c r="D400" s="225"/>
      <c r="E400" s="225"/>
      <c r="F400" s="226"/>
      <c r="G400" s="169"/>
    </row>
    <row r="401" ht="15.75" customHeight="1">
      <c r="A401" s="186"/>
      <c r="B401" s="186"/>
      <c r="C401" s="187"/>
      <c r="D401" s="225"/>
      <c r="E401" s="225"/>
      <c r="F401" s="226"/>
      <c r="G401" s="169"/>
    </row>
    <row r="402" ht="15.75" customHeight="1">
      <c r="A402" s="186"/>
      <c r="B402" s="186"/>
      <c r="C402" s="187"/>
      <c r="D402" s="225"/>
      <c r="E402" s="225"/>
      <c r="F402" s="226"/>
      <c r="G402" s="169"/>
    </row>
    <row r="403" ht="15.75" customHeight="1">
      <c r="A403" s="186"/>
      <c r="B403" s="186"/>
      <c r="C403" s="187"/>
      <c r="D403" s="225"/>
      <c r="E403" s="225"/>
      <c r="F403" s="226"/>
      <c r="G403" s="169"/>
    </row>
    <row r="404" ht="15.75" customHeight="1">
      <c r="A404" s="186"/>
      <c r="B404" s="186"/>
      <c r="C404" s="187"/>
      <c r="D404" s="225"/>
      <c r="E404" s="225"/>
      <c r="F404" s="226"/>
      <c r="G404" s="169"/>
    </row>
    <row r="405" ht="15.75" customHeight="1">
      <c r="A405" s="186"/>
      <c r="B405" s="186"/>
      <c r="C405" s="187"/>
      <c r="D405" s="225"/>
      <c r="E405" s="225"/>
      <c r="F405" s="226"/>
      <c r="G405" s="169"/>
    </row>
    <row r="406" ht="15.75" customHeight="1">
      <c r="A406" s="186"/>
      <c r="B406" s="186"/>
      <c r="C406" s="187"/>
      <c r="D406" s="225"/>
      <c r="E406" s="225"/>
      <c r="F406" s="226"/>
      <c r="G406" s="169"/>
    </row>
    <row r="407" ht="15.75" customHeight="1">
      <c r="A407" s="186"/>
      <c r="B407" s="186"/>
      <c r="C407" s="187"/>
      <c r="D407" s="225"/>
      <c r="E407" s="225"/>
      <c r="F407" s="226"/>
      <c r="G407" s="169"/>
    </row>
    <row r="408" ht="15.75" customHeight="1">
      <c r="A408" s="186"/>
      <c r="B408" s="186"/>
      <c r="C408" s="187"/>
      <c r="D408" s="225"/>
      <c r="E408" s="225"/>
      <c r="F408" s="226"/>
      <c r="G408" s="169"/>
    </row>
    <row r="409" ht="15.75" customHeight="1">
      <c r="A409" s="186"/>
      <c r="B409" s="186"/>
      <c r="C409" s="187"/>
      <c r="D409" s="225"/>
      <c r="E409" s="225"/>
      <c r="F409" s="226"/>
      <c r="G409" s="169"/>
    </row>
    <row r="410" ht="15.75" customHeight="1">
      <c r="A410" s="186"/>
      <c r="B410" s="186"/>
      <c r="C410" s="187"/>
      <c r="D410" s="225"/>
      <c r="E410" s="225"/>
      <c r="F410" s="226"/>
      <c r="G410" s="169"/>
    </row>
    <row r="411" ht="15.75" customHeight="1">
      <c r="A411" s="186"/>
      <c r="B411" s="186"/>
      <c r="C411" s="187"/>
      <c r="D411" s="225"/>
      <c r="E411" s="225"/>
      <c r="F411" s="226"/>
      <c r="G411" s="169"/>
    </row>
    <row r="412" ht="15.75" customHeight="1">
      <c r="A412" s="186"/>
      <c r="B412" s="186"/>
      <c r="C412" s="187"/>
      <c r="D412" s="225"/>
      <c r="E412" s="225"/>
      <c r="F412" s="226"/>
      <c r="G412" s="169"/>
    </row>
    <row r="413" ht="15.75" customHeight="1">
      <c r="A413" s="186"/>
      <c r="B413" s="186"/>
      <c r="C413" s="187"/>
      <c r="D413" s="225"/>
      <c r="E413" s="225"/>
      <c r="F413" s="226"/>
      <c r="G413" s="169"/>
    </row>
    <row r="414" ht="15.75" customHeight="1">
      <c r="A414" s="186"/>
      <c r="B414" s="186"/>
      <c r="C414" s="187"/>
      <c r="D414" s="225"/>
      <c r="E414" s="225"/>
      <c r="F414" s="226"/>
      <c r="G414" s="169"/>
    </row>
    <row r="415" ht="15.75" customHeight="1">
      <c r="A415" s="186"/>
      <c r="B415" s="186"/>
      <c r="C415" s="187"/>
      <c r="D415" s="225"/>
      <c r="E415" s="225"/>
      <c r="F415" s="226"/>
      <c r="G415" s="169"/>
    </row>
    <row r="416" ht="15.75" customHeight="1">
      <c r="A416" s="186"/>
      <c r="B416" s="186"/>
      <c r="C416" s="187"/>
      <c r="D416" s="225"/>
      <c r="E416" s="225"/>
      <c r="F416" s="226"/>
      <c r="G416" s="169"/>
    </row>
    <row r="417" ht="15.75" customHeight="1">
      <c r="A417" s="186"/>
      <c r="B417" s="186"/>
      <c r="C417" s="187"/>
      <c r="D417" s="225"/>
      <c r="E417" s="225"/>
      <c r="F417" s="226"/>
      <c r="G417" s="169"/>
    </row>
    <row r="418" ht="15.75" customHeight="1">
      <c r="A418" s="186"/>
      <c r="B418" s="186"/>
      <c r="C418" s="187"/>
      <c r="D418" s="225"/>
      <c r="E418" s="225"/>
      <c r="F418" s="226"/>
      <c r="G418" s="169"/>
    </row>
    <row r="419" ht="15.75" customHeight="1">
      <c r="A419" s="186"/>
      <c r="B419" s="186"/>
      <c r="C419" s="187"/>
      <c r="D419" s="225"/>
      <c r="E419" s="225"/>
      <c r="F419" s="226"/>
      <c r="G419" s="169"/>
    </row>
    <row r="420" ht="15.75" customHeight="1">
      <c r="A420" s="186"/>
      <c r="B420" s="186"/>
      <c r="C420" s="187"/>
      <c r="D420" s="225"/>
      <c r="E420" s="225"/>
      <c r="F420" s="226"/>
      <c r="G420" s="169"/>
    </row>
    <row r="421" ht="15.75" customHeight="1">
      <c r="A421" s="186"/>
      <c r="B421" s="186"/>
      <c r="C421" s="187"/>
      <c r="D421" s="225"/>
      <c r="E421" s="225"/>
      <c r="F421" s="226"/>
      <c r="G421" s="169"/>
    </row>
    <row r="422" ht="15.75" customHeight="1">
      <c r="A422" s="186"/>
      <c r="B422" s="186"/>
      <c r="C422" s="187"/>
      <c r="D422" s="225"/>
      <c r="E422" s="225"/>
      <c r="F422" s="226"/>
      <c r="G422" s="169"/>
    </row>
    <row r="423" ht="15.75" customHeight="1">
      <c r="A423" s="186"/>
      <c r="B423" s="186"/>
      <c r="C423" s="187"/>
      <c r="D423" s="225"/>
      <c r="E423" s="225"/>
      <c r="F423" s="226"/>
      <c r="G423" s="169"/>
    </row>
    <row r="424" ht="15.75" customHeight="1">
      <c r="A424" s="186"/>
      <c r="B424" s="186"/>
      <c r="C424" s="187"/>
      <c r="D424" s="225"/>
      <c r="E424" s="225"/>
      <c r="F424" s="226"/>
      <c r="G424" s="169"/>
    </row>
    <row r="425" ht="15.75" customHeight="1">
      <c r="A425" s="186"/>
      <c r="B425" s="186"/>
      <c r="C425" s="187"/>
      <c r="D425" s="225"/>
      <c r="E425" s="225"/>
      <c r="F425" s="226"/>
      <c r="G425" s="169"/>
    </row>
    <row r="426" ht="15.75" customHeight="1">
      <c r="A426" s="186"/>
      <c r="B426" s="186"/>
      <c r="C426" s="187"/>
      <c r="D426" s="225"/>
      <c r="E426" s="225"/>
      <c r="F426" s="226"/>
      <c r="G426" s="169"/>
    </row>
    <row r="427" ht="15.75" customHeight="1">
      <c r="A427" s="186"/>
      <c r="B427" s="186"/>
      <c r="C427" s="187"/>
      <c r="D427" s="225"/>
      <c r="E427" s="225"/>
      <c r="F427" s="226"/>
      <c r="G427" s="169"/>
    </row>
    <row r="428" ht="15.75" customHeight="1">
      <c r="A428" s="186"/>
      <c r="B428" s="186"/>
      <c r="C428" s="187"/>
      <c r="D428" s="225"/>
      <c r="E428" s="225"/>
      <c r="F428" s="226"/>
      <c r="G428" s="169"/>
    </row>
    <row r="429" ht="15.75" customHeight="1">
      <c r="A429" s="186"/>
      <c r="B429" s="186"/>
      <c r="C429" s="187"/>
      <c r="D429" s="225"/>
      <c r="E429" s="225"/>
      <c r="F429" s="226"/>
      <c r="G429" s="169"/>
    </row>
    <row r="430" ht="15.75" customHeight="1">
      <c r="A430" s="186"/>
      <c r="B430" s="186"/>
      <c r="C430" s="187"/>
      <c r="D430" s="225"/>
      <c r="E430" s="225"/>
      <c r="F430" s="226"/>
      <c r="G430" s="169"/>
    </row>
    <row r="431" ht="15.75" customHeight="1">
      <c r="A431" s="186"/>
      <c r="B431" s="186"/>
      <c r="C431" s="187"/>
      <c r="D431" s="225"/>
      <c r="E431" s="225"/>
      <c r="F431" s="226"/>
      <c r="G431" s="169"/>
    </row>
    <row r="432" ht="15.75" customHeight="1">
      <c r="A432" s="186"/>
      <c r="B432" s="186"/>
      <c r="C432" s="187"/>
      <c r="D432" s="225"/>
      <c r="E432" s="225"/>
      <c r="F432" s="226"/>
      <c r="G432" s="169"/>
    </row>
    <row r="433" ht="15.75" customHeight="1">
      <c r="A433" s="186"/>
      <c r="B433" s="186"/>
      <c r="C433" s="187"/>
      <c r="D433" s="225"/>
      <c r="E433" s="225"/>
      <c r="F433" s="226"/>
      <c r="G433" s="169"/>
    </row>
    <row r="434" ht="15.75" customHeight="1">
      <c r="A434" s="186"/>
      <c r="B434" s="186"/>
      <c r="C434" s="187"/>
      <c r="D434" s="225"/>
      <c r="E434" s="225"/>
      <c r="F434" s="226"/>
      <c r="G434" s="169"/>
    </row>
    <row r="435" ht="15.75" customHeight="1">
      <c r="A435" s="186"/>
      <c r="B435" s="186"/>
      <c r="C435" s="187"/>
      <c r="D435" s="225"/>
      <c r="E435" s="225"/>
      <c r="F435" s="226"/>
      <c r="G435" s="169"/>
    </row>
    <row r="436" ht="15.75" customHeight="1">
      <c r="A436" s="186"/>
      <c r="B436" s="186"/>
      <c r="C436" s="187"/>
      <c r="D436" s="225"/>
      <c r="E436" s="225"/>
      <c r="F436" s="226"/>
      <c r="G436" s="169"/>
    </row>
    <row r="437" ht="15.75" customHeight="1">
      <c r="A437" s="186"/>
      <c r="B437" s="186"/>
      <c r="C437" s="187"/>
      <c r="D437" s="225"/>
      <c r="E437" s="225"/>
      <c r="F437" s="226"/>
      <c r="G437" s="169"/>
    </row>
    <row r="438" ht="15.75" customHeight="1">
      <c r="A438" s="186"/>
      <c r="B438" s="186"/>
      <c r="C438" s="187"/>
      <c r="D438" s="225"/>
      <c r="E438" s="225"/>
      <c r="F438" s="226"/>
      <c r="G438" s="169"/>
    </row>
    <row r="439" ht="15.75" customHeight="1">
      <c r="A439" s="186"/>
      <c r="B439" s="186"/>
      <c r="C439" s="187"/>
      <c r="D439" s="225"/>
      <c r="E439" s="225"/>
      <c r="F439" s="226"/>
      <c r="G439" s="169"/>
    </row>
    <row r="440" ht="15.75" customHeight="1">
      <c r="A440" s="186"/>
      <c r="B440" s="186"/>
      <c r="C440" s="187"/>
      <c r="D440" s="225"/>
      <c r="E440" s="225"/>
      <c r="F440" s="226"/>
      <c r="G440" s="169"/>
    </row>
    <row r="441" ht="15.75" customHeight="1">
      <c r="A441" s="186"/>
      <c r="B441" s="186"/>
      <c r="C441" s="187"/>
      <c r="D441" s="225"/>
      <c r="E441" s="225"/>
      <c r="F441" s="226"/>
      <c r="G441" s="169"/>
    </row>
    <row r="442" ht="15.75" customHeight="1">
      <c r="A442" s="186"/>
      <c r="B442" s="186"/>
      <c r="C442" s="187"/>
      <c r="D442" s="225"/>
      <c r="E442" s="225"/>
      <c r="F442" s="226"/>
      <c r="G442" s="169"/>
    </row>
    <row r="443" ht="15.75" customHeight="1">
      <c r="A443" s="186"/>
      <c r="B443" s="186"/>
      <c r="C443" s="187"/>
      <c r="D443" s="225"/>
      <c r="E443" s="225"/>
      <c r="F443" s="226"/>
      <c r="G443" s="169"/>
    </row>
    <row r="444" ht="15.75" customHeight="1">
      <c r="A444" s="186"/>
      <c r="B444" s="186"/>
      <c r="C444" s="187"/>
      <c r="D444" s="225"/>
      <c r="E444" s="225"/>
      <c r="F444" s="226"/>
      <c r="G444" s="169"/>
    </row>
    <row r="445" ht="15.75" customHeight="1">
      <c r="A445" s="186"/>
      <c r="B445" s="186"/>
      <c r="C445" s="187"/>
      <c r="D445" s="225"/>
      <c r="E445" s="225"/>
      <c r="F445" s="226"/>
      <c r="G445" s="169"/>
    </row>
    <row r="446" ht="15.75" customHeight="1">
      <c r="A446" s="186"/>
      <c r="B446" s="186"/>
      <c r="C446" s="187"/>
      <c r="D446" s="225"/>
      <c r="E446" s="225"/>
      <c r="F446" s="226"/>
      <c r="G446" s="169"/>
    </row>
    <row r="447" ht="15.75" customHeight="1">
      <c r="A447" s="186"/>
      <c r="B447" s="186"/>
      <c r="C447" s="187"/>
      <c r="D447" s="225"/>
      <c r="E447" s="225"/>
      <c r="F447" s="226"/>
      <c r="G447" s="169"/>
    </row>
    <row r="448" ht="15.75" customHeight="1">
      <c r="A448" s="186"/>
      <c r="B448" s="186"/>
      <c r="C448" s="187"/>
      <c r="D448" s="225"/>
      <c r="E448" s="225"/>
      <c r="F448" s="226"/>
      <c r="G448" s="169"/>
    </row>
    <row r="449" ht="15.75" customHeight="1">
      <c r="A449" s="186"/>
      <c r="B449" s="186"/>
      <c r="C449" s="187"/>
      <c r="D449" s="225"/>
      <c r="E449" s="225"/>
      <c r="F449" s="226"/>
      <c r="G449" s="169"/>
    </row>
    <row r="450" ht="15.75" customHeight="1">
      <c r="A450" s="186"/>
      <c r="B450" s="186"/>
      <c r="C450" s="187"/>
      <c r="D450" s="225"/>
      <c r="E450" s="225"/>
      <c r="F450" s="226"/>
      <c r="G450" s="169"/>
    </row>
    <row r="451" ht="15.75" customHeight="1">
      <c r="A451" s="186"/>
      <c r="B451" s="186"/>
      <c r="C451" s="187"/>
      <c r="D451" s="225"/>
      <c r="E451" s="225"/>
      <c r="F451" s="226"/>
      <c r="G451" s="169"/>
    </row>
    <row r="452" ht="15.75" customHeight="1">
      <c r="A452" s="186"/>
      <c r="B452" s="186"/>
      <c r="C452" s="187"/>
      <c r="D452" s="225"/>
      <c r="E452" s="225"/>
      <c r="F452" s="226"/>
      <c r="G452" s="169"/>
    </row>
    <row r="453" ht="15.75" customHeight="1">
      <c r="A453" s="186"/>
      <c r="B453" s="186"/>
      <c r="C453" s="187"/>
      <c r="D453" s="225"/>
      <c r="E453" s="225"/>
      <c r="F453" s="226"/>
      <c r="G453" s="169"/>
    </row>
    <row r="454" ht="15.75" customHeight="1">
      <c r="A454" s="186"/>
      <c r="B454" s="186"/>
      <c r="C454" s="187"/>
      <c r="D454" s="225"/>
      <c r="E454" s="225"/>
      <c r="F454" s="226"/>
      <c r="G454" s="169"/>
    </row>
    <row r="455" ht="15.75" customHeight="1">
      <c r="A455" s="186"/>
      <c r="B455" s="186"/>
      <c r="C455" s="187"/>
      <c r="D455" s="225"/>
      <c r="E455" s="225"/>
      <c r="F455" s="226"/>
      <c r="G455" s="169"/>
    </row>
    <row r="456" ht="15.75" customHeight="1">
      <c r="A456" s="186"/>
      <c r="B456" s="186"/>
      <c r="C456" s="187"/>
      <c r="D456" s="225"/>
      <c r="E456" s="225"/>
      <c r="F456" s="226"/>
      <c r="G456" s="169"/>
    </row>
    <row r="457" ht="15.75" customHeight="1">
      <c r="A457" s="186"/>
      <c r="B457" s="186"/>
      <c r="C457" s="187"/>
      <c r="D457" s="225"/>
      <c r="E457" s="225"/>
      <c r="F457" s="226"/>
      <c r="G457" s="169"/>
    </row>
    <row r="458" ht="15.75" customHeight="1">
      <c r="A458" s="186"/>
      <c r="B458" s="186"/>
      <c r="C458" s="187"/>
      <c r="D458" s="225"/>
      <c r="E458" s="225"/>
      <c r="F458" s="226"/>
      <c r="G458" s="169"/>
    </row>
    <row r="459" ht="15.75" customHeight="1">
      <c r="A459" s="186"/>
      <c r="B459" s="186"/>
      <c r="C459" s="187"/>
      <c r="D459" s="225"/>
      <c r="E459" s="225"/>
      <c r="F459" s="226"/>
      <c r="G459" s="169"/>
    </row>
    <row r="460" ht="15.75" customHeight="1">
      <c r="A460" s="186"/>
      <c r="B460" s="186"/>
      <c r="C460" s="187"/>
      <c r="D460" s="225"/>
      <c r="E460" s="225"/>
      <c r="F460" s="226"/>
      <c r="G460" s="169"/>
    </row>
    <row r="461" ht="15.75" customHeight="1">
      <c r="A461" s="186"/>
      <c r="B461" s="186"/>
      <c r="C461" s="187"/>
      <c r="D461" s="225"/>
      <c r="E461" s="225"/>
      <c r="F461" s="226"/>
      <c r="G461" s="169"/>
    </row>
    <row r="462" ht="15.75" customHeight="1">
      <c r="A462" s="186"/>
      <c r="B462" s="186"/>
      <c r="C462" s="187"/>
      <c r="D462" s="225"/>
      <c r="E462" s="225"/>
      <c r="F462" s="226"/>
      <c r="G462" s="169"/>
    </row>
    <row r="463" ht="15.75" customHeight="1">
      <c r="A463" s="186"/>
      <c r="B463" s="186"/>
      <c r="C463" s="187"/>
      <c r="D463" s="225"/>
      <c r="E463" s="225"/>
      <c r="F463" s="226"/>
      <c r="G463" s="169"/>
    </row>
    <row r="464" ht="15.75" customHeight="1">
      <c r="A464" s="186"/>
      <c r="B464" s="186"/>
      <c r="C464" s="187"/>
      <c r="D464" s="225"/>
      <c r="E464" s="225"/>
      <c r="F464" s="226"/>
      <c r="G464" s="169"/>
    </row>
    <row r="465" ht="15.75" customHeight="1">
      <c r="A465" s="186"/>
      <c r="B465" s="186"/>
      <c r="C465" s="187"/>
      <c r="D465" s="225"/>
      <c r="E465" s="225"/>
      <c r="F465" s="226"/>
      <c r="G465" s="169"/>
    </row>
    <row r="466" ht="15.75" customHeight="1">
      <c r="A466" s="186"/>
      <c r="B466" s="186"/>
      <c r="C466" s="187"/>
      <c r="D466" s="225"/>
      <c r="E466" s="225"/>
      <c r="F466" s="226"/>
      <c r="G466" s="169"/>
    </row>
    <row r="467" ht="15.75" customHeight="1">
      <c r="A467" s="186"/>
      <c r="B467" s="186"/>
      <c r="C467" s="187"/>
      <c r="D467" s="225"/>
      <c r="E467" s="225"/>
      <c r="F467" s="226"/>
      <c r="G467" s="169"/>
    </row>
    <row r="468" ht="15.75" customHeight="1">
      <c r="A468" s="186"/>
      <c r="B468" s="186"/>
      <c r="C468" s="187"/>
      <c r="D468" s="225"/>
      <c r="E468" s="225"/>
      <c r="F468" s="226"/>
      <c r="G468" s="169"/>
    </row>
    <row r="469" ht="15.75" customHeight="1">
      <c r="A469" s="186"/>
      <c r="B469" s="186"/>
      <c r="C469" s="187"/>
      <c r="D469" s="225"/>
      <c r="E469" s="225"/>
      <c r="F469" s="226"/>
      <c r="G469" s="169"/>
    </row>
    <row r="470" ht="15.75" customHeight="1">
      <c r="A470" s="186"/>
      <c r="B470" s="186"/>
      <c r="C470" s="187"/>
      <c r="D470" s="225"/>
      <c r="E470" s="225"/>
      <c r="F470" s="226"/>
      <c r="G470" s="169"/>
    </row>
    <row r="471" ht="15.75" customHeight="1">
      <c r="A471" s="186"/>
      <c r="B471" s="186"/>
      <c r="C471" s="187"/>
      <c r="D471" s="225"/>
      <c r="E471" s="225"/>
      <c r="F471" s="226"/>
      <c r="G471" s="169"/>
    </row>
    <row r="472" ht="15.75" customHeight="1">
      <c r="A472" s="186"/>
      <c r="B472" s="186"/>
      <c r="C472" s="187"/>
      <c r="D472" s="225"/>
      <c r="E472" s="225"/>
      <c r="F472" s="226"/>
      <c r="G472" s="169"/>
    </row>
    <row r="473" ht="15.75" customHeight="1">
      <c r="A473" s="186"/>
      <c r="B473" s="186"/>
      <c r="C473" s="187"/>
      <c r="D473" s="225"/>
      <c r="E473" s="225"/>
      <c r="F473" s="226"/>
      <c r="G473" s="169"/>
    </row>
    <row r="474" ht="15.75" customHeight="1">
      <c r="A474" s="186"/>
      <c r="B474" s="186"/>
      <c r="C474" s="187"/>
      <c r="D474" s="225"/>
      <c r="E474" s="225"/>
      <c r="F474" s="226"/>
      <c r="G474" s="169"/>
    </row>
    <row r="475" ht="15.75" customHeight="1">
      <c r="A475" s="186"/>
      <c r="B475" s="186"/>
      <c r="C475" s="187"/>
      <c r="D475" s="225"/>
      <c r="E475" s="225"/>
      <c r="F475" s="226"/>
      <c r="G475" s="169"/>
    </row>
    <row r="476" ht="15.75" customHeight="1">
      <c r="A476" s="186"/>
      <c r="B476" s="186"/>
      <c r="C476" s="187"/>
      <c r="D476" s="225"/>
      <c r="E476" s="225"/>
      <c r="F476" s="226"/>
      <c r="G476" s="169"/>
    </row>
    <row r="477" ht="15.75" customHeight="1">
      <c r="A477" s="186"/>
      <c r="B477" s="186"/>
      <c r="C477" s="187"/>
      <c r="D477" s="225"/>
      <c r="E477" s="225"/>
      <c r="F477" s="226"/>
      <c r="G477" s="169"/>
    </row>
    <row r="478" ht="15.75" customHeight="1">
      <c r="A478" s="186"/>
      <c r="B478" s="186"/>
      <c r="C478" s="187"/>
      <c r="D478" s="225"/>
      <c r="E478" s="225"/>
      <c r="F478" s="226"/>
      <c r="G478" s="169"/>
    </row>
    <row r="479" ht="15.75" customHeight="1">
      <c r="A479" s="186"/>
      <c r="B479" s="186"/>
      <c r="C479" s="187"/>
      <c r="D479" s="225"/>
      <c r="E479" s="225"/>
      <c r="F479" s="226"/>
      <c r="G479" s="169"/>
    </row>
    <row r="480" ht="15.75" customHeight="1">
      <c r="A480" s="186"/>
      <c r="B480" s="186"/>
      <c r="C480" s="187"/>
      <c r="D480" s="225"/>
      <c r="E480" s="225"/>
      <c r="F480" s="226"/>
      <c r="G480" s="169"/>
    </row>
    <row r="481" ht="15.75" customHeight="1">
      <c r="A481" s="186"/>
      <c r="B481" s="186"/>
      <c r="C481" s="187"/>
      <c r="D481" s="225"/>
      <c r="E481" s="225"/>
      <c r="F481" s="226"/>
      <c r="G481" s="169"/>
    </row>
    <row r="482" ht="15.75" customHeight="1">
      <c r="A482" s="186"/>
      <c r="B482" s="186"/>
      <c r="C482" s="187"/>
      <c r="D482" s="225"/>
      <c r="E482" s="225"/>
      <c r="F482" s="226"/>
      <c r="G482" s="169"/>
    </row>
    <row r="483" ht="15.75" customHeight="1">
      <c r="A483" s="186"/>
      <c r="B483" s="186"/>
      <c r="C483" s="187"/>
      <c r="D483" s="225"/>
      <c r="E483" s="225"/>
      <c r="F483" s="226"/>
      <c r="G483" s="169"/>
    </row>
    <row r="484" ht="15.75" customHeight="1">
      <c r="A484" s="186"/>
      <c r="B484" s="186"/>
      <c r="C484" s="187"/>
      <c r="D484" s="225"/>
      <c r="E484" s="225"/>
      <c r="F484" s="226"/>
      <c r="G484" s="169"/>
    </row>
    <row r="485" ht="15.75" customHeight="1">
      <c r="A485" s="186"/>
      <c r="B485" s="186"/>
      <c r="C485" s="187"/>
      <c r="D485" s="225"/>
      <c r="E485" s="225"/>
      <c r="F485" s="226"/>
      <c r="G485" s="169"/>
    </row>
    <row r="486" ht="15.75" customHeight="1">
      <c r="A486" s="186"/>
      <c r="B486" s="186"/>
      <c r="C486" s="187"/>
      <c r="D486" s="225"/>
      <c r="E486" s="225"/>
      <c r="F486" s="226"/>
      <c r="G486" s="169"/>
    </row>
    <row r="487" ht="15.75" customHeight="1">
      <c r="A487" s="186"/>
      <c r="B487" s="186"/>
      <c r="C487" s="187"/>
      <c r="D487" s="225"/>
      <c r="E487" s="225"/>
      <c r="F487" s="226"/>
      <c r="G487" s="169"/>
    </row>
    <row r="488" ht="15.75" customHeight="1">
      <c r="A488" s="186"/>
      <c r="B488" s="186"/>
      <c r="C488" s="187"/>
      <c r="D488" s="225"/>
      <c r="E488" s="225"/>
      <c r="F488" s="226"/>
      <c r="G488" s="169"/>
    </row>
    <row r="489" ht="15.75" customHeight="1">
      <c r="A489" s="186"/>
      <c r="B489" s="186"/>
      <c r="C489" s="187"/>
      <c r="D489" s="225"/>
      <c r="E489" s="225"/>
      <c r="F489" s="226"/>
      <c r="G489" s="169"/>
    </row>
    <row r="490" ht="15.75" customHeight="1">
      <c r="A490" s="186"/>
      <c r="B490" s="186"/>
      <c r="C490" s="187"/>
      <c r="D490" s="225"/>
      <c r="E490" s="225"/>
      <c r="F490" s="226"/>
      <c r="G490" s="169"/>
    </row>
    <row r="491" ht="15.75" customHeight="1">
      <c r="A491" s="186"/>
      <c r="B491" s="186"/>
      <c r="C491" s="187"/>
      <c r="D491" s="225"/>
      <c r="E491" s="225"/>
      <c r="F491" s="226"/>
      <c r="G491" s="169"/>
    </row>
    <row r="492" ht="15.75" customHeight="1">
      <c r="A492" s="186"/>
      <c r="B492" s="186"/>
      <c r="C492" s="187"/>
      <c r="D492" s="225"/>
      <c r="E492" s="225"/>
      <c r="F492" s="226"/>
      <c r="G492" s="169"/>
    </row>
    <row r="493" ht="15.75" customHeight="1">
      <c r="A493" s="186"/>
      <c r="B493" s="186"/>
      <c r="C493" s="187"/>
      <c r="D493" s="225"/>
      <c r="E493" s="225"/>
      <c r="F493" s="226"/>
      <c r="G493" s="169"/>
    </row>
    <row r="494" ht="15.75" customHeight="1">
      <c r="A494" s="186"/>
      <c r="B494" s="186"/>
      <c r="C494" s="187"/>
      <c r="D494" s="225"/>
      <c r="E494" s="225"/>
      <c r="F494" s="226"/>
      <c r="G494" s="169"/>
    </row>
    <row r="495" ht="15.75" customHeight="1">
      <c r="A495" s="186"/>
      <c r="B495" s="186"/>
      <c r="C495" s="187"/>
      <c r="D495" s="225"/>
      <c r="E495" s="225"/>
      <c r="F495" s="226"/>
      <c r="G495" s="169"/>
    </row>
    <row r="496" ht="15.75" customHeight="1">
      <c r="A496" s="186"/>
      <c r="B496" s="186"/>
      <c r="C496" s="187"/>
      <c r="D496" s="225"/>
      <c r="E496" s="225"/>
      <c r="F496" s="226"/>
      <c r="G496" s="169"/>
    </row>
    <row r="497" ht="15.75" customHeight="1">
      <c r="A497" s="186"/>
      <c r="B497" s="186"/>
      <c r="C497" s="187"/>
      <c r="D497" s="225"/>
      <c r="E497" s="225"/>
      <c r="F497" s="226"/>
      <c r="G497" s="169"/>
    </row>
    <row r="498" ht="15.75" customHeight="1">
      <c r="A498" s="186"/>
      <c r="B498" s="186"/>
      <c r="C498" s="187"/>
      <c r="D498" s="225"/>
      <c r="E498" s="225"/>
      <c r="F498" s="226"/>
      <c r="G498" s="169"/>
    </row>
    <row r="499" ht="15.75" customHeight="1">
      <c r="A499" s="186"/>
      <c r="B499" s="186"/>
      <c r="C499" s="187"/>
      <c r="D499" s="225"/>
      <c r="E499" s="225"/>
      <c r="F499" s="226"/>
      <c r="G499" s="169"/>
    </row>
    <row r="500" ht="15.75" customHeight="1">
      <c r="A500" s="186"/>
      <c r="B500" s="186"/>
      <c r="C500" s="187"/>
      <c r="D500" s="225"/>
      <c r="E500" s="225"/>
      <c r="F500" s="226"/>
      <c r="G500" s="169"/>
    </row>
    <row r="501" ht="15.75" customHeight="1">
      <c r="A501" s="186"/>
      <c r="B501" s="186"/>
      <c r="C501" s="187"/>
      <c r="D501" s="225"/>
      <c r="E501" s="225"/>
      <c r="F501" s="226"/>
      <c r="G501" s="169"/>
    </row>
    <row r="502" ht="15.75" customHeight="1">
      <c r="A502" s="186"/>
      <c r="B502" s="186"/>
      <c r="C502" s="187"/>
      <c r="D502" s="225"/>
      <c r="E502" s="225"/>
      <c r="F502" s="226"/>
      <c r="G502" s="169"/>
    </row>
    <row r="503" ht="15.75" customHeight="1">
      <c r="A503" s="186"/>
      <c r="B503" s="186"/>
      <c r="C503" s="187"/>
      <c r="D503" s="225"/>
      <c r="E503" s="225"/>
      <c r="F503" s="226"/>
      <c r="G503" s="169"/>
    </row>
    <row r="504" ht="15.75" customHeight="1">
      <c r="A504" s="186"/>
      <c r="B504" s="186"/>
      <c r="C504" s="187"/>
      <c r="D504" s="225"/>
      <c r="E504" s="225"/>
      <c r="F504" s="226"/>
      <c r="G504" s="169"/>
    </row>
    <row r="505" ht="15.75" customHeight="1">
      <c r="A505" s="186"/>
      <c r="B505" s="186"/>
      <c r="C505" s="187"/>
      <c r="D505" s="225"/>
      <c r="E505" s="225"/>
      <c r="F505" s="226"/>
      <c r="G505" s="169"/>
    </row>
    <row r="506" ht="15.75" customHeight="1">
      <c r="A506" s="186"/>
      <c r="B506" s="186"/>
      <c r="C506" s="187"/>
      <c r="D506" s="225"/>
      <c r="E506" s="225"/>
      <c r="F506" s="226"/>
      <c r="G506" s="169"/>
    </row>
    <row r="507" ht="15.75" customHeight="1">
      <c r="A507" s="186"/>
      <c r="B507" s="186"/>
      <c r="C507" s="187"/>
      <c r="D507" s="225"/>
      <c r="E507" s="225"/>
      <c r="F507" s="226"/>
      <c r="G507" s="169"/>
    </row>
    <row r="508" ht="15.75" customHeight="1">
      <c r="A508" s="186"/>
      <c r="B508" s="186"/>
      <c r="C508" s="187"/>
      <c r="D508" s="225"/>
      <c r="E508" s="225"/>
      <c r="F508" s="226"/>
      <c r="G508" s="169"/>
    </row>
    <row r="509" ht="15.75" customHeight="1">
      <c r="A509" s="186"/>
      <c r="B509" s="186"/>
      <c r="C509" s="187"/>
      <c r="D509" s="225"/>
      <c r="E509" s="225"/>
      <c r="F509" s="226"/>
      <c r="G509" s="169"/>
    </row>
    <row r="510" ht="15.75" customHeight="1">
      <c r="A510" s="186"/>
      <c r="B510" s="186"/>
      <c r="C510" s="187"/>
      <c r="D510" s="225"/>
      <c r="E510" s="225"/>
      <c r="F510" s="226"/>
      <c r="G510" s="169"/>
    </row>
    <row r="511" ht="15.75" customHeight="1">
      <c r="A511" s="186"/>
      <c r="B511" s="186"/>
      <c r="C511" s="187"/>
      <c r="D511" s="225"/>
      <c r="E511" s="225"/>
      <c r="F511" s="226"/>
      <c r="G511" s="169"/>
    </row>
    <row r="512" ht="15.75" customHeight="1">
      <c r="A512" s="186"/>
      <c r="B512" s="186"/>
      <c r="C512" s="187"/>
      <c r="D512" s="225"/>
      <c r="E512" s="225"/>
      <c r="F512" s="226"/>
      <c r="G512" s="169"/>
    </row>
    <row r="513" ht="15.75" customHeight="1">
      <c r="A513" s="186"/>
      <c r="B513" s="186"/>
      <c r="C513" s="187"/>
      <c r="D513" s="225"/>
      <c r="E513" s="225"/>
      <c r="F513" s="226"/>
      <c r="G513" s="169"/>
    </row>
    <row r="514" ht="15.75" customHeight="1">
      <c r="A514" s="186"/>
      <c r="B514" s="186"/>
      <c r="C514" s="187"/>
      <c r="D514" s="225"/>
      <c r="E514" s="225"/>
      <c r="F514" s="226"/>
      <c r="G514" s="169"/>
    </row>
    <row r="515" ht="15.75" customHeight="1">
      <c r="A515" s="186"/>
      <c r="B515" s="186"/>
      <c r="C515" s="187"/>
      <c r="D515" s="225"/>
      <c r="E515" s="225"/>
      <c r="F515" s="226"/>
      <c r="G515" s="169"/>
    </row>
    <row r="516" ht="15.75" customHeight="1">
      <c r="A516" s="186"/>
      <c r="B516" s="186"/>
      <c r="C516" s="187"/>
      <c r="D516" s="225"/>
      <c r="E516" s="225"/>
      <c r="F516" s="226"/>
      <c r="G516" s="169"/>
    </row>
    <row r="517" ht="15.75" customHeight="1">
      <c r="A517" s="186"/>
      <c r="B517" s="186"/>
      <c r="C517" s="187"/>
      <c r="D517" s="225"/>
      <c r="E517" s="225"/>
      <c r="F517" s="226"/>
      <c r="G517" s="169"/>
    </row>
    <row r="518" ht="15.75" customHeight="1">
      <c r="A518" s="186"/>
      <c r="B518" s="186"/>
      <c r="C518" s="187"/>
      <c r="D518" s="225"/>
      <c r="E518" s="225"/>
      <c r="F518" s="226"/>
      <c r="G518" s="169"/>
    </row>
    <row r="519" ht="15.75" customHeight="1">
      <c r="A519" s="186"/>
      <c r="B519" s="186"/>
      <c r="C519" s="187"/>
      <c r="D519" s="225"/>
      <c r="E519" s="225"/>
      <c r="F519" s="226"/>
      <c r="G519" s="169"/>
    </row>
    <row r="520" ht="15.75" customHeight="1">
      <c r="A520" s="186"/>
      <c r="B520" s="186"/>
      <c r="C520" s="187"/>
      <c r="D520" s="225"/>
      <c r="E520" s="225"/>
      <c r="F520" s="226"/>
      <c r="G520" s="169"/>
    </row>
    <row r="521" ht="15.75" customHeight="1">
      <c r="A521" s="186"/>
      <c r="B521" s="186"/>
      <c r="C521" s="187"/>
      <c r="D521" s="225"/>
      <c r="E521" s="225"/>
      <c r="F521" s="226"/>
      <c r="G521" s="169"/>
    </row>
    <row r="522" ht="15.75" customHeight="1">
      <c r="A522" s="186"/>
      <c r="B522" s="186"/>
      <c r="C522" s="187"/>
      <c r="D522" s="225"/>
      <c r="E522" s="225"/>
      <c r="F522" s="226"/>
      <c r="G522" s="169"/>
    </row>
    <row r="523" ht="15.75" customHeight="1">
      <c r="A523" s="186"/>
      <c r="B523" s="186"/>
      <c r="C523" s="187"/>
      <c r="D523" s="225"/>
      <c r="E523" s="225"/>
      <c r="F523" s="226"/>
      <c r="G523" s="169"/>
    </row>
    <row r="524" ht="15.75" customHeight="1">
      <c r="A524" s="186"/>
      <c r="B524" s="186"/>
      <c r="C524" s="187"/>
      <c r="D524" s="225"/>
      <c r="E524" s="225"/>
      <c r="F524" s="226"/>
      <c r="G524" s="169"/>
    </row>
    <row r="525" ht="15.75" customHeight="1">
      <c r="A525" s="186"/>
      <c r="B525" s="186"/>
      <c r="C525" s="187"/>
      <c r="D525" s="225"/>
      <c r="E525" s="225"/>
      <c r="F525" s="226"/>
      <c r="G525" s="169"/>
    </row>
    <row r="526" ht="15.75" customHeight="1">
      <c r="A526" s="186"/>
      <c r="B526" s="186"/>
      <c r="C526" s="187"/>
      <c r="D526" s="225"/>
      <c r="E526" s="225"/>
      <c r="F526" s="226"/>
      <c r="G526" s="169"/>
    </row>
    <row r="527" ht="15.75" customHeight="1">
      <c r="A527" s="186"/>
      <c r="B527" s="186"/>
      <c r="C527" s="187"/>
      <c r="D527" s="225"/>
      <c r="E527" s="225"/>
      <c r="F527" s="226"/>
      <c r="G527" s="169"/>
    </row>
    <row r="528" ht="15.75" customHeight="1">
      <c r="A528" s="186"/>
      <c r="B528" s="186"/>
      <c r="C528" s="187"/>
      <c r="D528" s="225"/>
      <c r="E528" s="225"/>
      <c r="F528" s="226"/>
      <c r="G528" s="169"/>
    </row>
    <row r="529" ht="15.75" customHeight="1">
      <c r="A529" s="186"/>
      <c r="B529" s="186"/>
      <c r="C529" s="187"/>
      <c r="D529" s="225"/>
      <c r="E529" s="225"/>
      <c r="F529" s="226"/>
      <c r="G529" s="169"/>
    </row>
    <row r="530" ht="15.75" customHeight="1">
      <c r="A530" s="186"/>
      <c r="B530" s="186"/>
      <c r="C530" s="187"/>
      <c r="D530" s="225"/>
      <c r="E530" s="225"/>
      <c r="F530" s="226"/>
      <c r="G530" s="169"/>
    </row>
    <row r="531" ht="15.75" customHeight="1">
      <c r="A531" s="186"/>
      <c r="B531" s="186"/>
      <c r="C531" s="187"/>
      <c r="D531" s="225"/>
      <c r="E531" s="225"/>
      <c r="F531" s="226"/>
      <c r="G531" s="169"/>
    </row>
    <row r="532" ht="15.75" customHeight="1">
      <c r="A532" s="186"/>
      <c r="B532" s="186"/>
      <c r="C532" s="187"/>
      <c r="D532" s="225"/>
      <c r="E532" s="225"/>
      <c r="F532" s="226"/>
      <c r="G532" s="169"/>
    </row>
    <row r="533" ht="15.75" customHeight="1">
      <c r="A533" s="186"/>
      <c r="B533" s="186"/>
      <c r="C533" s="187"/>
      <c r="D533" s="225"/>
      <c r="E533" s="225"/>
      <c r="F533" s="226"/>
      <c r="G533" s="169"/>
    </row>
    <row r="534" ht="15.75" customHeight="1">
      <c r="A534" s="186"/>
      <c r="B534" s="186"/>
      <c r="C534" s="187"/>
      <c r="D534" s="225"/>
      <c r="E534" s="225"/>
      <c r="F534" s="226"/>
      <c r="G534" s="169"/>
    </row>
    <row r="535" ht="15.75" customHeight="1">
      <c r="A535" s="186"/>
      <c r="B535" s="186"/>
      <c r="C535" s="187"/>
      <c r="D535" s="225"/>
      <c r="E535" s="225"/>
      <c r="F535" s="226"/>
      <c r="G535" s="169"/>
    </row>
    <row r="536" ht="15.75" customHeight="1">
      <c r="A536" s="186"/>
      <c r="B536" s="186"/>
      <c r="C536" s="187"/>
      <c r="D536" s="225"/>
      <c r="E536" s="225"/>
      <c r="F536" s="226"/>
      <c r="G536" s="169"/>
    </row>
    <row r="537" ht="15.75" customHeight="1">
      <c r="A537" s="186"/>
      <c r="B537" s="186"/>
      <c r="C537" s="187"/>
      <c r="D537" s="225"/>
      <c r="E537" s="225"/>
      <c r="F537" s="226"/>
      <c r="G537" s="169"/>
    </row>
    <row r="538" ht="15.75" customHeight="1">
      <c r="A538" s="186"/>
      <c r="B538" s="186"/>
      <c r="C538" s="187"/>
      <c r="D538" s="225"/>
      <c r="E538" s="225"/>
      <c r="F538" s="226"/>
      <c r="G538" s="169"/>
    </row>
    <row r="539" ht="15.75" customHeight="1">
      <c r="A539" s="186"/>
      <c r="B539" s="186"/>
      <c r="C539" s="187"/>
      <c r="D539" s="225"/>
      <c r="E539" s="225"/>
      <c r="F539" s="226"/>
      <c r="G539" s="169"/>
    </row>
    <row r="540" ht="15.75" customHeight="1">
      <c r="A540" s="186"/>
      <c r="B540" s="186"/>
      <c r="C540" s="187"/>
      <c r="D540" s="225"/>
      <c r="E540" s="225"/>
      <c r="F540" s="226"/>
      <c r="G540" s="169"/>
    </row>
    <row r="541" ht="15.75" customHeight="1">
      <c r="A541" s="186"/>
      <c r="B541" s="186"/>
      <c r="C541" s="187"/>
      <c r="D541" s="225"/>
      <c r="E541" s="225"/>
      <c r="F541" s="226"/>
      <c r="G541" s="169"/>
    </row>
    <row r="542" ht="15.75" customHeight="1">
      <c r="A542" s="186"/>
      <c r="B542" s="186"/>
      <c r="C542" s="187"/>
      <c r="D542" s="225"/>
      <c r="E542" s="225"/>
      <c r="F542" s="226"/>
      <c r="G542" s="169"/>
    </row>
    <row r="543" ht="15.75" customHeight="1">
      <c r="A543" s="186"/>
      <c r="B543" s="186"/>
      <c r="C543" s="187"/>
      <c r="D543" s="225"/>
      <c r="E543" s="225"/>
      <c r="F543" s="226"/>
      <c r="G543" s="169"/>
    </row>
    <row r="544" ht="15.75" customHeight="1">
      <c r="A544" s="186"/>
      <c r="B544" s="186"/>
      <c r="C544" s="187"/>
      <c r="D544" s="225"/>
      <c r="E544" s="225"/>
      <c r="F544" s="226"/>
      <c r="G544" s="169"/>
    </row>
    <row r="545" ht="15.75" customHeight="1">
      <c r="A545" s="186"/>
      <c r="B545" s="186"/>
      <c r="C545" s="187"/>
      <c r="D545" s="225"/>
      <c r="E545" s="225"/>
      <c r="F545" s="226"/>
      <c r="G545" s="169"/>
    </row>
    <row r="546" ht="15.75" customHeight="1">
      <c r="A546" s="186"/>
      <c r="B546" s="186"/>
      <c r="C546" s="187"/>
      <c r="D546" s="225"/>
      <c r="E546" s="225"/>
      <c r="F546" s="226"/>
      <c r="G546" s="169"/>
    </row>
    <row r="547" ht="15.75" customHeight="1">
      <c r="A547" s="186"/>
      <c r="B547" s="186"/>
      <c r="C547" s="187"/>
      <c r="D547" s="225"/>
      <c r="E547" s="225"/>
      <c r="F547" s="226"/>
      <c r="G547" s="169"/>
    </row>
    <row r="548" ht="15.75" customHeight="1">
      <c r="A548" s="186"/>
      <c r="B548" s="186"/>
      <c r="C548" s="187"/>
      <c r="D548" s="225"/>
      <c r="E548" s="225"/>
      <c r="F548" s="226"/>
      <c r="G548" s="169"/>
    </row>
    <row r="549" ht="15.75" customHeight="1">
      <c r="A549" s="186"/>
      <c r="B549" s="186"/>
      <c r="C549" s="187"/>
      <c r="D549" s="225"/>
      <c r="E549" s="225"/>
      <c r="F549" s="226"/>
      <c r="G549" s="169"/>
    </row>
    <row r="550" ht="15.75" customHeight="1">
      <c r="A550" s="186"/>
      <c r="B550" s="186"/>
      <c r="C550" s="187"/>
      <c r="D550" s="225"/>
      <c r="E550" s="225"/>
      <c r="F550" s="226"/>
      <c r="G550" s="169"/>
    </row>
    <row r="551" ht="15.75" customHeight="1">
      <c r="A551" s="186"/>
      <c r="B551" s="186"/>
      <c r="C551" s="187"/>
      <c r="D551" s="225"/>
      <c r="E551" s="225"/>
      <c r="F551" s="226"/>
      <c r="G551" s="169"/>
    </row>
    <row r="552" ht="15.75" customHeight="1">
      <c r="A552" s="186"/>
      <c r="B552" s="186"/>
      <c r="C552" s="187"/>
      <c r="D552" s="225"/>
      <c r="E552" s="225"/>
      <c r="F552" s="226"/>
      <c r="G552" s="169"/>
    </row>
    <row r="553" ht="15.75" customHeight="1">
      <c r="A553" s="186"/>
      <c r="B553" s="186"/>
      <c r="C553" s="187"/>
      <c r="D553" s="225"/>
      <c r="E553" s="225"/>
      <c r="F553" s="226"/>
      <c r="G553" s="169"/>
    </row>
    <row r="554" ht="15.75" customHeight="1">
      <c r="A554" s="186"/>
      <c r="B554" s="186"/>
      <c r="C554" s="187"/>
      <c r="D554" s="225"/>
      <c r="E554" s="225"/>
      <c r="F554" s="226"/>
      <c r="G554" s="169"/>
    </row>
    <row r="555" ht="15.75" customHeight="1">
      <c r="A555" s="186"/>
      <c r="B555" s="186"/>
      <c r="C555" s="187"/>
      <c r="D555" s="225"/>
      <c r="E555" s="225"/>
      <c r="F555" s="226"/>
      <c r="G555" s="169"/>
    </row>
    <row r="556" ht="15.75" customHeight="1">
      <c r="A556" s="186"/>
      <c r="B556" s="186"/>
      <c r="C556" s="187"/>
      <c r="D556" s="225"/>
      <c r="E556" s="225"/>
      <c r="F556" s="226"/>
      <c r="G556" s="169"/>
    </row>
    <row r="557" ht="15.75" customHeight="1">
      <c r="A557" s="186"/>
      <c r="B557" s="186"/>
      <c r="C557" s="187"/>
      <c r="D557" s="225"/>
      <c r="E557" s="225"/>
      <c r="F557" s="226"/>
      <c r="G557" s="169"/>
    </row>
    <row r="558" ht="15.75" customHeight="1">
      <c r="A558" s="186"/>
      <c r="B558" s="186"/>
      <c r="C558" s="187"/>
      <c r="D558" s="225"/>
      <c r="E558" s="225"/>
      <c r="F558" s="226"/>
      <c r="G558" s="169"/>
    </row>
    <row r="559" ht="15.75" customHeight="1">
      <c r="A559" s="186"/>
      <c r="B559" s="186"/>
      <c r="C559" s="187"/>
      <c r="D559" s="225"/>
      <c r="E559" s="225"/>
      <c r="F559" s="226"/>
      <c r="G559" s="169"/>
    </row>
    <row r="560" ht="15.75" customHeight="1">
      <c r="A560" s="186"/>
      <c r="B560" s="186"/>
      <c r="C560" s="187"/>
      <c r="D560" s="225"/>
      <c r="E560" s="225"/>
      <c r="F560" s="226"/>
      <c r="G560" s="169"/>
    </row>
    <row r="561" ht="15.75" customHeight="1">
      <c r="A561" s="186"/>
      <c r="B561" s="186"/>
      <c r="C561" s="187"/>
      <c r="D561" s="225"/>
      <c r="E561" s="225"/>
      <c r="F561" s="226"/>
      <c r="G561" s="169"/>
    </row>
    <row r="562" ht="15.75" customHeight="1">
      <c r="A562" s="186"/>
      <c r="B562" s="186"/>
      <c r="C562" s="187"/>
      <c r="D562" s="225"/>
      <c r="E562" s="225"/>
      <c r="F562" s="226"/>
      <c r="G562" s="169"/>
    </row>
    <row r="563" ht="15.75" customHeight="1">
      <c r="A563" s="186"/>
      <c r="B563" s="186"/>
      <c r="C563" s="187"/>
      <c r="D563" s="225"/>
      <c r="E563" s="225"/>
      <c r="F563" s="226"/>
      <c r="G563" s="169"/>
    </row>
    <row r="564" ht="15.75" customHeight="1">
      <c r="A564" s="186"/>
      <c r="B564" s="186"/>
      <c r="C564" s="187"/>
      <c r="D564" s="225"/>
      <c r="E564" s="225"/>
      <c r="F564" s="226"/>
      <c r="G564" s="169"/>
    </row>
    <row r="565" ht="15.75" customHeight="1">
      <c r="A565" s="186"/>
      <c r="B565" s="186"/>
      <c r="C565" s="187"/>
      <c r="D565" s="225"/>
      <c r="E565" s="225"/>
      <c r="F565" s="226"/>
      <c r="G565" s="169"/>
    </row>
    <row r="566" ht="15.75" customHeight="1">
      <c r="A566" s="186"/>
      <c r="B566" s="186"/>
      <c r="C566" s="187"/>
      <c r="D566" s="225"/>
      <c r="E566" s="225"/>
      <c r="F566" s="226"/>
      <c r="G566" s="169"/>
    </row>
    <row r="567" ht="15.75" customHeight="1">
      <c r="A567" s="186"/>
      <c r="B567" s="186"/>
      <c r="C567" s="187"/>
      <c r="D567" s="225"/>
      <c r="E567" s="225"/>
      <c r="F567" s="226"/>
      <c r="G567" s="169"/>
    </row>
    <row r="568" ht="15.75" customHeight="1">
      <c r="A568" s="186"/>
      <c r="B568" s="186"/>
      <c r="C568" s="187"/>
      <c r="D568" s="225"/>
      <c r="E568" s="225"/>
      <c r="F568" s="226"/>
      <c r="G568" s="169"/>
    </row>
    <row r="569" ht="15.75" customHeight="1">
      <c r="A569" s="186"/>
      <c r="B569" s="186"/>
      <c r="C569" s="187"/>
      <c r="D569" s="225"/>
      <c r="E569" s="225"/>
      <c r="F569" s="226"/>
      <c r="G569" s="169"/>
    </row>
    <row r="570" ht="15.75" customHeight="1">
      <c r="A570" s="186"/>
      <c r="B570" s="186"/>
      <c r="C570" s="187"/>
      <c r="D570" s="225"/>
      <c r="E570" s="225"/>
      <c r="F570" s="226"/>
      <c r="G570" s="169"/>
    </row>
    <row r="571" ht="15.75" customHeight="1">
      <c r="A571" s="186"/>
      <c r="B571" s="186"/>
      <c r="C571" s="187"/>
      <c r="D571" s="225"/>
      <c r="E571" s="225"/>
      <c r="F571" s="226"/>
      <c r="G571" s="169"/>
    </row>
    <row r="572" ht="15.75" customHeight="1">
      <c r="A572" s="186"/>
      <c r="B572" s="186"/>
      <c r="C572" s="187"/>
      <c r="D572" s="225"/>
      <c r="E572" s="225"/>
      <c r="F572" s="226"/>
      <c r="G572" s="169"/>
    </row>
    <row r="573" ht="15.75" customHeight="1">
      <c r="A573" s="186"/>
      <c r="B573" s="186"/>
      <c r="C573" s="187"/>
      <c r="D573" s="225"/>
      <c r="E573" s="225"/>
      <c r="F573" s="226"/>
      <c r="G573" s="169"/>
    </row>
    <row r="574" ht="15.75" customHeight="1">
      <c r="A574" s="186"/>
      <c r="B574" s="186"/>
      <c r="C574" s="187"/>
      <c r="D574" s="225"/>
      <c r="E574" s="225"/>
      <c r="F574" s="226"/>
      <c r="G574" s="169"/>
    </row>
    <row r="575" ht="15.75" customHeight="1">
      <c r="A575" s="186"/>
      <c r="B575" s="186"/>
      <c r="C575" s="187"/>
      <c r="D575" s="225"/>
      <c r="E575" s="225"/>
      <c r="F575" s="226"/>
      <c r="G575" s="169"/>
    </row>
    <row r="576" ht="15.75" customHeight="1">
      <c r="A576" s="186"/>
      <c r="B576" s="186"/>
      <c r="C576" s="187"/>
      <c r="D576" s="225"/>
      <c r="E576" s="225"/>
      <c r="F576" s="226"/>
      <c r="G576" s="169"/>
    </row>
    <row r="577" ht="15.75" customHeight="1">
      <c r="A577" s="186"/>
      <c r="B577" s="186"/>
      <c r="C577" s="187"/>
      <c r="D577" s="225"/>
      <c r="E577" s="225"/>
      <c r="F577" s="226"/>
      <c r="G577" s="169"/>
    </row>
    <row r="578" ht="15.75" customHeight="1">
      <c r="A578" s="186"/>
      <c r="B578" s="186"/>
      <c r="C578" s="187"/>
      <c r="D578" s="225"/>
      <c r="E578" s="225"/>
      <c r="F578" s="226"/>
      <c r="G578" s="169"/>
    </row>
    <row r="579" ht="15.75" customHeight="1">
      <c r="A579" s="186"/>
      <c r="B579" s="186"/>
      <c r="C579" s="187"/>
      <c r="D579" s="225"/>
      <c r="E579" s="225"/>
      <c r="F579" s="226"/>
      <c r="G579" s="169"/>
    </row>
    <row r="580" ht="15.75" customHeight="1">
      <c r="A580" s="186"/>
      <c r="B580" s="186"/>
      <c r="C580" s="187"/>
      <c r="D580" s="225"/>
      <c r="E580" s="225"/>
      <c r="F580" s="226"/>
      <c r="G580" s="169"/>
    </row>
    <row r="581" ht="15.75" customHeight="1">
      <c r="A581" s="186"/>
      <c r="B581" s="186"/>
      <c r="C581" s="187"/>
      <c r="D581" s="225"/>
      <c r="E581" s="225"/>
      <c r="F581" s="226"/>
      <c r="G581" s="169"/>
    </row>
    <row r="582" ht="15.75" customHeight="1">
      <c r="A582" s="186"/>
      <c r="B582" s="186"/>
      <c r="C582" s="187"/>
      <c r="D582" s="225"/>
      <c r="E582" s="225"/>
      <c r="F582" s="226"/>
      <c r="G582" s="169"/>
    </row>
    <row r="583" ht="15.75" customHeight="1">
      <c r="A583" s="186"/>
      <c r="B583" s="186"/>
      <c r="C583" s="187"/>
      <c r="D583" s="225"/>
      <c r="E583" s="225"/>
      <c r="F583" s="226"/>
      <c r="G583" s="169"/>
    </row>
    <row r="584" ht="15.75" customHeight="1">
      <c r="A584" s="186"/>
      <c r="B584" s="186"/>
      <c r="C584" s="187"/>
      <c r="D584" s="225"/>
      <c r="E584" s="225"/>
      <c r="F584" s="226"/>
      <c r="G584" s="169"/>
    </row>
    <row r="585" ht="15.75" customHeight="1">
      <c r="A585" s="186"/>
      <c r="B585" s="186"/>
      <c r="C585" s="187"/>
      <c r="D585" s="225"/>
      <c r="E585" s="225"/>
      <c r="F585" s="226"/>
      <c r="G585" s="169"/>
    </row>
    <row r="586" ht="15.75" customHeight="1">
      <c r="A586" s="186"/>
      <c r="B586" s="186"/>
      <c r="C586" s="187"/>
      <c r="D586" s="225"/>
      <c r="E586" s="225"/>
      <c r="F586" s="226"/>
      <c r="G586" s="169"/>
    </row>
    <row r="587" ht="15.75" customHeight="1">
      <c r="A587" s="186"/>
      <c r="B587" s="186"/>
      <c r="C587" s="187"/>
      <c r="D587" s="225"/>
      <c r="E587" s="225"/>
      <c r="F587" s="226"/>
      <c r="G587" s="169"/>
    </row>
    <row r="588" ht="15.75" customHeight="1">
      <c r="A588" s="186"/>
      <c r="B588" s="186"/>
      <c r="C588" s="187"/>
      <c r="D588" s="225"/>
      <c r="E588" s="225"/>
      <c r="F588" s="226"/>
      <c r="G588" s="169"/>
    </row>
    <row r="589" ht="15.75" customHeight="1">
      <c r="A589" s="186"/>
      <c r="B589" s="186"/>
      <c r="C589" s="187"/>
      <c r="D589" s="225"/>
      <c r="E589" s="225"/>
      <c r="F589" s="226"/>
      <c r="G589" s="169"/>
    </row>
    <row r="590" ht="15.75" customHeight="1">
      <c r="A590" s="186"/>
      <c r="B590" s="186"/>
      <c r="C590" s="187"/>
      <c r="D590" s="225"/>
      <c r="E590" s="225"/>
      <c r="F590" s="226"/>
      <c r="G590" s="169"/>
    </row>
    <row r="591" ht="15.75" customHeight="1">
      <c r="A591" s="186"/>
      <c r="B591" s="186"/>
      <c r="C591" s="187"/>
      <c r="D591" s="225"/>
      <c r="E591" s="225"/>
      <c r="F591" s="226"/>
      <c r="G591" s="169"/>
    </row>
    <row r="592" ht="15.75" customHeight="1">
      <c r="A592" s="186"/>
      <c r="B592" s="186"/>
      <c r="C592" s="187"/>
      <c r="D592" s="225"/>
      <c r="E592" s="225"/>
      <c r="F592" s="226"/>
      <c r="G592" s="169"/>
    </row>
    <row r="593" ht="15.75" customHeight="1">
      <c r="A593" s="186"/>
      <c r="B593" s="186"/>
      <c r="C593" s="187"/>
      <c r="D593" s="225"/>
      <c r="E593" s="225"/>
      <c r="F593" s="226"/>
      <c r="G593" s="169"/>
    </row>
    <row r="594" ht="15.75" customHeight="1">
      <c r="A594" s="186"/>
      <c r="B594" s="186"/>
      <c r="C594" s="187"/>
      <c r="D594" s="225"/>
      <c r="E594" s="225"/>
      <c r="F594" s="226"/>
      <c r="G594" s="169"/>
    </row>
    <row r="595" ht="15.75" customHeight="1">
      <c r="A595" s="186"/>
      <c r="B595" s="186"/>
      <c r="C595" s="187"/>
      <c r="D595" s="225"/>
      <c r="E595" s="225"/>
      <c r="F595" s="226"/>
      <c r="G595" s="169"/>
    </row>
    <row r="596" ht="15.75" customHeight="1">
      <c r="A596" s="186"/>
      <c r="B596" s="186"/>
      <c r="C596" s="187"/>
      <c r="D596" s="225"/>
      <c r="E596" s="225"/>
      <c r="F596" s="226"/>
      <c r="G596" s="169"/>
    </row>
    <row r="597" ht="15.75" customHeight="1">
      <c r="A597" s="186"/>
      <c r="B597" s="186"/>
      <c r="C597" s="187"/>
      <c r="D597" s="225"/>
      <c r="E597" s="225"/>
      <c r="F597" s="226"/>
      <c r="G597" s="169"/>
    </row>
    <row r="598" ht="15.75" customHeight="1">
      <c r="A598" s="186"/>
      <c r="B598" s="186"/>
      <c r="C598" s="187"/>
      <c r="D598" s="225"/>
      <c r="E598" s="225"/>
      <c r="F598" s="226"/>
      <c r="G598" s="169"/>
    </row>
    <row r="599" ht="15.75" customHeight="1">
      <c r="A599" s="186"/>
      <c r="B599" s="186"/>
      <c r="C599" s="187"/>
      <c r="D599" s="225"/>
      <c r="E599" s="225"/>
      <c r="F599" s="226"/>
      <c r="G599" s="169"/>
    </row>
    <row r="600" ht="15.75" customHeight="1">
      <c r="A600" s="186"/>
      <c r="B600" s="186"/>
      <c r="C600" s="187"/>
      <c r="D600" s="225"/>
      <c r="E600" s="225"/>
      <c r="F600" s="226"/>
      <c r="G600" s="169"/>
    </row>
    <row r="601" ht="15.75" customHeight="1">
      <c r="A601" s="186"/>
      <c r="B601" s="186"/>
      <c r="C601" s="187"/>
      <c r="D601" s="225"/>
      <c r="E601" s="225"/>
      <c r="F601" s="226"/>
      <c r="G601" s="169"/>
    </row>
    <row r="602" ht="15.75" customHeight="1">
      <c r="A602" s="186"/>
      <c r="B602" s="186"/>
      <c r="C602" s="187"/>
      <c r="D602" s="225"/>
      <c r="E602" s="225"/>
      <c r="F602" s="226"/>
      <c r="G602" s="169"/>
    </row>
    <row r="603" ht="15.75" customHeight="1">
      <c r="A603" s="186"/>
      <c r="B603" s="186"/>
      <c r="C603" s="187"/>
      <c r="D603" s="225"/>
      <c r="E603" s="225"/>
      <c r="F603" s="226"/>
      <c r="G603" s="169"/>
    </row>
    <row r="604" ht="15.75" customHeight="1">
      <c r="A604" s="186"/>
      <c r="B604" s="186"/>
      <c r="C604" s="187"/>
      <c r="D604" s="225"/>
      <c r="E604" s="225"/>
      <c r="F604" s="226"/>
      <c r="G604" s="169"/>
    </row>
    <row r="605" ht="15.75" customHeight="1">
      <c r="A605" s="186"/>
      <c r="B605" s="186"/>
      <c r="C605" s="187"/>
      <c r="D605" s="225"/>
      <c r="E605" s="225"/>
      <c r="F605" s="226"/>
      <c r="G605" s="169"/>
    </row>
    <row r="606" ht="15.75" customHeight="1">
      <c r="A606" s="186"/>
      <c r="B606" s="186"/>
      <c r="C606" s="187"/>
      <c r="D606" s="225"/>
      <c r="E606" s="225"/>
      <c r="F606" s="226"/>
      <c r="G606" s="169"/>
    </row>
    <row r="607" ht="15.75" customHeight="1">
      <c r="A607" s="186"/>
      <c r="B607" s="186"/>
      <c r="C607" s="187"/>
      <c r="D607" s="225"/>
      <c r="E607" s="225"/>
      <c r="F607" s="226"/>
      <c r="G607" s="169"/>
    </row>
    <row r="608" ht="15.75" customHeight="1">
      <c r="A608" s="186"/>
      <c r="B608" s="186"/>
      <c r="C608" s="187"/>
      <c r="D608" s="225"/>
      <c r="E608" s="225"/>
      <c r="F608" s="226"/>
      <c r="G608" s="169"/>
    </row>
    <row r="609" ht="15.75" customHeight="1">
      <c r="A609" s="186"/>
      <c r="B609" s="186"/>
      <c r="C609" s="187"/>
      <c r="D609" s="225"/>
      <c r="E609" s="225"/>
      <c r="F609" s="226"/>
      <c r="G609" s="169"/>
    </row>
    <row r="610" ht="15.75" customHeight="1">
      <c r="A610" s="186"/>
      <c r="B610" s="186"/>
      <c r="C610" s="187"/>
      <c r="D610" s="225"/>
      <c r="E610" s="225"/>
      <c r="F610" s="226"/>
      <c r="G610" s="169"/>
    </row>
    <row r="611" ht="15.75" customHeight="1">
      <c r="A611" s="186"/>
      <c r="B611" s="186"/>
      <c r="C611" s="187"/>
      <c r="D611" s="225"/>
      <c r="E611" s="225"/>
      <c r="F611" s="226"/>
      <c r="G611" s="169"/>
    </row>
    <row r="612" ht="15.75" customHeight="1">
      <c r="A612" s="186"/>
      <c r="B612" s="186"/>
      <c r="C612" s="187"/>
      <c r="D612" s="225"/>
      <c r="E612" s="225"/>
      <c r="F612" s="226"/>
      <c r="G612" s="169"/>
    </row>
    <row r="613" ht="15.75" customHeight="1">
      <c r="A613" s="186"/>
      <c r="B613" s="186"/>
      <c r="C613" s="187"/>
      <c r="D613" s="225"/>
      <c r="E613" s="225"/>
      <c r="F613" s="226"/>
      <c r="G613" s="169"/>
    </row>
    <row r="614" ht="15.75" customHeight="1">
      <c r="A614" s="186"/>
      <c r="B614" s="186"/>
      <c r="C614" s="187"/>
      <c r="D614" s="225"/>
      <c r="E614" s="225"/>
      <c r="F614" s="226"/>
      <c r="G614" s="169"/>
    </row>
    <row r="615" ht="15.75" customHeight="1">
      <c r="A615" s="186"/>
      <c r="B615" s="186"/>
      <c r="C615" s="187"/>
      <c r="D615" s="225"/>
      <c r="E615" s="225"/>
      <c r="F615" s="226"/>
      <c r="G615" s="169"/>
    </row>
    <row r="616" ht="15.75" customHeight="1">
      <c r="A616" s="186"/>
      <c r="B616" s="186"/>
      <c r="C616" s="187"/>
      <c r="D616" s="225"/>
      <c r="E616" s="225"/>
      <c r="F616" s="226"/>
      <c r="G616" s="169"/>
    </row>
    <row r="617" ht="15.75" customHeight="1">
      <c r="A617" s="186"/>
      <c r="B617" s="186"/>
      <c r="C617" s="187"/>
      <c r="D617" s="225"/>
      <c r="E617" s="225"/>
      <c r="F617" s="226"/>
      <c r="G617" s="169"/>
    </row>
    <row r="618" ht="15.75" customHeight="1">
      <c r="A618" s="186"/>
      <c r="B618" s="186"/>
      <c r="C618" s="187"/>
      <c r="D618" s="225"/>
      <c r="E618" s="225"/>
      <c r="F618" s="226"/>
      <c r="G618" s="169"/>
    </row>
    <row r="619" ht="15.75" customHeight="1">
      <c r="A619" s="186"/>
      <c r="B619" s="186"/>
      <c r="C619" s="187"/>
      <c r="D619" s="225"/>
      <c r="E619" s="225"/>
      <c r="F619" s="226"/>
      <c r="G619" s="169"/>
    </row>
    <row r="620" ht="15.75" customHeight="1">
      <c r="A620" s="186"/>
      <c r="B620" s="186"/>
      <c r="C620" s="187"/>
      <c r="D620" s="225"/>
      <c r="E620" s="225"/>
      <c r="F620" s="226"/>
      <c r="G620" s="169"/>
    </row>
    <row r="621" ht="15.75" customHeight="1">
      <c r="A621" s="186"/>
      <c r="B621" s="186"/>
      <c r="C621" s="187"/>
      <c r="D621" s="225"/>
      <c r="E621" s="225"/>
      <c r="F621" s="226"/>
      <c r="G621" s="169"/>
    </row>
    <row r="622" ht="15.75" customHeight="1">
      <c r="A622" s="186"/>
      <c r="B622" s="186"/>
      <c r="C622" s="187"/>
      <c r="D622" s="225"/>
      <c r="E622" s="225"/>
      <c r="F622" s="226"/>
      <c r="G622" s="169"/>
    </row>
    <row r="623" ht="15.75" customHeight="1">
      <c r="A623" s="186"/>
      <c r="B623" s="186"/>
      <c r="C623" s="187"/>
      <c r="D623" s="225"/>
      <c r="E623" s="225"/>
      <c r="F623" s="226"/>
      <c r="G623" s="169"/>
    </row>
    <row r="624" ht="15.75" customHeight="1">
      <c r="A624" s="186"/>
      <c r="B624" s="186"/>
      <c r="C624" s="187"/>
      <c r="D624" s="225"/>
      <c r="E624" s="225"/>
      <c r="F624" s="226"/>
      <c r="G624" s="169"/>
    </row>
    <row r="625" ht="15.75" customHeight="1">
      <c r="A625" s="186"/>
      <c r="B625" s="186"/>
      <c r="C625" s="187"/>
      <c r="D625" s="225"/>
      <c r="E625" s="225"/>
      <c r="F625" s="226"/>
      <c r="G625" s="169"/>
    </row>
    <row r="626" ht="15.75" customHeight="1">
      <c r="A626" s="186"/>
      <c r="B626" s="186"/>
      <c r="C626" s="187"/>
      <c r="D626" s="225"/>
      <c r="E626" s="225"/>
      <c r="F626" s="226"/>
      <c r="G626" s="169"/>
    </row>
    <row r="627" ht="15.75" customHeight="1">
      <c r="A627" s="186"/>
      <c r="B627" s="186"/>
      <c r="C627" s="187"/>
      <c r="D627" s="225"/>
      <c r="E627" s="225"/>
      <c r="F627" s="226"/>
      <c r="G627" s="169"/>
    </row>
    <row r="628" ht="15.75" customHeight="1">
      <c r="A628" s="186"/>
      <c r="B628" s="186"/>
      <c r="C628" s="187"/>
      <c r="D628" s="225"/>
      <c r="E628" s="225"/>
      <c r="F628" s="226"/>
      <c r="G628" s="169"/>
    </row>
    <row r="629" ht="15.75" customHeight="1">
      <c r="A629" s="186"/>
      <c r="B629" s="186"/>
      <c r="C629" s="187"/>
      <c r="D629" s="225"/>
      <c r="E629" s="225"/>
      <c r="F629" s="226"/>
      <c r="G629" s="169"/>
    </row>
    <row r="630" ht="15.75" customHeight="1">
      <c r="A630" s="186"/>
      <c r="B630" s="186"/>
      <c r="C630" s="187"/>
      <c r="D630" s="225"/>
      <c r="E630" s="225"/>
      <c r="F630" s="226"/>
      <c r="G630" s="169"/>
    </row>
    <row r="631" ht="15.75" customHeight="1">
      <c r="A631" s="186"/>
      <c r="B631" s="186"/>
      <c r="C631" s="187"/>
      <c r="D631" s="225"/>
      <c r="E631" s="225"/>
      <c r="F631" s="226"/>
      <c r="G631" s="169"/>
    </row>
    <row r="632" ht="15.75" customHeight="1">
      <c r="A632" s="186"/>
      <c r="B632" s="186"/>
      <c r="C632" s="187"/>
      <c r="D632" s="225"/>
      <c r="E632" s="225"/>
      <c r="F632" s="226"/>
      <c r="G632" s="169"/>
    </row>
    <row r="633" ht="15.75" customHeight="1">
      <c r="A633" s="186"/>
      <c r="B633" s="186"/>
      <c r="C633" s="187"/>
      <c r="D633" s="225"/>
      <c r="E633" s="225"/>
      <c r="F633" s="226"/>
      <c r="G633" s="169"/>
    </row>
    <row r="634" ht="15.75" customHeight="1">
      <c r="A634" s="186"/>
      <c r="B634" s="186"/>
      <c r="C634" s="187"/>
      <c r="D634" s="225"/>
      <c r="E634" s="225"/>
      <c r="F634" s="226"/>
      <c r="G634" s="169"/>
    </row>
    <row r="635" ht="15.75" customHeight="1">
      <c r="A635" s="186"/>
      <c r="B635" s="186"/>
      <c r="C635" s="187"/>
      <c r="D635" s="225"/>
      <c r="E635" s="225"/>
      <c r="F635" s="226"/>
      <c r="G635" s="169"/>
    </row>
    <row r="636" ht="15.75" customHeight="1">
      <c r="A636" s="186"/>
      <c r="B636" s="186"/>
      <c r="C636" s="187"/>
      <c r="D636" s="225"/>
      <c r="E636" s="225"/>
      <c r="F636" s="226"/>
      <c r="G636" s="169"/>
    </row>
    <row r="637" ht="15.75" customHeight="1">
      <c r="A637" s="186"/>
      <c r="B637" s="186"/>
      <c r="C637" s="187"/>
      <c r="D637" s="225"/>
      <c r="E637" s="225"/>
      <c r="F637" s="226"/>
      <c r="G637" s="169"/>
    </row>
    <row r="638" ht="15.75" customHeight="1">
      <c r="A638" s="186"/>
      <c r="B638" s="186"/>
      <c r="C638" s="187"/>
      <c r="D638" s="225"/>
      <c r="E638" s="225"/>
      <c r="F638" s="226"/>
      <c r="G638" s="169"/>
    </row>
    <row r="639" ht="15.75" customHeight="1">
      <c r="A639" s="186"/>
      <c r="B639" s="186"/>
      <c r="C639" s="187"/>
      <c r="D639" s="225"/>
      <c r="E639" s="225"/>
      <c r="F639" s="226"/>
      <c r="G639" s="169"/>
    </row>
    <row r="640" ht="15.75" customHeight="1">
      <c r="A640" s="186"/>
      <c r="B640" s="186"/>
      <c r="C640" s="187"/>
      <c r="D640" s="225"/>
      <c r="E640" s="225"/>
      <c r="F640" s="226"/>
      <c r="G640" s="169"/>
    </row>
    <row r="641" ht="15.75" customHeight="1">
      <c r="A641" s="186"/>
      <c r="B641" s="186"/>
      <c r="C641" s="187"/>
      <c r="D641" s="225"/>
      <c r="E641" s="225"/>
      <c r="F641" s="226"/>
      <c r="G641" s="169"/>
    </row>
    <row r="642" ht="15.75" customHeight="1">
      <c r="A642" s="186"/>
      <c r="B642" s="186"/>
      <c r="C642" s="187"/>
      <c r="D642" s="225"/>
      <c r="E642" s="225"/>
      <c r="F642" s="226"/>
      <c r="G642" s="169"/>
    </row>
    <row r="643" ht="15.75" customHeight="1">
      <c r="A643" s="186"/>
      <c r="B643" s="186"/>
      <c r="C643" s="187"/>
      <c r="D643" s="225"/>
      <c r="E643" s="225"/>
      <c r="F643" s="226"/>
      <c r="G643" s="169"/>
    </row>
    <row r="644" ht="15.75" customHeight="1">
      <c r="A644" s="186"/>
      <c r="B644" s="186"/>
      <c r="C644" s="187"/>
      <c r="D644" s="225"/>
      <c r="E644" s="225"/>
      <c r="F644" s="226"/>
      <c r="G644" s="169"/>
    </row>
    <row r="645" ht="15.75" customHeight="1">
      <c r="A645" s="186"/>
      <c r="B645" s="186"/>
      <c r="C645" s="187"/>
      <c r="D645" s="225"/>
      <c r="E645" s="225"/>
      <c r="F645" s="226"/>
      <c r="G645" s="169"/>
    </row>
    <row r="646" ht="15.75" customHeight="1">
      <c r="A646" s="186"/>
      <c r="B646" s="186"/>
      <c r="C646" s="187"/>
      <c r="D646" s="225"/>
      <c r="E646" s="225"/>
      <c r="F646" s="226"/>
      <c r="G646" s="169"/>
    </row>
    <row r="647" ht="15.75" customHeight="1">
      <c r="A647" s="186"/>
      <c r="B647" s="186"/>
      <c r="C647" s="187"/>
      <c r="D647" s="225"/>
      <c r="E647" s="225"/>
      <c r="F647" s="226"/>
      <c r="G647" s="169"/>
    </row>
    <row r="648" ht="15.75" customHeight="1">
      <c r="A648" s="186"/>
      <c r="B648" s="186"/>
      <c r="C648" s="187"/>
      <c r="D648" s="225"/>
      <c r="E648" s="225"/>
      <c r="F648" s="226"/>
      <c r="G648" s="169"/>
    </row>
    <row r="649" ht="15.75" customHeight="1">
      <c r="A649" s="186"/>
      <c r="B649" s="186"/>
      <c r="C649" s="187"/>
      <c r="D649" s="225"/>
      <c r="E649" s="225"/>
      <c r="F649" s="226"/>
      <c r="G649" s="169"/>
    </row>
    <row r="650" ht="15.75" customHeight="1">
      <c r="A650" s="186"/>
      <c r="B650" s="186"/>
      <c r="C650" s="187"/>
      <c r="D650" s="225"/>
      <c r="E650" s="225"/>
      <c r="F650" s="226"/>
      <c r="G650" s="169"/>
    </row>
    <row r="651" ht="15.75" customHeight="1">
      <c r="A651" s="186"/>
      <c r="B651" s="186"/>
      <c r="C651" s="187"/>
      <c r="D651" s="225"/>
      <c r="E651" s="225"/>
      <c r="F651" s="226"/>
      <c r="G651" s="169"/>
    </row>
    <row r="652" ht="15.75" customHeight="1">
      <c r="A652" s="186"/>
      <c r="B652" s="186"/>
      <c r="C652" s="187"/>
      <c r="D652" s="225"/>
      <c r="E652" s="225"/>
      <c r="F652" s="226"/>
      <c r="G652" s="169"/>
    </row>
    <row r="653" ht="15.75" customHeight="1">
      <c r="A653" s="186"/>
      <c r="B653" s="186"/>
      <c r="C653" s="187"/>
      <c r="D653" s="225"/>
      <c r="E653" s="225"/>
      <c r="F653" s="226"/>
      <c r="G653" s="169"/>
    </row>
    <row r="654" ht="15.75" customHeight="1">
      <c r="A654" s="186"/>
      <c r="B654" s="186"/>
      <c r="C654" s="187"/>
      <c r="D654" s="225"/>
      <c r="E654" s="225"/>
      <c r="F654" s="226"/>
      <c r="G654" s="169"/>
    </row>
    <row r="655" ht="15.75" customHeight="1">
      <c r="A655" s="186"/>
      <c r="B655" s="186"/>
      <c r="C655" s="187"/>
      <c r="D655" s="225"/>
      <c r="E655" s="225"/>
      <c r="F655" s="226"/>
      <c r="G655" s="169"/>
    </row>
    <row r="656" ht="15.75" customHeight="1">
      <c r="A656" s="186"/>
      <c r="B656" s="186"/>
      <c r="C656" s="187"/>
      <c r="D656" s="225"/>
      <c r="E656" s="225"/>
      <c r="F656" s="226"/>
      <c r="G656" s="169"/>
    </row>
    <row r="657" ht="15.75" customHeight="1">
      <c r="A657" s="186"/>
      <c r="B657" s="186"/>
      <c r="C657" s="187"/>
      <c r="D657" s="225"/>
      <c r="E657" s="225"/>
      <c r="F657" s="226"/>
      <c r="G657" s="169"/>
    </row>
    <row r="658" ht="15.75" customHeight="1">
      <c r="A658" s="186"/>
      <c r="B658" s="186"/>
      <c r="C658" s="187"/>
      <c r="D658" s="225"/>
      <c r="E658" s="225"/>
      <c r="F658" s="226"/>
      <c r="G658" s="169"/>
    </row>
    <row r="659" ht="15.75" customHeight="1">
      <c r="A659" s="186"/>
      <c r="B659" s="186"/>
      <c r="C659" s="187"/>
      <c r="D659" s="225"/>
      <c r="E659" s="225"/>
      <c r="F659" s="226"/>
      <c r="G659" s="169"/>
    </row>
    <row r="660" ht="15.75" customHeight="1">
      <c r="A660" s="186"/>
      <c r="B660" s="186"/>
      <c r="C660" s="187"/>
      <c r="D660" s="225"/>
      <c r="E660" s="225"/>
      <c r="F660" s="226"/>
      <c r="G660" s="169"/>
    </row>
    <row r="661" ht="15.75" customHeight="1">
      <c r="A661" s="186"/>
      <c r="B661" s="186"/>
      <c r="C661" s="187"/>
      <c r="D661" s="225"/>
      <c r="E661" s="225"/>
      <c r="F661" s="226"/>
      <c r="G661" s="169"/>
    </row>
    <row r="662" ht="15.75" customHeight="1">
      <c r="A662" s="186"/>
      <c r="B662" s="186"/>
      <c r="C662" s="187"/>
      <c r="D662" s="225"/>
      <c r="E662" s="225"/>
      <c r="F662" s="226"/>
      <c r="G662" s="169"/>
    </row>
    <row r="663" ht="15.75" customHeight="1">
      <c r="A663" s="186"/>
      <c r="B663" s="186"/>
      <c r="C663" s="187"/>
      <c r="D663" s="225"/>
      <c r="E663" s="225"/>
      <c r="F663" s="226"/>
      <c r="G663" s="169"/>
    </row>
    <row r="664" ht="15.75" customHeight="1">
      <c r="A664" s="186"/>
      <c r="B664" s="186"/>
      <c r="C664" s="187"/>
      <c r="D664" s="225"/>
      <c r="E664" s="225"/>
      <c r="F664" s="226"/>
      <c r="G664" s="169"/>
    </row>
    <row r="665" ht="15.75" customHeight="1">
      <c r="A665" s="186"/>
      <c r="B665" s="186"/>
      <c r="C665" s="187"/>
      <c r="D665" s="225"/>
      <c r="E665" s="225"/>
      <c r="F665" s="226"/>
      <c r="G665" s="169"/>
    </row>
    <row r="666" ht="15.75" customHeight="1">
      <c r="A666" s="186"/>
      <c r="B666" s="186"/>
      <c r="C666" s="187"/>
      <c r="D666" s="225"/>
      <c r="E666" s="225"/>
      <c r="F666" s="226"/>
      <c r="G666" s="169"/>
    </row>
    <row r="667" ht="15.75" customHeight="1">
      <c r="A667" s="186"/>
      <c r="B667" s="186"/>
      <c r="C667" s="187"/>
      <c r="D667" s="225"/>
      <c r="E667" s="225"/>
      <c r="F667" s="226"/>
      <c r="G667" s="169"/>
    </row>
    <row r="668" ht="15.75" customHeight="1">
      <c r="A668" s="186"/>
      <c r="B668" s="186"/>
      <c r="C668" s="187"/>
      <c r="D668" s="225"/>
      <c r="E668" s="225"/>
      <c r="F668" s="226"/>
      <c r="G668" s="169"/>
    </row>
    <row r="669" ht="15.75" customHeight="1">
      <c r="A669" s="186"/>
      <c r="B669" s="186"/>
      <c r="C669" s="187"/>
      <c r="D669" s="225"/>
      <c r="E669" s="225"/>
      <c r="F669" s="226"/>
      <c r="G669" s="169"/>
    </row>
    <row r="670" ht="15.75" customHeight="1">
      <c r="A670" s="186"/>
      <c r="B670" s="186"/>
      <c r="C670" s="187"/>
      <c r="D670" s="225"/>
      <c r="E670" s="225"/>
      <c r="F670" s="226"/>
      <c r="G670" s="169"/>
    </row>
    <row r="671" ht="15.75" customHeight="1">
      <c r="A671" s="186"/>
      <c r="B671" s="186"/>
      <c r="C671" s="187"/>
      <c r="D671" s="225"/>
      <c r="E671" s="225"/>
      <c r="F671" s="226"/>
      <c r="G671" s="169"/>
    </row>
    <row r="672" ht="15.75" customHeight="1">
      <c r="A672" s="186"/>
      <c r="B672" s="186"/>
      <c r="C672" s="187"/>
      <c r="D672" s="225"/>
      <c r="E672" s="225"/>
      <c r="F672" s="226"/>
      <c r="G672" s="169"/>
    </row>
    <row r="673" ht="15.75" customHeight="1">
      <c r="A673" s="186"/>
      <c r="B673" s="186"/>
      <c r="C673" s="187"/>
      <c r="D673" s="225"/>
      <c r="E673" s="225"/>
      <c r="F673" s="226"/>
      <c r="G673" s="169"/>
    </row>
    <row r="674" ht="15.75" customHeight="1">
      <c r="A674" s="186"/>
      <c r="B674" s="186"/>
      <c r="C674" s="187"/>
      <c r="D674" s="225"/>
      <c r="E674" s="225"/>
      <c r="F674" s="226"/>
      <c r="G674" s="169"/>
    </row>
    <row r="675" ht="15.75" customHeight="1">
      <c r="A675" s="186"/>
      <c r="B675" s="186"/>
      <c r="C675" s="187"/>
      <c r="D675" s="225"/>
      <c r="E675" s="225"/>
      <c r="F675" s="226"/>
      <c r="G675" s="169"/>
    </row>
    <row r="676" ht="15.75" customHeight="1">
      <c r="A676" s="186"/>
      <c r="B676" s="186"/>
      <c r="C676" s="187"/>
      <c r="D676" s="225"/>
      <c r="E676" s="225"/>
      <c r="F676" s="226"/>
      <c r="G676" s="169"/>
    </row>
    <row r="677" ht="15.75" customHeight="1">
      <c r="A677" s="186"/>
      <c r="B677" s="186"/>
      <c r="C677" s="187"/>
      <c r="D677" s="225"/>
      <c r="E677" s="225"/>
      <c r="F677" s="226"/>
      <c r="G677" s="169"/>
    </row>
    <row r="678" ht="15.75" customHeight="1">
      <c r="A678" s="186"/>
      <c r="B678" s="186"/>
      <c r="C678" s="187"/>
      <c r="D678" s="225"/>
      <c r="E678" s="225"/>
      <c r="F678" s="226"/>
      <c r="G678" s="169"/>
    </row>
    <row r="679" ht="15.75" customHeight="1">
      <c r="A679" s="186"/>
      <c r="B679" s="186"/>
      <c r="C679" s="187"/>
      <c r="D679" s="225"/>
      <c r="E679" s="225"/>
      <c r="F679" s="226"/>
      <c r="G679" s="169"/>
    </row>
    <row r="680" ht="15.75" customHeight="1">
      <c r="A680" s="186"/>
      <c r="B680" s="186"/>
      <c r="C680" s="187"/>
      <c r="D680" s="225"/>
      <c r="E680" s="225"/>
      <c r="F680" s="226"/>
      <c r="G680" s="169"/>
    </row>
    <row r="681" ht="15.75" customHeight="1">
      <c r="A681" s="186"/>
      <c r="B681" s="186"/>
      <c r="C681" s="187"/>
      <c r="D681" s="225"/>
      <c r="E681" s="225"/>
      <c r="F681" s="226"/>
      <c r="G681" s="169"/>
    </row>
    <row r="682" ht="15.75" customHeight="1">
      <c r="A682" s="186"/>
      <c r="B682" s="186"/>
      <c r="C682" s="187"/>
      <c r="D682" s="225"/>
      <c r="E682" s="225"/>
      <c r="F682" s="226"/>
      <c r="G682" s="169"/>
    </row>
    <row r="683" ht="15.75" customHeight="1">
      <c r="A683" s="186"/>
      <c r="B683" s="186"/>
      <c r="C683" s="187"/>
      <c r="D683" s="225"/>
      <c r="E683" s="225"/>
      <c r="F683" s="226"/>
      <c r="G683" s="169"/>
    </row>
    <row r="684" ht="15.75" customHeight="1">
      <c r="A684" s="186"/>
      <c r="B684" s="186"/>
      <c r="C684" s="187"/>
      <c r="D684" s="225"/>
      <c r="E684" s="225"/>
      <c r="F684" s="226"/>
      <c r="G684" s="169"/>
    </row>
    <row r="685" ht="15.75" customHeight="1">
      <c r="A685" s="186"/>
      <c r="B685" s="186"/>
      <c r="C685" s="187"/>
      <c r="D685" s="225"/>
      <c r="E685" s="225"/>
      <c r="F685" s="226"/>
      <c r="G685" s="169"/>
    </row>
    <row r="686" ht="15.75" customHeight="1">
      <c r="A686" s="186"/>
      <c r="B686" s="186"/>
      <c r="C686" s="187"/>
      <c r="D686" s="225"/>
      <c r="E686" s="225"/>
      <c r="F686" s="226"/>
      <c r="G686" s="169"/>
    </row>
    <row r="687" ht="15.75" customHeight="1">
      <c r="A687" s="186"/>
      <c r="B687" s="186"/>
      <c r="C687" s="187"/>
      <c r="D687" s="225"/>
      <c r="E687" s="225"/>
      <c r="F687" s="226"/>
      <c r="G687" s="169"/>
    </row>
    <row r="688" ht="15.75" customHeight="1">
      <c r="A688" s="186"/>
      <c r="B688" s="186"/>
      <c r="C688" s="187"/>
      <c r="D688" s="225"/>
      <c r="E688" s="225"/>
      <c r="F688" s="226"/>
      <c r="G688" s="169"/>
    </row>
    <row r="689" ht="15.75" customHeight="1">
      <c r="A689" s="186"/>
      <c r="B689" s="186"/>
      <c r="C689" s="187"/>
      <c r="D689" s="225"/>
      <c r="E689" s="225"/>
      <c r="F689" s="226"/>
      <c r="G689" s="169"/>
    </row>
    <row r="690" ht="15.75" customHeight="1">
      <c r="A690" s="186"/>
      <c r="B690" s="186"/>
      <c r="C690" s="187"/>
      <c r="D690" s="225"/>
      <c r="E690" s="225"/>
      <c r="F690" s="226"/>
      <c r="G690" s="169"/>
    </row>
    <row r="691" ht="15.75" customHeight="1">
      <c r="A691" s="186"/>
      <c r="B691" s="186"/>
      <c r="C691" s="187"/>
      <c r="D691" s="225"/>
      <c r="E691" s="225"/>
      <c r="F691" s="226"/>
      <c r="G691" s="169"/>
    </row>
    <row r="692" ht="15.75" customHeight="1">
      <c r="A692" s="186"/>
      <c r="B692" s="186"/>
      <c r="C692" s="187"/>
      <c r="D692" s="225"/>
      <c r="E692" s="225"/>
      <c r="F692" s="226"/>
      <c r="G692" s="169"/>
    </row>
    <row r="693" ht="15.75" customHeight="1">
      <c r="A693" s="186"/>
      <c r="B693" s="186"/>
      <c r="C693" s="187"/>
      <c r="D693" s="225"/>
      <c r="E693" s="225"/>
      <c r="F693" s="226"/>
      <c r="G693" s="169"/>
    </row>
    <row r="694" ht="15.75" customHeight="1">
      <c r="A694" s="186"/>
      <c r="B694" s="186"/>
      <c r="C694" s="187"/>
      <c r="D694" s="225"/>
      <c r="E694" s="225"/>
      <c r="F694" s="226"/>
      <c r="G694" s="169"/>
    </row>
    <row r="695" ht="15.75" customHeight="1">
      <c r="A695" s="186"/>
      <c r="B695" s="186"/>
      <c r="C695" s="187"/>
      <c r="D695" s="225"/>
      <c r="E695" s="225"/>
      <c r="F695" s="226"/>
      <c r="G695" s="169"/>
    </row>
    <row r="696" ht="15.75" customHeight="1">
      <c r="A696" s="186"/>
      <c r="B696" s="186"/>
      <c r="C696" s="187"/>
      <c r="D696" s="225"/>
      <c r="E696" s="225"/>
      <c r="F696" s="226"/>
      <c r="G696" s="169"/>
    </row>
    <row r="697" ht="15.75" customHeight="1">
      <c r="A697" s="186"/>
      <c r="B697" s="186"/>
      <c r="C697" s="187"/>
      <c r="D697" s="225"/>
      <c r="E697" s="225"/>
      <c r="F697" s="226"/>
      <c r="G697" s="169"/>
    </row>
    <row r="698" ht="15.75" customHeight="1">
      <c r="A698" s="186"/>
      <c r="B698" s="186"/>
      <c r="C698" s="187"/>
      <c r="D698" s="225"/>
      <c r="E698" s="225"/>
      <c r="F698" s="226"/>
      <c r="G698" s="169"/>
    </row>
    <row r="699" ht="15.75" customHeight="1">
      <c r="A699" s="186"/>
      <c r="B699" s="186"/>
      <c r="C699" s="187"/>
      <c r="D699" s="225"/>
      <c r="E699" s="225"/>
      <c r="F699" s="226"/>
      <c r="G699" s="169"/>
    </row>
    <row r="700" ht="15.75" customHeight="1">
      <c r="A700" s="186"/>
      <c r="B700" s="186"/>
      <c r="C700" s="187"/>
      <c r="D700" s="225"/>
      <c r="E700" s="225"/>
      <c r="F700" s="226"/>
      <c r="G700" s="169"/>
    </row>
    <row r="701" ht="15.75" customHeight="1">
      <c r="A701" s="186"/>
      <c r="B701" s="186"/>
      <c r="C701" s="187"/>
      <c r="D701" s="225"/>
      <c r="E701" s="225"/>
      <c r="F701" s="226"/>
      <c r="G701" s="169"/>
    </row>
    <row r="702" ht="15.75" customHeight="1">
      <c r="A702" s="186"/>
      <c r="B702" s="186"/>
      <c r="C702" s="187"/>
      <c r="D702" s="225"/>
      <c r="E702" s="225"/>
      <c r="F702" s="226"/>
      <c r="G702" s="169"/>
    </row>
    <row r="703" ht="15.75" customHeight="1">
      <c r="A703" s="186"/>
      <c r="B703" s="186"/>
      <c r="C703" s="187"/>
      <c r="D703" s="225"/>
      <c r="E703" s="225"/>
      <c r="F703" s="226"/>
      <c r="G703" s="169"/>
    </row>
    <row r="704" ht="15.75" customHeight="1">
      <c r="A704" s="186"/>
      <c r="B704" s="186"/>
      <c r="C704" s="187"/>
      <c r="D704" s="225"/>
      <c r="E704" s="225"/>
      <c r="F704" s="226"/>
      <c r="G704" s="169"/>
    </row>
    <row r="705" ht="15.75" customHeight="1">
      <c r="A705" s="186"/>
      <c r="B705" s="186"/>
      <c r="C705" s="187"/>
      <c r="D705" s="225"/>
      <c r="E705" s="225"/>
      <c r="F705" s="226"/>
      <c r="G705" s="169"/>
    </row>
    <row r="706" ht="15.75" customHeight="1">
      <c r="A706" s="186"/>
      <c r="B706" s="186"/>
      <c r="C706" s="187"/>
      <c r="D706" s="225"/>
      <c r="E706" s="225"/>
      <c r="F706" s="226"/>
      <c r="G706" s="169"/>
    </row>
    <row r="707" ht="15.75" customHeight="1">
      <c r="A707" s="186"/>
      <c r="B707" s="186"/>
      <c r="C707" s="187"/>
      <c r="D707" s="225"/>
      <c r="E707" s="225"/>
      <c r="F707" s="226"/>
      <c r="G707" s="169"/>
    </row>
    <row r="708" ht="15.75" customHeight="1">
      <c r="A708" s="186"/>
      <c r="B708" s="186"/>
      <c r="C708" s="187"/>
      <c r="D708" s="225"/>
      <c r="E708" s="225"/>
      <c r="F708" s="226"/>
      <c r="G708" s="169"/>
    </row>
    <row r="709" ht="15.75" customHeight="1">
      <c r="A709" s="186"/>
      <c r="B709" s="186"/>
      <c r="C709" s="187"/>
      <c r="D709" s="225"/>
      <c r="E709" s="225"/>
      <c r="F709" s="226"/>
      <c r="G709" s="169"/>
    </row>
    <row r="710" ht="15.75" customHeight="1">
      <c r="A710" s="186"/>
      <c r="B710" s="186"/>
      <c r="C710" s="187"/>
      <c r="D710" s="225"/>
      <c r="E710" s="225"/>
      <c r="F710" s="226"/>
      <c r="G710" s="169"/>
    </row>
    <row r="711" ht="15.75" customHeight="1">
      <c r="A711" s="186"/>
      <c r="B711" s="186"/>
      <c r="C711" s="187"/>
      <c r="D711" s="225"/>
      <c r="E711" s="225"/>
      <c r="F711" s="226"/>
      <c r="G711" s="169"/>
    </row>
    <row r="712" ht="15.75" customHeight="1">
      <c r="A712" s="186"/>
      <c r="B712" s="186"/>
      <c r="C712" s="187"/>
      <c r="D712" s="225"/>
      <c r="E712" s="225"/>
      <c r="F712" s="226"/>
      <c r="G712" s="169"/>
    </row>
    <row r="713" ht="15.75" customHeight="1">
      <c r="A713" s="186"/>
      <c r="B713" s="186"/>
      <c r="C713" s="187"/>
      <c r="D713" s="225"/>
      <c r="E713" s="225"/>
      <c r="F713" s="226"/>
      <c r="G713" s="169"/>
    </row>
    <row r="714" ht="15.75" customHeight="1">
      <c r="A714" s="186"/>
      <c r="B714" s="186"/>
      <c r="C714" s="187"/>
      <c r="D714" s="225"/>
      <c r="E714" s="225"/>
      <c r="F714" s="226"/>
      <c r="G714" s="169"/>
    </row>
    <row r="715" ht="15.75" customHeight="1">
      <c r="A715" s="186"/>
      <c r="B715" s="186"/>
      <c r="C715" s="187"/>
      <c r="D715" s="225"/>
      <c r="E715" s="225"/>
      <c r="F715" s="226"/>
      <c r="G715" s="169"/>
    </row>
    <row r="716" ht="15.75" customHeight="1">
      <c r="A716" s="186"/>
      <c r="B716" s="186"/>
      <c r="C716" s="187"/>
      <c r="D716" s="225"/>
      <c r="E716" s="225"/>
      <c r="F716" s="226"/>
      <c r="G716" s="169"/>
    </row>
    <row r="717" ht="15.75" customHeight="1">
      <c r="A717" s="186"/>
      <c r="B717" s="186"/>
      <c r="C717" s="187"/>
      <c r="D717" s="225"/>
      <c r="E717" s="225"/>
      <c r="F717" s="226"/>
      <c r="G717" s="169"/>
    </row>
    <row r="718" ht="15.75" customHeight="1">
      <c r="A718" s="186"/>
      <c r="B718" s="186"/>
      <c r="C718" s="187"/>
      <c r="D718" s="225"/>
      <c r="E718" s="225"/>
      <c r="F718" s="226"/>
      <c r="G718" s="169"/>
    </row>
    <row r="719" ht="15.75" customHeight="1">
      <c r="A719" s="186"/>
      <c r="B719" s="186"/>
      <c r="C719" s="187"/>
      <c r="D719" s="225"/>
      <c r="E719" s="225"/>
      <c r="F719" s="226"/>
      <c r="G719" s="169"/>
    </row>
    <row r="720" ht="15.75" customHeight="1">
      <c r="A720" s="186"/>
      <c r="B720" s="186"/>
      <c r="C720" s="187"/>
      <c r="D720" s="225"/>
      <c r="E720" s="225"/>
      <c r="F720" s="226"/>
      <c r="G720" s="169"/>
    </row>
    <row r="721" ht="15.75" customHeight="1">
      <c r="A721" s="186"/>
      <c r="B721" s="186"/>
      <c r="C721" s="187"/>
      <c r="D721" s="225"/>
      <c r="E721" s="225"/>
      <c r="F721" s="226"/>
      <c r="G721" s="169"/>
    </row>
    <row r="722" ht="15.75" customHeight="1">
      <c r="A722" s="186"/>
      <c r="B722" s="186"/>
      <c r="C722" s="187"/>
      <c r="D722" s="225"/>
      <c r="E722" s="225"/>
      <c r="F722" s="226"/>
      <c r="G722" s="169"/>
    </row>
    <row r="723" ht="15.75" customHeight="1">
      <c r="A723" s="186"/>
      <c r="B723" s="186"/>
      <c r="C723" s="187"/>
      <c r="D723" s="225"/>
      <c r="E723" s="225"/>
      <c r="F723" s="226"/>
      <c r="G723" s="169"/>
    </row>
    <row r="724" ht="15.75" customHeight="1">
      <c r="A724" s="186"/>
      <c r="B724" s="186"/>
      <c r="C724" s="187"/>
      <c r="D724" s="225"/>
      <c r="E724" s="225"/>
      <c r="F724" s="226"/>
      <c r="G724" s="169"/>
    </row>
    <row r="725" ht="15.75" customHeight="1">
      <c r="A725" s="186"/>
      <c r="B725" s="186"/>
      <c r="C725" s="187"/>
      <c r="D725" s="225"/>
      <c r="E725" s="225"/>
      <c r="F725" s="226"/>
      <c r="G725" s="169"/>
    </row>
    <row r="726" ht="15.75" customHeight="1">
      <c r="A726" s="186"/>
      <c r="B726" s="186"/>
      <c r="C726" s="187"/>
      <c r="D726" s="225"/>
      <c r="E726" s="225"/>
      <c r="F726" s="226"/>
      <c r="G726" s="169"/>
    </row>
    <row r="727" ht="15.75" customHeight="1">
      <c r="A727" s="186"/>
      <c r="B727" s="186"/>
      <c r="C727" s="187"/>
      <c r="D727" s="225"/>
      <c r="E727" s="225"/>
      <c r="F727" s="226"/>
      <c r="G727" s="169"/>
    </row>
    <row r="728" ht="15.75" customHeight="1">
      <c r="A728" s="186"/>
      <c r="B728" s="186"/>
      <c r="C728" s="187"/>
      <c r="D728" s="225"/>
      <c r="E728" s="225"/>
      <c r="F728" s="226"/>
      <c r="G728" s="169"/>
    </row>
    <row r="729" ht="15.75" customHeight="1">
      <c r="A729" s="186"/>
      <c r="B729" s="186"/>
      <c r="C729" s="187"/>
      <c r="D729" s="225"/>
      <c r="E729" s="225"/>
      <c r="F729" s="226"/>
      <c r="G729" s="169"/>
    </row>
    <row r="730" ht="15.75" customHeight="1">
      <c r="A730" s="186"/>
      <c r="B730" s="186"/>
      <c r="C730" s="187"/>
      <c r="D730" s="225"/>
      <c r="E730" s="225"/>
      <c r="F730" s="226"/>
      <c r="G730" s="169"/>
    </row>
    <row r="731" ht="15.75" customHeight="1">
      <c r="A731" s="186"/>
      <c r="B731" s="186"/>
      <c r="C731" s="187"/>
      <c r="D731" s="225"/>
      <c r="E731" s="225"/>
      <c r="F731" s="226"/>
      <c r="G731" s="169"/>
    </row>
    <row r="732" ht="15.75" customHeight="1">
      <c r="A732" s="186"/>
      <c r="B732" s="186"/>
      <c r="C732" s="187"/>
      <c r="D732" s="225"/>
      <c r="E732" s="225"/>
      <c r="F732" s="226"/>
      <c r="G732" s="169"/>
    </row>
    <row r="733" ht="15.75" customHeight="1">
      <c r="A733" s="186"/>
      <c r="B733" s="186"/>
      <c r="C733" s="187"/>
      <c r="D733" s="225"/>
      <c r="E733" s="225"/>
      <c r="F733" s="226"/>
      <c r="G733" s="169"/>
    </row>
    <row r="734" ht="15.75" customHeight="1">
      <c r="A734" s="186"/>
      <c r="B734" s="186"/>
      <c r="C734" s="187"/>
      <c r="D734" s="225"/>
      <c r="E734" s="225"/>
      <c r="F734" s="226"/>
      <c r="G734" s="169"/>
    </row>
    <row r="735" ht="15.75" customHeight="1">
      <c r="A735" s="186"/>
      <c r="B735" s="186"/>
      <c r="C735" s="187"/>
      <c r="D735" s="225"/>
      <c r="E735" s="225"/>
      <c r="F735" s="226"/>
      <c r="G735" s="169"/>
    </row>
    <row r="736" ht="15.75" customHeight="1">
      <c r="A736" s="186"/>
      <c r="B736" s="186"/>
      <c r="C736" s="187"/>
      <c r="D736" s="225"/>
      <c r="E736" s="225"/>
      <c r="F736" s="226"/>
      <c r="G736" s="169"/>
    </row>
    <row r="737" ht="15.75" customHeight="1">
      <c r="A737" s="186"/>
      <c r="B737" s="186"/>
      <c r="C737" s="187"/>
      <c r="D737" s="225"/>
      <c r="E737" s="225"/>
      <c r="F737" s="226"/>
      <c r="G737" s="169"/>
    </row>
    <row r="738" ht="15.75" customHeight="1">
      <c r="A738" s="186"/>
      <c r="B738" s="186"/>
      <c r="C738" s="187"/>
      <c r="D738" s="225"/>
      <c r="E738" s="225"/>
      <c r="F738" s="226"/>
      <c r="G738" s="169"/>
    </row>
    <row r="739" ht="15.75" customHeight="1">
      <c r="A739" s="186"/>
      <c r="B739" s="186"/>
      <c r="C739" s="187"/>
      <c r="D739" s="225"/>
      <c r="E739" s="225"/>
      <c r="F739" s="226"/>
      <c r="G739" s="169"/>
    </row>
    <row r="740" ht="15.75" customHeight="1">
      <c r="A740" s="186"/>
      <c r="B740" s="186"/>
      <c r="C740" s="187"/>
      <c r="D740" s="225"/>
      <c r="E740" s="225"/>
      <c r="F740" s="226"/>
      <c r="G740" s="169"/>
    </row>
    <row r="741" ht="15.75" customHeight="1">
      <c r="A741" s="186"/>
      <c r="B741" s="186"/>
      <c r="C741" s="187"/>
      <c r="D741" s="225"/>
      <c r="E741" s="225"/>
      <c r="F741" s="226"/>
      <c r="G741" s="169"/>
    </row>
    <row r="742" ht="15.75" customHeight="1">
      <c r="A742" s="186"/>
      <c r="B742" s="186"/>
      <c r="C742" s="187"/>
      <c r="D742" s="225"/>
      <c r="E742" s="225"/>
      <c r="F742" s="226"/>
      <c r="G742" s="169"/>
    </row>
    <row r="743" ht="15.75" customHeight="1">
      <c r="A743" s="186"/>
      <c r="B743" s="186"/>
      <c r="C743" s="187"/>
      <c r="D743" s="225"/>
      <c r="E743" s="225"/>
      <c r="F743" s="226"/>
      <c r="G743" s="169"/>
    </row>
    <row r="744" ht="15.75" customHeight="1">
      <c r="A744" s="186"/>
      <c r="B744" s="186"/>
      <c r="C744" s="187"/>
      <c r="D744" s="225"/>
      <c r="E744" s="225"/>
      <c r="F744" s="226"/>
      <c r="G744" s="169"/>
    </row>
    <row r="745" ht="15.75" customHeight="1">
      <c r="A745" s="186"/>
      <c r="B745" s="186"/>
      <c r="C745" s="187"/>
      <c r="D745" s="225"/>
      <c r="E745" s="225"/>
      <c r="F745" s="226"/>
      <c r="G745" s="169"/>
    </row>
    <row r="746" ht="15.75" customHeight="1">
      <c r="A746" s="186"/>
      <c r="B746" s="186"/>
      <c r="C746" s="187"/>
      <c r="D746" s="225"/>
      <c r="E746" s="225"/>
      <c r="F746" s="226"/>
      <c r="G746" s="169"/>
    </row>
    <row r="747" ht="15.75" customHeight="1">
      <c r="A747" s="186"/>
      <c r="B747" s="186"/>
      <c r="C747" s="187"/>
      <c r="D747" s="225"/>
      <c r="E747" s="225"/>
      <c r="F747" s="226"/>
      <c r="G747" s="169"/>
    </row>
    <row r="748" ht="15.75" customHeight="1">
      <c r="A748" s="186"/>
      <c r="B748" s="186"/>
      <c r="C748" s="187"/>
      <c r="D748" s="225"/>
      <c r="E748" s="225"/>
      <c r="F748" s="226"/>
      <c r="G748" s="169"/>
    </row>
    <row r="749" ht="15.75" customHeight="1">
      <c r="A749" s="186"/>
      <c r="B749" s="186"/>
      <c r="C749" s="187"/>
      <c r="D749" s="225"/>
      <c r="E749" s="225"/>
      <c r="F749" s="226"/>
      <c r="G749" s="169"/>
    </row>
    <row r="750" ht="15.75" customHeight="1">
      <c r="A750" s="186"/>
      <c r="B750" s="186"/>
      <c r="C750" s="187"/>
      <c r="D750" s="225"/>
      <c r="E750" s="225"/>
      <c r="F750" s="226"/>
      <c r="G750" s="169"/>
    </row>
    <row r="751" ht="15.75" customHeight="1">
      <c r="A751" s="186"/>
      <c r="B751" s="186"/>
      <c r="C751" s="187"/>
      <c r="D751" s="225"/>
      <c r="E751" s="225"/>
      <c r="F751" s="226"/>
      <c r="G751" s="169"/>
    </row>
    <row r="752" ht="15.75" customHeight="1">
      <c r="A752" s="186"/>
      <c r="B752" s="186"/>
      <c r="C752" s="187"/>
      <c r="D752" s="225"/>
      <c r="E752" s="225"/>
      <c r="F752" s="226"/>
      <c r="G752" s="169"/>
    </row>
    <row r="753" ht="15.75" customHeight="1">
      <c r="A753" s="186"/>
      <c r="B753" s="186"/>
      <c r="C753" s="187"/>
      <c r="D753" s="225"/>
      <c r="E753" s="225"/>
      <c r="F753" s="226"/>
      <c r="G753" s="169"/>
    </row>
    <row r="754" ht="15.75" customHeight="1">
      <c r="A754" s="186"/>
      <c r="B754" s="186"/>
      <c r="C754" s="187"/>
      <c r="D754" s="225"/>
      <c r="E754" s="225"/>
      <c r="F754" s="226"/>
      <c r="G754" s="169"/>
    </row>
    <row r="755" ht="15.75" customHeight="1">
      <c r="A755" s="186"/>
      <c r="B755" s="186"/>
      <c r="C755" s="187"/>
      <c r="D755" s="225"/>
      <c r="E755" s="225"/>
      <c r="F755" s="226"/>
      <c r="G755" s="169"/>
    </row>
    <row r="756" ht="15.75" customHeight="1">
      <c r="A756" s="186"/>
      <c r="B756" s="186"/>
      <c r="C756" s="187"/>
      <c r="D756" s="225"/>
      <c r="E756" s="225"/>
      <c r="F756" s="226"/>
      <c r="G756" s="169"/>
    </row>
    <row r="757" ht="15.75" customHeight="1">
      <c r="A757" s="186"/>
      <c r="B757" s="186"/>
      <c r="C757" s="187"/>
      <c r="D757" s="225"/>
      <c r="E757" s="225"/>
      <c r="F757" s="226"/>
      <c r="G757" s="169"/>
    </row>
    <row r="758" ht="15.75" customHeight="1">
      <c r="A758" s="186"/>
      <c r="B758" s="186"/>
      <c r="C758" s="187"/>
      <c r="D758" s="225"/>
      <c r="E758" s="225"/>
      <c r="F758" s="226"/>
      <c r="G758" s="169"/>
    </row>
    <row r="759" ht="15.75" customHeight="1">
      <c r="A759" s="186"/>
      <c r="B759" s="186"/>
      <c r="C759" s="187"/>
      <c r="D759" s="225"/>
      <c r="E759" s="225"/>
      <c r="F759" s="226"/>
      <c r="G759" s="169"/>
    </row>
    <row r="760" ht="15.75" customHeight="1">
      <c r="A760" s="186"/>
      <c r="B760" s="186"/>
      <c r="C760" s="187"/>
      <c r="D760" s="225"/>
      <c r="E760" s="225"/>
      <c r="F760" s="226"/>
      <c r="G760" s="169"/>
    </row>
    <row r="761" ht="15.75" customHeight="1">
      <c r="A761" s="186"/>
      <c r="B761" s="186"/>
      <c r="C761" s="187"/>
      <c r="D761" s="225"/>
      <c r="E761" s="225"/>
      <c r="F761" s="226"/>
      <c r="G761" s="169"/>
    </row>
    <row r="762" ht="15.75" customHeight="1">
      <c r="A762" s="186"/>
      <c r="B762" s="186"/>
      <c r="C762" s="187"/>
      <c r="D762" s="225"/>
      <c r="E762" s="225"/>
      <c r="F762" s="226"/>
      <c r="G762" s="169"/>
    </row>
    <row r="763" ht="15.75" customHeight="1">
      <c r="A763" s="186"/>
      <c r="B763" s="186"/>
      <c r="C763" s="187"/>
      <c r="D763" s="225"/>
      <c r="E763" s="225"/>
      <c r="F763" s="226"/>
      <c r="G763" s="169"/>
    </row>
    <row r="764" ht="15.75" customHeight="1">
      <c r="A764" s="186"/>
      <c r="B764" s="186"/>
      <c r="C764" s="187"/>
      <c r="D764" s="225"/>
      <c r="E764" s="225"/>
      <c r="F764" s="226"/>
      <c r="G764" s="169"/>
    </row>
    <row r="765" ht="15.75" customHeight="1">
      <c r="A765" s="186"/>
      <c r="B765" s="186"/>
      <c r="C765" s="187"/>
      <c r="D765" s="225"/>
      <c r="E765" s="225"/>
      <c r="F765" s="226"/>
      <c r="G765" s="169"/>
    </row>
    <row r="766" ht="15.75" customHeight="1">
      <c r="A766" s="186"/>
      <c r="B766" s="186"/>
      <c r="C766" s="187"/>
      <c r="D766" s="225"/>
      <c r="E766" s="225"/>
      <c r="F766" s="226"/>
      <c r="G766" s="169"/>
    </row>
    <row r="767" ht="15.75" customHeight="1">
      <c r="A767" s="186"/>
      <c r="B767" s="186"/>
      <c r="C767" s="187"/>
      <c r="D767" s="225"/>
      <c r="E767" s="225"/>
      <c r="F767" s="226"/>
      <c r="G767" s="169"/>
    </row>
    <row r="768" ht="15.75" customHeight="1">
      <c r="A768" s="186"/>
      <c r="B768" s="186"/>
      <c r="C768" s="187"/>
      <c r="D768" s="225"/>
      <c r="E768" s="225"/>
      <c r="F768" s="226"/>
      <c r="G768" s="169"/>
    </row>
    <row r="769" ht="15.75" customHeight="1">
      <c r="A769" s="186"/>
      <c r="B769" s="186"/>
      <c r="C769" s="187"/>
      <c r="D769" s="225"/>
      <c r="E769" s="225"/>
      <c r="F769" s="226"/>
      <c r="G769" s="169"/>
    </row>
    <row r="770" ht="15.75" customHeight="1">
      <c r="A770" s="186"/>
      <c r="B770" s="186"/>
      <c r="C770" s="187"/>
      <c r="D770" s="225"/>
      <c r="E770" s="225"/>
      <c r="F770" s="226"/>
      <c r="G770" s="169"/>
    </row>
    <row r="771" ht="15.75" customHeight="1">
      <c r="A771" s="186"/>
      <c r="B771" s="186"/>
      <c r="C771" s="187"/>
      <c r="D771" s="225"/>
      <c r="E771" s="225"/>
      <c r="F771" s="226"/>
      <c r="G771" s="169"/>
    </row>
    <row r="772" ht="15.75" customHeight="1">
      <c r="A772" s="186"/>
      <c r="B772" s="186"/>
      <c r="C772" s="187"/>
      <c r="D772" s="225"/>
      <c r="E772" s="225"/>
      <c r="F772" s="226"/>
      <c r="G772" s="169"/>
    </row>
    <row r="773" ht="15.75" customHeight="1">
      <c r="A773" s="186"/>
      <c r="B773" s="186"/>
      <c r="C773" s="187"/>
      <c r="D773" s="225"/>
      <c r="E773" s="225"/>
      <c r="F773" s="226"/>
      <c r="G773" s="169"/>
    </row>
    <row r="774" ht="15.75" customHeight="1">
      <c r="A774" s="186"/>
      <c r="B774" s="186"/>
      <c r="C774" s="187"/>
      <c r="D774" s="225"/>
      <c r="E774" s="225"/>
      <c r="F774" s="226"/>
      <c r="G774" s="169"/>
    </row>
    <row r="775" ht="15.75" customHeight="1">
      <c r="A775" s="186"/>
      <c r="B775" s="186"/>
      <c r="C775" s="187"/>
      <c r="D775" s="225"/>
      <c r="E775" s="225"/>
      <c r="F775" s="226"/>
      <c r="G775" s="169"/>
    </row>
    <row r="776" ht="15.75" customHeight="1">
      <c r="A776" s="186"/>
      <c r="B776" s="186"/>
      <c r="C776" s="187"/>
      <c r="D776" s="225"/>
      <c r="E776" s="225"/>
      <c r="F776" s="226"/>
      <c r="G776" s="169"/>
    </row>
    <row r="777" ht="15.75" customHeight="1">
      <c r="A777" s="186"/>
      <c r="B777" s="186"/>
      <c r="C777" s="187"/>
      <c r="D777" s="225"/>
      <c r="E777" s="225"/>
      <c r="F777" s="226"/>
      <c r="G777" s="169"/>
    </row>
    <row r="778" ht="15.75" customHeight="1">
      <c r="A778" s="186"/>
      <c r="B778" s="186"/>
      <c r="C778" s="187"/>
      <c r="D778" s="225"/>
      <c r="E778" s="225"/>
      <c r="F778" s="226"/>
      <c r="G778" s="169"/>
    </row>
    <row r="779" ht="15.75" customHeight="1">
      <c r="A779" s="186"/>
      <c r="B779" s="186"/>
      <c r="C779" s="187"/>
      <c r="D779" s="225"/>
      <c r="E779" s="225"/>
      <c r="F779" s="226"/>
      <c r="G779" s="169"/>
    </row>
    <row r="780" ht="15.75" customHeight="1">
      <c r="A780" s="186"/>
      <c r="B780" s="186"/>
      <c r="C780" s="187"/>
      <c r="D780" s="225"/>
      <c r="E780" s="225"/>
      <c r="F780" s="226"/>
      <c r="G780" s="169"/>
    </row>
    <row r="781" ht="15.75" customHeight="1">
      <c r="A781" s="186"/>
      <c r="B781" s="186"/>
      <c r="C781" s="187"/>
      <c r="D781" s="225"/>
      <c r="E781" s="225"/>
      <c r="F781" s="226"/>
      <c r="G781" s="169"/>
    </row>
    <row r="782" ht="15.75" customHeight="1">
      <c r="A782" s="186"/>
      <c r="B782" s="186"/>
      <c r="C782" s="187"/>
      <c r="D782" s="225"/>
      <c r="E782" s="225"/>
      <c r="F782" s="226"/>
      <c r="G782" s="169"/>
    </row>
    <row r="783" ht="15.75" customHeight="1">
      <c r="A783" s="186"/>
      <c r="B783" s="186"/>
      <c r="C783" s="187"/>
      <c r="D783" s="225"/>
      <c r="E783" s="225"/>
      <c r="F783" s="226"/>
      <c r="G783" s="169"/>
    </row>
    <row r="784" ht="15.75" customHeight="1">
      <c r="A784" s="186"/>
      <c r="B784" s="186"/>
      <c r="C784" s="187"/>
      <c r="D784" s="225"/>
      <c r="E784" s="225"/>
      <c r="F784" s="226"/>
      <c r="G784" s="169"/>
    </row>
    <row r="785" ht="15.75" customHeight="1">
      <c r="A785" s="186"/>
      <c r="B785" s="186"/>
      <c r="C785" s="187"/>
      <c r="D785" s="225"/>
      <c r="E785" s="225"/>
      <c r="F785" s="226"/>
      <c r="G785" s="169"/>
    </row>
    <row r="786" ht="15.75" customHeight="1">
      <c r="A786" s="186"/>
      <c r="B786" s="186"/>
      <c r="C786" s="187"/>
      <c r="D786" s="225"/>
      <c r="E786" s="225"/>
      <c r="F786" s="226"/>
      <c r="G786" s="169"/>
    </row>
    <row r="787" ht="15.75" customHeight="1">
      <c r="A787" s="186"/>
      <c r="B787" s="186"/>
      <c r="C787" s="187"/>
      <c r="D787" s="225"/>
      <c r="E787" s="225"/>
      <c r="F787" s="226"/>
      <c r="G787" s="169"/>
    </row>
    <row r="788" ht="15.75" customHeight="1">
      <c r="A788" s="186"/>
      <c r="B788" s="186"/>
      <c r="C788" s="187"/>
      <c r="D788" s="225"/>
      <c r="E788" s="225"/>
      <c r="F788" s="226"/>
      <c r="G788" s="169"/>
    </row>
    <row r="789" ht="15.75" customHeight="1">
      <c r="A789" s="186"/>
      <c r="B789" s="186"/>
      <c r="C789" s="187"/>
      <c r="D789" s="225"/>
      <c r="E789" s="225"/>
      <c r="F789" s="226"/>
      <c r="G789" s="169"/>
    </row>
    <row r="790" ht="15.75" customHeight="1">
      <c r="A790" s="186"/>
      <c r="B790" s="186"/>
      <c r="C790" s="187"/>
      <c r="D790" s="225"/>
      <c r="E790" s="225"/>
      <c r="F790" s="226"/>
      <c r="G790" s="169"/>
    </row>
    <row r="791" ht="15.75" customHeight="1">
      <c r="A791" s="186"/>
      <c r="B791" s="186"/>
      <c r="C791" s="187"/>
      <c r="D791" s="225"/>
      <c r="E791" s="225"/>
      <c r="F791" s="226"/>
      <c r="G791" s="169"/>
    </row>
    <row r="792" ht="15.75" customHeight="1">
      <c r="A792" s="186"/>
      <c r="B792" s="186"/>
      <c r="C792" s="187"/>
      <c r="D792" s="225"/>
      <c r="E792" s="225"/>
      <c r="F792" s="226"/>
      <c r="G792" s="169"/>
    </row>
    <row r="793" ht="15.75" customHeight="1">
      <c r="A793" s="186"/>
      <c r="B793" s="186"/>
      <c r="C793" s="187"/>
      <c r="D793" s="225"/>
      <c r="E793" s="225"/>
      <c r="F793" s="226"/>
      <c r="G793" s="169"/>
    </row>
    <row r="794" ht="15.75" customHeight="1">
      <c r="A794" s="186"/>
      <c r="B794" s="186"/>
      <c r="C794" s="187"/>
      <c r="D794" s="225"/>
      <c r="E794" s="225"/>
      <c r="F794" s="226"/>
      <c r="G794" s="169"/>
    </row>
    <row r="795" ht="15.75" customHeight="1">
      <c r="A795" s="186"/>
      <c r="B795" s="186"/>
      <c r="C795" s="187"/>
      <c r="D795" s="225"/>
      <c r="E795" s="225"/>
      <c r="F795" s="226"/>
      <c r="G795" s="169"/>
    </row>
    <row r="796" ht="15.75" customHeight="1">
      <c r="A796" s="186"/>
      <c r="B796" s="186"/>
      <c r="C796" s="187"/>
      <c r="D796" s="225"/>
      <c r="E796" s="225"/>
      <c r="F796" s="226"/>
      <c r="G796" s="169"/>
    </row>
    <row r="797" ht="15.75" customHeight="1">
      <c r="A797" s="186"/>
      <c r="B797" s="186"/>
      <c r="C797" s="187"/>
      <c r="D797" s="225"/>
      <c r="E797" s="225"/>
      <c r="F797" s="226"/>
      <c r="G797" s="169"/>
    </row>
    <row r="798" ht="15.75" customHeight="1">
      <c r="A798" s="186"/>
      <c r="B798" s="186"/>
      <c r="C798" s="187"/>
      <c r="D798" s="225"/>
      <c r="E798" s="225"/>
      <c r="F798" s="226"/>
      <c r="G798" s="169"/>
    </row>
    <row r="799" ht="15.75" customHeight="1">
      <c r="A799" s="186"/>
      <c r="B799" s="186"/>
      <c r="C799" s="187"/>
      <c r="D799" s="225"/>
      <c r="E799" s="225"/>
      <c r="F799" s="226"/>
      <c r="G799" s="169"/>
    </row>
    <row r="800" ht="15.75" customHeight="1">
      <c r="A800" s="186"/>
      <c r="B800" s="186"/>
      <c r="C800" s="187"/>
      <c r="D800" s="225"/>
      <c r="E800" s="225"/>
      <c r="F800" s="226"/>
      <c r="G800" s="169"/>
    </row>
    <row r="801" ht="15.75" customHeight="1">
      <c r="A801" s="186"/>
      <c r="B801" s="186"/>
      <c r="C801" s="187"/>
      <c r="D801" s="225"/>
      <c r="E801" s="225"/>
      <c r="F801" s="226"/>
      <c r="G801" s="169"/>
    </row>
    <row r="802" ht="15.75" customHeight="1">
      <c r="A802" s="186"/>
      <c r="B802" s="186"/>
      <c r="C802" s="187"/>
      <c r="D802" s="225"/>
      <c r="E802" s="225"/>
      <c r="F802" s="226"/>
      <c r="G802" s="169"/>
    </row>
    <row r="803" ht="15.75" customHeight="1">
      <c r="A803" s="186"/>
      <c r="B803" s="186"/>
      <c r="C803" s="187"/>
      <c r="D803" s="225"/>
      <c r="E803" s="225"/>
      <c r="F803" s="226"/>
      <c r="G803" s="169"/>
    </row>
    <row r="804" ht="15.75" customHeight="1">
      <c r="A804" s="186"/>
      <c r="B804" s="186"/>
      <c r="C804" s="187"/>
      <c r="D804" s="225"/>
      <c r="E804" s="225"/>
      <c r="F804" s="226"/>
      <c r="G804" s="169"/>
    </row>
    <row r="805" ht="15.75" customHeight="1">
      <c r="A805" s="186"/>
      <c r="B805" s="186"/>
      <c r="C805" s="187"/>
      <c r="D805" s="225"/>
      <c r="E805" s="225"/>
      <c r="F805" s="226"/>
      <c r="G805" s="169"/>
    </row>
    <row r="806" ht="15.75" customHeight="1">
      <c r="A806" s="186"/>
      <c r="B806" s="186"/>
      <c r="C806" s="187"/>
      <c r="D806" s="225"/>
      <c r="E806" s="225"/>
      <c r="F806" s="226"/>
      <c r="G806" s="169"/>
    </row>
    <row r="807" ht="15.75" customHeight="1">
      <c r="A807" s="186"/>
      <c r="B807" s="186"/>
      <c r="C807" s="187"/>
      <c r="D807" s="225"/>
      <c r="E807" s="225"/>
      <c r="F807" s="226"/>
      <c r="G807" s="169"/>
    </row>
    <row r="808" ht="15.75" customHeight="1">
      <c r="A808" s="186"/>
      <c r="B808" s="186"/>
      <c r="C808" s="187"/>
      <c r="D808" s="225"/>
      <c r="E808" s="225"/>
      <c r="F808" s="226"/>
      <c r="G808" s="169"/>
    </row>
    <row r="809" ht="15.75" customHeight="1">
      <c r="A809" s="186"/>
      <c r="B809" s="186"/>
      <c r="C809" s="187"/>
      <c r="D809" s="225"/>
      <c r="E809" s="225"/>
      <c r="F809" s="226"/>
      <c r="G809" s="169"/>
    </row>
    <row r="810" ht="15.75" customHeight="1">
      <c r="A810" s="186"/>
      <c r="B810" s="186"/>
      <c r="C810" s="187"/>
      <c r="D810" s="225"/>
      <c r="E810" s="225"/>
      <c r="F810" s="226"/>
      <c r="G810" s="169"/>
    </row>
    <row r="811" ht="15.75" customHeight="1">
      <c r="A811" s="186"/>
      <c r="B811" s="186"/>
      <c r="C811" s="187"/>
      <c r="D811" s="225"/>
      <c r="E811" s="225"/>
      <c r="F811" s="226"/>
      <c r="G811" s="169"/>
    </row>
    <row r="812" ht="15.75" customHeight="1">
      <c r="A812" s="186"/>
      <c r="B812" s="186"/>
      <c r="C812" s="187"/>
      <c r="D812" s="225"/>
      <c r="E812" s="225"/>
      <c r="F812" s="226"/>
      <c r="G812" s="169"/>
    </row>
    <row r="813" ht="15.75" customHeight="1">
      <c r="A813" s="186"/>
      <c r="B813" s="186"/>
      <c r="C813" s="187"/>
      <c r="D813" s="225"/>
      <c r="E813" s="225"/>
      <c r="F813" s="226"/>
      <c r="G813" s="169"/>
    </row>
    <row r="814" ht="15.75" customHeight="1">
      <c r="A814" s="186"/>
      <c r="B814" s="186"/>
      <c r="C814" s="187"/>
      <c r="D814" s="225"/>
      <c r="E814" s="225"/>
      <c r="F814" s="226"/>
      <c r="G814" s="169"/>
    </row>
    <row r="815" ht="15.75" customHeight="1">
      <c r="A815" s="186"/>
      <c r="B815" s="186"/>
      <c r="C815" s="187"/>
      <c r="D815" s="225"/>
      <c r="E815" s="225"/>
      <c r="F815" s="226"/>
      <c r="G815" s="169"/>
    </row>
    <row r="816" ht="15.75" customHeight="1">
      <c r="A816" s="186"/>
      <c r="B816" s="186"/>
      <c r="C816" s="187"/>
      <c r="D816" s="225"/>
      <c r="E816" s="225"/>
      <c r="F816" s="226"/>
      <c r="G816" s="169"/>
    </row>
    <row r="817" ht="15.75" customHeight="1">
      <c r="A817" s="186"/>
      <c r="B817" s="186"/>
      <c r="C817" s="187"/>
      <c r="D817" s="225"/>
      <c r="E817" s="225"/>
      <c r="F817" s="226"/>
      <c r="G817" s="169"/>
    </row>
    <row r="818" ht="15.75" customHeight="1">
      <c r="A818" s="186"/>
      <c r="B818" s="186"/>
      <c r="C818" s="187"/>
      <c r="D818" s="225"/>
      <c r="E818" s="225"/>
      <c r="F818" s="226"/>
      <c r="G818" s="169"/>
    </row>
    <row r="819" ht="15.75" customHeight="1">
      <c r="A819" s="186"/>
      <c r="B819" s="186"/>
      <c r="C819" s="187"/>
      <c r="D819" s="225"/>
      <c r="E819" s="225"/>
      <c r="F819" s="226"/>
      <c r="G819" s="169"/>
    </row>
    <row r="820" ht="15.75" customHeight="1">
      <c r="A820" s="186"/>
      <c r="B820" s="186"/>
      <c r="C820" s="187"/>
      <c r="D820" s="225"/>
      <c r="E820" s="225"/>
      <c r="F820" s="226"/>
      <c r="G820" s="169"/>
    </row>
    <row r="821" ht="15.75" customHeight="1">
      <c r="A821" s="186"/>
      <c r="B821" s="186"/>
      <c r="C821" s="187"/>
      <c r="D821" s="225"/>
      <c r="E821" s="225"/>
      <c r="F821" s="226"/>
      <c r="G821" s="169"/>
    </row>
    <row r="822" ht="15.75" customHeight="1">
      <c r="A822" s="186"/>
      <c r="B822" s="186"/>
      <c r="C822" s="187"/>
      <c r="D822" s="225"/>
      <c r="E822" s="225"/>
      <c r="F822" s="226"/>
      <c r="G822" s="169"/>
    </row>
    <row r="823" ht="15.75" customHeight="1">
      <c r="A823" s="186"/>
      <c r="B823" s="186"/>
      <c r="C823" s="187"/>
      <c r="D823" s="225"/>
      <c r="E823" s="225"/>
      <c r="F823" s="226"/>
      <c r="G823" s="169"/>
    </row>
    <row r="824" ht="15.75" customHeight="1">
      <c r="A824" s="186"/>
      <c r="B824" s="186"/>
      <c r="C824" s="187"/>
      <c r="D824" s="225"/>
      <c r="E824" s="225"/>
      <c r="F824" s="226"/>
      <c r="G824" s="169"/>
    </row>
    <row r="825" ht="15.75" customHeight="1">
      <c r="A825" s="186"/>
      <c r="B825" s="186"/>
      <c r="C825" s="187"/>
      <c r="D825" s="225"/>
      <c r="E825" s="225"/>
      <c r="F825" s="226"/>
      <c r="G825" s="169"/>
    </row>
    <row r="826" ht="15.75" customHeight="1">
      <c r="A826" s="186"/>
      <c r="B826" s="186"/>
      <c r="C826" s="187"/>
      <c r="D826" s="225"/>
      <c r="E826" s="225"/>
      <c r="F826" s="226"/>
      <c r="G826" s="169"/>
    </row>
    <row r="827" ht="15.75" customHeight="1">
      <c r="A827" s="186"/>
      <c r="B827" s="186"/>
      <c r="C827" s="187"/>
      <c r="D827" s="225"/>
      <c r="E827" s="225"/>
      <c r="F827" s="226"/>
      <c r="G827" s="169"/>
    </row>
    <row r="828" ht="15.75" customHeight="1">
      <c r="A828" s="186"/>
      <c r="B828" s="186"/>
      <c r="C828" s="187"/>
      <c r="D828" s="225"/>
      <c r="E828" s="225"/>
      <c r="F828" s="226"/>
      <c r="G828" s="169"/>
    </row>
    <row r="829" ht="15.75" customHeight="1">
      <c r="A829" s="186"/>
      <c r="B829" s="186"/>
      <c r="C829" s="187"/>
      <c r="D829" s="225"/>
      <c r="E829" s="225"/>
      <c r="F829" s="226"/>
      <c r="G829" s="169"/>
    </row>
    <row r="830" ht="15.75" customHeight="1">
      <c r="A830" s="186"/>
      <c r="B830" s="186"/>
      <c r="C830" s="187"/>
      <c r="D830" s="225"/>
      <c r="E830" s="225"/>
      <c r="F830" s="226"/>
      <c r="G830" s="169"/>
    </row>
    <row r="831" ht="15.75" customHeight="1">
      <c r="A831" s="186"/>
      <c r="B831" s="186"/>
      <c r="C831" s="187"/>
      <c r="D831" s="225"/>
      <c r="E831" s="225"/>
      <c r="F831" s="226"/>
      <c r="G831" s="169"/>
    </row>
    <row r="832" ht="15.75" customHeight="1">
      <c r="A832" s="186"/>
      <c r="B832" s="186"/>
      <c r="C832" s="187"/>
      <c r="D832" s="225"/>
      <c r="E832" s="225"/>
      <c r="F832" s="226"/>
      <c r="G832" s="169"/>
    </row>
    <row r="833" ht="15.75" customHeight="1">
      <c r="A833" s="186"/>
      <c r="B833" s="186"/>
      <c r="C833" s="187"/>
      <c r="D833" s="225"/>
      <c r="E833" s="225"/>
      <c r="F833" s="226"/>
      <c r="G833" s="169"/>
    </row>
    <row r="834" ht="15.75" customHeight="1">
      <c r="A834" s="186"/>
      <c r="B834" s="186"/>
      <c r="C834" s="187"/>
      <c r="D834" s="225"/>
      <c r="E834" s="225"/>
      <c r="F834" s="226"/>
      <c r="G834" s="169"/>
    </row>
    <row r="835" ht="15.75" customHeight="1">
      <c r="A835" s="186"/>
      <c r="B835" s="186"/>
      <c r="C835" s="187"/>
      <c r="D835" s="225"/>
      <c r="E835" s="225"/>
      <c r="F835" s="226"/>
      <c r="G835" s="169"/>
    </row>
    <row r="836" ht="15.75" customHeight="1">
      <c r="A836" s="186"/>
      <c r="B836" s="186"/>
      <c r="C836" s="187"/>
      <c r="D836" s="225"/>
      <c r="E836" s="225"/>
      <c r="F836" s="226"/>
      <c r="G836" s="169"/>
    </row>
    <row r="837" ht="15.75" customHeight="1">
      <c r="A837" s="186"/>
      <c r="B837" s="186"/>
      <c r="C837" s="187"/>
      <c r="D837" s="225"/>
      <c r="E837" s="225"/>
      <c r="F837" s="226"/>
      <c r="G837" s="169"/>
    </row>
    <row r="838" ht="15.75" customHeight="1">
      <c r="A838" s="186"/>
      <c r="B838" s="186"/>
      <c r="C838" s="187"/>
      <c r="D838" s="225"/>
      <c r="E838" s="225"/>
      <c r="F838" s="226"/>
      <c r="G838" s="169"/>
    </row>
    <row r="839" ht="15.75" customHeight="1">
      <c r="A839" s="186"/>
      <c r="B839" s="186"/>
      <c r="C839" s="187"/>
      <c r="D839" s="225"/>
      <c r="E839" s="225"/>
      <c r="F839" s="226"/>
      <c r="G839" s="169"/>
    </row>
    <row r="840" ht="15.75" customHeight="1">
      <c r="A840" s="186"/>
      <c r="B840" s="186"/>
      <c r="C840" s="187"/>
      <c r="D840" s="225"/>
      <c r="E840" s="225"/>
      <c r="F840" s="226"/>
      <c r="G840" s="169"/>
    </row>
    <row r="841" ht="15.75" customHeight="1">
      <c r="A841" s="186"/>
      <c r="B841" s="186"/>
      <c r="C841" s="187"/>
      <c r="D841" s="225"/>
      <c r="E841" s="225"/>
      <c r="F841" s="226"/>
      <c r="G841" s="169"/>
    </row>
    <row r="842" ht="15.75" customHeight="1">
      <c r="A842" s="186"/>
      <c r="B842" s="186"/>
      <c r="C842" s="187"/>
      <c r="D842" s="225"/>
      <c r="E842" s="225"/>
      <c r="F842" s="226"/>
      <c r="G842" s="169"/>
    </row>
    <row r="843" ht="15.75" customHeight="1">
      <c r="A843" s="186"/>
      <c r="B843" s="186"/>
      <c r="C843" s="187"/>
      <c r="D843" s="225"/>
      <c r="E843" s="225"/>
      <c r="F843" s="226"/>
      <c r="G843" s="169"/>
    </row>
    <row r="844" ht="15.75" customHeight="1">
      <c r="A844" s="186"/>
      <c r="B844" s="186"/>
      <c r="C844" s="187"/>
      <c r="D844" s="225"/>
      <c r="E844" s="225"/>
      <c r="F844" s="226"/>
      <c r="G844" s="169"/>
    </row>
    <row r="845" ht="15.75" customHeight="1">
      <c r="A845" s="186"/>
      <c r="B845" s="186"/>
      <c r="C845" s="187"/>
      <c r="D845" s="225"/>
      <c r="E845" s="225"/>
      <c r="F845" s="226"/>
      <c r="G845" s="169"/>
    </row>
    <row r="846" ht="15.75" customHeight="1">
      <c r="A846" s="186"/>
      <c r="B846" s="186"/>
      <c r="C846" s="187"/>
      <c r="D846" s="225"/>
      <c r="E846" s="225"/>
      <c r="F846" s="226"/>
      <c r="G846" s="169"/>
    </row>
    <row r="847" ht="15.75" customHeight="1">
      <c r="A847" s="186"/>
      <c r="B847" s="186"/>
      <c r="C847" s="187"/>
      <c r="D847" s="225"/>
      <c r="E847" s="225"/>
      <c r="F847" s="226"/>
      <c r="G847" s="169"/>
    </row>
    <row r="848" ht="15.75" customHeight="1">
      <c r="A848" s="186"/>
      <c r="B848" s="186"/>
      <c r="C848" s="187"/>
      <c r="D848" s="225"/>
      <c r="E848" s="225"/>
      <c r="F848" s="226"/>
      <c r="G848" s="169"/>
    </row>
    <row r="849" ht="15.75" customHeight="1">
      <c r="A849" s="186"/>
      <c r="B849" s="186"/>
      <c r="C849" s="187"/>
      <c r="D849" s="225"/>
      <c r="E849" s="225"/>
      <c r="F849" s="226"/>
      <c r="G849" s="169"/>
    </row>
    <row r="850" ht="15.75" customHeight="1">
      <c r="A850" s="186"/>
      <c r="B850" s="186"/>
      <c r="C850" s="187"/>
      <c r="D850" s="225"/>
      <c r="E850" s="225"/>
      <c r="F850" s="226"/>
      <c r="G850" s="169"/>
    </row>
    <row r="851" ht="15.75" customHeight="1">
      <c r="A851" s="186"/>
      <c r="B851" s="186"/>
      <c r="C851" s="187"/>
      <c r="D851" s="225"/>
      <c r="E851" s="225"/>
      <c r="F851" s="226"/>
      <c r="G851" s="169"/>
    </row>
    <row r="852" ht="15.75" customHeight="1">
      <c r="A852" s="186"/>
      <c r="B852" s="186"/>
      <c r="C852" s="187"/>
      <c r="D852" s="225"/>
      <c r="E852" s="225"/>
      <c r="F852" s="226"/>
      <c r="G852" s="169"/>
    </row>
    <row r="853" ht="15.75" customHeight="1">
      <c r="A853" s="186"/>
      <c r="B853" s="186"/>
      <c r="C853" s="187"/>
      <c r="D853" s="225"/>
      <c r="E853" s="225"/>
      <c r="F853" s="226"/>
      <c r="G853" s="169"/>
    </row>
    <row r="854" ht="15.75" customHeight="1">
      <c r="A854" s="186"/>
      <c r="B854" s="186"/>
      <c r="C854" s="187"/>
      <c r="D854" s="225"/>
      <c r="E854" s="225"/>
      <c r="F854" s="226"/>
      <c r="G854" s="169"/>
    </row>
    <row r="855" ht="15.75" customHeight="1">
      <c r="A855" s="186"/>
      <c r="B855" s="186"/>
      <c r="C855" s="187"/>
      <c r="D855" s="225"/>
      <c r="E855" s="225"/>
      <c r="F855" s="226"/>
      <c r="G855" s="169"/>
    </row>
    <row r="856" ht="15.75" customHeight="1">
      <c r="A856" s="186"/>
      <c r="B856" s="186"/>
      <c r="C856" s="187"/>
      <c r="D856" s="225"/>
      <c r="E856" s="225"/>
      <c r="F856" s="226"/>
      <c r="G856" s="169"/>
    </row>
    <row r="857" ht="15.75" customHeight="1">
      <c r="A857" s="186"/>
      <c r="B857" s="186"/>
      <c r="C857" s="187"/>
      <c r="D857" s="225"/>
      <c r="E857" s="225"/>
      <c r="F857" s="226"/>
      <c r="G857" s="169"/>
    </row>
    <row r="858" ht="15.75" customHeight="1">
      <c r="A858" s="186"/>
      <c r="B858" s="186"/>
      <c r="C858" s="187"/>
      <c r="D858" s="225"/>
      <c r="E858" s="225"/>
      <c r="F858" s="226"/>
      <c r="G858" s="169"/>
    </row>
    <row r="859" ht="15.75" customHeight="1">
      <c r="A859" s="186"/>
      <c r="B859" s="186"/>
      <c r="C859" s="187"/>
      <c r="D859" s="225"/>
      <c r="E859" s="225"/>
      <c r="F859" s="226"/>
      <c r="G859" s="169"/>
    </row>
    <row r="860" ht="15.75" customHeight="1">
      <c r="A860" s="186"/>
      <c r="B860" s="186"/>
      <c r="C860" s="187"/>
      <c r="D860" s="225"/>
      <c r="E860" s="225"/>
      <c r="F860" s="226"/>
      <c r="G860" s="169"/>
    </row>
    <row r="861" ht="15.75" customHeight="1">
      <c r="A861" s="186"/>
      <c r="B861" s="186"/>
      <c r="C861" s="187"/>
      <c r="D861" s="225"/>
      <c r="E861" s="225"/>
      <c r="F861" s="226"/>
      <c r="G861" s="169"/>
    </row>
    <row r="862" ht="15.75" customHeight="1">
      <c r="A862" s="186"/>
      <c r="B862" s="186"/>
      <c r="C862" s="187"/>
      <c r="D862" s="225"/>
      <c r="E862" s="225"/>
      <c r="F862" s="226"/>
      <c r="G862" s="169"/>
    </row>
    <row r="863" ht="15.75" customHeight="1">
      <c r="A863" s="186"/>
      <c r="B863" s="186"/>
      <c r="C863" s="187"/>
      <c r="D863" s="225"/>
      <c r="E863" s="225"/>
      <c r="F863" s="226"/>
      <c r="G863" s="169"/>
    </row>
    <row r="864" ht="15.75" customHeight="1">
      <c r="A864" s="186"/>
      <c r="B864" s="186"/>
      <c r="C864" s="187"/>
      <c r="D864" s="225"/>
      <c r="E864" s="225"/>
      <c r="F864" s="226"/>
      <c r="G864" s="169"/>
    </row>
    <row r="865" ht="15.75" customHeight="1">
      <c r="A865" s="186"/>
      <c r="B865" s="186"/>
      <c r="C865" s="187"/>
      <c r="D865" s="225"/>
      <c r="E865" s="225"/>
      <c r="F865" s="226"/>
      <c r="G865" s="169"/>
    </row>
    <row r="866" ht="15.75" customHeight="1">
      <c r="A866" s="186"/>
      <c r="B866" s="186"/>
      <c r="C866" s="187"/>
      <c r="D866" s="225"/>
      <c r="E866" s="225"/>
      <c r="F866" s="226"/>
      <c r="G866" s="169"/>
    </row>
    <row r="867" ht="15.75" customHeight="1">
      <c r="A867" s="186"/>
      <c r="B867" s="186"/>
      <c r="C867" s="187"/>
      <c r="D867" s="225"/>
      <c r="E867" s="225"/>
      <c r="F867" s="226"/>
      <c r="G867" s="169"/>
    </row>
    <row r="868" ht="15.75" customHeight="1">
      <c r="A868" s="186"/>
      <c r="B868" s="186"/>
      <c r="C868" s="187"/>
      <c r="D868" s="225"/>
      <c r="E868" s="225"/>
      <c r="F868" s="226"/>
      <c r="G868" s="169"/>
    </row>
    <row r="869" ht="15.75" customHeight="1">
      <c r="A869" s="186"/>
      <c r="B869" s="186"/>
      <c r="C869" s="187"/>
      <c r="D869" s="225"/>
      <c r="E869" s="225"/>
      <c r="F869" s="226"/>
      <c r="G869" s="169"/>
    </row>
    <row r="870" ht="15.75" customHeight="1">
      <c r="A870" s="186"/>
      <c r="B870" s="186"/>
      <c r="C870" s="187"/>
      <c r="D870" s="225"/>
      <c r="E870" s="225"/>
      <c r="F870" s="226"/>
      <c r="G870" s="169"/>
    </row>
    <row r="871" ht="15.75" customHeight="1">
      <c r="A871" s="186"/>
      <c r="B871" s="186"/>
      <c r="C871" s="187"/>
      <c r="D871" s="225"/>
      <c r="E871" s="225"/>
      <c r="F871" s="226"/>
      <c r="G871" s="169"/>
    </row>
    <row r="872" ht="15.75" customHeight="1">
      <c r="A872" s="186"/>
      <c r="B872" s="186"/>
      <c r="C872" s="187"/>
      <c r="D872" s="225"/>
      <c r="E872" s="225"/>
      <c r="F872" s="226"/>
      <c r="G872" s="169"/>
    </row>
    <row r="873" ht="15.75" customHeight="1">
      <c r="A873" s="186"/>
      <c r="B873" s="186"/>
      <c r="C873" s="187"/>
      <c r="D873" s="225"/>
      <c r="E873" s="225"/>
      <c r="F873" s="226"/>
      <c r="G873" s="169"/>
    </row>
    <row r="874" ht="15.75" customHeight="1">
      <c r="A874" s="186"/>
      <c r="B874" s="186"/>
      <c r="C874" s="187"/>
      <c r="D874" s="225"/>
      <c r="E874" s="225"/>
      <c r="F874" s="226"/>
      <c r="G874" s="169"/>
    </row>
    <row r="875" ht="15.75" customHeight="1">
      <c r="A875" s="186"/>
      <c r="B875" s="186"/>
      <c r="C875" s="187"/>
      <c r="D875" s="225"/>
      <c r="E875" s="225"/>
      <c r="F875" s="226"/>
      <c r="G875" s="169"/>
    </row>
    <row r="876" ht="15.75" customHeight="1">
      <c r="A876" s="186"/>
      <c r="B876" s="186"/>
      <c r="C876" s="187"/>
      <c r="D876" s="225"/>
      <c r="E876" s="225"/>
      <c r="F876" s="226"/>
      <c r="G876" s="169"/>
    </row>
    <row r="877" ht="15.75" customHeight="1">
      <c r="A877" s="186"/>
      <c r="B877" s="186"/>
      <c r="C877" s="187"/>
      <c r="D877" s="225"/>
      <c r="E877" s="225"/>
      <c r="F877" s="226"/>
      <c r="G877" s="169"/>
    </row>
    <row r="878" ht="15.75" customHeight="1">
      <c r="A878" s="186"/>
      <c r="B878" s="186"/>
      <c r="C878" s="187"/>
      <c r="D878" s="225"/>
      <c r="E878" s="225"/>
      <c r="F878" s="226"/>
      <c r="G878" s="169"/>
    </row>
    <row r="879" ht="15.75" customHeight="1">
      <c r="A879" s="186"/>
      <c r="B879" s="186"/>
      <c r="C879" s="187"/>
      <c r="D879" s="225"/>
      <c r="E879" s="225"/>
      <c r="F879" s="226"/>
      <c r="G879" s="169"/>
    </row>
    <row r="880" ht="15.75" customHeight="1">
      <c r="A880" s="186"/>
      <c r="B880" s="186"/>
      <c r="C880" s="187"/>
      <c r="D880" s="225"/>
      <c r="E880" s="225"/>
      <c r="F880" s="226"/>
      <c r="G880" s="169"/>
    </row>
    <row r="881" ht="15.75" customHeight="1">
      <c r="A881" s="186"/>
      <c r="B881" s="186"/>
      <c r="C881" s="187"/>
      <c r="D881" s="225"/>
      <c r="E881" s="225"/>
      <c r="F881" s="226"/>
      <c r="G881" s="169"/>
    </row>
    <row r="882" ht="15.75" customHeight="1">
      <c r="A882" s="186"/>
      <c r="B882" s="186"/>
      <c r="C882" s="187"/>
      <c r="D882" s="225"/>
      <c r="E882" s="225"/>
      <c r="F882" s="226"/>
      <c r="G882" s="169"/>
    </row>
    <row r="883" ht="15.75" customHeight="1">
      <c r="A883" s="186"/>
      <c r="B883" s="186"/>
      <c r="C883" s="187"/>
      <c r="D883" s="225"/>
      <c r="E883" s="225"/>
      <c r="F883" s="226"/>
      <c r="G883" s="169"/>
    </row>
    <row r="884" ht="15.75" customHeight="1">
      <c r="A884" s="186"/>
      <c r="B884" s="186"/>
      <c r="C884" s="187"/>
      <c r="D884" s="225"/>
      <c r="E884" s="225"/>
      <c r="F884" s="226"/>
      <c r="G884" s="169"/>
    </row>
    <row r="885" ht="15.75" customHeight="1">
      <c r="A885" s="186"/>
      <c r="B885" s="186"/>
      <c r="C885" s="187"/>
      <c r="D885" s="225"/>
      <c r="E885" s="225"/>
      <c r="F885" s="226"/>
      <c r="G885" s="169"/>
    </row>
    <row r="886" ht="15.75" customHeight="1">
      <c r="A886" s="186"/>
      <c r="B886" s="186"/>
      <c r="C886" s="187"/>
      <c r="D886" s="225"/>
      <c r="E886" s="225"/>
      <c r="F886" s="226"/>
      <c r="G886" s="169"/>
    </row>
    <row r="887" ht="15.75" customHeight="1">
      <c r="A887" s="186"/>
      <c r="B887" s="186"/>
      <c r="C887" s="187"/>
      <c r="D887" s="225"/>
      <c r="E887" s="225"/>
      <c r="F887" s="226"/>
      <c r="G887" s="169"/>
    </row>
    <row r="888" ht="15.75" customHeight="1">
      <c r="A888" s="186"/>
      <c r="B888" s="186"/>
      <c r="C888" s="187"/>
      <c r="D888" s="225"/>
      <c r="E888" s="225"/>
      <c r="F888" s="226"/>
      <c r="G888" s="169"/>
    </row>
    <row r="889" ht="15.75" customHeight="1">
      <c r="A889" s="186"/>
      <c r="B889" s="186"/>
      <c r="C889" s="187"/>
      <c r="D889" s="225"/>
      <c r="E889" s="225"/>
      <c r="F889" s="226"/>
      <c r="G889" s="169"/>
    </row>
    <row r="890" ht="15.75" customHeight="1">
      <c r="A890" s="186"/>
      <c r="B890" s="186"/>
      <c r="C890" s="187"/>
      <c r="D890" s="225"/>
      <c r="E890" s="225"/>
      <c r="F890" s="226"/>
      <c r="G890" s="169"/>
    </row>
    <row r="891" ht="15.75" customHeight="1">
      <c r="A891" s="186"/>
      <c r="B891" s="186"/>
      <c r="C891" s="187"/>
      <c r="D891" s="225"/>
      <c r="E891" s="225"/>
      <c r="F891" s="226"/>
      <c r="G891" s="169"/>
    </row>
    <row r="892" ht="15.75" customHeight="1">
      <c r="A892" s="186"/>
      <c r="B892" s="186"/>
      <c r="C892" s="187"/>
      <c r="D892" s="225"/>
      <c r="E892" s="225"/>
      <c r="F892" s="226"/>
      <c r="G892" s="169"/>
    </row>
    <row r="893" ht="15.75" customHeight="1">
      <c r="A893" s="186"/>
      <c r="B893" s="186"/>
      <c r="C893" s="187"/>
      <c r="D893" s="225"/>
      <c r="E893" s="225"/>
      <c r="F893" s="226"/>
      <c r="G893" s="169"/>
    </row>
    <row r="894" ht="15.75" customHeight="1">
      <c r="A894" s="186"/>
      <c r="B894" s="186"/>
      <c r="C894" s="187"/>
      <c r="D894" s="225"/>
      <c r="E894" s="225"/>
      <c r="F894" s="226"/>
      <c r="G894" s="169"/>
    </row>
    <row r="895" ht="15.75" customHeight="1">
      <c r="A895" s="186"/>
      <c r="B895" s="186"/>
      <c r="C895" s="187"/>
      <c r="D895" s="225"/>
      <c r="E895" s="225"/>
      <c r="F895" s="226"/>
      <c r="G895" s="169"/>
    </row>
    <row r="896" ht="15.75" customHeight="1">
      <c r="A896" s="186"/>
      <c r="B896" s="186"/>
      <c r="C896" s="187"/>
      <c r="D896" s="225"/>
      <c r="E896" s="225"/>
      <c r="F896" s="226"/>
      <c r="G896" s="169"/>
    </row>
    <row r="897" ht="15.75" customHeight="1">
      <c r="A897" s="186"/>
      <c r="B897" s="186"/>
      <c r="C897" s="187"/>
      <c r="D897" s="225"/>
      <c r="E897" s="225"/>
      <c r="F897" s="226"/>
      <c r="G897" s="169"/>
    </row>
    <row r="898" ht="15.75" customHeight="1">
      <c r="A898" s="186"/>
      <c r="B898" s="186"/>
      <c r="C898" s="187"/>
      <c r="D898" s="225"/>
      <c r="E898" s="225"/>
      <c r="F898" s="226"/>
      <c r="G898" s="169"/>
    </row>
    <row r="899" ht="15.75" customHeight="1">
      <c r="A899" s="186"/>
      <c r="B899" s="186"/>
      <c r="C899" s="187"/>
      <c r="D899" s="225"/>
      <c r="E899" s="225"/>
      <c r="F899" s="226"/>
      <c r="G899" s="169"/>
    </row>
    <row r="900" ht="15.75" customHeight="1">
      <c r="A900" s="186"/>
      <c r="B900" s="186"/>
      <c r="C900" s="187"/>
      <c r="D900" s="225"/>
      <c r="E900" s="225"/>
      <c r="F900" s="226"/>
      <c r="G900" s="169"/>
    </row>
    <row r="901" ht="15.75" customHeight="1">
      <c r="A901" s="186"/>
      <c r="B901" s="186"/>
      <c r="C901" s="187"/>
      <c r="D901" s="225"/>
      <c r="E901" s="225"/>
      <c r="F901" s="226"/>
      <c r="G901" s="169"/>
    </row>
    <row r="902" ht="15.75" customHeight="1">
      <c r="A902" s="186"/>
      <c r="B902" s="186"/>
      <c r="C902" s="187"/>
      <c r="D902" s="225"/>
      <c r="E902" s="225"/>
      <c r="F902" s="226"/>
      <c r="G902" s="169"/>
    </row>
    <row r="903" ht="15.75" customHeight="1">
      <c r="A903" s="186"/>
      <c r="B903" s="186"/>
      <c r="C903" s="187"/>
      <c r="D903" s="225"/>
      <c r="E903" s="225"/>
      <c r="F903" s="226"/>
      <c r="G903" s="169"/>
    </row>
    <row r="904" ht="15.75" customHeight="1">
      <c r="A904" s="186"/>
      <c r="B904" s="186"/>
      <c r="C904" s="187"/>
      <c r="D904" s="225"/>
      <c r="E904" s="225"/>
      <c r="F904" s="226"/>
      <c r="G904" s="169"/>
    </row>
    <row r="905" ht="15.75" customHeight="1">
      <c r="A905" s="186"/>
      <c r="B905" s="186"/>
      <c r="C905" s="187"/>
      <c r="D905" s="225"/>
      <c r="E905" s="225"/>
      <c r="F905" s="226"/>
      <c r="G905" s="169"/>
    </row>
    <row r="906" ht="15.75" customHeight="1">
      <c r="A906" s="186"/>
      <c r="B906" s="186"/>
      <c r="C906" s="187"/>
      <c r="D906" s="225"/>
      <c r="E906" s="225"/>
      <c r="F906" s="226"/>
      <c r="G906" s="169"/>
    </row>
    <row r="907" ht="15.75" customHeight="1">
      <c r="A907" s="186"/>
      <c r="B907" s="186"/>
      <c r="C907" s="187"/>
      <c r="D907" s="225"/>
      <c r="E907" s="225"/>
      <c r="F907" s="226"/>
      <c r="G907" s="169"/>
    </row>
    <row r="908" ht="15.75" customHeight="1">
      <c r="A908" s="186"/>
      <c r="B908" s="186"/>
      <c r="C908" s="187"/>
      <c r="D908" s="225"/>
      <c r="E908" s="225"/>
      <c r="F908" s="226"/>
      <c r="G908" s="169"/>
    </row>
    <row r="909" ht="15.75" customHeight="1">
      <c r="A909" s="186"/>
      <c r="B909" s="186"/>
      <c r="C909" s="187"/>
      <c r="D909" s="225"/>
      <c r="E909" s="225"/>
      <c r="F909" s="226"/>
      <c r="G909" s="169"/>
    </row>
    <row r="910" ht="15.75" customHeight="1">
      <c r="A910" s="186"/>
      <c r="B910" s="186"/>
      <c r="C910" s="187"/>
      <c r="D910" s="225"/>
      <c r="E910" s="225"/>
      <c r="F910" s="226"/>
      <c r="G910" s="169"/>
    </row>
    <row r="911" ht="15.75" customHeight="1">
      <c r="A911" s="186"/>
      <c r="B911" s="186"/>
      <c r="C911" s="187"/>
      <c r="D911" s="225"/>
      <c r="E911" s="225"/>
      <c r="F911" s="226"/>
      <c r="G911" s="169"/>
    </row>
    <row r="912" ht="15.75" customHeight="1">
      <c r="A912" s="186"/>
      <c r="B912" s="186"/>
      <c r="C912" s="187"/>
      <c r="D912" s="225"/>
      <c r="E912" s="225"/>
      <c r="F912" s="226"/>
      <c r="G912" s="169"/>
    </row>
    <row r="913" ht="15.75" customHeight="1">
      <c r="A913" s="186"/>
      <c r="B913" s="186"/>
      <c r="C913" s="187"/>
      <c r="D913" s="225"/>
      <c r="E913" s="225"/>
      <c r="F913" s="226"/>
      <c r="G913" s="169"/>
    </row>
    <row r="914" ht="15.75" customHeight="1">
      <c r="A914" s="186"/>
      <c r="B914" s="186"/>
      <c r="C914" s="187"/>
      <c r="D914" s="225"/>
      <c r="E914" s="225"/>
      <c r="F914" s="226"/>
      <c r="G914" s="169"/>
    </row>
    <row r="915" ht="15.75" customHeight="1">
      <c r="A915" s="186"/>
      <c r="B915" s="186"/>
      <c r="C915" s="187"/>
      <c r="D915" s="225"/>
      <c r="E915" s="225"/>
      <c r="F915" s="226"/>
      <c r="G915" s="169"/>
    </row>
    <row r="916" ht="15.75" customHeight="1">
      <c r="A916" s="186"/>
      <c r="B916" s="186"/>
      <c r="C916" s="187"/>
      <c r="D916" s="225"/>
      <c r="E916" s="225"/>
      <c r="F916" s="226"/>
      <c r="G916" s="169"/>
    </row>
    <row r="917" ht="15.75" customHeight="1">
      <c r="A917" s="186"/>
      <c r="B917" s="186"/>
      <c r="C917" s="187"/>
      <c r="D917" s="225"/>
      <c r="E917" s="225"/>
      <c r="F917" s="226"/>
      <c r="G917" s="169"/>
    </row>
    <row r="918" ht="15.75" customHeight="1">
      <c r="A918" s="186"/>
      <c r="B918" s="186"/>
      <c r="C918" s="187"/>
      <c r="D918" s="225"/>
      <c r="E918" s="225"/>
      <c r="F918" s="226"/>
      <c r="G918" s="169"/>
    </row>
    <row r="919" ht="15.75" customHeight="1">
      <c r="A919" s="186"/>
      <c r="B919" s="186"/>
      <c r="C919" s="187"/>
      <c r="D919" s="225"/>
      <c r="E919" s="225"/>
      <c r="F919" s="226"/>
      <c r="G919" s="169"/>
    </row>
    <row r="920" ht="15.75" customHeight="1">
      <c r="A920" s="186"/>
      <c r="B920" s="186"/>
      <c r="C920" s="187"/>
      <c r="D920" s="225"/>
      <c r="E920" s="225"/>
      <c r="F920" s="226"/>
      <c r="G920" s="169"/>
    </row>
    <row r="921" ht="15.75" customHeight="1">
      <c r="A921" s="186"/>
      <c r="B921" s="186"/>
      <c r="C921" s="187"/>
      <c r="D921" s="225"/>
      <c r="E921" s="225"/>
      <c r="F921" s="226"/>
      <c r="G921" s="169"/>
    </row>
    <row r="922" ht="15.75" customHeight="1">
      <c r="A922" s="186"/>
      <c r="B922" s="186"/>
      <c r="C922" s="187"/>
      <c r="D922" s="225"/>
      <c r="E922" s="225"/>
      <c r="F922" s="226"/>
      <c r="G922" s="169"/>
    </row>
    <row r="923" ht="15.75" customHeight="1">
      <c r="A923" s="186"/>
      <c r="B923" s="186"/>
      <c r="C923" s="187"/>
      <c r="D923" s="225"/>
      <c r="E923" s="225"/>
      <c r="F923" s="226"/>
      <c r="G923" s="169"/>
    </row>
    <row r="924" ht="15.75" customHeight="1">
      <c r="A924" s="186"/>
      <c r="B924" s="186"/>
      <c r="C924" s="187"/>
      <c r="D924" s="225"/>
      <c r="E924" s="225"/>
      <c r="F924" s="226"/>
      <c r="G924" s="169"/>
    </row>
    <row r="925" ht="15.75" customHeight="1">
      <c r="A925" s="186"/>
      <c r="B925" s="186"/>
      <c r="C925" s="187"/>
      <c r="D925" s="225"/>
      <c r="E925" s="225"/>
      <c r="F925" s="226"/>
      <c r="G925" s="169"/>
    </row>
    <row r="926" ht="15.75" customHeight="1">
      <c r="A926" s="186"/>
      <c r="B926" s="186"/>
      <c r="C926" s="187"/>
      <c r="D926" s="225"/>
      <c r="E926" s="225"/>
      <c r="F926" s="226"/>
      <c r="G926" s="169"/>
    </row>
    <row r="927" ht="15.75" customHeight="1">
      <c r="A927" s="186"/>
      <c r="B927" s="186"/>
      <c r="C927" s="187"/>
      <c r="D927" s="225"/>
      <c r="E927" s="225"/>
      <c r="F927" s="226"/>
      <c r="G927" s="169"/>
    </row>
    <row r="928" ht="15.75" customHeight="1">
      <c r="A928" s="186"/>
      <c r="B928" s="186"/>
      <c r="C928" s="187"/>
      <c r="D928" s="225"/>
      <c r="E928" s="225"/>
      <c r="F928" s="226"/>
      <c r="G928" s="169"/>
    </row>
    <row r="929" ht="15.75" customHeight="1">
      <c r="A929" s="186"/>
      <c r="B929" s="186"/>
      <c r="C929" s="187"/>
      <c r="D929" s="225"/>
      <c r="E929" s="225"/>
      <c r="F929" s="226"/>
      <c r="G929" s="169"/>
    </row>
    <row r="930" ht="15.75" customHeight="1">
      <c r="A930" s="186"/>
      <c r="B930" s="186"/>
      <c r="C930" s="187"/>
      <c r="D930" s="225"/>
      <c r="E930" s="225"/>
      <c r="F930" s="226"/>
      <c r="G930" s="169"/>
    </row>
    <row r="931" ht="15.75" customHeight="1">
      <c r="A931" s="186"/>
      <c r="B931" s="186"/>
      <c r="C931" s="187"/>
      <c r="D931" s="225"/>
      <c r="E931" s="225"/>
      <c r="F931" s="226"/>
      <c r="G931" s="169"/>
    </row>
    <row r="932" ht="15.75" customHeight="1">
      <c r="A932" s="186"/>
      <c r="B932" s="186"/>
      <c r="C932" s="187"/>
      <c r="D932" s="225"/>
      <c r="E932" s="225"/>
      <c r="F932" s="226"/>
      <c r="G932" s="169"/>
    </row>
    <row r="933" ht="15.75" customHeight="1">
      <c r="A933" s="186"/>
      <c r="B933" s="186"/>
      <c r="C933" s="187"/>
      <c r="D933" s="225"/>
      <c r="E933" s="225"/>
      <c r="F933" s="226"/>
      <c r="G933" s="169"/>
    </row>
    <row r="934" ht="15.75" customHeight="1">
      <c r="A934" s="186"/>
      <c r="B934" s="186"/>
      <c r="C934" s="187"/>
      <c r="D934" s="225"/>
      <c r="E934" s="225"/>
      <c r="F934" s="226"/>
      <c r="G934" s="169"/>
    </row>
    <row r="935" ht="15.75" customHeight="1">
      <c r="A935" s="186"/>
      <c r="B935" s="186"/>
      <c r="C935" s="187"/>
      <c r="D935" s="225"/>
      <c r="E935" s="225"/>
      <c r="F935" s="226"/>
      <c r="G935" s="169"/>
    </row>
    <row r="936" ht="15.75" customHeight="1">
      <c r="A936" s="186"/>
      <c r="B936" s="186"/>
      <c r="C936" s="187"/>
      <c r="D936" s="225"/>
      <c r="E936" s="225"/>
      <c r="F936" s="226"/>
      <c r="G936" s="169"/>
    </row>
    <row r="937" ht="15.75" customHeight="1">
      <c r="A937" s="186"/>
      <c r="B937" s="186"/>
      <c r="C937" s="187"/>
      <c r="D937" s="225"/>
      <c r="E937" s="225"/>
      <c r="F937" s="226"/>
      <c r="G937" s="169"/>
    </row>
    <row r="938" ht="15.75" customHeight="1">
      <c r="A938" s="186"/>
      <c r="B938" s="186"/>
      <c r="C938" s="187"/>
      <c r="D938" s="225"/>
      <c r="E938" s="225"/>
      <c r="F938" s="226"/>
      <c r="G938" s="169"/>
    </row>
    <row r="939" ht="15.75" customHeight="1">
      <c r="A939" s="186"/>
      <c r="B939" s="186"/>
      <c r="C939" s="187"/>
      <c r="D939" s="225"/>
      <c r="E939" s="225"/>
      <c r="F939" s="226"/>
      <c r="G939" s="169"/>
    </row>
    <row r="940" ht="15.75" customHeight="1">
      <c r="A940" s="186"/>
      <c r="B940" s="186"/>
      <c r="C940" s="187"/>
      <c r="D940" s="225"/>
      <c r="E940" s="225"/>
      <c r="F940" s="226"/>
      <c r="G940" s="169"/>
    </row>
    <row r="941" ht="15.75" customHeight="1">
      <c r="A941" s="186"/>
      <c r="B941" s="186"/>
      <c r="C941" s="187"/>
      <c r="D941" s="225"/>
      <c r="E941" s="225"/>
      <c r="F941" s="226"/>
      <c r="G941" s="169"/>
    </row>
    <row r="942" ht="15.75" customHeight="1">
      <c r="A942" s="186"/>
      <c r="B942" s="186"/>
      <c r="C942" s="187"/>
      <c r="D942" s="225"/>
      <c r="E942" s="225"/>
      <c r="F942" s="226"/>
      <c r="G942" s="169"/>
    </row>
    <row r="943" ht="15.75" customHeight="1">
      <c r="A943" s="186"/>
      <c r="B943" s="186"/>
      <c r="C943" s="187"/>
      <c r="D943" s="225"/>
      <c r="E943" s="225"/>
      <c r="F943" s="226"/>
      <c r="G943" s="169"/>
    </row>
    <row r="944" ht="15.75" customHeight="1">
      <c r="A944" s="186"/>
      <c r="B944" s="186"/>
      <c r="C944" s="187"/>
      <c r="D944" s="225"/>
      <c r="E944" s="225"/>
      <c r="F944" s="226"/>
      <c r="G944" s="169"/>
    </row>
    <row r="945" ht="15.75" customHeight="1">
      <c r="A945" s="186"/>
      <c r="B945" s="186"/>
      <c r="C945" s="187"/>
      <c r="D945" s="225"/>
      <c r="E945" s="225"/>
      <c r="F945" s="226"/>
      <c r="G945" s="169"/>
    </row>
    <row r="946" ht="15.75" customHeight="1">
      <c r="A946" s="186"/>
      <c r="B946" s="186"/>
      <c r="C946" s="187"/>
      <c r="D946" s="225"/>
      <c r="E946" s="225"/>
      <c r="F946" s="226"/>
      <c r="G946" s="169"/>
    </row>
    <row r="947" ht="15.75" customHeight="1">
      <c r="A947" s="186"/>
      <c r="B947" s="186"/>
      <c r="C947" s="187"/>
      <c r="D947" s="225"/>
      <c r="E947" s="225"/>
      <c r="F947" s="226"/>
      <c r="G947" s="169"/>
    </row>
    <row r="948" ht="15.75" customHeight="1">
      <c r="A948" s="186"/>
      <c r="B948" s="186"/>
      <c r="C948" s="187"/>
      <c r="D948" s="225"/>
      <c r="E948" s="225"/>
      <c r="F948" s="226"/>
      <c r="G948" s="169"/>
    </row>
    <row r="949" ht="15.75" customHeight="1">
      <c r="A949" s="186"/>
      <c r="B949" s="186"/>
      <c r="C949" s="187"/>
      <c r="D949" s="225"/>
      <c r="E949" s="225"/>
      <c r="F949" s="226"/>
      <c r="G949" s="169"/>
    </row>
    <row r="950" ht="15.75" customHeight="1">
      <c r="A950" s="186"/>
      <c r="B950" s="186"/>
      <c r="C950" s="187"/>
      <c r="D950" s="225"/>
      <c r="E950" s="225"/>
      <c r="F950" s="226"/>
      <c r="G950" s="169"/>
    </row>
    <row r="951" ht="15.75" customHeight="1">
      <c r="A951" s="186"/>
      <c r="B951" s="186"/>
      <c r="C951" s="187"/>
      <c r="D951" s="225"/>
      <c r="E951" s="225"/>
      <c r="F951" s="226"/>
      <c r="G951" s="169"/>
    </row>
    <row r="952" ht="15.75" customHeight="1">
      <c r="A952" s="186"/>
      <c r="B952" s="186"/>
      <c r="C952" s="187"/>
      <c r="D952" s="225"/>
      <c r="E952" s="225"/>
      <c r="F952" s="226"/>
      <c r="G952" s="169"/>
    </row>
    <row r="953" ht="15.75" customHeight="1">
      <c r="A953" s="186"/>
      <c r="B953" s="186"/>
      <c r="C953" s="187"/>
      <c r="D953" s="225"/>
      <c r="E953" s="225"/>
      <c r="F953" s="226"/>
      <c r="G953" s="169"/>
    </row>
    <row r="954" ht="15.75" customHeight="1">
      <c r="A954" s="186"/>
      <c r="B954" s="186"/>
      <c r="C954" s="187"/>
      <c r="D954" s="225"/>
      <c r="E954" s="225"/>
      <c r="F954" s="226"/>
      <c r="G954" s="169"/>
    </row>
    <row r="955" ht="15.75" customHeight="1">
      <c r="A955" s="186"/>
      <c r="B955" s="186"/>
      <c r="C955" s="187"/>
      <c r="D955" s="225"/>
      <c r="E955" s="225"/>
      <c r="F955" s="226"/>
      <c r="G955" s="169"/>
    </row>
    <row r="956" ht="15.75" customHeight="1">
      <c r="A956" s="186"/>
      <c r="B956" s="186"/>
      <c r="C956" s="187"/>
      <c r="D956" s="225"/>
      <c r="E956" s="225"/>
      <c r="F956" s="226"/>
      <c r="G956" s="169"/>
    </row>
    <row r="957" ht="15.75" customHeight="1">
      <c r="A957" s="186"/>
      <c r="B957" s="186"/>
      <c r="C957" s="187"/>
      <c r="D957" s="225"/>
      <c r="E957" s="225"/>
      <c r="F957" s="226"/>
      <c r="G957" s="169"/>
    </row>
    <row r="958" ht="15.75" customHeight="1">
      <c r="A958" s="186"/>
      <c r="B958" s="186"/>
      <c r="C958" s="187"/>
      <c r="D958" s="225"/>
      <c r="E958" s="225"/>
      <c r="F958" s="226"/>
      <c r="G958" s="169"/>
    </row>
    <row r="959" ht="15.75" customHeight="1">
      <c r="A959" s="186"/>
      <c r="B959" s="186"/>
      <c r="C959" s="187"/>
      <c r="D959" s="225"/>
      <c r="E959" s="225"/>
      <c r="F959" s="226"/>
      <c r="G959" s="169"/>
    </row>
    <row r="960" ht="15.75" customHeight="1">
      <c r="A960" s="186"/>
      <c r="B960" s="186"/>
      <c r="C960" s="187"/>
      <c r="D960" s="225"/>
      <c r="E960" s="225"/>
      <c r="F960" s="226"/>
      <c r="G960" s="169"/>
    </row>
    <row r="961" ht="15.75" customHeight="1">
      <c r="A961" s="186"/>
      <c r="B961" s="186"/>
      <c r="C961" s="187"/>
      <c r="D961" s="225"/>
      <c r="E961" s="225"/>
      <c r="F961" s="226"/>
      <c r="G961" s="169"/>
    </row>
    <row r="962" ht="15.75" customHeight="1">
      <c r="A962" s="186"/>
      <c r="B962" s="186"/>
      <c r="C962" s="187"/>
      <c r="D962" s="225"/>
      <c r="E962" s="225"/>
      <c r="F962" s="226"/>
      <c r="G962" s="169"/>
    </row>
    <row r="963" ht="15.75" customHeight="1">
      <c r="A963" s="186"/>
      <c r="B963" s="186"/>
      <c r="C963" s="187"/>
      <c r="D963" s="225"/>
      <c r="E963" s="225"/>
      <c r="F963" s="226"/>
      <c r="G963" s="169"/>
    </row>
    <row r="964" ht="15.75" customHeight="1">
      <c r="A964" s="186"/>
      <c r="B964" s="186"/>
      <c r="C964" s="187"/>
      <c r="D964" s="225"/>
      <c r="E964" s="225"/>
      <c r="F964" s="226"/>
      <c r="G964" s="169"/>
    </row>
    <row r="965" ht="15.75" customHeight="1">
      <c r="A965" s="186"/>
      <c r="B965" s="186"/>
      <c r="C965" s="187"/>
      <c r="D965" s="225"/>
      <c r="E965" s="225"/>
      <c r="F965" s="226"/>
      <c r="G965" s="169"/>
    </row>
    <row r="966" ht="15.75" customHeight="1">
      <c r="A966" s="186"/>
      <c r="B966" s="186"/>
      <c r="C966" s="187"/>
      <c r="D966" s="225"/>
      <c r="E966" s="225"/>
      <c r="F966" s="226"/>
      <c r="G966" s="169"/>
    </row>
    <row r="967" ht="15.75" customHeight="1">
      <c r="A967" s="186"/>
      <c r="B967" s="186"/>
      <c r="C967" s="187"/>
      <c r="D967" s="225"/>
      <c r="E967" s="225"/>
      <c r="F967" s="226"/>
      <c r="G967" s="169"/>
    </row>
    <row r="968" ht="15.75" customHeight="1">
      <c r="A968" s="186"/>
      <c r="B968" s="186"/>
      <c r="C968" s="187"/>
      <c r="D968" s="225"/>
      <c r="E968" s="225"/>
      <c r="F968" s="226"/>
      <c r="G968" s="169"/>
    </row>
    <row r="969" ht="15.75" customHeight="1">
      <c r="A969" s="186"/>
      <c r="B969" s="186"/>
      <c r="C969" s="187"/>
      <c r="D969" s="225"/>
      <c r="E969" s="225"/>
      <c r="F969" s="226"/>
      <c r="G969" s="169"/>
    </row>
    <row r="970" ht="15.75" customHeight="1">
      <c r="A970" s="186"/>
      <c r="B970" s="186"/>
      <c r="C970" s="187"/>
      <c r="D970" s="225"/>
      <c r="E970" s="225"/>
      <c r="F970" s="226"/>
      <c r="G970" s="169"/>
    </row>
    <row r="971" ht="15.75" customHeight="1">
      <c r="A971" s="186"/>
      <c r="B971" s="186"/>
      <c r="C971" s="187"/>
      <c r="D971" s="225"/>
      <c r="E971" s="225"/>
      <c r="F971" s="226"/>
      <c r="G971" s="169"/>
    </row>
    <row r="972" ht="15.75" customHeight="1">
      <c r="A972" s="186"/>
      <c r="B972" s="186"/>
      <c r="C972" s="187"/>
      <c r="D972" s="225"/>
      <c r="E972" s="225"/>
      <c r="F972" s="226"/>
      <c r="G972" s="169"/>
    </row>
    <row r="973" ht="15.75" customHeight="1">
      <c r="A973" s="186"/>
      <c r="B973" s="186"/>
      <c r="C973" s="187"/>
      <c r="D973" s="225"/>
      <c r="E973" s="225"/>
      <c r="F973" s="226"/>
      <c r="G973" s="169"/>
    </row>
    <row r="974" ht="15.75" customHeight="1">
      <c r="A974" s="186"/>
      <c r="B974" s="186"/>
      <c r="C974" s="187"/>
      <c r="D974" s="225"/>
      <c r="E974" s="225"/>
      <c r="F974" s="226"/>
      <c r="G974" s="169"/>
    </row>
    <row r="975" ht="15.75" customHeight="1">
      <c r="A975" s="186"/>
      <c r="B975" s="186"/>
      <c r="C975" s="187"/>
      <c r="D975" s="225"/>
      <c r="E975" s="225"/>
      <c r="F975" s="226"/>
      <c r="G975" s="169"/>
    </row>
    <row r="976" ht="15.75" customHeight="1">
      <c r="A976" s="186"/>
      <c r="B976" s="186"/>
      <c r="C976" s="187"/>
      <c r="D976" s="225"/>
      <c r="E976" s="225"/>
      <c r="F976" s="226"/>
      <c r="G976" s="169"/>
    </row>
    <row r="977" ht="15.75" customHeight="1">
      <c r="A977" s="186"/>
      <c r="B977" s="186"/>
      <c r="C977" s="187"/>
      <c r="D977" s="225"/>
      <c r="E977" s="225"/>
      <c r="F977" s="226"/>
      <c r="G977" s="169"/>
    </row>
    <row r="978" ht="15.75" customHeight="1">
      <c r="A978" s="186"/>
      <c r="B978" s="186"/>
      <c r="C978" s="187"/>
      <c r="D978" s="225"/>
      <c r="E978" s="225"/>
      <c r="F978" s="226"/>
      <c r="G978" s="169"/>
    </row>
    <row r="979" ht="15.75" customHeight="1">
      <c r="A979" s="186"/>
      <c r="B979" s="186"/>
      <c r="C979" s="187"/>
      <c r="D979" s="225"/>
      <c r="E979" s="225"/>
      <c r="F979" s="226"/>
      <c r="G979" s="169"/>
    </row>
    <row r="980" ht="15.75" customHeight="1">
      <c r="A980" s="186"/>
      <c r="B980" s="186"/>
      <c r="C980" s="187"/>
      <c r="D980" s="225"/>
      <c r="E980" s="225"/>
      <c r="F980" s="226"/>
      <c r="G980" s="169"/>
    </row>
    <row r="981" ht="15.75" customHeight="1">
      <c r="A981" s="186"/>
      <c r="B981" s="186"/>
      <c r="C981" s="187"/>
      <c r="D981" s="225"/>
      <c r="E981" s="225"/>
      <c r="F981" s="226"/>
      <c r="G981" s="169"/>
    </row>
    <row r="982" ht="15.75" customHeight="1">
      <c r="A982" s="186"/>
      <c r="B982" s="186"/>
      <c r="C982" s="187"/>
      <c r="D982" s="225"/>
      <c r="E982" s="225"/>
      <c r="F982" s="226"/>
      <c r="G982" s="169"/>
    </row>
    <row r="983" ht="15.75" customHeight="1">
      <c r="A983" s="186"/>
      <c r="B983" s="186"/>
      <c r="C983" s="187"/>
      <c r="D983" s="225"/>
      <c r="E983" s="225"/>
      <c r="F983" s="226"/>
      <c r="G983" s="169"/>
    </row>
    <row r="984" ht="15.75" customHeight="1">
      <c r="A984" s="186"/>
      <c r="B984" s="186"/>
      <c r="C984" s="187"/>
      <c r="D984" s="225"/>
      <c r="E984" s="225"/>
      <c r="F984" s="226"/>
      <c r="G984" s="169"/>
    </row>
    <row r="985" ht="15.75" customHeight="1">
      <c r="A985" s="186"/>
      <c r="B985" s="186"/>
      <c r="C985" s="187"/>
      <c r="D985" s="225"/>
      <c r="E985" s="225"/>
      <c r="F985" s="226"/>
      <c r="G985" s="169"/>
    </row>
    <row r="986" ht="15.75" customHeight="1">
      <c r="A986" s="186"/>
      <c r="B986" s="186"/>
      <c r="C986" s="187"/>
      <c r="D986" s="225"/>
      <c r="E986" s="225"/>
      <c r="F986" s="226"/>
      <c r="G986" s="169"/>
    </row>
    <row r="987" ht="15.75" customHeight="1">
      <c r="A987" s="186"/>
      <c r="B987" s="186"/>
      <c r="C987" s="187"/>
      <c r="D987" s="225"/>
      <c r="E987" s="225"/>
      <c r="F987" s="226"/>
      <c r="G987" s="169"/>
    </row>
    <row r="988" ht="15.75" customHeight="1">
      <c r="A988" s="186"/>
      <c r="B988" s="186"/>
      <c r="C988" s="187"/>
      <c r="D988" s="225"/>
      <c r="E988" s="225"/>
      <c r="F988" s="226"/>
      <c r="G988" s="169"/>
    </row>
    <row r="989" ht="15.75" customHeight="1">
      <c r="A989" s="186"/>
      <c r="B989" s="186"/>
      <c r="C989" s="187"/>
      <c r="D989" s="225"/>
      <c r="E989" s="225"/>
      <c r="F989" s="226"/>
      <c r="G989" s="169"/>
    </row>
    <row r="990" ht="15.75" customHeight="1">
      <c r="A990" s="186"/>
      <c r="B990" s="186"/>
      <c r="C990" s="187"/>
      <c r="D990" s="225"/>
      <c r="E990" s="225"/>
      <c r="F990" s="226"/>
      <c r="G990" s="169"/>
    </row>
    <row r="991" ht="15.75" customHeight="1">
      <c r="A991" s="186"/>
      <c r="B991" s="186"/>
      <c r="C991" s="187"/>
      <c r="D991" s="225"/>
      <c r="E991" s="225"/>
      <c r="F991" s="226"/>
      <c r="G991" s="169"/>
    </row>
    <row r="992" ht="15.75" customHeight="1">
      <c r="A992" s="186"/>
      <c r="B992" s="186"/>
      <c r="C992" s="187"/>
      <c r="D992" s="225"/>
      <c r="E992" s="225"/>
      <c r="F992" s="226"/>
      <c r="G992" s="169"/>
    </row>
    <row r="993" ht="15.75" customHeight="1">
      <c r="A993" s="186"/>
      <c r="B993" s="186"/>
      <c r="C993" s="187"/>
      <c r="D993" s="225"/>
      <c r="E993" s="225"/>
      <c r="F993" s="226"/>
      <c r="G993" s="169"/>
    </row>
    <row r="994" ht="15.75" customHeight="1">
      <c r="A994" s="186"/>
      <c r="B994" s="186"/>
      <c r="C994" s="187"/>
      <c r="D994" s="225"/>
      <c r="E994" s="225"/>
      <c r="F994" s="226"/>
      <c r="G994" s="169"/>
    </row>
    <row r="995" ht="15.75" customHeight="1">
      <c r="A995" s="186"/>
      <c r="B995" s="186"/>
      <c r="C995" s="187"/>
      <c r="D995" s="225"/>
      <c r="E995" s="225"/>
      <c r="F995" s="226"/>
      <c r="G995" s="169"/>
    </row>
    <row r="996" ht="15.75" customHeight="1">
      <c r="A996" s="186"/>
      <c r="B996" s="186"/>
      <c r="C996" s="187"/>
      <c r="D996" s="225"/>
      <c r="E996" s="225"/>
      <c r="F996" s="226"/>
      <c r="G996" s="169"/>
    </row>
    <row r="997" ht="15.75" customHeight="1">
      <c r="A997" s="186"/>
      <c r="B997" s="186"/>
      <c r="C997" s="187"/>
      <c r="D997" s="225"/>
      <c r="E997" s="225"/>
      <c r="F997" s="226"/>
      <c r="G997" s="169"/>
    </row>
    <row r="998" ht="15.75" customHeight="1">
      <c r="A998" s="186"/>
      <c r="B998" s="186"/>
      <c r="C998" s="187"/>
      <c r="D998" s="225"/>
      <c r="E998" s="225"/>
      <c r="F998" s="226"/>
      <c r="G998" s="169"/>
    </row>
    <row r="999" ht="15.75" customHeight="1">
      <c r="A999" s="186"/>
      <c r="B999" s="186"/>
      <c r="C999" s="187"/>
      <c r="D999" s="225"/>
      <c r="E999" s="225"/>
      <c r="F999" s="226"/>
      <c r="G999" s="169"/>
    </row>
    <row r="1000" ht="15.75" customHeight="1">
      <c r="A1000" s="186"/>
      <c r="B1000" s="186"/>
      <c r="C1000" s="187"/>
      <c r="D1000" s="225"/>
      <c r="E1000" s="225"/>
      <c r="F1000" s="226"/>
      <c r="G1000" s="169"/>
    </row>
    <row r="1001" ht="15.75" customHeight="1">
      <c r="A1001" s="186"/>
      <c r="B1001" s="186"/>
      <c r="C1001" s="187"/>
      <c r="D1001" s="225"/>
      <c r="E1001" s="225"/>
      <c r="F1001" s="226"/>
      <c r="G1001" s="169"/>
    </row>
    <row r="1002" ht="15.75" customHeight="1">
      <c r="A1002" s="186"/>
      <c r="B1002" s="186"/>
      <c r="C1002" s="186"/>
      <c r="D1002" s="225"/>
      <c r="E1002" s="225"/>
      <c r="F1002" s="226"/>
      <c r="G1002" s="169"/>
    </row>
    <row r="1003" ht="15.75" customHeight="1">
      <c r="A1003" s="186"/>
      <c r="B1003" s="186"/>
      <c r="C1003" s="186"/>
      <c r="D1003" s="225"/>
      <c r="E1003" s="225"/>
      <c r="F1003" s="226"/>
      <c r="G1003" s="169"/>
    </row>
    <row r="1004" ht="15.75" customHeight="1">
      <c r="A1004" s="186"/>
      <c r="B1004" s="186"/>
      <c r="C1004" s="186"/>
      <c r="D1004" s="225"/>
      <c r="E1004" s="225"/>
      <c r="F1004" s="226"/>
      <c r="G1004" s="169"/>
    </row>
    <row r="1005" ht="15.75" customHeight="1">
      <c r="A1005" s="186"/>
      <c r="B1005" s="186"/>
      <c r="C1005" s="186"/>
      <c r="D1005" s="225"/>
      <c r="E1005" s="225"/>
      <c r="F1005" s="226"/>
      <c r="G1005" s="169"/>
    </row>
    <row r="1006" ht="15.75" customHeight="1">
      <c r="A1006" s="186"/>
      <c r="B1006" s="186"/>
      <c r="C1006" s="186"/>
      <c r="D1006" s="225"/>
      <c r="E1006" s="225"/>
      <c r="F1006" s="226"/>
      <c r="G1006" s="169"/>
    </row>
    <row r="1007" ht="15.75" customHeight="1">
      <c r="A1007" s="186"/>
      <c r="B1007" s="186"/>
      <c r="C1007" s="186"/>
      <c r="D1007" s="225"/>
      <c r="E1007" s="225"/>
      <c r="F1007" s="226"/>
      <c r="G1007" s="169"/>
    </row>
    <row r="1008" ht="15.75" customHeight="1">
      <c r="A1008" s="186"/>
      <c r="B1008" s="186"/>
      <c r="C1008" s="186"/>
      <c r="D1008" s="225"/>
      <c r="E1008" s="225"/>
      <c r="F1008" s="226"/>
      <c r="G1008" s="169"/>
    </row>
    <row r="1009" ht="15.75" customHeight="1">
      <c r="A1009" s="186"/>
      <c r="B1009" s="186"/>
      <c r="C1009" s="186"/>
      <c r="D1009" s="225"/>
      <c r="E1009" s="225"/>
      <c r="F1009" s="226"/>
      <c r="G1009" s="169"/>
    </row>
    <row r="1010" ht="15.75" customHeight="1">
      <c r="A1010" s="186"/>
      <c r="B1010" s="186"/>
      <c r="C1010" s="186"/>
      <c r="D1010" s="225"/>
      <c r="E1010" s="225"/>
      <c r="F1010" s="226"/>
      <c r="G1010" s="169"/>
    </row>
    <row r="1011" ht="15.75" customHeight="1">
      <c r="A1011" s="186"/>
      <c r="B1011" s="186"/>
      <c r="C1011" s="186"/>
      <c r="D1011" s="225"/>
      <c r="E1011" s="225"/>
      <c r="F1011" s="226"/>
      <c r="G1011" s="169"/>
    </row>
    <row r="1012" ht="15.75" customHeight="1">
      <c r="A1012" s="186"/>
      <c r="B1012" s="186"/>
      <c r="C1012" s="186"/>
      <c r="D1012" s="225"/>
      <c r="E1012" s="225"/>
      <c r="F1012" s="226"/>
      <c r="G1012" s="169"/>
    </row>
    <row r="1013" ht="15.75" customHeight="1">
      <c r="A1013" s="186"/>
      <c r="B1013" s="186"/>
      <c r="C1013" s="186"/>
      <c r="D1013" s="225"/>
      <c r="E1013" s="225"/>
      <c r="F1013" s="226"/>
      <c r="G1013" s="169"/>
    </row>
    <row r="1014" ht="15.75" customHeight="1">
      <c r="A1014" s="186"/>
      <c r="B1014" s="186"/>
      <c r="C1014" s="186"/>
      <c r="D1014" s="225"/>
      <c r="E1014" s="225"/>
      <c r="F1014" s="226"/>
      <c r="G1014" s="169"/>
    </row>
    <row r="1015" ht="15.75" customHeight="1">
      <c r="A1015" s="186"/>
      <c r="B1015" s="186"/>
      <c r="C1015" s="186"/>
      <c r="D1015" s="225"/>
      <c r="E1015" s="225"/>
      <c r="F1015" s="226"/>
      <c r="G1015" s="169"/>
    </row>
    <row r="1016" ht="15.75" customHeight="1">
      <c r="A1016" s="186"/>
      <c r="B1016" s="186"/>
      <c r="C1016" s="186"/>
      <c r="D1016" s="225"/>
      <c r="E1016" s="225"/>
      <c r="F1016" s="226"/>
      <c r="G1016" s="169"/>
    </row>
    <row r="1017" ht="15.75" customHeight="1">
      <c r="A1017" s="186"/>
      <c r="B1017" s="186"/>
      <c r="C1017" s="186"/>
      <c r="D1017" s="225"/>
      <c r="E1017" s="225"/>
      <c r="F1017" s="226"/>
      <c r="G1017" s="169"/>
    </row>
    <row r="1018" ht="15.75" customHeight="1">
      <c r="A1018" s="186"/>
      <c r="B1018" s="186"/>
      <c r="C1018" s="186"/>
      <c r="D1018" s="225"/>
      <c r="E1018" s="225"/>
      <c r="F1018" s="226"/>
      <c r="G1018" s="169"/>
    </row>
    <row r="1019" ht="15.75" customHeight="1">
      <c r="A1019" s="186"/>
      <c r="B1019" s="186"/>
      <c r="C1019" s="186"/>
      <c r="D1019" s="225"/>
      <c r="E1019" s="225"/>
      <c r="F1019" s="226"/>
      <c r="G1019" s="169"/>
    </row>
    <row r="1020" ht="15.75" customHeight="1">
      <c r="A1020" s="186"/>
      <c r="B1020" s="186"/>
      <c r="C1020" s="186"/>
      <c r="D1020" s="225"/>
      <c r="E1020" s="225"/>
      <c r="F1020" s="226"/>
      <c r="G1020" s="169"/>
    </row>
    <row r="1021" ht="15.75" customHeight="1">
      <c r="A1021" s="186"/>
      <c r="B1021" s="186"/>
      <c r="C1021" s="186"/>
      <c r="D1021" s="225"/>
      <c r="E1021" s="225"/>
      <c r="F1021" s="226"/>
      <c r="G1021" s="169"/>
    </row>
    <row r="1022" ht="15.75" customHeight="1">
      <c r="A1022" s="186"/>
      <c r="B1022" s="186"/>
      <c r="C1022" s="186"/>
      <c r="D1022" s="225"/>
      <c r="E1022" s="225"/>
      <c r="F1022" s="226"/>
      <c r="G1022" s="169"/>
    </row>
    <row r="1023" ht="15.75" customHeight="1">
      <c r="A1023" s="186"/>
      <c r="B1023" s="186"/>
      <c r="C1023" s="186"/>
      <c r="D1023" s="301"/>
      <c r="E1023" s="301"/>
      <c r="F1023" s="226"/>
      <c r="G1023" s="169"/>
    </row>
    <row r="1024" ht="15.75" customHeight="1">
      <c r="A1024" s="186"/>
      <c r="B1024" s="186"/>
      <c r="C1024" s="186"/>
      <c r="D1024" s="301"/>
      <c r="E1024" s="301"/>
      <c r="F1024" s="226"/>
      <c r="G1024" s="169"/>
    </row>
    <row r="1025" ht="15.75" customHeight="1">
      <c r="A1025" s="186"/>
      <c r="B1025" s="186"/>
      <c r="C1025" s="186"/>
      <c r="D1025" s="301"/>
      <c r="E1025" s="301"/>
      <c r="F1025" s="226"/>
      <c r="G1025" s="169"/>
    </row>
    <row r="1026" ht="15.75" customHeight="1">
      <c r="A1026" s="186"/>
      <c r="B1026" s="186"/>
      <c r="C1026" s="186"/>
      <c r="D1026" s="301"/>
      <c r="E1026" s="301"/>
      <c r="F1026" s="226"/>
      <c r="G1026" s="169"/>
    </row>
    <row r="1027" ht="15.75" customHeight="1">
      <c r="A1027" s="186"/>
      <c r="B1027" s="186"/>
      <c r="C1027" s="186"/>
      <c r="D1027" s="301"/>
      <c r="E1027" s="301"/>
      <c r="F1027" s="226"/>
      <c r="G1027" s="169"/>
    </row>
    <row r="1028" ht="15.75" customHeight="1">
      <c r="A1028" s="186"/>
      <c r="B1028" s="186"/>
      <c r="C1028" s="186"/>
      <c r="D1028" s="301"/>
      <c r="E1028" s="301"/>
      <c r="F1028" s="226"/>
      <c r="G1028" s="169"/>
    </row>
    <row r="1029" ht="15.75" customHeight="1">
      <c r="A1029" s="186"/>
      <c r="B1029" s="186"/>
      <c r="C1029" s="186"/>
      <c r="D1029" s="301"/>
      <c r="E1029" s="301"/>
      <c r="F1029" s="226"/>
      <c r="G1029" s="169"/>
    </row>
    <row r="1030" ht="15.75" customHeight="1">
      <c r="A1030" s="186"/>
      <c r="B1030" s="186"/>
      <c r="C1030" s="186"/>
      <c r="D1030" s="301"/>
      <c r="E1030" s="301"/>
      <c r="F1030" s="226"/>
      <c r="G1030" s="169"/>
    </row>
    <row r="1031" ht="15.75" customHeight="1">
      <c r="A1031" s="186"/>
      <c r="B1031" s="186"/>
      <c r="C1031" s="186"/>
      <c r="D1031" s="301"/>
      <c r="E1031" s="301"/>
      <c r="F1031" s="226"/>
      <c r="G1031" s="169"/>
    </row>
    <row r="1032" ht="15.75" customHeight="1">
      <c r="A1032" s="186"/>
      <c r="B1032" s="186"/>
      <c r="C1032" s="186"/>
      <c r="D1032" s="301"/>
      <c r="E1032" s="301"/>
      <c r="F1032" s="226"/>
      <c r="G1032" s="169"/>
    </row>
    <row r="1033" ht="15.75" customHeight="1">
      <c r="A1033" s="186"/>
      <c r="B1033" s="186"/>
      <c r="C1033" s="186"/>
      <c r="D1033" s="301"/>
      <c r="E1033" s="301"/>
      <c r="F1033" s="226"/>
      <c r="G1033" s="169"/>
    </row>
    <row r="1034" ht="15.75" customHeight="1">
      <c r="A1034" s="186"/>
      <c r="B1034" s="186"/>
      <c r="C1034" s="186"/>
      <c r="D1034" s="301"/>
      <c r="E1034" s="301"/>
      <c r="F1034" s="226"/>
      <c r="G1034" s="169"/>
    </row>
    <row r="1035" ht="15.75" customHeight="1">
      <c r="A1035" s="186"/>
      <c r="B1035" s="186"/>
      <c r="C1035" s="186"/>
      <c r="D1035" s="301"/>
      <c r="E1035" s="301"/>
      <c r="F1035" s="226"/>
      <c r="G1035" s="169"/>
    </row>
    <row r="1036" ht="15.75" customHeight="1">
      <c r="A1036" s="186"/>
      <c r="B1036" s="186"/>
      <c r="C1036" s="186"/>
      <c r="D1036" s="301"/>
      <c r="E1036" s="301"/>
      <c r="F1036" s="226"/>
      <c r="G1036" s="169"/>
    </row>
    <row r="1037" ht="15.75" customHeight="1">
      <c r="A1037" s="186"/>
      <c r="B1037" s="186"/>
      <c r="C1037" s="186"/>
      <c r="D1037" s="301"/>
      <c r="E1037" s="301"/>
      <c r="F1037" s="226"/>
      <c r="G1037" s="169"/>
    </row>
    <row r="1038" ht="15.75" customHeight="1">
      <c r="A1038" s="186"/>
      <c r="B1038" s="186"/>
      <c r="C1038" s="186"/>
      <c r="D1038" s="301"/>
      <c r="E1038" s="301"/>
      <c r="F1038" s="226"/>
      <c r="G1038" s="169"/>
    </row>
    <row r="1039" ht="15.75" customHeight="1">
      <c r="A1039" s="186"/>
      <c r="B1039" s="186"/>
      <c r="C1039" s="186"/>
      <c r="D1039" s="301"/>
      <c r="E1039" s="301"/>
      <c r="F1039" s="226"/>
      <c r="G1039" s="169"/>
    </row>
    <row r="1040" ht="15.75" customHeight="1">
      <c r="A1040" s="186"/>
      <c r="B1040" s="186"/>
      <c r="C1040" s="186"/>
      <c r="D1040" s="301"/>
      <c r="E1040" s="301"/>
      <c r="F1040" s="226"/>
      <c r="G1040" s="169"/>
    </row>
    <row r="1041" ht="15.75" customHeight="1">
      <c r="A1041" s="186"/>
      <c r="B1041" s="186"/>
      <c r="C1041" s="186"/>
      <c r="D1041" s="301"/>
      <c r="E1041" s="301"/>
      <c r="F1041" s="226"/>
      <c r="G1041" s="169"/>
    </row>
    <row r="1042" ht="15.75" customHeight="1">
      <c r="A1042" s="186"/>
      <c r="B1042" s="186"/>
      <c r="C1042" s="186"/>
      <c r="D1042" s="301"/>
      <c r="E1042" s="301"/>
      <c r="F1042" s="226"/>
      <c r="G1042" s="169"/>
    </row>
    <row r="1043" ht="15.75" customHeight="1">
      <c r="A1043" s="186"/>
      <c r="B1043" s="186"/>
      <c r="C1043" s="186"/>
      <c r="D1043" s="301"/>
      <c r="E1043" s="301"/>
      <c r="F1043" s="226"/>
      <c r="G1043" s="169"/>
    </row>
    <row r="1044" ht="15.75" customHeight="1">
      <c r="A1044" s="186"/>
      <c r="B1044" s="186"/>
      <c r="C1044" s="186"/>
      <c r="D1044" s="301"/>
      <c r="E1044" s="301"/>
      <c r="F1044" s="226"/>
      <c r="G1044" s="169"/>
    </row>
    <row r="1045" ht="15.75" customHeight="1">
      <c r="A1045" s="186"/>
      <c r="B1045" s="186"/>
      <c r="C1045" s="186"/>
      <c r="D1045" s="301"/>
      <c r="E1045" s="301"/>
      <c r="F1045" s="226"/>
      <c r="G1045" s="169"/>
    </row>
    <row r="1046" ht="15.75" customHeight="1">
      <c r="A1046" s="186"/>
      <c r="B1046" s="186"/>
      <c r="C1046" s="186"/>
      <c r="D1046" s="301"/>
      <c r="E1046" s="301"/>
      <c r="F1046" s="226"/>
      <c r="G1046" s="169"/>
    </row>
    <row r="1047" ht="15.75" customHeight="1">
      <c r="A1047" s="186"/>
      <c r="B1047" s="186"/>
      <c r="C1047" s="186"/>
      <c r="D1047" s="301"/>
      <c r="E1047" s="301"/>
      <c r="F1047" s="226"/>
      <c r="G1047" s="169"/>
    </row>
    <row r="1048" ht="15.75" customHeight="1">
      <c r="A1048" s="186"/>
      <c r="B1048" s="186"/>
      <c r="C1048" s="186"/>
      <c r="D1048" s="301"/>
      <c r="E1048" s="301"/>
      <c r="F1048" s="226"/>
      <c r="G1048" s="169"/>
    </row>
    <row r="1049" ht="15.75" customHeight="1">
      <c r="A1049" s="186"/>
      <c r="B1049" s="186"/>
      <c r="C1049" s="186"/>
      <c r="D1049" s="301"/>
      <c r="E1049" s="301"/>
      <c r="F1049" s="226"/>
      <c r="G1049" s="169"/>
    </row>
    <row r="1050" ht="15.75" customHeight="1">
      <c r="A1050" s="186"/>
      <c r="B1050" s="186"/>
      <c r="C1050" s="186"/>
      <c r="D1050" s="301"/>
      <c r="E1050" s="301"/>
      <c r="F1050" s="226"/>
      <c r="G1050" s="169"/>
    </row>
    <row r="1051" ht="15.75" customHeight="1">
      <c r="A1051" s="186"/>
      <c r="B1051" s="186"/>
      <c r="C1051" s="186"/>
      <c r="D1051" s="301"/>
      <c r="E1051" s="301"/>
      <c r="F1051" s="226"/>
      <c r="G1051" s="169"/>
    </row>
    <row r="1052" ht="15.75" customHeight="1">
      <c r="A1052" s="186"/>
      <c r="B1052" s="186"/>
      <c r="C1052" s="186"/>
      <c r="D1052" s="301"/>
      <c r="E1052" s="301"/>
      <c r="F1052" s="226"/>
      <c r="G1052" s="169"/>
    </row>
    <row r="1053" ht="15.75" customHeight="1">
      <c r="A1053" s="186"/>
      <c r="B1053" s="186"/>
      <c r="C1053" s="186"/>
      <c r="D1053" s="301"/>
      <c r="E1053" s="301"/>
      <c r="F1053" s="226"/>
      <c r="G1053" s="169"/>
    </row>
    <row r="1054" ht="15.75" customHeight="1">
      <c r="A1054" s="186"/>
      <c r="B1054" s="186"/>
      <c r="C1054" s="186"/>
      <c r="D1054" s="301"/>
      <c r="E1054" s="301"/>
      <c r="F1054" s="226"/>
      <c r="G1054" s="169"/>
    </row>
    <row r="1055" ht="15.75" customHeight="1">
      <c r="A1055" s="186"/>
      <c r="B1055" s="186"/>
      <c r="C1055" s="186"/>
      <c r="D1055" s="301"/>
      <c r="E1055" s="301"/>
      <c r="F1055" s="226"/>
      <c r="G1055" s="169"/>
    </row>
    <row r="1056" ht="15.75" customHeight="1">
      <c r="A1056" s="186"/>
      <c r="B1056" s="186"/>
      <c r="C1056" s="186"/>
      <c r="D1056" s="301"/>
      <c r="E1056" s="301"/>
      <c r="F1056" s="226"/>
      <c r="G1056" s="169"/>
    </row>
    <row r="1057" ht="15.75" customHeight="1">
      <c r="A1057" s="186"/>
      <c r="B1057" s="186"/>
      <c r="C1057" s="186"/>
      <c r="D1057" s="301"/>
      <c r="E1057" s="301"/>
      <c r="F1057" s="226"/>
      <c r="G1057" s="169"/>
    </row>
    <row r="1058" ht="15.75" customHeight="1">
      <c r="A1058" s="186"/>
      <c r="B1058" s="186"/>
      <c r="C1058" s="186"/>
      <c r="D1058" s="301"/>
      <c r="E1058" s="301"/>
      <c r="F1058" s="226"/>
      <c r="G1058" s="169"/>
    </row>
    <row r="1059" ht="15.75" customHeight="1">
      <c r="A1059" s="186"/>
      <c r="B1059" s="186"/>
      <c r="C1059" s="186"/>
      <c r="D1059" s="301"/>
      <c r="E1059" s="301"/>
      <c r="F1059" s="226"/>
      <c r="G1059" s="169"/>
    </row>
    <row r="1060" ht="15.75" customHeight="1">
      <c r="A1060" s="186"/>
      <c r="B1060" s="186"/>
      <c r="C1060" s="186"/>
      <c r="D1060" s="301"/>
      <c r="E1060" s="301"/>
      <c r="F1060" s="226"/>
      <c r="G1060" s="169"/>
    </row>
    <row r="1061" ht="15.75" customHeight="1">
      <c r="A1061" s="186"/>
      <c r="B1061" s="186"/>
      <c r="C1061" s="186"/>
      <c r="D1061" s="301"/>
      <c r="E1061" s="301"/>
      <c r="F1061" s="226"/>
      <c r="G1061" s="169"/>
    </row>
    <row r="1062" ht="15.75" customHeight="1">
      <c r="A1062" s="186"/>
      <c r="B1062" s="186"/>
      <c r="C1062" s="186"/>
      <c r="D1062" s="301"/>
      <c r="E1062" s="301"/>
      <c r="F1062" s="226"/>
      <c r="G1062" s="169"/>
    </row>
    <row r="1063" ht="15.75" customHeight="1">
      <c r="A1063" s="186"/>
      <c r="B1063" s="186"/>
      <c r="C1063" s="186"/>
      <c r="D1063" s="301"/>
      <c r="E1063" s="301"/>
      <c r="F1063" s="226"/>
      <c r="G1063" s="169"/>
    </row>
    <row r="1064" ht="15.75" customHeight="1">
      <c r="A1064" s="186"/>
      <c r="B1064" s="186"/>
      <c r="C1064" s="186"/>
      <c r="D1064" s="301"/>
      <c r="E1064" s="301"/>
      <c r="F1064" s="226"/>
      <c r="G1064" s="169"/>
    </row>
    <row r="1065" ht="15.75" customHeight="1">
      <c r="A1065" s="186"/>
      <c r="B1065" s="186"/>
      <c r="C1065" s="186"/>
      <c r="D1065" s="301"/>
      <c r="E1065" s="301"/>
      <c r="F1065" s="226"/>
      <c r="G1065" s="169"/>
    </row>
    <row r="1066" ht="15.75" customHeight="1">
      <c r="A1066" s="186"/>
      <c r="B1066" s="186"/>
      <c r="C1066" s="186"/>
      <c r="D1066" s="301"/>
      <c r="E1066" s="301"/>
      <c r="F1066" s="226"/>
      <c r="G1066" s="169"/>
    </row>
    <row r="1067" ht="15.75" customHeight="1">
      <c r="A1067" s="186"/>
      <c r="B1067" s="186"/>
      <c r="C1067" s="186"/>
      <c r="D1067" s="301"/>
      <c r="E1067" s="301"/>
      <c r="F1067" s="226"/>
      <c r="G1067" s="169"/>
    </row>
    <row r="1068" ht="15.75" customHeight="1">
      <c r="A1068" s="186"/>
      <c r="B1068" s="186"/>
      <c r="C1068" s="186"/>
      <c r="D1068" s="301"/>
      <c r="E1068" s="301"/>
      <c r="F1068" s="226"/>
      <c r="G1068" s="169"/>
    </row>
    <row r="1069" ht="15.75" customHeight="1">
      <c r="A1069" s="186"/>
      <c r="B1069" s="186"/>
      <c r="C1069" s="186"/>
      <c r="D1069" s="301"/>
      <c r="E1069" s="301"/>
      <c r="F1069" s="226"/>
      <c r="G1069" s="169"/>
    </row>
    <row r="1070" ht="15.75" customHeight="1">
      <c r="A1070" s="186"/>
      <c r="B1070" s="186"/>
      <c r="C1070" s="186"/>
      <c r="D1070" s="301"/>
      <c r="E1070" s="301"/>
      <c r="F1070" s="226"/>
      <c r="G1070" s="169"/>
    </row>
    <row r="1071" ht="15.75" customHeight="1">
      <c r="A1071" s="186"/>
      <c r="B1071" s="186"/>
      <c r="C1071" s="186"/>
      <c r="D1071" s="301"/>
      <c r="E1071" s="301"/>
      <c r="F1071" s="226"/>
      <c r="G1071" s="169"/>
    </row>
    <row r="1072" ht="15.75" customHeight="1">
      <c r="A1072" s="186"/>
      <c r="B1072" s="186"/>
      <c r="C1072" s="186"/>
      <c r="D1072" s="301"/>
      <c r="E1072" s="301"/>
      <c r="F1072" s="226"/>
      <c r="G1072" s="169"/>
    </row>
    <row r="1073" ht="15.75" customHeight="1">
      <c r="A1073" s="186"/>
      <c r="B1073" s="186"/>
      <c r="C1073" s="186"/>
      <c r="D1073" s="301"/>
      <c r="E1073" s="301"/>
      <c r="F1073" s="226"/>
      <c r="G1073" s="169"/>
    </row>
    <row r="1074" ht="15.75" customHeight="1">
      <c r="A1074" s="186"/>
      <c r="B1074" s="186"/>
      <c r="C1074" s="186"/>
      <c r="D1074" s="301"/>
      <c r="E1074" s="301"/>
      <c r="F1074" s="226"/>
      <c r="G1074" s="169"/>
    </row>
    <row r="1075" ht="15.75" customHeight="1">
      <c r="A1075" s="186"/>
      <c r="B1075" s="186"/>
      <c r="C1075" s="186"/>
      <c r="D1075" s="301"/>
      <c r="E1075" s="301"/>
      <c r="F1075" s="226"/>
      <c r="G1075" s="169"/>
    </row>
    <row r="1076" ht="15.75" customHeight="1">
      <c r="A1076" s="186"/>
      <c r="B1076" s="186"/>
      <c r="C1076" s="186"/>
      <c r="D1076" s="301"/>
      <c r="E1076" s="301"/>
      <c r="F1076" s="226"/>
      <c r="G1076" s="169"/>
    </row>
    <row r="1077" ht="15.75" customHeight="1">
      <c r="A1077" s="186"/>
      <c r="B1077" s="186"/>
      <c r="C1077" s="186"/>
      <c r="D1077" s="301"/>
      <c r="E1077" s="301"/>
      <c r="F1077" s="226"/>
      <c r="G1077" s="169"/>
    </row>
    <row r="1078" ht="15.75" customHeight="1">
      <c r="A1078" s="186"/>
      <c r="B1078" s="186"/>
      <c r="C1078" s="186"/>
      <c r="D1078" s="301"/>
      <c r="E1078" s="301"/>
      <c r="F1078" s="226"/>
      <c r="G1078" s="169"/>
    </row>
    <row r="1079" ht="15.75" customHeight="1">
      <c r="A1079" s="186"/>
      <c r="B1079" s="186"/>
      <c r="C1079" s="186"/>
      <c r="D1079" s="301"/>
      <c r="E1079" s="301"/>
      <c r="F1079" s="226"/>
      <c r="G1079" s="169"/>
    </row>
    <row r="1080" ht="15.75" customHeight="1">
      <c r="A1080" s="186"/>
      <c r="B1080" s="186"/>
      <c r="C1080" s="186"/>
      <c r="D1080" s="301"/>
      <c r="E1080" s="301"/>
      <c r="F1080" s="226"/>
      <c r="G1080" s="169"/>
    </row>
    <row r="1081" ht="15.75" customHeight="1">
      <c r="A1081" s="186"/>
      <c r="B1081" s="186"/>
      <c r="C1081" s="186"/>
      <c r="D1081" s="301"/>
      <c r="E1081" s="301"/>
      <c r="F1081" s="226"/>
      <c r="G1081" s="169"/>
    </row>
    <row r="1082" ht="15.75" customHeight="1">
      <c r="A1082" s="186"/>
      <c r="B1082" s="186"/>
      <c r="C1082" s="186"/>
      <c r="D1082" s="301"/>
      <c r="E1082" s="301"/>
      <c r="F1082" s="226"/>
      <c r="G1082" s="169"/>
    </row>
    <row r="1083" ht="15.75" customHeight="1">
      <c r="A1083" s="186"/>
      <c r="B1083" s="186"/>
      <c r="C1083" s="186"/>
      <c r="D1083" s="301"/>
      <c r="E1083" s="301"/>
      <c r="F1083" s="226"/>
      <c r="G1083" s="169"/>
    </row>
    <row r="1084" ht="15.75" customHeight="1">
      <c r="A1084" s="186"/>
      <c r="B1084" s="186"/>
      <c r="C1084" s="186"/>
      <c r="D1084" s="301"/>
      <c r="E1084" s="301"/>
      <c r="F1084" s="226"/>
      <c r="G1084" s="169"/>
    </row>
    <row r="1085" ht="15.75" customHeight="1">
      <c r="A1085" s="186"/>
      <c r="B1085" s="186"/>
      <c r="C1085" s="186"/>
      <c r="D1085" s="301"/>
      <c r="E1085" s="301"/>
      <c r="F1085" s="226"/>
      <c r="G1085" s="169"/>
    </row>
    <row r="1086" ht="15.75" customHeight="1">
      <c r="A1086" s="186"/>
      <c r="B1086" s="186"/>
      <c r="C1086" s="186"/>
      <c r="D1086" s="301"/>
      <c r="E1086" s="301"/>
      <c r="F1086" s="226"/>
      <c r="G1086" s="169"/>
    </row>
    <row r="1087" ht="15.75" customHeight="1">
      <c r="A1087" s="186"/>
      <c r="B1087" s="186"/>
      <c r="C1087" s="186"/>
      <c r="D1087" s="301"/>
      <c r="E1087" s="301"/>
      <c r="F1087" s="226"/>
      <c r="G1087" s="169"/>
    </row>
    <row r="1088" ht="15.75" customHeight="1">
      <c r="A1088" s="186"/>
      <c r="B1088" s="186"/>
      <c r="C1088" s="186"/>
      <c r="D1088" s="301"/>
      <c r="E1088" s="301"/>
      <c r="F1088" s="226"/>
      <c r="G1088" s="169"/>
    </row>
    <row r="1089" ht="15.75" customHeight="1">
      <c r="A1089" s="186"/>
      <c r="B1089" s="186"/>
      <c r="C1089" s="186"/>
      <c r="D1089" s="301"/>
      <c r="E1089" s="301"/>
      <c r="F1089" s="226"/>
      <c r="G1089" s="169"/>
    </row>
    <row r="1090" ht="15.75" customHeight="1">
      <c r="A1090" s="186"/>
      <c r="B1090" s="186"/>
      <c r="C1090" s="186"/>
      <c r="D1090" s="301"/>
      <c r="E1090" s="301"/>
      <c r="F1090" s="226"/>
      <c r="G1090" s="169"/>
    </row>
    <row r="1091" ht="15.75" customHeight="1">
      <c r="A1091" s="186"/>
      <c r="B1091" s="186"/>
      <c r="C1091" s="186"/>
      <c r="D1091" s="301"/>
      <c r="E1091" s="301"/>
      <c r="F1091" s="226"/>
      <c r="G1091" s="169"/>
    </row>
    <row r="1092" ht="15.75" customHeight="1">
      <c r="A1092" s="186"/>
      <c r="B1092" s="186"/>
      <c r="C1092" s="186"/>
      <c r="D1092" s="301"/>
      <c r="E1092" s="301"/>
      <c r="F1092" s="226"/>
      <c r="G1092" s="169"/>
    </row>
    <row r="1093" ht="15.75" customHeight="1">
      <c r="A1093" s="186"/>
      <c r="B1093" s="186"/>
      <c r="C1093" s="186"/>
      <c r="D1093" s="301"/>
      <c r="E1093" s="301"/>
      <c r="F1093" s="226"/>
      <c r="G1093" s="169"/>
    </row>
    <row r="1094" ht="15.75" customHeight="1">
      <c r="A1094" s="186"/>
      <c r="B1094" s="186"/>
      <c r="C1094" s="186"/>
      <c r="D1094" s="301"/>
      <c r="E1094" s="301"/>
      <c r="F1094" s="226"/>
      <c r="G1094" s="169"/>
    </row>
    <row r="1095" ht="15.75" customHeight="1">
      <c r="A1095" s="186"/>
      <c r="B1095" s="186"/>
      <c r="C1095" s="186"/>
      <c r="D1095" s="301"/>
      <c r="E1095" s="301"/>
      <c r="F1095" s="226"/>
      <c r="G1095" s="169"/>
    </row>
    <row r="1096" ht="15.75" customHeight="1">
      <c r="A1096" s="186"/>
      <c r="B1096" s="186"/>
      <c r="C1096" s="186"/>
      <c r="D1096" s="301"/>
      <c r="E1096" s="301"/>
      <c r="F1096" s="226"/>
      <c r="G1096" s="169"/>
    </row>
    <row r="1097" ht="15.75" customHeight="1">
      <c r="A1097" s="186"/>
      <c r="B1097" s="186"/>
      <c r="C1097" s="186"/>
      <c r="D1097" s="301"/>
      <c r="E1097" s="301"/>
      <c r="F1097" s="226"/>
      <c r="G1097" s="169"/>
    </row>
    <row r="1098" ht="15.75" customHeight="1">
      <c r="A1098" s="186"/>
      <c r="B1098" s="186"/>
      <c r="C1098" s="186"/>
      <c r="D1098" s="301"/>
      <c r="E1098" s="301"/>
      <c r="F1098" s="226"/>
      <c r="G1098" s="169"/>
    </row>
    <row r="1099" ht="15.75" customHeight="1">
      <c r="A1099" s="186"/>
      <c r="B1099" s="186"/>
      <c r="C1099" s="186"/>
      <c r="D1099" s="301"/>
      <c r="E1099" s="301"/>
      <c r="F1099" s="226"/>
      <c r="G1099" s="169"/>
    </row>
    <row r="1100" ht="15.75" customHeight="1">
      <c r="A1100" s="186"/>
      <c r="B1100" s="186"/>
      <c r="C1100" s="186"/>
      <c r="D1100" s="301"/>
      <c r="E1100" s="301"/>
      <c r="F1100" s="226"/>
      <c r="G1100" s="169"/>
    </row>
    <row r="1101" ht="15.75" customHeight="1">
      <c r="A1101" s="186"/>
      <c r="B1101" s="186"/>
      <c r="C1101" s="186"/>
      <c r="D1101" s="301"/>
      <c r="E1101" s="301"/>
      <c r="F1101" s="226"/>
      <c r="G1101" s="169"/>
    </row>
    <row r="1102" ht="15.75" customHeight="1">
      <c r="A1102" s="186"/>
      <c r="B1102" s="186"/>
      <c r="C1102" s="186"/>
      <c r="D1102" s="301"/>
      <c r="E1102" s="301"/>
      <c r="F1102" s="226"/>
      <c r="G1102" s="169"/>
    </row>
    <row r="1103" ht="15.75" customHeight="1">
      <c r="A1103" s="186"/>
      <c r="B1103" s="186"/>
      <c r="C1103" s="186"/>
      <c r="D1103" s="301"/>
      <c r="E1103" s="301"/>
      <c r="F1103" s="226"/>
      <c r="G1103" s="169"/>
    </row>
    <row r="1104" ht="15.75" customHeight="1">
      <c r="A1104" s="186"/>
      <c r="B1104" s="186"/>
      <c r="C1104" s="186"/>
      <c r="D1104" s="301"/>
      <c r="E1104" s="301"/>
      <c r="F1104" s="226"/>
      <c r="G1104" s="169"/>
    </row>
    <row r="1105" ht="15.75" customHeight="1">
      <c r="A1105" s="186"/>
      <c r="B1105" s="186"/>
      <c r="C1105" s="186"/>
      <c r="D1105" s="301"/>
      <c r="E1105" s="301"/>
      <c r="F1105" s="226"/>
      <c r="G1105" s="169"/>
    </row>
    <row r="1106" ht="15.75" customHeight="1">
      <c r="A1106" s="186"/>
      <c r="B1106" s="186"/>
      <c r="C1106" s="186"/>
      <c r="D1106" s="301"/>
      <c r="E1106" s="301"/>
      <c r="F1106" s="226"/>
      <c r="G1106" s="169"/>
    </row>
    <row r="1107" ht="15.75" customHeight="1">
      <c r="A1107" s="186"/>
      <c r="B1107" s="186"/>
      <c r="C1107" s="186"/>
      <c r="D1107" s="301"/>
      <c r="E1107" s="301"/>
      <c r="F1107" s="226"/>
      <c r="G1107" s="169"/>
    </row>
    <row r="1108" ht="15.75" customHeight="1">
      <c r="A1108" s="186"/>
      <c r="B1108" s="186"/>
      <c r="C1108" s="186"/>
      <c r="D1108" s="301"/>
      <c r="E1108" s="301"/>
      <c r="F1108" s="226"/>
      <c r="G1108" s="169"/>
    </row>
    <row r="1109" ht="15.75" customHeight="1">
      <c r="A1109" s="186"/>
      <c r="B1109" s="186"/>
      <c r="C1109" s="186"/>
      <c r="D1109" s="301"/>
      <c r="E1109" s="301"/>
      <c r="F1109" s="226"/>
      <c r="G1109" s="169"/>
    </row>
    <row r="1110" ht="15.75" customHeight="1">
      <c r="A1110" s="186"/>
      <c r="B1110" s="186"/>
      <c r="C1110" s="186"/>
      <c r="D1110" s="301"/>
      <c r="E1110" s="301"/>
      <c r="F1110" s="226"/>
      <c r="G1110" s="169"/>
    </row>
    <row r="1111" ht="15.75" customHeight="1">
      <c r="A1111" s="186"/>
      <c r="B1111" s="186"/>
      <c r="C1111" s="186"/>
      <c r="D1111" s="301"/>
      <c r="E1111" s="301"/>
      <c r="F1111" s="226"/>
      <c r="G1111" s="169"/>
    </row>
    <row r="1112" ht="15.75" customHeight="1">
      <c r="A1112" s="186"/>
      <c r="B1112" s="186"/>
      <c r="C1112" s="186"/>
      <c r="D1112" s="301"/>
      <c r="E1112" s="301"/>
      <c r="F1112" s="226"/>
      <c r="G1112" s="169"/>
    </row>
    <row r="1113" ht="15.75" customHeight="1">
      <c r="A1113" s="186"/>
      <c r="B1113" s="186"/>
      <c r="C1113" s="186"/>
      <c r="D1113" s="301"/>
      <c r="E1113" s="301"/>
      <c r="F1113" s="226"/>
      <c r="G1113" s="169"/>
    </row>
    <row r="1114" ht="15.75" customHeight="1">
      <c r="A1114" s="186"/>
      <c r="B1114" s="186"/>
      <c r="C1114" s="186"/>
      <c r="D1114" s="301"/>
      <c r="E1114" s="301"/>
      <c r="F1114" s="226"/>
      <c r="G1114" s="169"/>
    </row>
    <row r="1115" ht="15.75" customHeight="1">
      <c r="A1115" s="186"/>
      <c r="B1115" s="186"/>
      <c r="C1115" s="186"/>
      <c r="D1115" s="301"/>
      <c r="E1115" s="301"/>
      <c r="F1115" s="226"/>
      <c r="G1115" s="169"/>
    </row>
    <row r="1116" ht="15.75" customHeight="1">
      <c r="A1116" s="186"/>
      <c r="B1116" s="186"/>
      <c r="C1116" s="186"/>
      <c r="D1116" s="301"/>
      <c r="E1116" s="301"/>
      <c r="F1116" s="226"/>
      <c r="G1116" s="169"/>
    </row>
    <row r="1117" ht="15.75" customHeight="1">
      <c r="A1117" s="186"/>
      <c r="B1117" s="186"/>
      <c r="C1117" s="186"/>
      <c r="D1117" s="301"/>
      <c r="E1117" s="301"/>
      <c r="F1117" s="226"/>
      <c r="G1117" s="169"/>
    </row>
    <row r="1118" ht="15.75" customHeight="1">
      <c r="A1118" s="186"/>
      <c r="B1118" s="186"/>
      <c r="C1118" s="186"/>
      <c r="D1118" s="301"/>
      <c r="E1118" s="301"/>
      <c r="F1118" s="226"/>
      <c r="G1118" s="169"/>
    </row>
    <row r="1119" ht="15.75" customHeight="1">
      <c r="A1119" s="186"/>
      <c r="B1119" s="186"/>
      <c r="C1119" s="186"/>
      <c r="D1119" s="301"/>
      <c r="E1119" s="301"/>
      <c r="F1119" s="226"/>
      <c r="G1119" s="169"/>
    </row>
    <row r="1120" ht="15.75" customHeight="1">
      <c r="A1120" s="186"/>
      <c r="B1120" s="186"/>
      <c r="C1120" s="186"/>
      <c r="D1120" s="301"/>
      <c r="E1120" s="301"/>
      <c r="F1120" s="226"/>
      <c r="G1120" s="169"/>
    </row>
    <row r="1121" ht="15.75" customHeight="1">
      <c r="A1121" s="186"/>
      <c r="B1121" s="186"/>
      <c r="C1121" s="186"/>
      <c r="D1121" s="301"/>
      <c r="E1121" s="301"/>
      <c r="F1121" s="226"/>
      <c r="G1121" s="169"/>
    </row>
    <row r="1122" ht="15.75" customHeight="1">
      <c r="A1122" s="186"/>
      <c r="B1122" s="186"/>
      <c r="C1122" s="186"/>
      <c r="D1122" s="301"/>
      <c r="E1122" s="301"/>
      <c r="F1122" s="226"/>
      <c r="G1122" s="169"/>
    </row>
    <row r="1123" ht="15.75" customHeight="1">
      <c r="A1123" s="186"/>
      <c r="B1123" s="186"/>
      <c r="C1123" s="186"/>
      <c r="D1123" s="301"/>
      <c r="E1123" s="301"/>
      <c r="F1123" s="226"/>
      <c r="G1123" s="169"/>
    </row>
    <row r="1124" ht="15.75" customHeight="1">
      <c r="A1124" s="186"/>
      <c r="B1124" s="186"/>
      <c r="C1124" s="186"/>
      <c r="D1124" s="301"/>
      <c r="E1124" s="301"/>
      <c r="F1124" s="226"/>
      <c r="G1124" s="169"/>
    </row>
    <row r="1125" ht="15.75" customHeight="1">
      <c r="A1125" s="186"/>
      <c r="B1125" s="186"/>
      <c r="C1125" s="186"/>
      <c r="D1125" s="301"/>
      <c r="E1125" s="301"/>
      <c r="F1125" s="226"/>
      <c r="G1125" s="169"/>
    </row>
    <row r="1126" ht="15.75" customHeight="1">
      <c r="A1126" s="186"/>
      <c r="B1126" s="186"/>
      <c r="C1126" s="186"/>
      <c r="D1126" s="301"/>
      <c r="E1126" s="301"/>
      <c r="F1126" s="226"/>
      <c r="G1126" s="169"/>
    </row>
    <row r="1127" ht="15.75" customHeight="1">
      <c r="A1127" s="186"/>
      <c r="B1127" s="186"/>
      <c r="C1127" s="186"/>
      <c r="D1127" s="301"/>
      <c r="E1127" s="301"/>
      <c r="F1127" s="226"/>
      <c r="G1127" s="169"/>
    </row>
    <row r="1128" ht="15.75" customHeight="1">
      <c r="A1128" s="186"/>
      <c r="B1128" s="186"/>
      <c r="C1128" s="186"/>
      <c r="D1128" s="301"/>
      <c r="E1128" s="301"/>
      <c r="F1128" s="226"/>
      <c r="G1128" s="169"/>
    </row>
    <row r="1129" ht="15.75" customHeight="1">
      <c r="A1129" s="186"/>
      <c r="B1129" s="186"/>
      <c r="C1129" s="186"/>
      <c r="D1129" s="301"/>
      <c r="E1129" s="301"/>
      <c r="F1129" s="226"/>
      <c r="G1129" s="169"/>
    </row>
    <row r="1130" ht="15.75" customHeight="1">
      <c r="A1130" s="186"/>
      <c r="B1130" s="186"/>
      <c r="C1130" s="186"/>
      <c r="D1130" s="301"/>
      <c r="E1130" s="301"/>
      <c r="F1130" s="226"/>
      <c r="G1130" s="169"/>
    </row>
    <row r="1131" ht="15.75" customHeight="1">
      <c r="A1131" s="186"/>
      <c r="B1131" s="186"/>
      <c r="C1131" s="186"/>
      <c r="D1131" s="301"/>
      <c r="E1131" s="301"/>
      <c r="F1131" s="226"/>
      <c r="G1131" s="169"/>
    </row>
    <row r="1132" ht="15.75" customHeight="1">
      <c r="A1132" s="186"/>
      <c r="B1132" s="186"/>
      <c r="C1132" s="186"/>
      <c r="D1132" s="301"/>
      <c r="E1132" s="301"/>
      <c r="F1132" s="226"/>
      <c r="G1132" s="169"/>
    </row>
    <row r="1133" ht="15.75" customHeight="1">
      <c r="A1133" s="186"/>
      <c r="B1133" s="186"/>
      <c r="C1133" s="186"/>
      <c r="D1133" s="301"/>
      <c r="E1133" s="301"/>
      <c r="F1133" s="226"/>
      <c r="G1133" s="169"/>
    </row>
    <row r="1134" ht="15.75" customHeight="1">
      <c r="A1134" s="186"/>
      <c r="B1134" s="186"/>
      <c r="C1134" s="186"/>
      <c r="D1134" s="301"/>
      <c r="E1134" s="301"/>
      <c r="F1134" s="226"/>
      <c r="G1134" s="169"/>
    </row>
    <row r="1135" ht="15.75" customHeight="1">
      <c r="A1135" s="186"/>
      <c r="B1135" s="186"/>
      <c r="C1135" s="186"/>
      <c r="D1135" s="301"/>
      <c r="E1135" s="301"/>
      <c r="F1135" s="226"/>
      <c r="G1135" s="169"/>
    </row>
    <row r="1136" ht="15.75" customHeight="1">
      <c r="A1136" s="186"/>
      <c r="B1136" s="186"/>
      <c r="C1136" s="186"/>
      <c r="D1136" s="301"/>
      <c r="E1136" s="301"/>
      <c r="F1136" s="226"/>
      <c r="G1136" s="169"/>
    </row>
    <row r="1137" ht="15.75" customHeight="1">
      <c r="A1137" s="186"/>
      <c r="B1137" s="186"/>
      <c r="C1137" s="186"/>
      <c r="D1137" s="301"/>
      <c r="E1137" s="301"/>
      <c r="F1137" s="226"/>
      <c r="G1137" s="169"/>
    </row>
    <row r="1138" ht="15.75" customHeight="1">
      <c r="A1138" s="186"/>
      <c r="B1138" s="186"/>
      <c r="C1138" s="186"/>
      <c r="D1138" s="301"/>
      <c r="E1138" s="301"/>
      <c r="F1138" s="226"/>
      <c r="G1138" s="169"/>
    </row>
    <row r="1139" ht="15.75" customHeight="1">
      <c r="A1139" s="186"/>
      <c r="B1139" s="186"/>
      <c r="C1139" s="186"/>
      <c r="D1139" s="301"/>
      <c r="E1139" s="301"/>
      <c r="F1139" s="226"/>
      <c r="G1139" s="169"/>
    </row>
    <row r="1140" ht="15.75" customHeight="1">
      <c r="A1140" s="186"/>
      <c r="B1140" s="186"/>
      <c r="C1140" s="186"/>
      <c r="D1140" s="301"/>
      <c r="E1140" s="301"/>
      <c r="F1140" s="226"/>
      <c r="G1140" s="169"/>
    </row>
    <row r="1141" ht="15.75" customHeight="1">
      <c r="A1141" s="186"/>
      <c r="B1141" s="186"/>
      <c r="C1141" s="186"/>
      <c r="D1141" s="301"/>
      <c r="E1141" s="301"/>
      <c r="F1141" s="226"/>
      <c r="G1141" s="169"/>
    </row>
    <row r="1142" ht="15.75" customHeight="1">
      <c r="A1142" s="186"/>
      <c r="B1142" s="186"/>
      <c r="C1142" s="186"/>
      <c r="D1142" s="301"/>
      <c r="E1142" s="301"/>
      <c r="F1142" s="226"/>
      <c r="G1142" s="169"/>
    </row>
    <row r="1143" ht="15.75" customHeight="1">
      <c r="A1143" s="186"/>
      <c r="B1143" s="186"/>
      <c r="C1143" s="186"/>
      <c r="D1143" s="301"/>
      <c r="E1143" s="301"/>
      <c r="F1143" s="226"/>
      <c r="G1143" s="169"/>
    </row>
    <row r="1144" ht="15.75" customHeight="1">
      <c r="A1144" s="186"/>
      <c r="B1144" s="186"/>
      <c r="C1144" s="186"/>
      <c r="D1144" s="301"/>
      <c r="E1144" s="301"/>
      <c r="F1144" s="226"/>
      <c r="G1144" s="169"/>
    </row>
    <row r="1145" ht="15.75" customHeight="1">
      <c r="A1145" s="186"/>
      <c r="B1145" s="186"/>
      <c r="C1145" s="186"/>
      <c r="D1145" s="301"/>
      <c r="E1145" s="301"/>
      <c r="F1145" s="226"/>
      <c r="G1145" s="169"/>
    </row>
    <row r="1146" ht="15.75" customHeight="1">
      <c r="A1146" s="186"/>
      <c r="B1146" s="186"/>
      <c r="C1146" s="186"/>
      <c r="D1146" s="301"/>
      <c r="E1146" s="301"/>
      <c r="F1146" s="226"/>
      <c r="G1146" s="169"/>
    </row>
    <row r="1147" ht="15.75" customHeight="1">
      <c r="A1147" s="186"/>
      <c r="B1147" s="186"/>
      <c r="C1147" s="186"/>
      <c r="D1147" s="301"/>
      <c r="E1147" s="301"/>
      <c r="F1147" s="226"/>
      <c r="G1147" s="169"/>
    </row>
    <row r="1148" ht="15.75" customHeight="1">
      <c r="A1148" s="186"/>
      <c r="B1148" s="186"/>
      <c r="C1148" s="186"/>
      <c r="D1148" s="301"/>
      <c r="E1148" s="301"/>
      <c r="F1148" s="226"/>
      <c r="G1148" s="169"/>
    </row>
    <row r="1149" ht="15.75" customHeight="1">
      <c r="A1149" s="186"/>
      <c r="B1149" s="186"/>
      <c r="C1149" s="186"/>
      <c r="D1149" s="301"/>
      <c r="E1149" s="301"/>
      <c r="F1149" s="226"/>
      <c r="G1149" s="169"/>
    </row>
    <row r="1150" ht="15.75" customHeight="1">
      <c r="A1150" s="186"/>
      <c r="B1150" s="186"/>
      <c r="C1150" s="186"/>
      <c r="D1150" s="301"/>
      <c r="E1150" s="301"/>
      <c r="F1150" s="226"/>
      <c r="G1150" s="169"/>
    </row>
    <row r="1151" ht="15.75" customHeight="1">
      <c r="A1151" s="186"/>
      <c r="B1151" s="186"/>
      <c r="C1151" s="186"/>
      <c r="D1151" s="301"/>
      <c r="E1151" s="301"/>
      <c r="F1151" s="226"/>
      <c r="G1151" s="169"/>
    </row>
    <row r="1152" ht="15.75" customHeight="1">
      <c r="A1152" s="186"/>
      <c r="B1152" s="186"/>
      <c r="C1152" s="186"/>
      <c r="D1152" s="301"/>
      <c r="E1152" s="301"/>
      <c r="F1152" s="226"/>
      <c r="G1152" s="169"/>
    </row>
    <row r="1153" ht="15.75" customHeight="1">
      <c r="A1153" s="186"/>
      <c r="B1153" s="186"/>
      <c r="C1153" s="186"/>
      <c r="D1153" s="301"/>
      <c r="E1153" s="301"/>
      <c r="F1153" s="226"/>
      <c r="G1153" s="169"/>
    </row>
    <row r="1154" ht="15.75" customHeight="1">
      <c r="A1154" s="186"/>
      <c r="B1154" s="186"/>
      <c r="C1154" s="186"/>
      <c r="D1154" s="301"/>
      <c r="E1154" s="301"/>
      <c r="F1154" s="226"/>
      <c r="G1154" s="169"/>
    </row>
    <row r="1155" ht="15.75" customHeight="1">
      <c r="A1155" s="186"/>
      <c r="B1155" s="186"/>
      <c r="C1155" s="186"/>
      <c r="D1155" s="301"/>
      <c r="E1155" s="301"/>
      <c r="F1155" s="226"/>
      <c r="G1155" s="169"/>
    </row>
    <row r="1156" ht="15.75" customHeight="1">
      <c r="A1156" s="186"/>
      <c r="B1156" s="186"/>
      <c r="C1156" s="186"/>
      <c r="D1156" s="301"/>
      <c r="E1156" s="301"/>
      <c r="F1156" s="226"/>
      <c r="G1156" s="169"/>
    </row>
    <row r="1157" ht="15.75" customHeight="1">
      <c r="A1157" s="186"/>
      <c r="B1157" s="186"/>
      <c r="C1157" s="186"/>
      <c r="D1157" s="301"/>
      <c r="E1157" s="301"/>
      <c r="F1157" s="226"/>
      <c r="G1157" s="169"/>
    </row>
    <row r="1158" ht="15.75" customHeight="1">
      <c r="A1158" s="186"/>
      <c r="B1158" s="186"/>
      <c r="C1158" s="186"/>
      <c r="D1158" s="301"/>
      <c r="E1158" s="301"/>
      <c r="F1158" s="226"/>
      <c r="G1158" s="169"/>
    </row>
    <row r="1159" ht="15.75" customHeight="1">
      <c r="A1159" s="186"/>
      <c r="B1159" s="186"/>
      <c r="C1159" s="186"/>
      <c r="D1159" s="301"/>
      <c r="E1159" s="301"/>
      <c r="F1159" s="226"/>
      <c r="G1159" s="169"/>
    </row>
    <row r="1160" ht="15.75" customHeight="1">
      <c r="A1160" s="186"/>
      <c r="B1160" s="186"/>
      <c r="C1160" s="186"/>
      <c r="D1160" s="301"/>
      <c r="E1160" s="301"/>
      <c r="F1160" s="226"/>
      <c r="G1160" s="169"/>
    </row>
    <row r="1161" ht="15.75" customHeight="1">
      <c r="A1161" s="186"/>
      <c r="B1161" s="186"/>
      <c r="C1161" s="186"/>
      <c r="D1161" s="301"/>
      <c r="E1161" s="301"/>
      <c r="F1161" s="226"/>
      <c r="G1161" s="169"/>
    </row>
    <row r="1162" ht="15.75" customHeight="1">
      <c r="A1162" s="186"/>
      <c r="B1162" s="186"/>
      <c r="C1162" s="186"/>
      <c r="D1162" s="301"/>
      <c r="E1162" s="301"/>
      <c r="F1162" s="226"/>
      <c r="G1162" s="169"/>
    </row>
    <row r="1163" ht="15.75" customHeight="1">
      <c r="A1163" s="186"/>
      <c r="B1163" s="186"/>
      <c r="C1163" s="186"/>
      <c r="D1163" s="301"/>
      <c r="E1163" s="301"/>
      <c r="F1163" s="226"/>
      <c r="G1163" s="169"/>
    </row>
    <row r="1164" ht="15.75" customHeight="1">
      <c r="A1164" s="186"/>
      <c r="B1164" s="186"/>
      <c r="C1164" s="186"/>
      <c r="D1164" s="301"/>
      <c r="E1164" s="301"/>
      <c r="F1164" s="226"/>
      <c r="G1164" s="169"/>
    </row>
    <row r="1165" ht="15.75" customHeight="1">
      <c r="A1165" s="186"/>
      <c r="B1165" s="186"/>
      <c r="C1165" s="186"/>
      <c r="D1165" s="301"/>
      <c r="E1165" s="301"/>
      <c r="F1165" s="226"/>
      <c r="G1165" s="169"/>
    </row>
    <row r="1166" ht="15.75" customHeight="1">
      <c r="A1166" s="186"/>
      <c r="B1166" s="186"/>
      <c r="C1166" s="186"/>
      <c r="D1166" s="301"/>
      <c r="E1166" s="301"/>
      <c r="F1166" s="226"/>
      <c r="G1166" s="169"/>
    </row>
    <row r="1167" ht="15.75" customHeight="1">
      <c r="A1167" s="186"/>
      <c r="B1167" s="186"/>
      <c r="C1167" s="186"/>
      <c r="D1167" s="301"/>
      <c r="E1167" s="301"/>
      <c r="F1167" s="226"/>
      <c r="G1167" s="169"/>
    </row>
    <row r="1168" ht="15.75" customHeight="1">
      <c r="A1168" s="186"/>
      <c r="B1168" s="186"/>
      <c r="C1168" s="186"/>
      <c r="D1168" s="301"/>
      <c r="E1168" s="301"/>
      <c r="F1168" s="226"/>
      <c r="G1168" s="169"/>
    </row>
    <row r="1169" ht="15.75" customHeight="1">
      <c r="A1169" s="186"/>
      <c r="B1169" s="186"/>
      <c r="C1169" s="186"/>
      <c r="D1169" s="301"/>
      <c r="E1169" s="301"/>
      <c r="F1169" s="226"/>
      <c r="G1169" s="169"/>
    </row>
    <row r="1170" ht="15.75" customHeight="1">
      <c r="A1170" s="186"/>
      <c r="B1170" s="186"/>
      <c r="C1170" s="186"/>
      <c r="D1170" s="301"/>
      <c r="E1170" s="301"/>
      <c r="F1170" s="226"/>
      <c r="G1170" s="169"/>
    </row>
    <row r="1171" ht="15.75" customHeight="1">
      <c r="A1171" s="186"/>
      <c r="B1171" s="186"/>
      <c r="C1171" s="186"/>
      <c r="D1171" s="301"/>
      <c r="E1171" s="301"/>
      <c r="F1171" s="226"/>
      <c r="G1171" s="169"/>
    </row>
    <row r="1172" ht="15.75" customHeight="1">
      <c r="A1172" s="186"/>
      <c r="B1172" s="186"/>
      <c r="C1172" s="186"/>
      <c r="D1172" s="301"/>
      <c r="E1172" s="301"/>
      <c r="F1172" s="226"/>
      <c r="G1172" s="169"/>
    </row>
    <row r="1173" ht="15.75" customHeight="1">
      <c r="A1173" s="186"/>
      <c r="B1173" s="186"/>
      <c r="C1173" s="186"/>
      <c r="D1173" s="301"/>
      <c r="E1173" s="301"/>
      <c r="F1173" s="226"/>
      <c r="G1173" s="169"/>
    </row>
    <row r="1174" ht="15.75" customHeight="1">
      <c r="A1174" s="186"/>
      <c r="B1174" s="186"/>
      <c r="C1174" s="186"/>
      <c r="D1174" s="301"/>
      <c r="E1174" s="301"/>
      <c r="F1174" s="226"/>
      <c r="G1174" s="169"/>
    </row>
    <row r="1175" ht="15.75" customHeight="1">
      <c r="A1175" s="186"/>
      <c r="B1175" s="186"/>
      <c r="C1175" s="186"/>
      <c r="D1175" s="301"/>
      <c r="E1175" s="301"/>
      <c r="F1175" s="226"/>
      <c r="G1175" s="169"/>
    </row>
    <row r="1176" ht="15.75" customHeight="1">
      <c r="A1176" s="186"/>
      <c r="B1176" s="186"/>
      <c r="C1176" s="186"/>
      <c r="D1176" s="301"/>
      <c r="E1176" s="301"/>
      <c r="F1176" s="226"/>
      <c r="G1176" s="169"/>
    </row>
    <row r="1177" ht="15.75" customHeight="1">
      <c r="A1177" s="186"/>
      <c r="B1177" s="186"/>
      <c r="C1177" s="186"/>
      <c r="D1177" s="301"/>
      <c r="E1177" s="301"/>
      <c r="F1177" s="226"/>
      <c r="G1177" s="169"/>
    </row>
    <row r="1178" ht="15.75" customHeight="1">
      <c r="A1178" s="186"/>
      <c r="B1178" s="186"/>
      <c r="C1178" s="186"/>
      <c r="D1178" s="301"/>
      <c r="E1178" s="301"/>
      <c r="F1178" s="226"/>
      <c r="G1178" s="169"/>
    </row>
    <row r="1179" ht="15.75" customHeight="1">
      <c r="A1179" s="186"/>
      <c r="B1179" s="186"/>
      <c r="C1179" s="186"/>
      <c r="D1179" s="301"/>
      <c r="E1179" s="301"/>
      <c r="F1179" s="226"/>
      <c r="G1179" s="169"/>
    </row>
    <row r="1180" ht="15.75" customHeight="1">
      <c r="A1180" s="186"/>
      <c r="B1180" s="186"/>
      <c r="C1180" s="186"/>
      <c r="D1180" s="301"/>
      <c r="E1180" s="301"/>
      <c r="F1180" s="226"/>
      <c r="G1180" s="169"/>
    </row>
    <row r="1181" ht="15.75" customHeight="1">
      <c r="A1181" s="186"/>
      <c r="B1181" s="186"/>
      <c r="C1181" s="186"/>
      <c r="D1181" s="301"/>
      <c r="E1181" s="301"/>
      <c r="F1181" s="226"/>
      <c r="G1181" s="169"/>
    </row>
    <row r="1182" ht="15.75" customHeight="1">
      <c r="A1182" s="186"/>
      <c r="B1182" s="186"/>
      <c r="C1182" s="186"/>
      <c r="D1182" s="301"/>
      <c r="E1182" s="301"/>
      <c r="F1182" s="226"/>
      <c r="G1182" s="169"/>
    </row>
    <row r="1183" ht="15.75" customHeight="1">
      <c r="A1183" s="186"/>
      <c r="B1183" s="186"/>
      <c r="C1183" s="186"/>
      <c r="D1183" s="301"/>
      <c r="E1183" s="301"/>
      <c r="F1183" s="226"/>
      <c r="G1183" s="169"/>
    </row>
    <row r="1184" ht="15.75" customHeight="1">
      <c r="A1184" s="186"/>
      <c r="B1184" s="186"/>
      <c r="C1184" s="186"/>
      <c r="D1184" s="301"/>
      <c r="E1184" s="301"/>
      <c r="F1184" s="226"/>
      <c r="G1184" s="169"/>
    </row>
    <row r="1185" ht="15.75" customHeight="1">
      <c r="A1185" s="186"/>
      <c r="B1185" s="186"/>
      <c r="C1185" s="186"/>
      <c r="D1185" s="301"/>
      <c r="E1185" s="301"/>
      <c r="F1185" s="226"/>
      <c r="G1185" s="169"/>
    </row>
    <row r="1186" ht="15.75" customHeight="1">
      <c r="A1186" s="186"/>
      <c r="B1186" s="186"/>
      <c r="C1186" s="186"/>
      <c r="D1186" s="301"/>
      <c r="E1186" s="301"/>
      <c r="F1186" s="226"/>
      <c r="G1186" s="169"/>
    </row>
    <row r="1187" ht="15.75" customHeight="1">
      <c r="A1187" s="186"/>
      <c r="B1187" s="186"/>
      <c r="C1187" s="186"/>
      <c r="D1187" s="301"/>
      <c r="E1187" s="301"/>
      <c r="F1187" s="226"/>
      <c r="G1187" s="169"/>
    </row>
    <row r="1188" ht="15.75" customHeight="1">
      <c r="A1188" s="186"/>
      <c r="B1188" s="186"/>
      <c r="C1188" s="186"/>
      <c r="D1188" s="301"/>
      <c r="E1188" s="301"/>
      <c r="F1188" s="226"/>
      <c r="G1188" s="169"/>
    </row>
    <row r="1189" ht="15.75" customHeight="1">
      <c r="A1189" s="186"/>
      <c r="B1189" s="186"/>
      <c r="C1189" s="186"/>
      <c r="D1189" s="301"/>
      <c r="E1189" s="301"/>
      <c r="F1189" s="226"/>
      <c r="G1189" s="169"/>
    </row>
    <row r="1190" ht="15.75" customHeight="1">
      <c r="A1190" s="186"/>
      <c r="B1190" s="186"/>
      <c r="C1190" s="186"/>
      <c r="D1190" s="301"/>
      <c r="E1190" s="301"/>
      <c r="F1190" s="226"/>
      <c r="G1190" s="169"/>
    </row>
    <row r="1191" ht="15.75" customHeight="1">
      <c r="A1191" s="186"/>
      <c r="B1191" s="186"/>
      <c r="C1191" s="186"/>
      <c r="D1191" s="301"/>
      <c r="E1191" s="301"/>
      <c r="F1191" s="226"/>
      <c r="G1191" s="169"/>
    </row>
    <row r="1192" ht="15.75" customHeight="1">
      <c r="A1192" s="186"/>
      <c r="B1192" s="186"/>
      <c r="C1192" s="186"/>
      <c r="D1192" s="301"/>
      <c r="E1192" s="301"/>
      <c r="F1192" s="226"/>
      <c r="G1192" s="169"/>
    </row>
    <row r="1193" ht="15.75" customHeight="1">
      <c r="A1193" s="186"/>
      <c r="B1193" s="186"/>
      <c r="C1193" s="186"/>
      <c r="D1193" s="301"/>
      <c r="E1193" s="301"/>
      <c r="F1193" s="226"/>
      <c r="G1193" s="169"/>
    </row>
    <row r="1194" ht="15.75" customHeight="1">
      <c r="A1194" s="186"/>
      <c r="B1194" s="186"/>
      <c r="C1194" s="186"/>
      <c r="D1194" s="301"/>
      <c r="E1194" s="301"/>
      <c r="F1194" s="226"/>
      <c r="G1194" s="169"/>
    </row>
    <row r="1195" ht="15.75" customHeight="1">
      <c r="A1195" s="186"/>
      <c r="B1195" s="186"/>
      <c r="C1195" s="186"/>
      <c r="D1195" s="301"/>
      <c r="E1195" s="301"/>
      <c r="F1195" s="226"/>
      <c r="G1195" s="169"/>
    </row>
    <row r="1196" ht="15.75" customHeight="1">
      <c r="A1196" s="186"/>
      <c r="B1196" s="186"/>
      <c r="C1196" s="186"/>
      <c r="D1196" s="301"/>
      <c r="E1196" s="301"/>
      <c r="F1196" s="226"/>
      <c r="G1196" s="169"/>
    </row>
    <row r="1197" ht="15.75" customHeight="1">
      <c r="A1197" s="186"/>
      <c r="B1197" s="186"/>
      <c r="C1197" s="186"/>
      <c r="D1197" s="301"/>
      <c r="E1197" s="301"/>
      <c r="F1197" s="226"/>
      <c r="G1197" s="169"/>
    </row>
    <row r="1198" ht="15.75" customHeight="1">
      <c r="A1198" s="186"/>
      <c r="B1198" s="186"/>
      <c r="C1198" s="186"/>
      <c r="D1198" s="301"/>
      <c r="E1198" s="301"/>
      <c r="F1198" s="226"/>
      <c r="G1198" s="169"/>
    </row>
    <row r="1199" ht="15.75" customHeight="1">
      <c r="A1199" s="186"/>
      <c r="B1199" s="186"/>
      <c r="C1199" s="186"/>
      <c r="D1199" s="301"/>
      <c r="E1199" s="301"/>
      <c r="F1199" s="226"/>
      <c r="G1199" s="169"/>
    </row>
    <row r="1200" ht="15.75" customHeight="1">
      <c r="A1200" s="186"/>
      <c r="B1200" s="186"/>
      <c r="C1200" s="186"/>
      <c r="D1200" s="301"/>
      <c r="E1200" s="301"/>
      <c r="F1200" s="226"/>
      <c r="G1200" s="169"/>
    </row>
    <row r="1201" ht="15.75" customHeight="1">
      <c r="A1201" s="186"/>
      <c r="B1201" s="186"/>
      <c r="C1201" s="186"/>
      <c r="D1201" s="301"/>
      <c r="E1201" s="301"/>
      <c r="F1201" s="226"/>
      <c r="G1201" s="169"/>
    </row>
    <row r="1202" ht="15.75" customHeight="1">
      <c r="A1202" s="186"/>
      <c r="B1202" s="186"/>
      <c r="C1202" s="186"/>
      <c r="D1202" s="301"/>
      <c r="E1202" s="301"/>
      <c r="F1202" s="226"/>
      <c r="G1202" s="169"/>
    </row>
    <row r="1203" ht="15.75" customHeight="1">
      <c r="A1203" s="186"/>
      <c r="B1203" s="186"/>
      <c r="C1203" s="186"/>
      <c r="D1203" s="301"/>
      <c r="E1203" s="301"/>
      <c r="F1203" s="226"/>
      <c r="G1203" s="169"/>
    </row>
    <row r="1204" ht="15.75" customHeight="1">
      <c r="A1204" s="186"/>
      <c r="B1204" s="186"/>
      <c r="C1204" s="186"/>
      <c r="D1204" s="301"/>
      <c r="E1204" s="301"/>
      <c r="F1204" s="226"/>
      <c r="G1204" s="169"/>
    </row>
    <row r="1205" ht="15.75" customHeight="1">
      <c r="A1205" s="186"/>
      <c r="B1205" s="186"/>
      <c r="C1205" s="186"/>
      <c r="D1205" s="301"/>
      <c r="E1205" s="301"/>
      <c r="F1205" s="226"/>
      <c r="G1205" s="169"/>
    </row>
    <row r="1206" ht="15.75" customHeight="1">
      <c r="A1206" s="186"/>
      <c r="B1206" s="186"/>
      <c r="C1206" s="186"/>
      <c r="D1206" s="301"/>
      <c r="E1206" s="301"/>
      <c r="F1206" s="226"/>
      <c r="G1206" s="169"/>
    </row>
    <row r="1207" ht="15.75" customHeight="1">
      <c r="A1207" s="186"/>
      <c r="B1207" s="186"/>
      <c r="C1207" s="186"/>
      <c r="D1207" s="301"/>
      <c r="E1207" s="301"/>
      <c r="F1207" s="226"/>
      <c r="G1207" s="169"/>
    </row>
    <row r="1208" ht="15.75" customHeight="1">
      <c r="A1208" s="186"/>
      <c r="B1208" s="186"/>
      <c r="C1208" s="186"/>
      <c r="D1208" s="301"/>
      <c r="E1208" s="301"/>
      <c r="F1208" s="226"/>
      <c r="G1208" s="169"/>
    </row>
    <row r="1209" ht="15.75" customHeight="1">
      <c r="A1209" s="186"/>
      <c r="B1209" s="186"/>
      <c r="C1209" s="186"/>
      <c r="D1209" s="301"/>
      <c r="E1209" s="301"/>
      <c r="F1209" s="226"/>
      <c r="G1209" s="169"/>
    </row>
    <row r="1210" ht="15.75" customHeight="1">
      <c r="A1210" s="186"/>
      <c r="B1210" s="186"/>
      <c r="C1210" s="186"/>
      <c r="D1210" s="301"/>
      <c r="E1210" s="301"/>
      <c r="F1210" s="226"/>
      <c r="G1210" s="169"/>
    </row>
    <row r="1211" ht="15.75" customHeight="1">
      <c r="A1211" s="186"/>
      <c r="B1211" s="186"/>
      <c r="C1211" s="186"/>
      <c r="D1211" s="301"/>
      <c r="E1211" s="301"/>
      <c r="F1211" s="226"/>
      <c r="G1211" s="169"/>
    </row>
    <row r="1212" ht="15.75" customHeight="1">
      <c r="A1212" s="186"/>
      <c r="B1212" s="186"/>
      <c r="C1212" s="186"/>
      <c r="D1212" s="301"/>
      <c r="E1212" s="301"/>
      <c r="F1212" s="226"/>
      <c r="G1212" s="169"/>
    </row>
    <row r="1213" ht="15.75" customHeight="1">
      <c r="A1213" s="186"/>
      <c r="B1213" s="186"/>
      <c r="C1213" s="186"/>
      <c r="D1213" s="301"/>
      <c r="E1213" s="301"/>
      <c r="F1213" s="226"/>
      <c r="G1213" s="169"/>
    </row>
    <row r="1214" ht="15.75" customHeight="1">
      <c r="A1214" s="186"/>
      <c r="B1214" s="186"/>
      <c r="C1214" s="186"/>
      <c r="D1214" s="301"/>
      <c r="E1214" s="301"/>
      <c r="F1214" s="226"/>
      <c r="G1214" s="169"/>
    </row>
    <row r="1215" ht="15.75" customHeight="1">
      <c r="A1215" s="186"/>
      <c r="B1215" s="186"/>
      <c r="C1215" s="186"/>
      <c r="D1215" s="301"/>
      <c r="E1215" s="301"/>
      <c r="F1215" s="226"/>
      <c r="G1215" s="169"/>
    </row>
    <row r="1216" ht="15.75" customHeight="1">
      <c r="A1216" s="186"/>
      <c r="B1216" s="186"/>
      <c r="C1216" s="186"/>
      <c r="D1216" s="301"/>
      <c r="E1216" s="301"/>
      <c r="F1216" s="226"/>
      <c r="G1216" s="169"/>
    </row>
    <row r="1217" ht="15.75" customHeight="1">
      <c r="A1217" s="186"/>
      <c r="B1217" s="186"/>
      <c r="C1217" s="186"/>
      <c r="D1217" s="301"/>
      <c r="E1217" s="301"/>
      <c r="F1217" s="226"/>
      <c r="G1217" s="169"/>
    </row>
    <row r="1218" ht="15.75" customHeight="1">
      <c r="A1218" s="186"/>
      <c r="B1218" s="186"/>
      <c r="C1218" s="186"/>
      <c r="D1218" s="301"/>
      <c r="E1218" s="301"/>
      <c r="F1218" s="226"/>
      <c r="G1218" s="169"/>
    </row>
    <row r="1219" ht="15.75" customHeight="1">
      <c r="A1219" s="186"/>
      <c r="B1219" s="186"/>
      <c r="C1219" s="186"/>
      <c r="D1219" s="301"/>
      <c r="E1219" s="301"/>
      <c r="F1219" s="226"/>
      <c r="G1219" s="169"/>
    </row>
    <row r="1220" ht="15.75" customHeight="1">
      <c r="A1220" s="186"/>
      <c r="B1220" s="186"/>
      <c r="C1220" s="186"/>
      <c r="D1220" s="301"/>
      <c r="E1220" s="301"/>
      <c r="F1220" s="226"/>
      <c r="G1220" s="169"/>
    </row>
    <row r="1221" ht="15.75" customHeight="1">
      <c r="A1221" s="186"/>
      <c r="B1221" s="186"/>
      <c r="C1221" s="186"/>
      <c r="D1221" s="301"/>
      <c r="E1221" s="301"/>
      <c r="F1221" s="226"/>
      <c r="G1221" s="169"/>
    </row>
    <row r="1222" ht="15.75" customHeight="1">
      <c r="A1222" s="186"/>
      <c r="B1222" s="186"/>
      <c r="C1222" s="186"/>
      <c r="D1222" s="301"/>
      <c r="E1222" s="301"/>
      <c r="F1222" s="226"/>
      <c r="G1222" s="169"/>
    </row>
    <row r="1223" ht="15.75" customHeight="1">
      <c r="A1223" s="186"/>
      <c r="B1223" s="186"/>
      <c r="C1223" s="186"/>
      <c r="D1223" s="301"/>
      <c r="E1223" s="301"/>
      <c r="F1223" s="226"/>
      <c r="G1223" s="169"/>
    </row>
    <row r="1224" ht="15.75" customHeight="1">
      <c r="A1224" s="186"/>
      <c r="B1224" s="186"/>
      <c r="C1224" s="186"/>
      <c r="D1224" s="301"/>
      <c r="E1224" s="301"/>
      <c r="F1224" s="226"/>
      <c r="G1224" s="169"/>
    </row>
    <row r="1225" ht="15.75" customHeight="1">
      <c r="A1225" s="186"/>
      <c r="B1225" s="186"/>
      <c r="C1225" s="186"/>
      <c r="D1225" s="301"/>
      <c r="E1225" s="301"/>
      <c r="F1225" s="226"/>
      <c r="G1225" s="169"/>
    </row>
    <row r="1226" ht="15.75" customHeight="1">
      <c r="A1226" s="186"/>
      <c r="B1226" s="186"/>
      <c r="C1226" s="186"/>
      <c r="D1226" s="301"/>
      <c r="E1226" s="301"/>
      <c r="F1226" s="226"/>
      <c r="G1226" s="169"/>
    </row>
    <row r="1227" ht="15.75" customHeight="1">
      <c r="A1227" s="186"/>
      <c r="B1227" s="186"/>
      <c r="C1227" s="186"/>
      <c r="D1227" s="301"/>
      <c r="E1227" s="301"/>
      <c r="F1227" s="226"/>
      <c r="G1227" s="169"/>
    </row>
    <row r="1228" ht="15.75" customHeight="1">
      <c r="A1228" s="186"/>
      <c r="B1228" s="186"/>
      <c r="C1228" s="186"/>
      <c r="D1228" s="301"/>
      <c r="E1228" s="301"/>
      <c r="F1228" s="226"/>
      <c r="G1228" s="169"/>
    </row>
    <row r="1229" ht="15.75" customHeight="1">
      <c r="A1229" s="186"/>
      <c r="B1229" s="186"/>
      <c r="C1229" s="186"/>
      <c r="D1229" s="301"/>
      <c r="E1229" s="301"/>
      <c r="F1229" s="226"/>
      <c r="G1229" s="169"/>
    </row>
    <row r="1230" ht="15.75" customHeight="1">
      <c r="A1230" s="186"/>
      <c r="B1230" s="186"/>
      <c r="C1230" s="186"/>
      <c r="D1230" s="301"/>
      <c r="E1230" s="301"/>
      <c r="F1230" s="226"/>
      <c r="G1230" s="169"/>
    </row>
    <row r="1231" ht="15.75" customHeight="1">
      <c r="A1231" s="186"/>
      <c r="B1231" s="186"/>
      <c r="C1231" s="186"/>
      <c r="D1231" s="301"/>
      <c r="E1231" s="301"/>
      <c r="F1231" s="226"/>
      <c r="G1231" s="169"/>
    </row>
    <row r="1232" ht="15.75" customHeight="1">
      <c r="A1232" s="186"/>
      <c r="B1232" s="186"/>
      <c r="C1232" s="186"/>
      <c r="D1232" s="301"/>
      <c r="E1232" s="301"/>
      <c r="F1232" s="226"/>
      <c r="G1232" s="169"/>
    </row>
    <row r="1233" ht="15.75" customHeight="1">
      <c r="A1233" s="186"/>
      <c r="B1233" s="186"/>
      <c r="C1233" s="186"/>
      <c r="D1233" s="301"/>
      <c r="E1233" s="301"/>
      <c r="F1233" s="226"/>
      <c r="G1233" s="169"/>
    </row>
    <row r="1234" ht="15.75" customHeight="1">
      <c r="A1234" s="186"/>
      <c r="B1234" s="186"/>
      <c r="C1234" s="186"/>
      <c r="D1234" s="301"/>
      <c r="E1234" s="301"/>
      <c r="F1234" s="226"/>
      <c r="G1234" s="169"/>
    </row>
    <row r="1235" ht="15.75" customHeight="1">
      <c r="A1235" s="186"/>
      <c r="B1235" s="186"/>
      <c r="C1235" s="186"/>
      <c r="D1235" s="301"/>
      <c r="E1235" s="301"/>
      <c r="F1235" s="226"/>
      <c r="G1235" s="169"/>
    </row>
    <row r="1236" ht="15.75" customHeight="1">
      <c r="A1236" s="186"/>
      <c r="B1236" s="186"/>
      <c r="C1236" s="186"/>
      <c r="D1236" s="301"/>
      <c r="E1236" s="301"/>
      <c r="F1236" s="226"/>
      <c r="G1236" s="169"/>
    </row>
    <row r="1237" ht="15.75" customHeight="1">
      <c r="A1237" s="186"/>
      <c r="B1237" s="186"/>
      <c r="C1237" s="186"/>
      <c r="D1237" s="301"/>
      <c r="E1237" s="301"/>
      <c r="F1237" s="226"/>
      <c r="G1237" s="169"/>
    </row>
    <row r="1238" ht="15.75" customHeight="1">
      <c r="A1238" s="186"/>
      <c r="B1238" s="186"/>
      <c r="C1238" s="186"/>
      <c r="D1238" s="301"/>
      <c r="E1238" s="301"/>
      <c r="F1238" s="226"/>
      <c r="G1238" s="169"/>
    </row>
    <row r="1239" ht="15.75" customHeight="1">
      <c r="A1239" s="186"/>
      <c r="B1239" s="186"/>
      <c r="C1239" s="186"/>
      <c r="D1239" s="301"/>
      <c r="E1239" s="301"/>
      <c r="F1239" s="226"/>
      <c r="G1239" s="169"/>
    </row>
    <row r="1240" ht="15.75" customHeight="1">
      <c r="A1240" s="186"/>
      <c r="B1240" s="186"/>
      <c r="C1240" s="186"/>
      <c r="D1240" s="301"/>
      <c r="E1240" s="301"/>
      <c r="F1240" s="226"/>
      <c r="G1240" s="169"/>
    </row>
    <row r="1241" ht="15.75" customHeight="1">
      <c r="A1241" s="186"/>
      <c r="B1241" s="186"/>
      <c r="C1241" s="186"/>
      <c r="D1241" s="301"/>
      <c r="E1241" s="301"/>
      <c r="F1241" s="226"/>
      <c r="G1241" s="169"/>
    </row>
    <row r="1242" ht="15.75" customHeight="1">
      <c r="A1242" s="186"/>
      <c r="B1242" s="186"/>
      <c r="C1242" s="186"/>
      <c r="D1242" s="301"/>
      <c r="E1242" s="301"/>
      <c r="F1242" s="226"/>
      <c r="G1242" s="169"/>
    </row>
    <row r="1243" ht="15.75" customHeight="1">
      <c r="A1243" s="186"/>
      <c r="B1243" s="186"/>
      <c r="C1243" s="186"/>
      <c r="D1243" s="301"/>
      <c r="E1243" s="301"/>
      <c r="F1243" s="226"/>
      <c r="G1243" s="169"/>
    </row>
    <row r="1244" ht="15.75" customHeight="1">
      <c r="A1244" s="186"/>
      <c r="B1244" s="186"/>
      <c r="C1244" s="186"/>
      <c r="D1244" s="301"/>
      <c r="E1244" s="301"/>
      <c r="F1244" s="226"/>
      <c r="G1244" s="169"/>
    </row>
    <row r="1245" ht="15.75" customHeight="1">
      <c r="A1245" s="186"/>
      <c r="B1245" s="186"/>
      <c r="C1245" s="186"/>
      <c r="D1245" s="301"/>
      <c r="E1245" s="301"/>
      <c r="F1245" s="226"/>
      <c r="G1245" s="169"/>
    </row>
    <row r="1246" ht="15.75" customHeight="1">
      <c r="A1246" s="186"/>
      <c r="B1246" s="186"/>
      <c r="C1246" s="186"/>
      <c r="D1246" s="301"/>
      <c r="E1246" s="301"/>
      <c r="F1246" s="226"/>
      <c r="G1246" s="169"/>
    </row>
    <row r="1247" ht="15.75" customHeight="1">
      <c r="A1247" s="186"/>
      <c r="B1247" s="186"/>
      <c r="C1247" s="186"/>
      <c r="D1247" s="301"/>
      <c r="E1247" s="301"/>
      <c r="F1247" s="226"/>
      <c r="G1247" s="169"/>
    </row>
    <row r="1248" ht="15.75" customHeight="1">
      <c r="A1248" s="186"/>
      <c r="B1248" s="186"/>
      <c r="C1248" s="186"/>
      <c r="D1248" s="301"/>
      <c r="E1248" s="301"/>
      <c r="F1248" s="226"/>
      <c r="G1248" s="169"/>
    </row>
    <row r="1249" ht="15.75" customHeight="1">
      <c r="A1249" s="186"/>
      <c r="B1249" s="186"/>
      <c r="C1249" s="186"/>
      <c r="D1249" s="301"/>
      <c r="E1249" s="301"/>
      <c r="F1249" s="226"/>
      <c r="G1249" s="169"/>
    </row>
    <row r="1250" ht="15.75" customHeight="1">
      <c r="A1250" s="186"/>
      <c r="B1250" s="186"/>
      <c r="C1250" s="186"/>
      <c r="D1250" s="301"/>
      <c r="E1250" s="301"/>
      <c r="F1250" s="226"/>
      <c r="G1250" s="169"/>
    </row>
    <row r="1251" ht="15.75" customHeight="1">
      <c r="A1251" s="186"/>
      <c r="B1251" s="186"/>
      <c r="C1251" s="186"/>
      <c r="D1251" s="301"/>
      <c r="E1251" s="301"/>
      <c r="F1251" s="226"/>
      <c r="G1251" s="169"/>
    </row>
    <row r="1252" ht="15.75" customHeight="1">
      <c r="A1252" s="186"/>
      <c r="B1252" s="186"/>
      <c r="C1252" s="186"/>
      <c r="D1252" s="301"/>
      <c r="E1252" s="301"/>
      <c r="F1252" s="226"/>
      <c r="G1252" s="169"/>
    </row>
    <row r="1253" ht="15.75" customHeight="1">
      <c r="A1253" s="186"/>
      <c r="B1253" s="186"/>
      <c r="C1253" s="186"/>
      <c r="D1253" s="301"/>
      <c r="E1253" s="301"/>
      <c r="F1253" s="226"/>
      <c r="G1253" s="169"/>
    </row>
    <row r="1254" ht="15.75" customHeight="1">
      <c r="A1254" s="186"/>
      <c r="B1254" s="186"/>
      <c r="C1254" s="186"/>
      <c r="D1254" s="301"/>
      <c r="E1254" s="301"/>
      <c r="F1254" s="226"/>
      <c r="G1254" s="169"/>
    </row>
    <row r="1255" ht="15.75" customHeight="1">
      <c r="A1255" s="186"/>
      <c r="B1255" s="186"/>
      <c r="C1255" s="186"/>
      <c r="D1255" s="301"/>
      <c r="E1255" s="301"/>
      <c r="F1255" s="226"/>
      <c r="G1255" s="169"/>
    </row>
    <row r="1256" ht="15.75" customHeight="1">
      <c r="A1256" s="186"/>
      <c r="B1256" s="186"/>
      <c r="C1256" s="186"/>
      <c r="D1256" s="301"/>
      <c r="E1256" s="301"/>
      <c r="F1256" s="226"/>
      <c r="G1256" s="169"/>
    </row>
    <row r="1257" ht="15.75" customHeight="1">
      <c r="A1257" s="186"/>
      <c r="B1257" s="186"/>
      <c r="C1257" s="186"/>
      <c r="D1257" s="188"/>
      <c r="E1257" s="184"/>
      <c r="F1257" s="185"/>
      <c r="G1257" s="118"/>
    </row>
  </sheetData>
  <mergeCells count="25">
    <mergeCell ref="A2:B2"/>
    <mergeCell ref="A7:B7"/>
    <mergeCell ref="A38:B38"/>
    <mergeCell ref="A47:B47"/>
    <mergeCell ref="A54:B54"/>
    <mergeCell ref="A56:B56"/>
    <mergeCell ref="A64:B64"/>
    <mergeCell ref="A75:B75"/>
    <mergeCell ref="A84:B84"/>
    <mergeCell ref="A93:B93"/>
    <mergeCell ref="A96:B96"/>
    <mergeCell ref="A102:B102"/>
    <mergeCell ref="A106:B106"/>
    <mergeCell ref="A117:B117"/>
    <mergeCell ref="A195:B195"/>
    <mergeCell ref="A211:B211"/>
    <mergeCell ref="A220:B220"/>
    <mergeCell ref="A227:B227"/>
    <mergeCell ref="A133:B133"/>
    <mergeCell ref="A140:B140"/>
    <mergeCell ref="A155:B155"/>
    <mergeCell ref="A163:B163"/>
    <mergeCell ref="A171:B171"/>
    <mergeCell ref="A175:B175"/>
    <mergeCell ref="A190:B190"/>
  </mergeCells>
  <conditionalFormatting sqref="C3:C6 C8:C36 C38:C45 C47:C52 C54 C56:C62 C64:C73 C75:C82 C84:C91 C93:C94 C96:C100 C103:C105 C107:C116 C118:C131 C133:C138 C140:C153 C155:C161 C163:C169 C171:C173 C175:C188 C190:C193 C195:C209 C211:C218 C220:C225 C227:C1257">
    <cfRule type="containsText" dxfId="1" priority="1" operator="containsText" text="Mayor a 5">
      <formula>NOT(ISERROR(SEARCH(("Mayor a 5"),(C3))))</formula>
    </cfRule>
  </conditionalFormatting>
  <conditionalFormatting sqref="C3:C6 C8:C36 C38:C45 C47:C52 C54 C56:C62 C64:C73 C75:C82 C84:C91 C93:C94 C96:C100 C103:C105 C107:C116 C118:C131 C133:C138 C140:C153 C155:C161 C163:C169 C171:C173 C175:C188 C190:C193 C195:C209 C211:C218 C220:C225 C227:C1257">
    <cfRule type="containsText" dxfId="2" priority="2" operator="containsText" text="Menor a 5">
      <formula>NOT(ISERROR(SEARCH(("Menor a 5"),(C3))))</formula>
    </cfRule>
  </conditionalFormatting>
  <conditionalFormatting sqref="C3:C6 C8:C36 C38:C45 C47:C52 C54 C56:C62 C64:C73 C75:C82 C84:C91 C93:C94 C96:C100 C103:C105 C107:C116 C118:C131 C133:C138 C140:C153 C155:C161 C163:C169 C171:C173 C175:C188 C190:C193 C195:C209 C211:C218 C220:C225 C227:C1257">
    <cfRule type="containsText" dxfId="3" priority="3" operator="containsText" text="Sin stock">
      <formula>NOT(ISERROR(SEARCH(("Sin stock"),(C3))))</formula>
    </cfRule>
  </conditionalFormatting>
  <conditionalFormatting sqref="D1:G1257">
    <cfRule type="containsText" dxfId="1" priority="4" operator="containsText" text="Mayor a 5">
      <formula>NOT(ISERROR(SEARCH(("Mayor a 5"),(D1))))</formula>
    </cfRule>
  </conditionalFormatting>
  <conditionalFormatting sqref="D1:G1257">
    <cfRule type="containsText" dxfId="2" priority="5" operator="containsText" text="Menor a 5">
      <formula>NOT(ISERROR(SEARCH(("Menor a 5"),(D1))))</formula>
    </cfRule>
  </conditionalFormatting>
  <conditionalFormatting sqref="D1:G1257">
    <cfRule type="containsText" dxfId="3" priority="6" operator="containsText" text="SIN STOCK">
      <formula>NOT(ISERROR(SEARCH(("SIN STOCK"),(D1))))</formula>
    </cfRule>
  </conditionalFormatting>
  <hyperlinks>
    <hyperlink r:id="rId2" ref="B3"/>
    <hyperlink r:id="rId3" ref="B4"/>
    <hyperlink r:id="rId4" ref="B5"/>
    <hyperlink r:id="rId5" ref="B6"/>
    <hyperlink r:id="rId6" ref="B8"/>
    <hyperlink r:id="rId7" ref="B9"/>
    <hyperlink r:id="rId8" ref="B10"/>
    <hyperlink r:id="rId9" ref="B11"/>
    <hyperlink r:id="rId10" ref="B12"/>
    <hyperlink r:id="rId11" ref="B13"/>
    <hyperlink r:id="rId12" ref="B14"/>
    <hyperlink r:id="rId13" ref="B15"/>
    <hyperlink r:id="rId14" ref="B16"/>
    <hyperlink r:id="rId15" ref="B17"/>
    <hyperlink r:id="rId16" ref="B18"/>
    <hyperlink r:id="rId17" ref="B19"/>
    <hyperlink r:id="rId18" ref="B20"/>
    <hyperlink r:id="rId19" ref="B21"/>
    <hyperlink r:id="rId20" ref="B22"/>
    <hyperlink r:id="rId21" ref="B23"/>
    <hyperlink r:id="rId22" ref="B24"/>
    <hyperlink r:id="rId23" ref="B25"/>
    <hyperlink r:id="rId24" ref="B26"/>
    <hyperlink r:id="rId25" ref="B27"/>
    <hyperlink r:id="rId26" ref="B28"/>
    <hyperlink r:id="rId27" ref="B29"/>
    <hyperlink r:id="rId28" ref="B30"/>
    <hyperlink r:id="rId29" ref="B31"/>
    <hyperlink r:id="rId30" ref="B32"/>
    <hyperlink r:id="rId31" ref="B33"/>
    <hyperlink r:id="rId32" ref="B34"/>
    <hyperlink r:id="rId33" ref="B35"/>
    <hyperlink r:id="rId34" ref="B36"/>
    <hyperlink r:id="rId35" ref="B37"/>
    <hyperlink r:id="rId36" ref="B39"/>
    <hyperlink r:id="rId37" ref="B40"/>
    <hyperlink r:id="rId38" ref="B41"/>
    <hyperlink r:id="rId39" ref="B42"/>
    <hyperlink r:id="rId40" ref="B43"/>
    <hyperlink r:id="rId41" ref="B44"/>
    <hyperlink r:id="rId42" ref="B45"/>
    <hyperlink r:id="rId43" ref="B46"/>
    <hyperlink r:id="rId44" ref="B48"/>
    <hyperlink r:id="rId45" ref="B49"/>
    <hyperlink r:id="rId46" ref="B50"/>
    <hyperlink r:id="rId47" ref="B51"/>
    <hyperlink r:id="rId48" ref="B52"/>
    <hyperlink r:id="rId49" ref="B53"/>
    <hyperlink r:id="rId50" ref="B55"/>
    <hyperlink r:id="rId51" ref="B57"/>
    <hyperlink r:id="rId52" ref="B58"/>
    <hyperlink r:id="rId53" ref="B59"/>
    <hyperlink r:id="rId54" ref="B60"/>
    <hyperlink r:id="rId55" ref="B61"/>
    <hyperlink r:id="rId56" ref="B62"/>
    <hyperlink r:id="rId57" ref="B63"/>
    <hyperlink r:id="rId58" ref="B65"/>
    <hyperlink r:id="rId59" ref="B66"/>
    <hyperlink r:id="rId60" ref="B67"/>
    <hyperlink r:id="rId61" ref="B68"/>
    <hyperlink r:id="rId62" ref="B69"/>
    <hyperlink r:id="rId63" ref="B70"/>
    <hyperlink r:id="rId64" ref="B71"/>
    <hyperlink r:id="rId65" ref="B72"/>
    <hyperlink r:id="rId66" ref="B73"/>
    <hyperlink r:id="rId67" ref="B74"/>
    <hyperlink r:id="rId68" ref="B76"/>
    <hyperlink r:id="rId69" ref="B77"/>
    <hyperlink r:id="rId70" ref="B78"/>
    <hyperlink r:id="rId71" ref="B79"/>
    <hyperlink r:id="rId72" ref="B80"/>
    <hyperlink r:id="rId73" ref="B81"/>
    <hyperlink r:id="rId74" ref="B82"/>
    <hyperlink r:id="rId75" ref="B83"/>
    <hyperlink r:id="rId76" ref="B85"/>
    <hyperlink r:id="rId77" ref="B86"/>
    <hyperlink r:id="rId78" ref="B87"/>
    <hyperlink r:id="rId79" ref="B88"/>
    <hyperlink r:id="rId80" ref="B89"/>
    <hyperlink r:id="rId81" ref="B90"/>
    <hyperlink r:id="rId82" ref="B91"/>
    <hyperlink r:id="rId83" ref="B92"/>
    <hyperlink r:id="rId84" ref="B94"/>
    <hyperlink r:id="rId85" ref="B95"/>
    <hyperlink r:id="rId86" ref="B97"/>
    <hyperlink r:id="rId87" ref="B98"/>
    <hyperlink r:id="rId88" ref="B99"/>
    <hyperlink r:id="rId89" ref="B100"/>
    <hyperlink r:id="rId90" ref="B101"/>
    <hyperlink r:id="rId91" ref="B103"/>
    <hyperlink r:id="rId92" ref="B104"/>
    <hyperlink r:id="rId93" ref="B105"/>
    <hyperlink r:id="rId94" ref="B107"/>
    <hyperlink r:id="rId95" ref="B108"/>
    <hyperlink r:id="rId96" ref="B109"/>
    <hyperlink r:id="rId97" ref="B110"/>
    <hyperlink r:id="rId98" ref="B111"/>
    <hyperlink r:id="rId99" ref="B112"/>
    <hyperlink r:id="rId100" ref="B113"/>
    <hyperlink r:id="rId101" ref="B114"/>
    <hyperlink r:id="rId102" ref="B115"/>
    <hyperlink r:id="rId103" ref="B116"/>
    <hyperlink r:id="rId104" ref="B118"/>
    <hyperlink r:id="rId105" ref="B119"/>
    <hyperlink r:id="rId106" ref="B120"/>
    <hyperlink r:id="rId107" ref="B121"/>
    <hyperlink r:id="rId108" ref="B122"/>
    <hyperlink r:id="rId109" ref="B123"/>
    <hyperlink r:id="rId110" ref="B124"/>
    <hyperlink r:id="rId111" ref="B125"/>
    <hyperlink r:id="rId112" ref="B126"/>
    <hyperlink r:id="rId113" ref="B127"/>
    <hyperlink r:id="rId114" ref="B128"/>
    <hyperlink r:id="rId115" ref="B129"/>
    <hyperlink r:id="rId116" ref="B130"/>
    <hyperlink r:id="rId117" ref="B131"/>
    <hyperlink r:id="rId118" ref="B132"/>
    <hyperlink r:id="rId119" ref="B134"/>
    <hyperlink r:id="rId120" ref="B135"/>
    <hyperlink r:id="rId121" ref="B136"/>
    <hyperlink r:id="rId122" ref="B137"/>
    <hyperlink r:id="rId123" ref="B138"/>
    <hyperlink r:id="rId124" ref="B139"/>
    <hyperlink r:id="rId125" ref="B141"/>
    <hyperlink r:id="rId126" ref="B142"/>
    <hyperlink r:id="rId127" ref="B143"/>
    <hyperlink r:id="rId128" ref="B144"/>
    <hyperlink r:id="rId129" ref="B145"/>
    <hyperlink r:id="rId130" ref="B146"/>
    <hyperlink r:id="rId131" ref="B147"/>
    <hyperlink r:id="rId132" ref="B148"/>
    <hyperlink r:id="rId133" ref="B149"/>
    <hyperlink r:id="rId134" ref="B150"/>
    <hyperlink r:id="rId135" ref="B151"/>
    <hyperlink r:id="rId136" ref="B152"/>
    <hyperlink r:id="rId137" ref="B153"/>
    <hyperlink r:id="rId138" ref="B154"/>
    <hyperlink r:id="rId139" ref="B156"/>
    <hyperlink r:id="rId140" ref="B157"/>
    <hyperlink r:id="rId141" ref="B158"/>
    <hyperlink r:id="rId142" ref="B159"/>
    <hyperlink r:id="rId143" ref="B160"/>
    <hyperlink r:id="rId144" ref="B161"/>
    <hyperlink r:id="rId145" ref="B162"/>
    <hyperlink r:id="rId146" ref="B164"/>
    <hyperlink r:id="rId147" ref="B165"/>
    <hyperlink r:id="rId148" ref="B166"/>
    <hyperlink r:id="rId149" ref="B167"/>
    <hyperlink r:id="rId150" ref="B168"/>
    <hyperlink r:id="rId151" ref="B169"/>
    <hyperlink r:id="rId152" ref="B170"/>
    <hyperlink r:id="rId153" ref="B172"/>
    <hyperlink r:id="rId154" ref="B173"/>
    <hyperlink r:id="rId155" ref="B174"/>
    <hyperlink r:id="rId156" ref="B176"/>
    <hyperlink r:id="rId157" ref="B177"/>
    <hyperlink r:id="rId158" ref="B178"/>
    <hyperlink r:id="rId159" ref="B179"/>
    <hyperlink r:id="rId160" ref="B180"/>
    <hyperlink r:id="rId161" ref="B181"/>
    <hyperlink r:id="rId162" ref="B182"/>
    <hyperlink r:id="rId163" ref="B183"/>
    <hyperlink r:id="rId164" ref="B184"/>
    <hyperlink r:id="rId165" ref="B185"/>
    <hyperlink r:id="rId166" ref="B186"/>
    <hyperlink r:id="rId167" ref="B187"/>
    <hyperlink r:id="rId168" ref="B188"/>
    <hyperlink r:id="rId169" ref="B189"/>
    <hyperlink r:id="rId170" ref="B191"/>
    <hyperlink r:id="rId171" ref="B192"/>
    <hyperlink r:id="rId172" ref="B193"/>
    <hyperlink r:id="rId173" ref="B194"/>
    <hyperlink r:id="rId174" ref="B196"/>
    <hyperlink r:id="rId175" ref="B197"/>
    <hyperlink r:id="rId176" ref="B198"/>
    <hyperlink r:id="rId177" ref="B199"/>
    <hyperlink r:id="rId178" ref="B200"/>
    <hyperlink r:id="rId179" ref="B201"/>
    <hyperlink r:id="rId180" ref="B202"/>
    <hyperlink r:id="rId181" ref="B203"/>
    <hyperlink r:id="rId182" ref="B204"/>
    <hyperlink r:id="rId183" ref="B205"/>
    <hyperlink r:id="rId184" ref="B206"/>
    <hyperlink r:id="rId185" ref="B207"/>
    <hyperlink r:id="rId186" ref="B208"/>
    <hyperlink r:id="rId187" ref="B209"/>
    <hyperlink r:id="rId188" ref="B210"/>
    <hyperlink r:id="rId189" ref="B212"/>
    <hyperlink r:id="rId190" ref="B213"/>
    <hyperlink r:id="rId191" ref="B214"/>
    <hyperlink r:id="rId192" ref="B215"/>
    <hyperlink r:id="rId193" ref="B216"/>
    <hyperlink r:id="rId194" ref="B217"/>
    <hyperlink r:id="rId195" ref="B218"/>
    <hyperlink r:id="rId196" ref="B219"/>
    <hyperlink r:id="rId197" ref="B221"/>
    <hyperlink r:id="rId198" ref="B222"/>
    <hyperlink r:id="rId199" ref="B223"/>
    <hyperlink r:id="rId200" ref="B224"/>
    <hyperlink r:id="rId201" ref="B225"/>
    <hyperlink r:id="rId202" ref="B226"/>
    <hyperlink r:id="rId203" ref="B228"/>
    <hyperlink r:id="rId204" ref="B229"/>
    <hyperlink r:id="rId205" ref="B230"/>
    <hyperlink r:id="rId206" ref="B231"/>
    <hyperlink r:id="rId207" ref="B232"/>
    <hyperlink r:id="rId208" ref="B233"/>
    <hyperlink r:id="rId209" ref="B234"/>
    <hyperlink r:id="rId210" ref="B235"/>
    <hyperlink r:id="rId211" ref="B236"/>
    <hyperlink r:id="rId212" ref="B237"/>
    <hyperlink r:id="rId213" ref="B238"/>
    <hyperlink r:id="rId214" ref="B239"/>
    <hyperlink r:id="rId215" ref="B240"/>
    <hyperlink r:id="rId216" ref="B241"/>
    <hyperlink r:id="rId217" ref="B242"/>
    <hyperlink r:id="rId218" ref="B243"/>
    <hyperlink r:id="rId219" ref="B244"/>
    <hyperlink r:id="rId220" ref="B245"/>
    <hyperlink r:id="rId221" ref="B246"/>
    <hyperlink r:id="rId222" ref="B247"/>
    <hyperlink r:id="rId223" ref="B248"/>
    <hyperlink r:id="rId224" ref="B249"/>
    <hyperlink r:id="rId225" ref="B250"/>
    <hyperlink r:id="rId226" ref="B251"/>
    <hyperlink r:id="rId227" ref="B252"/>
    <hyperlink r:id="rId228" ref="B253"/>
    <hyperlink r:id="rId229" ref="B254"/>
    <hyperlink r:id="rId230" ref="B255"/>
    <hyperlink r:id="rId231" ref="B256"/>
    <hyperlink r:id="rId232" ref="B257"/>
  </hyperlinks>
  <printOptions/>
  <pageMargins bottom="0.75" footer="0.0" header="0.0" left="0.7" right="0.7" top="0.75"/>
  <pageSetup orientation="landscape"/>
  <drawing r:id="rId233"/>
  <legacyDrawing r:id="rId234"/>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pageSetUpPr/>
  </sheetPr>
  <sheetViews>
    <sheetView workbookViewId="0"/>
  </sheetViews>
  <sheetFormatPr customHeight="1" defaultColWidth="12.63" defaultRowHeight="15.0"/>
  <cols>
    <col customWidth="1" min="1" max="1" width="13.25"/>
    <col customWidth="1" min="2" max="2" width="21.5"/>
    <col customWidth="1" min="3" max="3" width="74.0"/>
    <col customWidth="1" min="4" max="4" width="15.0"/>
    <col customWidth="1" min="5" max="5" width="14.25"/>
    <col customWidth="1" min="6" max="7" width="9.25"/>
  </cols>
  <sheetData>
    <row r="1" ht="15.75" customHeight="1">
      <c r="A1" s="217" t="s">
        <v>23</v>
      </c>
      <c r="B1" s="217" t="s">
        <v>24</v>
      </c>
      <c r="C1" s="217" t="s">
        <v>25</v>
      </c>
      <c r="D1" s="119" t="s">
        <v>26</v>
      </c>
      <c r="E1" s="26" t="s">
        <v>27</v>
      </c>
      <c r="F1" s="218" t="s">
        <v>28</v>
      </c>
      <c r="G1" s="217" t="s">
        <v>29</v>
      </c>
    </row>
    <row r="2" ht="15.75" customHeight="1">
      <c r="A2" s="243" t="s">
        <v>6767</v>
      </c>
      <c r="B2" s="302"/>
      <c r="C2" s="302"/>
      <c r="D2" s="88"/>
      <c r="E2" s="88"/>
      <c r="F2" s="303"/>
      <c r="G2" s="302"/>
    </row>
    <row r="3" ht="15.75" customHeight="1">
      <c r="A3" s="304" t="s">
        <v>6768</v>
      </c>
      <c r="B3" s="92"/>
      <c r="C3" s="167"/>
      <c r="D3" s="51"/>
      <c r="E3" s="51"/>
      <c r="F3" s="106"/>
      <c r="G3" s="93"/>
    </row>
    <row r="4" ht="15.75" customHeight="1">
      <c r="A4" s="40" t="s">
        <v>6769</v>
      </c>
      <c r="B4" s="41" t="s">
        <v>6770</v>
      </c>
      <c r="C4" s="305" t="s">
        <v>6771</v>
      </c>
      <c r="D4" s="236" t="s">
        <v>6772</v>
      </c>
      <c r="E4" s="96" t="s">
        <v>6773</v>
      </c>
      <c r="F4" s="122">
        <v>0.21</v>
      </c>
      <c r="G4" s="49" t="str">
        <f>BUSCARV("CONTOUR-S1.4",STOCK!R2C2:R3649C17,3,FALSO)</f>
        <v>#ERROR!</v>
      </c>
    </row>
    <row r="5" ht="15.75" customHeight="1">
      <c r="A5" s="33" t="s">
        <v>6769</v>
      </c>
      <c r="B5" s="45" t="s">
        <v>6774</v>
      </c>
      <c r="C5" s="207" t="s">
        <v>6775</v>
      </c>
      <c r="D5" s="101" t="s">
        <v>6776</v>
      </c>
      <c r="E5" s="101" t="s">
        <v>6777</v>
      </c>
      <c r="F5" s="37">
        <v>0.21</v>
      </c>
      <c r="G5" s="49" t="str">
        <f>BUSCARV("CONTOUR-SC",STOCK!R2C2:R3649C17,3,FALSO)</f>
        <v>#ERROR!</v>
      </c>
    </row>
    <row r="6" ht="15.75" customHeight="1">
      <c r="A6" s="40" t="s">
        <v>6769</v>
      </c>
      <c r="B6" s="41" t="s">
        <v>6778</v>
      </c>
      <c r="C6" s="305" t="s">
        <v>6779</v>
      </c>
      <c r="D6" s="236" t="s">
        <v>6780</v>
      </c>
      <c r="E6" s="96" t="s">
        <v>6781</v>
      </c>
      <c r="F6" s="122">
        <v>0.21</v>
      </c>
      <c r="G6" s="49" t="str">
        <f>BUSCARV("CONTOUR-S3.4",STOCK!R2C2:R3649C17,3,FALSO)</f>
        <v>#ERROR!</v>
      </c>
    </row>
    <row r="7" ht="15.75" customHeight="1">
      <c r="A7" s="304" t="s">
        <v>6782</v>
      </c>
      <c r="B7" s="92"/>
      <c r="C7" s="167"/>
      <c r="D7" s="51"/>
      <c r="E7" s="51"/>
      <c r="F7" s="92"/>
      <c r="G7" s="92"/>
    </row>
    <row r="8" ht="15.75" customHeight="1">
      <c r="A8" s="40" t="s">
        <v>6769</v>
      </c>
      <c r="B8" s="41" t="s">
        <v>6783</v>
      </c>
      <c r="C8" s="305" t="s">
        <v>6784</v>
      </c>
      <c r="D8" s="236" t="s">
        <v>6785</v>
      </c>
      <c r="E8" s="96" t="s">
        <v>6786</v>
      </c>
      <c r="F8" s="122">
        <v>0.21</v>
      </c>
      <c r="G8" s="49" t="str">
        <f>BUSCARV("EMIT-M10",STOCK!R2C2:R3649C17,3,FALSO)</f>
        <v>#ERROR!</v>
      </c>
    </row>
    <row r="9" ht="15.75" customHeight="1">
      <c r="A9" s="33" t="s">
        <v>6769</v>
      </c>
      <c r="B9" s="45" t="s">
        <v>6787</v>
      </c>
      <c r="C9" s="207" t="s">
        <v>6788</v>
      </c>
      <c r="D9" s="101" t="s">
        <v>6789</v>
      </c>
      <c r="E9" s="101" t="s">
        <v>2676</v>
      </c>
      <c r="F9" s="37">
        <v>0.21</v>
      </c>
      <c r="G9" s="49" t="str">
        <f>BUSCARV("FOCUS-210C",STOCK!R2C2:R3649C17,3,FALSO)</f>
        <v>#ERROR!</v>
      </c>
    </row>
    <row r="10" ht="15.75" customHeight="1">
      <c r="A10" s="304" t="s">
        <v>6790</v>
      </c>
      <c r="B10" s="92"/>
      <c r="C10" s="167"/>
      <c r="D10" s="51"/>
      <c r="E10" s="51"/>
      <c r="F10" s="106"/>
      <c r="G10" s="92"/>
    </row>
    <row r="11" ht="15.75" customHeight="1">
      <c r="A11" s="40" t="s">
        <v>6769</v>
      </c>
      <c r="B11" s="41" t="s">
        <v>6791</v>
      </c>
      <c r="C11" s="305" t="s">
        <v>6792</v>
      </c>
      <c r="D11" s="236" t="s">
        <v>6793</v>
      </c>
      <c r="E11" s="96" t="s">
        <v>6794</v>
      </c>
      <c r="F11" s="122">
        <v>0.21</v>
      </c>
      <c r="G11" s="49" t="str">
        <f>BUSCARV("FOCUS-210C",STOCK!R2C2:R3649C17,3,FALSO)</f>
        <v>#ERROR!</v>
      </c>
    </row>
    <row r="12" ht="15.75" customHeight="1">
      <c r="A12" s="33" t="s">
        <v>6769</v>
      </c>
      <c r="B12" s="45" t="s">
        <v>6795</v>
      </c>
      <c r="C12" s="306"/>
      <c r="D12" s="101" t="s">
        <v>6796</v>
      </c>
      <c r="E12" s="101" t="s">
        <v>6797</v>
      </c>
      <c r="F12" s="37">
        <v>0.21</v>
      </c>
      <c r="G12" s="46" t="str">
        <f>BUSCARV("FOCUS-260",STOCK!R2C2:R3649C17,3,FALSO)</f>
        <v>#ERROR!</v>
      </c>
    </row>
    <row r="13" ht="15.75" customHeight="1">
      <c r="A13" s="304" t="s">
        <v>6798</v>
      </c>
      <c r="B13" s="92"/>
      <c r="C13" s="167"/>
      <c r="D13" s="51"/>
      <c r="E13" s="51"/>
      <c r="F13" s="106"/>
      <c r="G13" s="92"/>
    </row>
    <row r="14" ht="15.75" customHeight="1">
      <c r="A14" s="40" t="s">
        <v>6769</v>
      </c>
      <c r="B14" s="41" t="s">
        <v>6799</v>
      </c>
      <c r="C14" s="305" t="s">
        <v>6800</v>
      </c>
      <c r="D14" s="236" t="s">
        <v>6801</v>
      </c>
      <c r="E14" s="96" t="s">
        <v>6802</v>
      </c>
      <c r="F14" s="122">
        <v>0.21</v>
      </c>
      <c r="G14" s="46" t="str">
        <f>BUSCARV("DM-3/7",STOCK!R2C2:R3649C17,3,FALSO)</f>
        <v>#ERROR!</v>
      </c>
    </row>
    <row r="15" ht="15.75" customHeight="1">
      <c r="A15" s="304" t="s">
        <v>6803</v>
      </c>
      <c r="B15" s="92"/>
      <c r="C15" s="167"/>
      <c r="D15" s="51"/>
      <c r="E15" s="51"/>
      <c r="F15" s="106"/>
      <c r="G15" s="92"/>
    </row>
    <row r="16" ht="15.75" customHeight="1">
      <c r="A16" s="40" t="s">
        <v>6769</v>
      </c>
      <c r="B16" s="41" t="s">
        <v>6804</v>
      </c>
      <c r="C16" s="305" t="s">
        <v>6805</v>
      </c>
      <c r="D16" s="236" t="s">
        <v>6806</v>
      </c>
      <c r="E16" s="96" t="s">
        <v>6807</v>
      </c>
      <c r="F16" s="122">
        <v>0.21</v>
      </c>
      <c r="G16" s="46" t="str">
        <f>BUSCARV("XEO-5",STOCK!R2C2:R3649C17,3,FALSO)</f>
        <v>#ERROR!</v>
      </c>
    </row>
    <row r="17" ht="15.75" customHeight="1">
      <c r="A17" s="33" t="s">
        <v>6769</v>
      </c>
      <c r="B17" s="45" t="s">
        <v>6808</v>
      </c>
      <c r="C17" s="207" t="s">
        <v>6809</v>
      </c>
      <c r="D17" s="101" t="s">
        <v>6810</v>
      </c>
      <c r="E17" s="101" t="s">
        <v>6811</v>
      </c>
      <c r="F17" s="37">
        <v>0.21</v>
      </c>
      <c r="G17" s="168" t="str">
        <f>BUSCARV("XEO-TRANS",STOCK!R2C2:R3649C17,3,FALSO)</f>
        <v>#ERROR!</v>
      </c>
    </row>
    <row r="18" ht="15.75" customHeight="1">
      <c r="A18" s="243" t="s">
        <v>6812</v>
      </c>
      <c r="B18" s="302"/>
      <c r="C18" s="302"/>
      <c r="D18" s="88"/>
      <c r="E18" s="88"/>
      <c r="F18" s="303"/>
      <c r="G18" s="302"/>
    </row>
    <row r="19" ht="15.75" customHeight="1">
      <c r="A19" s="304" t="s">
        <v>6813</v>
      </c>
      <c r="B19" s="92"/>
      <c r="C19" s="167"/>
      <c r="D19" s="51"/>
      <c r="E19" s="51"/>
      <c r="F19" s="106"/>
      <c r="G19" s="92"/>
    </row>
    <row r="20" ht="15.75" customHeight="1">
      <c r="A20" s="40" t="s">
        <v>6769</v>
      </c>
      <c r="B20" s="41" t="s">
        <v>6814</v>
      </c>
      <c r="C20" s="305" t="s">
        <v>6815</v>
      </c>
      <c r="D20" s="236" t="s">
        <v>6816</v>
      </c>
      <c r="E20" s="96" t="s">
        <v>6817</v>
      </c>
      <c r="F20" s="122">
        <v>0.21</v>
      </c>
      <c r="G20" s="46" t="str">
        <f>BUSCARV("BM6-A BLACK",STOCK!R2C2:R3649C17,3,FALSO)</f>
        <v>#ERROR!</v>
      </c>
    </row>
    <row r="21" ht="15.75" customHeight="1">
      <c r="A21" s="33" t="s">
        <v>6769</v>
      </c>
      <c r="B21" s="45" t="s">
        <v>6818</v>
      </c>
      <c r="C21" s="207" t="s">
        <v>6819</v>
      </c>
      <c r="D21" s="101" t="s">
        <v>6820</v>
      </c>
      <c r="E21" s="101" t="s">
        <v>6821</v>
      </c>
      <c r="F21" s="37">
        <v>0.21</v>
      </c>
      <c r="G21" s="174" t="str">
        <f>BUSCARV("BM15A",STOCK!R2C2:R3649C17,3,FALSO)</f>
        <v>#ERROR!</v>
      </c>
    </row>
    <row r="22" ht="15.75" customHeight="1">
      <c r="A22" s="304" t="s">
        <v>6822</v>
      </c>
      <c r="B22" s="92"/>
      <c r="C22" s="167"/>
      <c r="D22" s="51"/>
      <c r="E22" s="51"/>
      <c r="F22" s="106"/>
      <c r="G22" s="92"/>
    </row>
    <row r="23" ht="15.75" customHeight="1">
      <c r="A23" s="40" t="s">
        <v>6769</v>
      </c>
      <c r="B23" s="41" t="s">
        <v>6823</v>
      </c>
      <c r="C23" s="40" t="s">
        <v>6824</v>
      </c>
      <c r="D23" s="236" t="s">
        <v>6825</v>
      </c>
      <c r="E23" s="96" t="s">
        <v>6826</v>
      </c>
      <c r="F23" s="122">
        <v>0.21</v>
      </c>
      <c r="G23" s="46" t="str">
        <f>BUSCARV("LYD-5",STOCK!R2C2:R3649C17,3,FALSO)</f>
        <v>#ERROR!</v>
      </c>
    </row>
    <row r="24" ht="15.75" customHeight="1">
      <c r="A24" s="33" t="s">
        <v>6769</v>
      </c>
      <c r="B24" s="45" t="s">
        <v>6827</v>
      </c>
      <c r="C24" s="207" t="s">
        <v>6828</v>
      </c>
      <c r="D24" s="101" t="s">
        <v>2712</v>
      </c>
      <c r="E24" s="101" t="s">
        <v>2713</v>
      </c>
      <c r="F24" s="37">
        <v>0.21</v>
      </c>
      <c r="G24" s="49" t="str">
        <f>BUSCARV("LYD-8",STOCK!R2C2:R3649C17,3,FALSO)</f>
        <v>#ERROR!</v>
      </c>
    </row>
    <row r="25" ht="15.75" customHeight="1">
      <c r="A25" s="307"/>
      <c r="B25" s="307"/>
      <c r="C25" s="306"/>
      <c r="D25" s="257"/>
      <c r="E25" s="257"/>
      <c r="F25" s="308"/>
      <c r="G25" s="309"/>
    </row>
    <row r="26" ht="15.75" customHeight="1">
      <c r="A26" s="307"/>
      <c r="B26" s="307"/>
      <c r="C26" s="306"/>
      <c r="D26" s="257"/>
      <c r="E26" s="257"/>
      <c r="F26" s="308"/>
      <c r="G26" s="309"/>
    </row>
    <row r="27" ht="15.75" customHeight="1">
      <c r="A27" s="307"/>
      <c r="B27" s="307"/>
      <c r="C27" s="306"/>
      <c r="D27" s="257"/>
      <c r="E27" s="257"/>
      <c r="F27" s="308"/>
      <c r="G27" s="309"/>
    </row>
    <row r="28" ht="15.75" customHeight="1">
      <c r="A28" s="307"/>
      <c r="B28" s="307"/>
      <c r="C28" s="306"/>
      <c r="D28" s="257"/>
      <c r="E28" s="257"/>
      <c r="F28" s="308"/>
      <c r="G28" s="309"/>
    </row>
    <row r="29" ht="15.75" customHeight="1">
      <c r="A29" s="307"/>
      <c r="B29" s="307"/>
      <c r="C29" s="306"/>
      <c r="D29" s="257"/>
      <c r="E29" s="257"/>
      <c r="F29" s="308"/>
      <c r="G29" s="309"/>
    </row>
    <row r="30" ht="15.75" customHeight="1">
      <c r="A30" s="307"/>
      <c r="B30" s="307"/>
      <c r="C30" s="306"/>
      <c r="D30" s="257"/>
      <c r="E30" s="257"/>
      <c r="F30" s="308"/>
      <c r="G30" s="309"/>
    </row>
    <row r="31" ht="15.75" customHeight="1">
      <c r="A31" s="307"/>
      <c r="B31" s="307"/>
      <c r="C31" s="306"/>
      <c r="D31" s="257"/>
      <c r="E31" s="257"/>
      <c r="F31" s="308"/>
      <c r="G31" s="309"/>
    </row>
    <row r="32" ht="15.75" customHeight="1">
      <c r="A32" s="307"/>
      <c r="B32" s="307"/>
      <c r="C32" s="306"/>
      <c r="D32" s="257"/>
      <c r="E32" s="257"/>
      <c r="F32" s="308"/>
      <c r="G32" s="309"/>
    </row>
    <row r="33" ht="15.75" customHeight="1">
      <c r="A33" s="307"/>
      <c r="B33" s="307"/>
      <c r="C33" s="306"/>
      <c r="D33" s="257"/>
      <c r="E33" s="257"/>
      <c r="F33" s="308"/>
      <c r="G33" s="310"/>
    </row>
    <row r="34" ht="15.75" customHeight="1">
      <c r="A34" s="307"/>
      <c r="B34" s="307"/>
      <c r="C34" s="306"/>
      <c r="D34" s="257"/>
      <c r="E34" s="257"/>
      <c r="F34" s="308"/>
      <c r="G34" s="311"/>
    </row>
    <row r="35" ht="15.75" customHeight="1">
      <c r="A35" s="307"/>
      <c r="B35" s="307"/>
      <c r="C35" s="306"/>
      <c r="D35" s="257"/>
      <c r="E35" s="257"/>
      <c r="F35" s="308"/>
      <c r="G35" s="309"/>
    </row>
    <row r="36" ht="15.75" customHeight="1">
      <c r="A36" s="307"/>
      <c r="B36" s="307"/>
      <c r="C36" s="306"/>
      <c r="D36" s="257"/>
      <c r="E36" s="257"/>
      <c r="F36" s="308"/>
      <c r="G36" s="309"/>
    </row>
    <row r="37" ht="15.75" customHeight="1">
      <c r="A37" s="307"/>
      <c r="B37" s="307"/>
      <c r="C37" s="306"/>
      <c r="D37" s="257"/>
      <c r="E37" s="257"/>
      <c r="F37" s="308"/>
      <c r="G37" s="309"/>
    </row>
    <row r="38" ht="15.75" customHeight="1">
      <c r="A38" s="307"/>
      <c r="B38" s="307"/>
      <c r="C38" s="306"/>
      <c r="D38" s="257"/>
      <c r="E38" s="257"/>
      <c r="F38" s="308"/>
      <c r="G38" s="310"/>
    </row>
    <row r="39" ht="15.75" customHeight="1">
      <c r="A39" s="307"/>
      <c r="B39" s="307"/>
      <c r="C39" s="306"/>
      <c r="D39" s="257"/>
      <c r="E39" s="257"/>
      <c r="F39" s="308"/>
      <c r="G39" s="309"/>
    </row>
    <row r="40" ht="15.75" customHeight="1">
      <c r="A40" s="307"/>
      <c r="B40" s="307"/>
      <c r="C40" s="306"/>
      <c r="D40" s="257"/>
      <c r="E40" s="257"/>
      <c r="F40" s="308"/>
      <c r="G40" s="309"/>
    </row>
    <row r="41" ht="15.75" customHeight="1">
      <c r="A41" s="307"/>
      <c r="B41" s="307"/>
      <c r="C41" s="306"/>
      <c r="D41" s="257"/>
      <c r="E41" s="257"/>
      <c r="F41" s="308"/>
      <c r="G41" s="309"/>
    </row>
    <row r="42" ht="15.75" customHeight="1">
      <c r="A42" s="307"/>
      <c r="B42" s="307"/>
      <c r="C42" s="306"/>
      <c r="D42" s="257"/>
      <c r="E42" s="257"/>
      <c r="F42" s="308"/>
      <c r="G42" s="309"/>
    </row>
    <row r="43" ht="15.75" customHeight="1">
      <c r="A43" s="307"/>
      <c r="B43" s="307"/>
      <c r="C43" s="306"/>
      <c r="D43" s="257"/>
      <c r="E43" s="257"/>
      <c r="F43" s="308"/>
      <c r="G43" s="309"/>
    </row>
    <row r="44" ht="15.75" customHeight="1">
      <c r="A44" s="307"/>
      <c r="B44" s="307"/>
      <c r="C44" s="306"/>
      <c r="D44" s="257"/>
      <c r="E44" s="257"/>
      <c r="F44" s="308"/>
      <c r="G44" s="309"/>
    </row>
    <row r="45" ht="15.75" customHeight="1">
      <c r="A45" s="307"/>
      <c r="B45" s="307"/>
      <c r="C45" s="306"/>
      <c r="D45" s="257"/>
      <c r="E45" s="257"/>
      <c r="F45" s="308"/>
      <c r="G45" s="309"/>
    </row>
    <row r="46" ht="15.75" customHeight="1">
      <c r="A46" s="307"/>
      <c r="B46" s="307"/>
      <c r="C46" s="306"/>
      <c r="D46" s="257"/>
      <c r="E46" s="257"/>
      <c r="F46" s="308"/>
      <c r="G46" s="309"/>
    </row>
    <row r="47" ht="15.75" customHeight="1">
      <c r="A47" s="307"/>
      <c r="B47" s="307"/>
      <c r="C47" s="306"/>
      <c r="D47" s="257"/>
      <c r="E47" s="257"/>
      <c r="F47" s="308"/>
      <c r="G47" s="309"/>
    </row>
    <row r="48" ht="15.75" customHeight="1">
      <c r="A48" s="307"/>
      <c r="B48" s="307"/>
      <c r="C48" s="306"/>
      <c r="D48" s="257"/>
      <c r="E48" s="257"/>
      <c r="F48" s="308"/>
      <c r="G48" s="309"/>
    </row>
    <row r="49" ht="15.75" customHeight="1">
      <c r="A49" s="307"/>
      <c r="B49" s="307"/>
      <c r="C49" s="306"/>
      <c r="D49" s="257"/>
      <c r="E49" s="257"/>
      <c r="F49" s="308"/>
      <c r="G49" s="311"/>
    </row>
    <row r="50" ht="15.75" customHeight="1">
      <c r="A50" s="307"/>
      <c r="B50" s="307"/>
      <c r="C50" s="306"/>
      <c r="D50" s="257"/>
      <c r="E50" s="257"/>
      <c r="F50" s="308"/>
      <c r="G50" s="309"/>
    </row>
    <row r="51" ht="15.75" customHeight="1">
      <c r="A51" s="307"/>
      <c r="B51" s="307"/>
      <c r="C51" s="306"/>
      <c r="D51" s="257"/>
      <c r="E51" s="257"/>
      <c r="F51" s="308"/>
      <c r="G51" s="309"/>
    </row>
    <row r="52" ht="15.75" customHeight="1">
      <c r="A52" s="307"/>
      <c r="B52" s="307"/>
      <c r="C52" s="306"/>
      <c r="D52" s="257"/>
      <c r="E52" s="257"/>
      <c r="F52" s="308"/>
      <c r="G52" s="309"/>
    </row>
    <row r="53" ht="15.75" customHeight="1">
      <c r="A53" s="307"/>
      <c r="B53" s="307"/>
      <c r="C53" s="306"/>
      <c r="D53" s="257"/>
      <c r="E53" s="257"/>
      <c r="F53" s="308"/>
      <c r="G53" s="311"/>
    </row>
    <row r="54" ht="15.75" customHeight="1">
      <c r="A54" s="307"/>
      <c r="B54" s="307"/>
      <c r="C54" s="306"/>
      <c r="D54" s="257"/>
      <c r="E54" s="257"/>
      <c r="F54" s="308"/>
      <c r="G54" s="311"/>
    </row>
    <row r="55" ht="15.75" customHeight="1">
      <c r="A55" s="307"/>
      <c r="B55" s="307"/>
      <c r="C55" s="306"/>
      <c r="D55" s="257"/>
      <c r="E55" s="257"/>
      <c r="F55" s="308"/>
      <c r="G55" s="311"/>
    </row>
    <row r="56" ht="15.75" customHeight="1">
      <c r="A56" s="307"/>
      <c r="B56" s="307"/>
      <c r="C56" s="306"/>
      <c r="D56" s="257"/>
      <c r="E56" s="257"/>
      <c r="F56" s="308"/>
      <c r="G56" s="311"/>
    </row>
    <row r="57" ht="15.75" customHeight="1">
      <c r="A57" s="307"/>
      <c r="B57" s="307"/>
      <c r="C57" s="306"/>
      <c r="D57" s="257"/>
      <c r="E57" s="257"/>
      <c r="F57" s="308"/>
      <c r="G57" s="311"/>
    </row>
    <row r="58" ht="15.75" customHeight="1">
      <c r="A58" s="307"/>
      <c r="B58" s="307"/>
      <c r="C58" s="306"/>
      <c r="D58" s="257"/>
      <c r="E58" s="257"/>
      <c r="F58" s="308"/>
      <c r="G58" s="311"/>
    </row>
    <row r="59" ht="15.75" customHeight="1">
      <c r="A59" s="307"/>
      <c r="B59" s="307"/>
      <c r="C59" s="306"/>
      <c r="D59" s="257"/>
      <c r="E59" s="257"/>
      <c r="F59" s="308"/>
      <c r="G59" s="311"/>
    </row>
    <row r="60" ht="15.75" customHeight="1">
      <c r="A60" s="307"/>
      <c r="B60" s="307"/>
      <c r="C60" s="306"/>
      <c r="D60" s="257"/>
      <c r="E60" s="257"/>
      <c r="F60" s="308"/>
      <c r="G60" s="311"/>
    </row>
    <row r="61" ht="15.75" customHeight="1">
      <c r="A61" s="307"/>
      <c r="B61" s="307"/>
      <c r="C61" s="306"/>
      <c r="D61" s="257"/>
      <c r="E61" s="257"/>
      <c r="F61" s="308"/>
      <c r="G61" s="311"/>
    </row>
    <row r="62" ht="15.75" customHeight="1">
      <c r="A62" s="307"/>
      <c r="B62" s="307"/>
      <c r="C62" s="306"/>
      <c r="D62" s="257"/>
      <c r="E62" s="257"/>
      <c r="F62" s="308"/>
      <c r="G62" s="311"/>
    </row>
    <row r="63" ht="15.75" customHeight="1">
      <c r="A63" s="307"/>
      <c r="B63" s="307"/>
      <c r="C63" s="306"/>
      <c r="D63" s="257"/>
      <c r="E63" s="257"/>
      <c r="F63" s="308"/>
      <c r="G63" s="309"/>
    </row>
    <row r="64" ht="15.75" customHeight="1">
      <c r="A64" s="307"/>
      <c r="B64" s="307"/>
      <c r="C64" s="306"/>
      <c r="D64" s="257"/>
      <c r="E64" s="257"/>
      <c r="F64" s="308"/>
      <c r="G64" s="309"/>
    </row>
    <row r="65" ht="15.75" customHeight="1">
      <c r="A65" s="307"/>
      <c r="B65" s="307"/>
      <c r="C65" s="306"/>
      <c r="D65" s="257"/>
      <c r="E65" s="257"/>
      <c r="F65" s="308"/>
      <c r="G65" s="309"/>
    </row>
    <row r="66" ht="15.75" customHeight="1">
      <c r="A66" s="307"/>
      <c r="B66" s="307"/>
      <c r="C66" s="306"/>
      <c r="D66" s="257"/>
      <c r="E66" s="257"/>
      <c r="F66" s="308"/>
      <c r="G66" s="309"/>
    </row>
    <row r="67" ht="15.75" customHeight="1">
      <c r="A67" s="307"/>
      <c r="B67" s="307"/>
      <c r="C67" s="306"/>
      <c r="D67" s="257"/>
      <c r="E67" s="257"/>
      <c r="F67" s="308"/>
      <c r="G67" s="311"/>
    </row>
    <row r="68" ht="15.75" customHeight="1">
      <c r="A68" s="307"/>
      <c r="B68" s="307"/>
      <c r="C68" s="306"/>
      <c r="D68" s="257"/>
      <c r="E68" s="257"/>
      <c r="F68" s="308"/>
      <c r="G68" s="309"/>
    </row>
    <row r="69" ht="15.75" customHeight="1">
      <c r="A69" s="307"/>
      <c r="B69" s="307"/>
      <c r="C69" s="306"/>
      <c r="D69" s="257"/>
      <c r="E69" s="257"/>
      <c r="F69" s="308"/>
      <c r="G69" s="309"/>
    </row>
    <row r="70" ht="15.75" customHeight="1">
      <c r="A70" s="307"/>
      <c r="B70" s="307"/>
      <c r="C70" s="306"/>
      <c r="D70" s="257"/>
      <c r="E70" s="257"/>
      <c r="F70" s="308"/>
      <c r="G70" s="309"/>
    </row>
    <row r="71" ht="15.75" customHeight="1">
      <c r="A71" s="307"/>
      <c r="B71" s="307"/>
      <c r="C71" s="306"/>
      <c r="D71" s="257"/>
      <c r="E71" s="257"/>
      <c r="F71" s="308"/>
      <c r="G71" s="311"/>
    </row>
    <row r="72" ht="15.75" customHeight="1">
      <c r="A72" s="307"/>
      <c r="B72" s="307"/>
      <c r="C72" s="306"/>
      <c r="D72" s="257"/>
      <c r="E72" s="257"/>
      <c r="F72" s="308"/>
      <c r="G72" s="309"/>
    </row>
    <row r="73" ht="15.75" customHeight="1">
      <c r="A73" s="307"/>
      <c r="B73" s="307"/>
      <c r="C73" s="306"/>
      <c r="D73" s="257"/>
      <c r="E73" s="257"/>
      <c r="F73" s="308"/>
      <c r="G73" s="309"/>
    </row>
    <row r="74" ht="15.75" customHeight="1">
      <c r="A74" s="307"/>
      <c r="B74" s="307"/>
      <c r="C74" s="306"/>
      <c r="D74" s="257"/>
      <c r="E74" s="257"/>
      <c r="F74" s="308"/>
      <c r="G74" s="309"/>
    </row>
    <row r="75" ht="15.75" customHeight="1">
      <c r="A75" s="307"/>
      <c r="B75" s="307"/>
      <c r="C75" s="306"/>
      <c r="D75" s="257"/>
      <c r="E75" s="257"/>
      <c r="F75" s="308"/>
      <c r="G75" s="309"/>
    </row>
    <row r="76" ht="15.75" customHeight="1">
      <c r="A76" s="307"/>
      <c r="B76" s="307"/>
      <c r="C76" s="306"/>
      <c r="D76" s="257"/>
      <c r="E76" s="257"/>
      <c r="F76" s="308"/>
      <c r="G76" s="309"/>
    </row>
    <row r="77" ht="15.75" customHeight="1">
      <c r="A77" s="307"/>
      <c r="B77" s="307"/>
      <c r="C77" s="306"/>
      <c r="D77" s="257"/>
      <c r="E77" s="257"/>
      <c r="F77" s="308"/>
      <c r="G77" s="311"/>
    </row>
    <row r="78" ht="15.75" customHeight="1">
      <c r="A78" s="307"/>
      <c r="B78" s="307"/>
      <c r="C78" s="306"/>
      <c r="D78" s="257"/>
      <c r="E78" s="257"/>
      <c r="F78" s="308"/>
      <c r="G78" s="309"/>
    </row>
    <row r="79" ht="15.75" customHeight="1">
      <c r="A79" s="307"/>
      <c r="B79" s="307"/>
      <c r="C79" s="306"/>
      <c r="D79" s="257"/>
      <c r="E79" s="257"/>
      <c r="F79" s="308"/>
      <c r="G79" s="309"/>
    </row>
    <row r="80" ht="15.75" customHeight="1">
      <c r="A80" s="307"/>
      <c r="B80" s="307"/>
      <c r="C80" s="306"/>
      <c r="D80" s="257"/>
      <c r="E80" s="257"/>
      <c r="F80" s="308"/>
      <c r="G80" s="311"/>
    </row>
    <row r="81" ht="15.75" customHeight="1">
      <c r="A81" s="307"/>
      <c r="B81" s="307"/>
      <c r="C81" s="306"/>
      <c r="D81" s="257"/>
      <c r="E81" s="257"/>
      <c r="F81" s="308"/>
      <c r="G81" s="311"/>
    </row>
    <row r="82" ht="15.75" customHeight="1">
      <c r="A82" s="307"/>
      <c r="B82" s="307"/>
      <c r="C82" s="306"/>
      <c r="D82" s="257"/>
      <c r="E82" s="257"/>
      <c r="F82" s="308"/>
      <c r="G82" s="309"/>
    </row>
    <row r="83" ht="15.75" customHeight="1">
      <c r="A83" s="307"/>
      <c r="B83" s="307"/>
      <c r="C83" s="306"/>
      <c r="D83" s="257"/>
      <c r="E83" s="257"/>
      <c r="F83" s="308"/>
      <c r="G83" s="309"/>
    </row>
    <row r="84" ht="15.75" customHeight="1">
      <c r="A84" s="307"/>
      <c r="B84" s="307"/>
      <c r="C84" s="306"/>
      <c r="D84" s="257"/>
      <c r="E84" s="257"/>
      <c r="F84" s="308"/>
      <c r="G84" s="311"/>
    </row>
    <row r="85" ht="15.75" customHeight="1">
      <c r="A85" s="307"/>
      <c r="B85" s="307"/>
      <c r="C85" s="306"/>
      <c r="D85" s="257"/>
      <c r="E85" s="257"/>
      <c r="F85" s="308"/>
      <c r="G85" s="311"/>
    </row>
    <row r="86" ht="15.75" customHeight="1">
      <c r="A86" s="307"/>
      <c r="B86" s="307"/>
      <c r="C86" s="306"/>
      <c r="D86" s="257"/>
      <c r="E86" s="257"/>
      <c r="F86" s="308"/>
      <c r="G86" s="309"/>
    </row>
    <row r="87" ht="15.75" customHeight="1">
      <c r="A87" s="307"/>
      <c r="B87" s="307"/>
      <c r="C87" s="306"/>
      <c r="D87" s="257"/>
      <c r="E87" s="257"/>
      <c r="F87" s="308"/>
      <c r="G87" s="309"/>
    </row>
    <row r="88" ht="15.75" customHeight="1">
      <c r="A88" s="307"/>
      <c r="B88" s="307"/>
      <c r="C88" s="306"/>
      <c r="D88" s="257"/>
      <c r="E88" s="257"/>
      <c r="F88" s="308"/>
      <c r="G88" s="311"/>
    </row>
    <row r="89" ht="15.75" customHeight="1">
      <c r="A89" s="307"/>
      <c r="B89" s="307"/>
      <c r="C89" s="306"/>
      <c r="D89" s="257"/>
      <c r="E89" s="257"/>
      <c r="F89" s="308"/>
      <c r="G89" s="309"/>
    </row>
    <row r="90" ht="15.75" customHeight="1">
      <c r="A90" s="307"/>
      <c r="B90" s="307"/>
      <c r="C90" s="306"/>
      <c r="D90" s="257"/>
      <c r="E90" s="257"/>
      <c r="F90" s="308"/>
      <c r="G90" s="309"/>
    </row>
    <row r="91" ht="15.75" customHeight="1">
      <c r="A91" s="307"/>
      <c r="B91" s="307"/>
      <c r="C91" s="306"/>
      <c r="D91" s="257"/>
      <c r="E91" s="257"/>
      <c r="F91" s="308"/>
      <c r="G91" s="309"/>
    </row>
    <row r="92" ht="15.75" customHeight="1">
      <c r="A92" s="307"/>
      <c r="B92" s="307"/>
      <c r="C92" s="306"/>
      <c r="D92" s="257"/>
      <c r="E92" s="257"/>
      <c r="F92" s="308"/>
      <c r="G92" s="311"/>
    </row>
    <row r="93" ht="15.75" customHeight="1">
      <c r="A93" s="307"/>
      <c r="B93" s="307"/>
      <c r="C93" s="306"/>
      <c r="D93" s="257"/>
      <c r="E93" s="257"/>
      <c r="F93" s="308"/>
      <c r="G93" s="309"/>
    </row>
    <row r="94" ht="15.75" customHeight="1">
      <c r="A94" s="307"/>
      <c r="B94" s="307"/>
      <c r="C94" s="306"/>
      <c r="D94" s="257"/>
      <c r="E94" s="257"/>
      <c r="F94" s="308"/>
      <c r="G94" s="311"/>
    </row>
    <row r="95" ht="15.75" customHeight="1">
      <c r="A95" s="307"/>
      <c r="B95" s="307"/>
      <c r="C95" s="306"/>
      <c r="D95" s="257"/>
      <c r="E95" s="257"/>
      <c r="F95" s="308"/>
      <c r="G95" s="309"/>
    </row>
    <row r="96" ht="15.75" customHeight="1">
      <c r="A96" s="307"/>
      <c r="B96" s="307"/>
      <c r="C96" s="306"/>
      <c r="D96" s="257"/>
      <c r="E96" s="257"/>
      <c r="F96" s="308"/>
      <c r="G96" s="311"/>
    </row>
    <row r="97" ht="15.75" customHeight="1">
      <c r="A97" s="307"/>
      <c r="B97" s="307"/>
      <c r="C97" s="306"/>
      <c r="D97" s="257"/>
      <c r="E97" s="257"/>
      <c r="F97" s="308"/>
      <c r="G97" s="309"/>
    </row>
    <row r="98" ht="15.75" customHeight="1">
      <c r="A98" s="307"/>
      <c r="B98" s="307"/>
      <c r="C98" s="306"/>
      <c r="D98" s="257"/>
      <c r="E98" s="257"/>
      <c r="F98" s="308"/>
      <c r="G98" s="309"/>
    </row>
    <row r="99" ht="15.75" customHeight="1">
      <c r="A99" s="307"/>
      <c r="B99" s="307"/>
      <c r="C99" s="306"/>
      <c r="D99" s="257"/>
      <c r="E99" s="257"/>
      <c r="F99" s="308"/>
      <c r="G99" s="309"/>
    </row>
    <row r="100" ht="15.75" customHeight="1">
      <c r="A100" s="307"/>
      <c r="B100" s="307"/>
      <c r="C100" s="306"/>
      <c r="D100" s="257"/>
      <c r="E100" s="257"/>
      <c r="F100" s="308"/>
      <c r="G100" s="309"/>
    </row>
    <row r="101" ht="15.75" customHeight="1">
      <c r="A101" s="307"/>
      <c r="B101" s="307"/>
      <c r="C101" s="306"/>
      <c r="D101" s="257"/>
      <c r="E101" s="257"/>
      <c r="F101" s="308"/>
      <c r="G101" s="311"/>
    </row>
    <row r="102" ht="15.75" customHeight="1">
      <c r="A102" s="307"/>
      <c r="B102" s="307"/>
      <c r="C102" s="306"/>
      <c r="D102" s="257"/>
      <c r="E102" s="257"/>
      <c r="F102" s="308"/>
      <c r="G102" s="309"/>
    </row>
    <row r="103" ht="15.75" customHeight="1">
      <c r="A103" s="307"/>
      <c r="B103" s="307"/>
      <c r="C103" s="306"/>
      <c r="D103" s="257"/>
      <c r="E103" s="257"/>
      <c r="F103" s="308"/>
      <c r="G103" s="309"/>
    </row>
    <row r="104" ht="15.75" customHeight="1">
      <c r="A104" s="307"/>
      <c r="B104" s="307"/>
      <c r="C104" s="306"/>
      <c r="D104" s="257"/>
      <c r="E104" s="257"/>
      <c r="F104" s="308"/>
      <c r="G104" s="309"/>
    </row>
    <row r="105" ht="15.75" customHeight="1">
      <c r="A105" s="307"/>
      <c r="B105" s="307"/>
      <c r="C105" s="306"/>
      <c r="D105" s="257"/>
      <c r="E105" s="257"/>
      <c r="F105" s="308"/>
      <c r="G105" s="309"/>
    </row>
    <row r="106" ht="15.75" customHeight="1">
      <c r="A106" s="307"/>
      <c r="B106" s="307"/>
      <c r="C106" s="306"/>
      <c r="D106" s="257"/>
      <c r="E106" s="257"/>
      <c r="F106" s="308"/>
      <c r="G106" s="309"/>
    </row>
    <row r="107" ht="15.75" customHeight="1">
      <c r="A107" s="307"/>
      <c r="B107" s="307"/>
      <c r="C107" s="306"/>
      <c r="D107" s="257"/>
      <c r="E107" s="257"/>
      <c r="F107" s="308"/>
      <c r="G107" s="309"/>
    </row>
    <row r="108" ht="15.75" customHeight="1">
      <c r="A108" s="307"/>
      <c r="B108" s="307"/>
      <c r="C108" s="306"/>
      <c r="D108" s="257"/>
      <c r="E108" s="257"/>
      <c r="F108" s="308"/>
      <c r="G108" s="309"/>
    </row>
    <row r="109" ht="15.75" customHeight="1">
      <c r="A109" s="307"/>
      <c r="B109" s="307"/>
      <c r="C109" s="306"/>
      <c r="D109" s="257"/>
      <c r="E109" s="257"/>
      <c r="F109" s="308"/>
      <c r="G109" s="309"/>
    </row>
    <row r="110" ht="15.75" customHeight="1">
      <c r="A110" s="307"/>
      <c r="B110" s="307"/>
      <c r="C110" s="306"/>
      <c r="D110" s="257"/>
      <c r="E110" s="257"/>
      <c r="F110" s="308"/>
      <c r="G110" s="309"/>
    </row>
    <row r="111" ht="15.75" customHeight="1">
      <c r="A111" s="307"/>
      <c r="B111" s="307"/>
      <c r="C111" s="306"/>
      <c r="D111" s="257"/>
      <c r="E111" s="257"/>
      <c r="F111" s="308"/>
      <c r="G111" s="309"/>
    </row>
    <row r="112" ht="15.75" customHeight="1">
      <c r="A112" s="307"/>
      <c r="B112" s="307"/>
      <c r="C112" s="306"/>
      <c r="D112" s="257"/>
      <c r="E112" s="257"/>
      <c r="F112" s="308"/>
      <c r="G112" s="309"/>
    </row>
    <row r="113" ht="15.75" customHeight="1">
      <c r="A113" s="307"/>
      <c r="B113" s="307"/>
      <c r="C113" s="306"/>
      <c r="D113" s="257"/>
      <c r="E113" s="257"/>
      <c r="F113" s="308"/>
      <c r="G113" s="309"/>
    </row>
    <row r="114" ht="15.75" customHeight="1">
      <c r="A114" s="307"/>
      <c r="B114" s="307"/>
      <c r="C114" s="306"/>
      <c r="D114" s="257"/>
      <c r="E114" s="257"/>
      <c r="F114" s="308"/>
      <c r="G114" s="309"/>
    </row>
    <row r="115" ht="15.75" customHeight="1">
      <c r="A115" s="307"/>
      <c r="B115" s="307"/>
      <c r="C115" s="306"/>
      <c r="D115" s="257"/>
      <c r="E115" s="257"/>
      <c r="F115" s="308"/>
      <c r="G115" s="309"/>
    </row>
    <row r="116" ht="15.75" customHeight="1">
      <c r="A116" s="307"/>
      <c r="B116" s="307"/>
      <c r="C116" s="306"/>
      <c r="D116" s="257"/>
      <c r="E116" s="257"/>
      <c r="F116" s="308"/>
      <c r="G116" s="309"/>
    </row>
    <row r="117" ht="15.75" customHeight="1">
      <c r="A117" s="307"/>
      <c r="B117" s="307"/>
      <c r="C117" s="306"/>
      <c r="D117" s="257"/>
      <c r="E117" s="257"/>
      <c r="F117" s="308"/>
      <c r="G117" s="309"/>
    </row>
    <row r="118" ht="15.75" customHeight="1">
      <c r="A118" s="307"/>
      <c r="B118" s="307"/>
      <c r="C118" s="306"/>
      <c r="D118" s="257"/>
      <c r="E118" s="257"/>
      <c r="F118" s="308"/>
      <c r="G118" s="309"/>
    </row>
    <row r="119" ht="15.75" customHeight="1">
      <c r="A119" s="307"/>
      <c r="B119" s="307"/>
      <c r="C119" s="306"/>
      <c r="D119" s="257"/>
      <c r="E119" s="257"/>
      <c r="F119" s="308"/>
      <c r="G119" s="309"/>
    </row>
    <row r="120" ht="15.75" customHeight="1">
      <c r="A120" s="307"/>
      <c r="B120" s="307"/>
      <c r="C120" s="306"/>
      <c r="D120" s="257"/>
      <c r="E120" s="257"/>
      <c r="F120" s="308"/>
      <c r="G120" s="309"/>
    </row>
    <row r="121" ht="15.75" customHeight="1">
      <c r="A121" s="307"/>
      <c r="B121" s="307"/>
      <c r="C121" s="306"/>
      <c r="D121" s="257"/>
      <c r="E121" s="257"/>
      <c r="F121" s="308"/>
      <c r="G121" s="309"/>
    </row>
    <row r="122" ht="15.75" customHeight="1">
      <c r="A122" s="307"/>
      <c r="B122" s="307"/>
      <c r="C122" s="306"/>
      <c r="D122" s="257"/>
      <c r="E122" s="257"/>
      <c r="F122" s="308"/>
      <c r="G122" s="309"/>
    </row>
    <row r="123" ht="15.75" customHeight="1">
      <c r="A123" s="307"/>
      <c r="B123" s="307"/>
      <c r="C123" s="306"/>
      <c r="D123" s="257"/>
      <c r="E123" s="257"/>
      <c r="F123" s="308"/>
      <c r="G123" s="309"/>
    </row>
    <row r="124" ht="15.75" customHeight="1">
      <c r="A124" s="307"/>
      <c r="B124" s="307"/>
      <c r="C124" s="306"/>
      <c r="D124" s="257"/>
      <c r="E124" s="257"/>
      <c r="F124" s="308"/>
      <c r="G124" s="309"/>
    </row>
    <row r="125" ht="15.75" customHeight="1">
      <c r="A125" s="307"/>
      <c r="B125" s="307"/>
      <c r="C125" s="306"/>
      <c r="D125" s="257"/>
      <c r="E125" s="257"/>
      <c r="F125" s="308"/>
      <c r="G125" s="309"/>
    </row>
    <row r="126" ht="15.75" customHeight="1">
      <c r="A126" s="307"/>
      <c r="B126" s="307"/>
      <c r="C126" s="306"/>
      <c r="D126" s="257"/>
      <c r="E126" s="257"/>
      <c r="F126" s="308"/>
      <c r="G126" s="309"/>
    </row>
    <row r="127" ht="15.75" customHeight="1">
      <c r="A127" s="307"/>
      <c r="B127" s="307"/>
      <c r="C127" s="306"/>
      <c r="D127" s="257"/>
      <c r="E127" s="257"/>
      <c r="F127" s="308"/>
      <c r="G127" s="309"/>
    </row>
    <row r="128" ht="15.75" customHeight="1">
      <c r="A128" s="307"/>
      <c r="B128" s="307"/>
      <c r="C128" s="306"/>
      <c r="D128" s="257"/>
      <c r="E128" s="257"/>
      <c r="F128" s="308"/>
      <c r="G128" s="309"/>
    </row>
    <row r="129" ht="15.75" customHeight="1">
      <c r="A129" s="307"/>
      <c r="B129" s="307"/>
      <c r="C129" s="306"/>
      <c r="D129" s="257"/>
      <c r="E129" s="257"/>
      <c r="F129" s="308"/>
      <c r="G129" s="309"/>
    </row>
    <row r="130" ht="15.75" customHeight="1">
      <c r="A130" s="307"/>
      <c r="B130" s="307"/>
      <c r="C130" s="306"/>
      <c r="D130" s="257"/>
      <c r="E130" s="257"/>
      <c r="F130" s="308"/>
      <c r="G130" s="309"/>
    </row>
    <row r="131" ht="15.75" customHeight="1">
      <c r="A131" s="307"/>
      <c r="B131" s="307"/>
      <c r="C131" s="306"/>
      <c r="D131" s="257"/>
      <c r="E131" s="257"/>
      <c r="F131" s="308"/>
      <c r="G131" s="309"/>
    </row>
    <row r="132" ht="15.75" customHeight="1">
      <c r="A132" s="307"/>
      <c r="B132" s="307"/>
      <c r="C132" s="306"/>
      <c r="D132" s="257"/>
      <c r="E132" s="257"/>
      <c r="F132" s="308"/>
      <c r="G132" s="309"/>
    </row>
    <row r="133" ht="15.75" customHeight="1">
      <c r="A133" s="307"/>
      <c r="B133" s="307"/>
      <c r="C133" s="306"/>
      <c r="D133" s="257"/>
      <c r="E133" s="257"/>
      <c r="F133" s="308"/>
      <c r="G133" s="309"/>
    </row>
    <row r="134" ht="15.75" customHeight="1">
      <c r="A134" s="307"/>
      <c r="B134" s="307"/>
      <c r="C134" s="306"/>
      <c r="D134" s="257"/>
      <c r="E134" s="257"/>
      <c r="F134" s="308"/>
      <c r="G134" s="309"/>
    </row>
    <row r="135" ht="15.75" customHeight="1">
      <c r="A135" s="307"/>
      <c r="B135" s="307"/>
      <c r="C135" s="306"/>
      <c r="D135" s="257"/>
      <c r="E135" s="257"/>
      <c r="F135" s="308"/>
      <c r="G135" s="309"/>
    </row>
    <row r="136" ht="15.75" customHeight="1">
      <c r="A136" s="307"/>
      <c r="B136" s="307"/>
      <c r="C136" s="306"/>
      <c r="D136" s="257"/>
      <c r="E136" s="257"/>
      <c r="F136" s="308"/>
      <c r="G136" s="309"/>
    </row>
    <row r="137" ht="15.75" customHeight="1">
      <c r="A137" s="307"/>
      <c r="B137" s="307"/>
      <c r="C137" s="306"/>
      <c r="D137" s="257"/>
      <c r="E137" s="257"/>
      <c r="F137" s="308"/>
      <c r="G137" s="309"/>
    </row>
    <row r="138" ht="15.75" customHeight="1">
      <c r="A138" s="307"/>
      <c r="B138" s="307"/>
      <c r="C138" s="306"/>
      <c r="D138" s="257"/>
      <c r="E138" s="257"/>
      <c r="F138" s="308"/>
      <c r="G138" s="309"/>
    </row>
    <row r="139" ht="15.75" customHeight="1">
      <c r="A139" s="307"/>
      <c r="B139" s="307"/>
      <c r="C139" s="306"/>
      <c r="D139" s="257"/>
      <c r="E139" s="257"/>
      <c r="F139" s="308"/>
      <c r="G139" s="309"/>
    </row>
    <row r="140" ht="15.75" customHeight="1">
      <c r="A140" s="307"/>
      <c r="B140" s="307"/>
      <c r="C140" s="306"/>
      <c r="D140" s="257"/>
      <c r="E140" s="257"/>
      <c r="F140" s="308"/>
      <c r="G140" s="309"/>
    </row>
    <row r="141" ht="15.75" customHeight="1">
      <c r="A141" s="307"/>
      <c r="B141" s="307"/>
      <c r="C141" s="306"/>
      <c r="D141" s="257"/>
      <c r="E141" s="257"/>
      <c r="F141" s="308"/>
      <c r="G141" s="309"/>
    </row>
    <row r="142" ht="15.75" customHeight="1">
      <c r="A142" s="307"/>
      <c r="B142" s="307"/>
      <c r="C142" s="306"/>
      <c r="D142" s="257"/>
      <c r="E142" s="257"/>
      <c r="F142" s="308"/>
      <c r="G142" s="309"/>
    </row>
    <row r="143" ht="15.75" customHeight="1">
      <c r="A143" s="307"/>
      <c r="B143" s="307"/>
      <c r="C143" s="306"/>
      <c r="D143" s="257"/>
      <c r="E143" s="257"/>
      <c r="F143" s="308"/>
      <c r="G143" s="309"/>
    </row>
    <row r="144" ht="15.75" customHeight="1">
      <c r="A144" s="307"/>
      <c r="B144" s="307"/>
      <c r="C144" s="306"/>
      <c r="D144" s="257"/>
      <c r="E144" s="257"/>
      <c r="F144" s="308"/>
      <c r="G144" s="309"/>
    </row>
    <row r="145" ht="15.75" customHeight="1">
      <c r="A145" s="307"/>
      <c r="B145" s="307"/>
      <c r="C145" s="306"/>
      <c r="D145" s="257"/>
      <c r="E145" s="257"/>
      <c r="F145" s="308"/>
      <c r="G145" s="309"/>
    </row>
    <row r="146" ht="15.75" customHeight="1">
      <c r="A146" s="307"/>
      <c r="B146" s="307"/>
      <c r="C146" s="306"/>
      <c r="D146" s="257"/>
      <c r="E146" s="257"/>
      <c r="F146" s="308"/>
      <c r="G146" s="309"/>
    </row>
    <row r="147" ht="15.75" customHeight="1">
      <c r="A147" s="307"/>
      <c r="B147" s="307"/>
      <c r="C147" s="306"/>
      <c r="D147" s="257"/>
      <c r="E147" s="257"/>
      <c r="F147" s="308"/>
      <c r="G147" s="309"/>
    </row>
    <row r="148" ht="15.75" customHeight="1">
      <c r="A148" s="307"/>
      <c r="B148" s="307"/>
      <c r="C148" s="306"/>
      <c r="D148" s="257"/>
      <c r="E148" s="257"/>
      <c r="F148" s="308"/>
      <c r="G148" s="309"/>
    </row>
    <row r="149" ht="15.75" customHeight="1">
      <c r="A149" s="307"/>
      <c r="B149" s="307"/>
      <c r="C149" s="306"/>
      <c r="D149" s="257"/>
      <c r="E149" s="257"/>
      <c r="F149" s="308"/>
      <c r="G149" s="309"/>
    </row>
    <row r="150" ht="15.75" customHeight="1">
      <c r="A150" s="307"/>
      <c r="B150" s="307"/>
      <c r="C150" s="306"/>
      <c r="D150" s="257"/>
      <c r="E150" s="257"/>
      <c r="F150" s="308"/>
      <c r="G150" s="309"/>
    </row>
    <row r="151" ht="15.75" customHeight="1">
      <c r="A151" s="307"/>
      <c r="B151" s="307"/>
      <c r="C151" s="306"/>
      <c r="D151" s="257"/>
      <c r="E151" s="257"/>
      <c r="F151" s="308"/>
      <c r="G151" s="309"/>
    </row>
    <row r="152" ht="15.75" customHeight="1">
      <c r="A152" s="307"/>
      <c r="B152" s="307"/>
      <c r="C152" s="306"/>
      <c r="D152" s="257"/>
      <c r="E152" s="257"/>
      <c r="F152" s="308"/>
      <c r="G152" s="309"/>
    </row>
    <row r="153" ht="15.75" customHeight="1">
      <c r="A153" s="307"/>
      <c r="B153" s="307"/>
      <c r="C153" s="306"/>
      <c r="D153" s="257"/>
      <c r="E153" s="257"/>
      <c r="F153" s="308"/>
      <c r="G153" s="309"/>
    </row>
    <row r="154" ht="15.75" customHeight="1">
      <c r="A154" s="307"/>
      <c r="B154" s="307"/>
      <c r="C154" s="306"/>
      <c r="D154" s="257"/>
      <c r="E154" s="257"/>
      <c r="F154" s="308"/>
      <c r="G154" s="309"/>
    </row>
    <row r="155" ht="15.75" customHeight="1">
      <c r="A155" s="307"/>
      <c r="B155" s="307"/>
      <c r="C155" s="306"/>
      <c r="D155" s="257"/>
      <c r="E155" s="257"/>
      <c r="F155" s="308"/>
      <c r="G155" s="309"/>
    </row>
    <row r="156" ht="15.75" customHeight="1">
      <c r="A156" s="307"/>
      <c r="B156" s="307"/>
      <c r="C156" s="306"/>
      <c r="D156" s="257"/>
      <c r="E156" s="257"/>
      <c r="F156" s="308"/>
      <c r="G156" s="309"/>
    </row>
    <row r="157" ht="15.75" customHeight="1">
      <c r="A157" s="307"/>
      <c r="B157" s="307"/>
      <c r="C157" s="306"/>
      <c r="D157" s="257"/>
      <c r="E157" s="257"/>
      <c r="F157" s="308"/>
      <c r="G157" s="309"/>
    </row>
    <row r="158" ht="15.75" customHeight="1">
      <c r="A158" s="307"/>
      <c r="B158" s="307"/>
      <c r="C158" s="306"/>
      <c r="D158" s="257"/>
      <c r="E158" s="257"/>
      <c r="F158" s="308"/>
      <c r="G158" s="309"/>
    </row>
    <row r="159" ht="15.75" customHeight="1">
      <c r="A159" s="307"/>
      <c r="B159" s="307"/>
      <c r="C159" s="306"/>
      <c r="D159" s="257"/>
      <c r="E159" s="257"/>
      <c r="F159" s="308"/>
      <c r="G159" s="309"/>
    </row>
    <row r="160" ht="15.75" customHeight="1">
      <c r="A160" s="307"/>
      <c r="B160" s="307"/>
      <c r="C160" s="306"/>
      <c r="D160" s="257"/>
      <c r="E160" s="257"/>
      <c r="F160" s="308"/>
      <c r="G160" s="309"/>
    </row>
    <row r="161" ht="15.75" customHeight="1">
      <c r="A161" s="307"/>
      <c r="B161" s="307"/>
      <c r="C161" s="306"/>
      <c r="D161" s="257"/>
      <c r="E161" s="257"/>
      <c r="F161" s="308"/>
      <c r="G161" s="309"/>
    </row>
    <row r="162" ht="15.75" customHeight="1">
      <c r="A162" s="307"/>
      <c r="B162" s="307"/>
      <c r="C162" s="306"/>
      <c r="D162" s="257"/>
      <c r="E162" s="257"/>
      <c r="F162" s="308"/>
      <c r="G162" s="309"/>
    </row>
    <row r="163" ht="15.75" customHeight="1">
      <c r="A163" s="307"/>
      <c r="B163" s="307"/>
      <c r="C163" s="306"/>
      <c r="D163" s="257"/>
      <c r="E163" s="257"/>
      <c r="F163" s="308"/>
      <c r="G163" s="309"/>
    </row>
    <row r="164" ht="15.75" customHeight="1">
      <c r="A164" s="307"/>
      <c r="B164" s="307"/>
      <c r="C164" s="306"/>
      <c r="D164" s="257"/>
      <c r="E164" s="257"/>
      <c r="F164" s="308"/>
      <c r="G164" s="309"/>
    </row>
    <row r="165" ht="15.75" customHeight="1">
      <c r="A165" s="307"/>
      <c r="B165" s="307"/>
      <c r="C165" s="306"/>
      <c r="D165" s="257"/>
      <c r="E165" s="257"/>
      <c r="F165" s="308"/>
      <c r="G165" s="309"/>
    </row>
    <row r="166" ht="15.75" customHeight="1">
      <c r="A166" s="307"/>
      <c r="B166" s="307"/>
      <c r="C166" s="306"/>
      <c r="D166" s="257"/>
      <c r="E166" s="257"/>
      <c r="F166" s="308"/>
      <c r="G166" s="309"/>
    </row>
    <row r="167" ht="15.75" customHeight="1">
      <c r="A167" s="307"/>
      <c r="B167" s="307"/>
      <c r="C167" s="306"/>
      <c r="D167" s="257"/>
      <c r="E167" s="257"/>
      <c r="F167" s="308"/>
      <c r="G167" s="309"/>
    </row>
    <row r="168" ht="15.75" customHeight="1">
      <c r="A168" s="307"/>
      <c r="B168" s="307"/>
      <c r="C168" s="306"/>
      <c r="D168" s="257"/>
      <c r="E168" s="257"/>
      <c r="F168" s="308"/>
      <c r="G168" s="309"/>
    </row>
    <row r="169" ht="15.75" customHeight="1">
      <c r="A169" s="307"/>
      <c r="B169" s="307"/>
      <c r="C169" s="306"/>
      <c r="D169" s="257"/>
      <c r="E169" s="257"/>
      <c r="F169" s="308"/>
      <c r="G169" s="309"/>
    </row>
    <row r="170" ht="15.75" customHeight="1">
      <c r="A170" s="307"/>
      <c r="B170" s="307"/>
      <c r="C170" s="306"/>
      <c r="D170" s="257"/>
      <c r="E170" s="257"/>
      <c r="F170" s="308"/>
      <c r="G170" s="309"/>
    </row>
    <row r="171" ht="15.75" customHeight="1">
      <c r="A171" s="307"/>
      <c r="B171" s="307"/>
      <c r="C171" s="306"/>
      <c r="D171" s="257"/>
      <c r="E171" s="257"/>
      <c r="F171" s="308"/>
      <c r="G171" s="309"/>
    </row>
    <row r="172" ht="15.75" customHeight="1">
      <c r="A172" s="307"/>
      <c r="B172" s="307"/>
      <c r="C172" s="306"/>
      <c r="D172" s="257"/>
      <c r="E172" s="257"/>
      <c r="F172" s="308"/>
      <c r="G172" s="309"/>
    </row>
    <row r="173" ht="15.75" customHeight="1">
      <c r="A173" s="307"/>
      <c r="B173" s="307"/>
      <c r="C173" s="306"/>
      <c r="D173" s="257"/>
      <c r="E173" s="257"/>
      <c r="F173" s="308"/>
      <c r="G173" s="309"/>
    </row>
    <row r="174" ht="15.75" customHeight="1">
      <c r="A174" s="307"/>
      <c r="B174" s="307"/>
      <c r="C174" s="306"/>
      <c r="D174" s="257"/>
      <c r="E174" s="257"/>
      <c r="F174" s="308"/>
      <c r="G174" s="309"/>
    </row>
    <row r="175" ht="15.75" customHeight="1">
      <c r="A175" s="307"/>
      <c r="B175" s="307"/>
      <c r="C175" s="306"/>
      <c r="D175" s="257"/>
      <c r="E175" s="257"/>
      <c r="F175" s="308"/>
      <c r="G175" s="309"/>
    </row>
    <row r="176" ht="15.75" customHeight="1">
      <c r="A176" s="307"/>
      <c r="B176" s="307"/>
      <c r="C176" s="306"/>
      <c r="D176" s="257"/>
      <c r="E176" s="257"/>
      <c r="F176" s="308"/>
      <c r="G176" s="309"/>
    </row>
    <row r="177" ht="15.75" customHeight="1">
      <c r="A177" s="307"/>
      <c r="B177" s="307"/>
      <c r="C177" s="306"/>
      <c r="D177" s="257"/>
      <c r="E177" s="257"/>
      <c r="F177" s="308"/>
      <c r="G177" s="309"/>
    </row>
    <row r="178" ht="15.75" customHeight="1">
      <c r="A178" s="307"/>
      <c r="B178" s="307"/>
      <c r="C178" s="306"/>
      <c r="D178" s="257"/>
      <c r="E178" s="257"/>
      <c r="F178" s="308"/>
      <c r="G178" s="309"/>
    </row>
    <row r="179" ht="15.75" customHeight="1">
      <c r="A179" s="307"/>
      <c r="B179" s="307"/>
      <c r="C179" s="306"/>
      <c r="D179" s="257"/>
      <c r="E179" s="257"/>
      <c r="F179" s="308"/>
      <c r="G179" s="309"/>
    </row>
    <row r="180" ht="15.75" customHeight="1">
      <c r="A180" s="307"/>
      <c r="B180" s="307"/>
      <c r="C180" s="306"/>
      <c r="D180" s="257"/>
      <c r="E180" s="257"/>
      <c r="F180" s="308"/>
      <c r="G180" s="309"/>
    </row>
    <row r="181" ht="15.75" customHeight="1">
      <c r="A181" s="307"/>
      <c r="B181" s="307"/>
      <c r="C181" s="306"/>
      <c r="D181" s="257"/>
      <c r="E181" s="257"/>
      <c r="F181" s="308"/>
      <c r="G181" s="309"/>
    </row>
    <row r="182" ht="15.75" customHeight="1">
      <c r="A182" s="307"/>
      <c r="B182" s="307"/>
      <c r="C182" s="306"/>
      <c r="D182" s="257"/>
      <c r="E182" s="257"/>
      <c r="F182" s="308"/>
      <c r="G182" s="309"/>
    </row>
    <row r="183" ht="15.75" customHeight="1">
      <c r="A183" s="307"/>
      <c r="B183" s="307"/>
      <c r="C183" s="306"/>
      <c r="D183" s="257"/>
      <c r="E183" s="257"/>
      <c r="F183" s="308"/>
      <c r="G183" s="309"/>
    </row>
    <row r="184" ht="15.75" customHeight="1">
      <c r="A184" s="307"/>
      <c r="B184" s="307"/>
      <c r="C184" s="306"/>
      <c r="D184" s="257"/>
      <c r="E184" s="257"/>
      <c r="F184" s="308"/>
      <c r="G184" s="309"/>
    </row>
    <row r="185" ht="15.75" customHeight="1">
      <c r="A185" s="307"/>
      <c r="B185" s="307"/>
      <c r="C185" s="306"/>
      <c r="D185" s="257"/>
      <c r="E185" s="257"/>
      <c r="F185" s="308"/>
      <c r="G185" s="309"/>
    </row>
    <row r="186" ht="15.75" customHeight="1">
      <c r="A186" s="307"/>
      <c r="B186" s="307"/>
      <c r="C186" s="306"/>
      <c r="D186" s="257"/>
      <c r="E186" s="257"/>
      <c r="F186" s="308"/>
      <c r="G186" s="309"/>
    </row>
    <row r="187" ht="15.75" customHeight="1">
      <c r="A187" s="307"/>
      <c r="B187" s="307"/>
      <c r="C187" s="306"/>
      <c r="D187" s="257"/>
      <c r="E187" s="257"/>
      <c r="F187" s="308"/>
      <c r="G187" s="309"/>
    </row>
    <row r="188" ht="15.75" customHeight="1">
      <c r="A188" s="307"/>
      <c r="B188" s="307"/>
      <c r="C188" s="306"/>
      <c r="D188" s="257"/>
      <c r="E188" s="257"/>
      <c r="F188" s="308"/>
      <c r="G188" s="309"/>
    </row>
    <row r="189" ht="15.75" customHeight="1">
      <c r="A189" s="307"/>
      <c r="B189" s="307"/>
      <c r="C189" s="306"/>
      <c r="D189" s="257"/>
      <c r="E189" s="257"/>
      <c r="F189" s="308"/>
      <c r="G189" s="309"/>
    </row>
    <row r="190" ht="15.75" customHeight="1">
      <c r="A190" s="307"/>
      <c r="B190" s="307"/>
      <c r="C190" s="306"/>
      <c r="D190" s="257"/>
      <c r="E190" s="257"/>
      <c r="F190" s="308"/>
      <c r="G190" s="309"/>
    </row>
    <row r="191" ht="15.75" customHeight="1">
      <c r="A191" s="307"/>
      <c r="B191" s="307"/>
      <c r="C191" s="306"/>
      <c r="D191" s="257"/>
      <c r="E191" s="257"/>
      <c r="F191" s="308"/>
      <c r="G191" s="309"/>
    </row>
    <row r="192" ht="15.75" customHeight="1">
      <c r="A192" s="307"/>
      <c r="B192" s="307"/>
      <c r="C192" s="306"/>
      <c r="D192" s="257"/>
      <c r="E192" s="257"/>
      <c r="F192" s="308"/>
      <c r="G192" s="309"/>
    </row>
    <row r="193" ht="15.75" customHeight="1">
      <c r="A193" s="307"/>
      <c r="B193" s="307"/>
      <c r="C193" s="306"/>
      <c r="D193" s="257"/>
      <c r="E193" s="257"/>
      <c r="F193" s="308"/>
      <c r="G193" s="309"/>
    </row>
    <row r="194" ht="15.75" customHeight="1">
      <c r="A194" s="307"/>
      <c r="B194" s="307"/>
      <c r="C194" s="306"/>
      <c r="D194" s="257"/>
      <c r="E194" s="257"/>
      <c r="F194" s="308"/>
      <c r="G194" s="309"/>
    </row>
    <row r="195" ht="15.75" customHeight="1">
      <c r="A195" s="307"/>
      <c r="B195" s="307"/>
      <c r="C195" s="306"/>
      <c r="D195" s="257"/>
      <c r="E195" s="257"/>
      <c r="F195" s="308"/>
      <c r="G195" s="309"/>
    </row>
    <row r="196" ht="15.75" customHeight="1">
      <c r="A196" s="307"/>
      <c r="B196" s="307"/>
      <c r="C196" s="306"/>
      <c r="D196" s="257"/>
      <c r="E196" s="257"/>
      <c r="F196" s="308"/>
      <c r="G196" s="309"/>
    </row>
    <row r="197" ht="15.75" customHeight="1">
      <c r="A197" s="307"/>
      <c r="B197" s="307"/>
      <c r="C197" s="306"/>
      <c r="D197" s="257"/>
      <c r="E197" s="257"/>
      <c r="F197" s="308"/>
      <c r="G197" s="309"/>
    </row>
    <row r="198" ht="15.75" customHeight="1">
      <c r="A198" s="307"/>
      <c r="B198" s="307"/>
      <c r="C198" s="306"/>
      <c r="D198" s="257"/>
      <c r="E198" s="257"/>
      <c r="F198" s="308"/>
      <c r="G198" s="309"/>
    </row>
    <row r="199" ht="15.75" customHeight="1">
      <c r="A199" s="307"/>
      <c r="B199" s="307"/>
      <c r="C199" s="306"/>
      <c r="D199" s="257"/>
      <c r="E199" s="257"/>
      <c r="F199" s="308"/>
      <c r="G199" s="309"/>
    </row>
    <row r="200" ht="15.75" customHeight="1">
      <c r="A200" s="307"/>
      <c r="B200" s="307"/>
      <c r="C200" s="306"/>
      <c r="D200" s="257"/>
      <c r="E200" s="257"/>
      <c r="F200" s="308"/>
      <c r="G200" s="309"/>
    </row>
    <row r="201" ht="15.75" customHeight="1">
      <c r="A201" s="307"/>
      <c r="B201" s="307"/>
      <c r="C201" s="306"/>
      <c r="D201" s="257"/>
      <c r="E201" s="257"/>
      <c r="F201" s="308"/>
      <c r="G201" s="309"/>
    </row>
    <row r="202" ht="15.75" customHeight="1">
      <c r="A202" s="307"/>
      <c r="B202" s="307"/>
      <c r="C202" s="306"/>
      <c r="D202" s="257"/>
      <c r="E202" s="257"/>
      <c r="F202" s="308"/>
      <c r="G202" s="309"/>
    </row>
    <row r="203" ht="15.75" customHeight="1">
      <c r="A203" s="307"/>
      <c r="B203" s="307"/>
      <c r="C203" s="306"/>
      <c r="D203" s="257"/>
      <c r="E203" s="257"/>
      <c r="F203" s="308"/>
      <c r="G203" s="309"/>
    </row>
    <row r="204" ht="15.75" customHeight="1">
      <c r="A204" s="307"/>
      <c r="B204" s="307"/>
      <c r="C204" s="306"/>
      <c r="D204" s="257"/>
      <c r="E204" s="257"/>
      <c r="F204" s="308"/>
      <c r="G204" s="309"/>
    </row>
    <row r="205" ht="15.75" customHeight="1">
      <c r="A205" s="307"/>
      <c r="B205" s="307"/>
      <c r="C205" s="306"/>
      <c r="D205" s="257"/>
      <c r="E205" s="257"/>
      <c r="F205" s="308"/>
      <c r="G205" s="309"/>
    </row>
    <row r="206" ht="15.75" customHeight="1">
      <c r="A206" s="307"/>
      <c r="B206" s="307"/>
      <c r="C206" s="306"/>
      <c r="D206" s="257"/>
      <c r="E206" s="257"/>
      <c r="F206" s="308"/>
      <c r="G206" s="309"/>
    </row>
    <row r="207" ht="15.75" customHeight="1">
      <c r="A207" s="307"/>
      <c r="B207" s="307"/>
      <c r="C207" s="306"/>
      <c r="D207" s="257"/>
      <c r="E207" s="257"/>
      <c r="F207" s="308"/>
      <c r="G207" s="309"/>
    </row>
    <row r="208" ht="15.75" customHeight="1">
      <c r="A208" s="307"/>
      <c r="B208" s="307"/>
      <c r="C208" s="306"/>
      <c r="D208" s="257"/>
      <c r="E208" s="257"/>
      <c r="F208" s="308"/>
      <c r="G208" s="309"/>
    </row>
    <row r="209" ht="15.75" customHeight="1">
      <c r="A209" s="307"/>
      <c r="B209" s="307"/>
      <c r="C209" s="306"/>
      <c r="D209" s="257"/>
      <c r="E209" s="257"/>
      <c r="F209" s="308"/>
      <c r="G209" s="309"/>
    </row>
    <row r="210" ht="15.75" customHeight="1">
      <c r="A210" s="307"/>
      <c r="B210" s="307"/>
      <c r="C210" s="306"/>
      <c r="D210" s="257"/>
      <c r="E210" s="257"/>
      <c r="F210" s="308"/>
      <c r="G210" s="309"/>
    </row>
    <row r="211" ht="15.75" customHeight="1">
      <c r="A211" s="307"/>
      <c r="B211" s="307"/>
      <c r="C211" s="306"/>
      <c r="D211" s="257"/>
      <c r="E211" s="257"/>
      <c r="F211" s="308"/>
      <c r="G211" s="309"/>
    </row>
    <row r="212" ht="15.75" customHeight="1">
      <c r="A212" s="307"/>
      <c r="B212" s="307"/>
      <c r="C212" s="306"/>
      <c r="D212" s="257"/>
      <c r="E212" s="257"/>
      <c r="F212" s="308"/>
      <c r="G212" s="309"/>
    </row>
    <row r="213" ht="15.75" customHeight="1">
      <c r="A213" s="307"/>
      <c r="B213" s="307"/>
      <c r="C213" s="306"/>
      <c r="D213" s="257"/>
      <c r="E213" s="257"/>
      <c r="F213" s="308"/>
      <c r="G213" s="309"/>
    </row>
    <row r="214" ht="15.75" customHeight="1">
      <c r="A214" s="307"/>
      <c r="B214" s="307"/>
      <c r="C214" s="306"/>
      <c r="D214" s="257"/>
      <c r="E214" s="257"/>
      <c r="F214" s="308"/>
      <c r="G214" s="309"/>
    </row>
    <row r="215" ht="15.75" customHeight="1">
      <c r="A215" s="307"/>
      <c r="B215" s="307"/>
      <c r="C215" s="306"/>
      <c r="D215" s="257"/>
      <c r="E215" s="257"/>
      <c r="F215" s="308"/>
      <c r="G215" s="309"/>
    </row>
    <row r="216" ht="15.75" customHeight="1">
      <c r="A216" s="307"/>
      <c r="B216" s="307"/>
      <c r="C216" s="306"/>
      <c r="D216" s="257"/>
      <c r="E216" s="257"/>
      <c r="F216" s="308"/>
      <c r="G216" s="309"/>
    </row>
    <row r="217" ht="15.75" customHeight="1">
      <c r="A217" s="307"/>
      <c r="B217" s="307"/>
      <c r="C217" s="306"/>
      <c r="D217" s="257"/>
      <c r="E217" s="257"/>
      <c r="F217" s="308"/>
      <c r="G217" s="309"/>
    </row>
    <row r="218" ht="15.75" customHeight="1">
      <c r="A218" s="307"/>
      <c r="B218" s="307"/>
      <c r="C218" s="306"/>
      <c r="D218" s="257"/>
      <c r="E218" s="257"/>
      <c r="F218" s="308"/>
      <c r="G218" s="309"/>
    </row>
    <row r="219" ht="15.75" customHeight="1">
      <c r="A219" s="307"/>
      <c r="B219" s="307"/>
      <c r="C219" s="306"/>
      <c r="D219" s="257"/>
      <c r="E219" s="257"/>
      <c r="F219" s="308"/>
      <c r="G219" s="309"/>
    </row>
    <row r="220" ht="15.75" customHeight="1">
      <c r="A220" s="307"/>
      <c r="B220" s="307"/>
      <c r="C220" s="306"/>
      <c r="D220" s="257"/>
      <c r="E220" s="257"/>
      <c r="F220" s="308"/>
      <c r="G220" s="309"/>
    </row>
    <row r="221" ht="15.75" customHeight="1">
      <c r="A221" s="307"/>
      <c r="B221" s="307"/>
      <c r="C221" s="306"/>
      <c r="D221" s="257"/>
      <c r="E221" s="257"/>
      <c r="F221" s="308"/>
      <c r="G221" s="309"/>
    </row>
    <row r="222" ht="15.75" customHeight="1">
      <c r="A222" s="307"/>
      <c r="B222" s="307"/>
      <c r="C222" s="306"/>
      <c r="D222" s="257"/>
      <c r="E222" s="257"/>
      <c r="F222" s="308"/>
      <c r="G222" s="309"/>
    </row>
    <row r="223" ht="15.75" customHeight="1">
      <c r="A223" s="307"/>
      <c r="B223" s="307"/>
      <c r="C223" s="306"/>
      <c r="D223" s="257"/>
      <c r="E223" s="257"/>
      <c r="F223" s="308"/>
      <c r="G223" s="309"/>
    </row>
    <row r="224" ht="15.75" customHeight="1">
      <c r="A224" s="307"/>
      <c r="B224" s="307"/>
      <c r="C224" s="306"/>
      <c r="D224" s="257"/>
      <c r="E224" s="257"/>
      <c r="F224" s="308"/>
      <c r="G224" s="309"/>
    </row>
    <row r="225" ht="15.75" customHeight="1">
      <c r="A225" s="307"/>
      <c r="B225" s="307"/>
      <c r="C225" s="306"/>
      <c r="D225" s="257"/>
      <c r="E225" s="257"/>
      <c r="F225" s="308"/>
      <c r="G225" s="309"/>
    </row>
    <row r="226" ht="15.75" customHeight="1">
      <c r="A226" s="307"/>
      <c r="B226" s="307"/>
      <c r="C226" s="306"/>
      <c r="D226" s="257"/>
      <c r="E226" s="257"/>
      <c r="F226" s="308"/>
      <c r="G226" s="309"/>
    </row>
    <row r="227" ht="15.75" customHeight="1">
      <c r="A227" s="307"/>
      <c r="B227" s="307"/>
      <c r="C227" s="306"/>
      <c r="D227" s="257"/>
      <c r="E227" s="257"/>
      <c r="F227" s="308"/>
      <c r="G227" s="309"/>
    </row>
    <row r="228" ht="15.75" customHeight="1">
      <c r="A228" s="307"/>
      <c r="B228" s="307"/>
      <c r="C228" s="306"/>
      <c r="D228" s="257"/>
      <c r="E228" s="257"/>
      <c r="F228" s="308"/>
      <c r="G228" s="309"/>
    </row>
    <row r="229" ht="15.75" customHeight="1">
      <c r="A229" s="307"/>
      <c r="B229" s="307"/>
      <c r="C229" s="306"/>
      <c r="D229" s="257"/>
      <c r="E229" s="257"/>
      <c r="F229" s="308"/>
      <c r="G229" s="309"/>
    </row>
    <row r="230" ht="15.75" customHeight="1">
      <c r="A230" s="307"/>
      <c r="B230" s="307"/>
      <c r="C230" s="306"/>
      <c r="D230" s="257"/>
      <c r="E230" s="257"/>
      <c r="F230" s="308"/>
      <c r="G230" s="309"/>
    </row>
    <row r="231" ht="15.75" customHeight="1">
      <c r="A231" s="307"/>
      <c r="B231" s="307"/>
      <c r="C231" s="306"/>
      <c r="D231" s="257"/>
      <c r="E231" s="257"/>
      <c r="F231" s="308"/>
      <c r="G231" s="309"/>
    </row>
    <row r="232" ht="15.75" customHeight="1">
      <c r="A232" s="307"/>
      <c r="B232" s="307"/>
      <c r="C232" s="306"/>
      <c r="D232" s="257"/>
      <c r="E232" s="257"/>
      <c r="F232" s="308"/>
      <c r="G232" s="309"/>
    </row>
    <row r="233" ht="15.75" customHeight="1">
      <c r="A233" s="307"/>
      <c r="B233" s="307"/>
      <c r="C233" s="306"/>
      <c r="D233" s="257"/>
      <c r="E233" s="257"/>
      <c r="F233" s="308"/>
      <c r="G233" s="309"/>
    </row>
    <row r="234" ht="15.75" customHeight="1">
      <c r="A234" s="307"/>
      <c r="B234" s="307"/>
      <c r="C234" s="306"/>
      <c r="D234" s="257"/>
      <c r="E234" s="257"/>
      <c r="F234" s="308"/>
      <c r="G234" s="309"/>
    </row>
    <row r="235" ht="15.75" customHeight="1">
      <c r="A235" s="307"/>
      <c r="B235" s="307"/>
      <c r="C235" s="306"/>
      <c r="D235" s="257"/>
      <c r="E235" s="257"/>
      <c r="F235" s="308"/>
      <c r="G235" s="309"/>
    </row>
    <row r="236" ht="15.75" customHeight="1">
      <c r="A236" s="307"/>
      <c r="B236" s="307"/>
      <c r="C236" s="306"/>
      <c r="D236" s="257"/>
      <c r="E236" s="257"/>
      <c r="F236" s="308"/>
      <c r="G236" s="309"/>
    </row>
    <row r="237" ht="15.75" customHeight="1">
      <c r="A237" s="307"/>
      <c r="B237" s="307"/>
      <c r="C237" s="306"/>
      <c r="D237" s="257"/>
      <c r="E237" s="257"/>
      <c r="F237" s="308"/>
      <c r="G237" s="309"/>
    </row>
    <row r="238" ht="15.75" customHeight="1">
      <c r="A238" s="307"/>
      <c r="B238" s="307"/>
      <c r="C238" s="306"/>
      <c r="D238" s="257"/>
      <c r="E238" s="257"/>
      <c r="F238" s="308"/>
      <c r="G238" s="309"/>
    </row>
    <row r="239" ht="15.75" customHeight="1">
      <c r="A239" s="307"/>
      <c r="B239" s="307"/>
      <c r="C239" s="306"/>
      <c r="D239" s="257"/>
      <c r="E239" s="257"/>
      <c r="F239" s="308"/>
      <c r="G239" s="309"/>
    </row>
    <row r="240" ht="15.75" customHeight="1">
      <c r="A240" s="307"/>
      <c r="B240" s="307"/>
      <c r="C240" s="306"/>
      <c r="D240" s="257"/>
      <c r="E240" s="257"/>
      <c r="F240" s="308"/>
      <c r="G240" s="309"/>
    </row>
    <row r="241" ht="15.75" customHeight="1">
      <c r="A241" s="307"/>
      <c r="B241" s="307"/>
      <c r="C241" s="306"/>
      <c r="D241" s="257"/>
      <c r="E241" s="257"/>
      <c r="F241" s="308"/>
      <c r="G241" s="309"/>
    </row>
    <row r="242" ht="15.75" customHeight="1">
      <c r="A242" s="307"/>
      <c r="B242" s="307"/>
      <c r="C242" s="306"/>
      <c r="D242" s="257"/>
      <c r="E242" s="257"/>
      <c r="F242" s="308"/>
      <c r="G242" s="309"/>
    </row>
    <row r="243" ht="15.75" customHeight="1">
      <c r="A243" s="307"/>
      <c r="B243" s="307"/>
      <c r="C243" s="306"/>
      <c r="D243" s="257"/>
      <c r="E243" s="257"/>
      <c r="F243" s="308"/>
      <c r="G243" s="309"/>
    </row>
    <row r="244" ht="15.75" customHeight="1">
      <c r="A244" s="307"/>
      <c r="B244" s="307"/>
      <c r="C244" s="306"/>
      <c r="D244" s="257"/>
      <c r="E244" s="257"/>
      <c r="F244" s="308"/>
      <c r="G244" s="309"/>
    </row>
    <row r="245" ht="15.75" customHeight="1">
      <c r="A245" s="307"/>
      <c r="B245" s="307"/>
      <c r="C245" s="306"/>
      <c r="D245" s="257"/>
      <c r="E245" s="257"/>
      <c r="F245" s="308"/>
      <c r="G245" s="309"/>
    </row>
    <row r="246" ht="15.75" customHeight="1">
      <c r="A246" s="307"/>
      <c r="B246" s="307"/>
      <c r="C246" s="306"/>
      <c r="D246" s="257"/>
      <c r="E246" s="257"/>
      <c r="F246" s="308"/>
      <c r="G246" s="309"/>
    </row>
    <row r="247" ht="15.75" customHeight="1">
      <c r="A247" s="307"/>
      <c r="B247" s="307"/>
      <c r="C247" s="306"/>
      <c r="D247" s="257"/>
      <c r="E247" s="257"/>
      <c r="F247" s="308"/>
      <c r="G247" s="309"/>
    </row>
    <row r="248" ht="15.75" customHeight="1">
      <c r="A248" s="307"/>
      <c r="B248" s="307"/>
      <c r="C248" s="306"/>
      <c r="D248" s="257"/>
      <c r="E248" s="257"/>
      <c r="F248" s="308"/>
      <c r="G248" s="309"/>
    </row>
    <row r="249" ht="15.75" customHeight="1">
      <c r="A249" s="307"/>
      <c r="B249" s="307"/>
      <c r="C249" s="306"/>
      <c r="D249" s="257"/>
      <c r="E249" s="257"/>
      <c r="F249" s="308"/>
      <c r="G249" s="309"/>
    </row>
    <row r="250" ht="15.75" customHeight="1">
      <c r="A250" s="307"/>
      <c r="B250" s="307"/>
      <c r="C250" s="306"/>
      <c r="D250" s="257"/>
      <c r="E250" s="257"/>
      <c r="F250" s="308"/>
      <c r="G250" s="309"/>
    </row>
    <row r="251" ht="15.75" customHeight="1">
      <c r="A251" s="307"/>
      <c r="B251" s="307"/>
      <c r="C251" s="306"/>
      <c r="D251" s="257"/>
      <c r="E251" s="257"/>
      <c r="F251" s="308"/>
      <c r="G251" s="309"/>
    </row>
    <row r="252" ht="15.75" customHeight="1">
      <c r="A252" s="307"/>
      <c r="B252" s="307"/>
      <c r="C252" s="306"/>
      <c r="D252" s="257"/>
      <c r="E252" s="257"/>
      <c r="F252" s="308"/>
      <c r="G252" s="309"/>
    </row>
    <row r="253" ht="15.75" customHeight="1">
      <c r="A253" s="307"/>
      <c r="B253" s="307"/>
      <c r="C253" s="306"/>
      <c r="D253" s="257"/>
      <c r="E253" s="257"/>
      <c r="F253" s="308"/>
      <c r="G253" s="309"/>
    </row>
    <row r="254" ht="15.75" customHeight="1">
      <c r="A254" s="307"/>
      <c r="B254" s="307"/>
      <c r="C254" s="306"/>
      <c r="D254" s="257"/>
      <c r="E254" s="257"/>
      <c r="F254" s="308"/>
      <c r="G254" s="309"/>
    </row>
    <row r="255" ht="15.75" customHeight="1">
      <c r="A255" s="307"/>
      <c r="B255" s="307"/>
      <c r="C255" s="306"/>
      <c r="D255" s="257"/>
      <c r="E255" s="257"/>
      <c r="F255" s="308"/>
      <c r="G255" s="309"/>
    </row>
    <row r="256" ht="15.75" customHeight="1">
      <c r="A256" s="307"/>
      <c r="B256" s="307"/>
      <c r="C256" s="306"/>
      <c r="D256" s="257"/>
      <c r="E256" s="257"/>
      <c r="F256" s="308"/>
      <c r="G256" s="309"/>
    </row>
    <row r="257" ht="15.75" customHeight="1">
      <c r="A257" s="307"/>
      <c r="B257" s="307"/>
      <c r="C257" s="306"/>
      <c r="D257" s="257"/>
      <c r="E257" s="257"/>
      <c r="F257" s="308"/>
      <c r="G257" s="309"/>
    </row>
    <row r="258" ht="15.75" customHeight="1">
      <c r="A258" s="307"/>
      <c r="B258" s="307"/>
      <c r="C258" s="306"/>
      <c r="D258" s="257"/>
      <c r="E258" s="257"/>
      <c r="F258" s="308"/>
      <c r="G258" s="309"/>
    </row>
    <row r="259" ht="15.75" customHeight="1">
      <c r="A259" s="307"/>
      <c r="B259" s="307"/>
      <c r="C259" s="306"/>
      <c r="D259" s="257"/>
      <c r="E259" s="257"/>
      <c r="F259" s="308"/>
      <c r="G259" s="309"/>
    </row>
    <row r="260" ht="15.75" customHeight="1">
      <c r="A260" s="307"/>
      <c r="B260" s="307"/>
      <c r="C260" s="306"/>
      <c r="D260" s="257"/>
      <c r="E260" s="257"/>
      <c r="F260" s="308"/>
      <c r="G260" s="309"/>
    </row>
    <row r="261" ht="15.75" customHeight="1">
      <c r="A261" s="307"/>
      <c r="B261" s="307"/>
      <c r="C261" s="306"/>
      <c r="D261" s="257"/>
      <c r="E261" s="257"/>
      <c r="F261" s="308"/>
      <c r="G261" s="309"/>
    </row>
    <row r="262" ht="15.75" customHeight="1">
      <c r="A262" s="307"/>
      <c r="B262" s="307"/>
      <c r="C262" s="306"/>
      <c r="D262" s="257"/>
      <c r="E262" s="257"/>
      <c r="F262" s="308"/>
      <c r="G262" s="309"/>
    </row>
    <row r="263" ht="15.75" customHeight="1">
      <c r="A263" s="307"/>
      <c r="B263" s="307"/>
      <c r="C263" s="306"/>
      <c r="D263" s="257"/>
      <c r="E263" s="257"/>
      <c r="F263" s="308"/>
      <c r="G263" s="309"/>
    </row>
    <row r="264" ht="15.75" customHeight="1">
      <c r="A264" s="307"/>
      <c r="B264" s="307"/>
      <c r="C264" s="306"/>
      <c r="D264" s="257"/>
      <c r="E264" s="257"/>
      <c r="F264" s="308"/>
      <c r="G264" s="309"/>
    </row>
    <row r="265" ht="15.75" customHeight="1">
      <c r="A265" s="307"/>
      <c r="B265" s="307"/>
      <c r="C265" s="306"/>
      <c r="D265" s="257"/>
      <c r="E265" s="257"/>
      <c r="F265" s="308"/>
      <c r="G265" s="309"/>
    </row>
    <row r="266" ht="15.75" customHeight="1">
      <c r="A266" s="307"/>
      <c r="B266" s="307"/>
      <c r="C266" s="306"/>
      <c r="D266" s="257"/>
      <c r="E266" s="257"/>
      <c r="F266" s="308"/>
      <c r="G266" s="309"/>
    </row>
    <row r="267" ht="15.75" customHeight="1">
      <c r="A267" s="307"/>
      <c r="B267" s="307"/>
      <c r="C267" s="306"/>
      <c r="D267" s="257"/>
      <c r="E267" s="257"/>
      <c r="F267" s="308"/>
      <c r="G267" s="309"/>
    </row>
    <row r="268" ht="15.75" customHeight="1">
      <c r="A268" s="307"/>
      <c r="B268" s="307"/>
      <c r="C268" s="306"/>
      <c r="D268" s="257"/>
      <c r="E268" s="257"/>
      <c r="F268" s="308"/>
      <c r="G268" s="309"/>
    </row>
    <row r="269" ht="15.75" customHeight="1">
      <c r="A269" s="307"/>
      <c r="B269" s="307"/>
      <c r="C269" s="306"/>
      <c r="D269" s="257"/>
      <c r="E269" s="257"/>
      <c r="F269" s="308"/>
      <c r="G269" s="309"/>
    </row>
    <row r="270" ht="15.75" customHeight="1">
      <c r="A270" s="307"/>
      <c r="B270" s="307"/>
      <c r="C270" s="306"/>
      <c r="D270" s="257"/>
      <c r="E270" s="257"/>
      <c r="F270" s="308"/>
      <c r="G270" s="309"/>
    </row>
    <row r="271" ht="15.75" customHeight="1">
      <c r="A271" s="307"/>
      <c r="B271" s="307"/>
      <c r="C271" s="306"/>
      <c r="D271" s="257"/>
      <c r="E271" s="257"/>
      <c r="F271" s="308"/>
      <c r="G271" s="309"/>
    </row>
    <row r="272" ht="15.75" customHeight="1">
      <c r="A272" s="307"/>
      <c r="B272" s="307"/>
      <c r="C272" s="306"/>
      <c r="D272" s="257"/>
      <c r="E272" s="257"/>
      <c r="F272" s="308"/>
      <c r="G272" s="309"/>
    </row>
    <row r="273" ht="15.75" customHeight="1">
      <c r="A273" s="307"/>
      <c r="B273" s="307"/>
      <c r="C273" s="306"/>
      <c r="D273" s="257"/>
      <c r="E273" s="257"/>
      <c r="F273" s="308"/>
      <c r="G273" s="309"/>
    </row>
    <row r="274" ht="15.75" customHeight="1">
      <c r="A274" s="307"/>
      <c r="B274" s="307"/>
      <c r="C274" s="306"/>
      <c r="D274" s="257"/>
      <c r="E274" s="257"/>
      <c r="F274" s="308"/>
      <c r="G274" s="309"/>
    </row>
    <row r="275" ht="15.75" customHeight="1">
      <c r="A275" s="307"/>
      <c r="B275" s="307"/>
      <c r="C275" s="306"/>
      <c r="D275" s="257"/>
      <c r="E275" s="257"/>
      <c r="F275" s="308"/>
      <c r="G275" s="309"/>
    </row>
    <row r="276" ht="15.75" customHeight="1">
      <c r="A276" s="307"/>
      <c r="B276" s="307"/>
      <c r="C276" s="306"/>
      <c r="D276" s="257"/>
      <c r="E276" s="257"/>
      <c r="F276" s="308"/>
      <c r="G276" s="309"/>
    </row>
    <row r="277" ht="15.75" customHeight="1">
      <c r="A277" s="307"/>
      <c r="B277" s="307"/>
      <c r="C277" s="306"/>
      <c r="D277" s="257"/>
      <c r="E277" s="257"/>
      <c r="F277" s="308"/>
      <c r="G277" s="309"/>
    </row>
    <row r="278" ht="15.75" customHeight="1">
      <c r="A278" s="307"/>
      <c r="B278" s="307"/>
      <c r="C278" s="306"/>
      <c r="D278" s="257"/>
      <c r="E278" s="257"/>
      <c r="F278" s="308"/>
      <c r="G278" s="309"/>
    </row>
    <row r="279" ht="15.75" customHeight="1">
      <c r="A279" s="307"/>
      <c r="B279" s="307"/>
      <c r="C279" s="306"/>
      <c r="D279" s="257"/>
      <c r="E279" s="257"/>
      <c r="F279" s="308"/>
      <c r="G279" s="309"/>
    </row>
    <row r="280" ht="15.75" customHeight="1">
      <c r="A280" s="307"/>
      <c r="B280" s="307"/>
      <c r="C280" s="306"/>
      <c r="D280" s="257"/>
      <c r="E280" s="257"/>
      <c r="F280" s="308"/>
      <c r="G280" s="309"/>
    </row>
    <row r="281" ht="15.75" customHeight="1">
      <c r="A281" s="307"/>
      <c r="B281" s="307"/>
      <c r="C281" s="306"/>
      <c r="D281" s="257"/>
      <c r="E281" s="257"/>
      <c r="F281" s="308"/>
      <c r="G281" s="309"/>
    </row>
    <row r="282" ht="15.75" customHeight="1">
      <c r="A282" s="307"/>
      <c r="B282" s="307"/>
      <c r="C282" s="306"/>
      <c r="D282" s="257"/>
      <c r="E282" s="257"/>
      <c r="F282" s="308"/>
      <c r="G282" s="309"/>
    </row>
    <row r="283" ht="15.75" customHeight="1">
      <c r="A283" s="307"/>
      <c r="B283" s="307"/>
      <c r="C283" s="306"/>
      <c r="D283" s="257"/>
      <c r="E283" s="257"/>
      <c r="F283" s="308"/>
      <c r="G283" s="309"/>
    </row>
    <row r="284" ht="15.75" customHeight="1">
      <c r="A284" s="307"/>
      <c r="B284" s="307"/>
      <c r="C284" s="306"/>
      <c r="D284" s="257"/>
      <c r="E284" s="257"/>
      <c r="F284" s="308"/>
      <c r="G284" s="309"/>
    </row>
    <row r="285" ht="15.75" customHeight="1">
      <c r="A285" s="307"/>
      <c r="B285" s="307"/>
      <c r="C285" s="306"/>
      <c r="D285" s="257"/>
      <c r="E285" s="257"/>
      <c r="F285" s="308"/>
      <c r="G285" s="309"/>
    </row>
    <row r="286" ht="15.75" customHeight="1">
      <c r="A286" s="307"/>
      <c r="B286" s="307"/>
      <c r="C286" s="306"/>
      <c r="D286" s="257"/>
      <c r="E286" s="257"/>
      <c r="F286" s="308"/>
      <c r="G286" s="309"/>
    </row>
    <row r="287" ht="15.75" customHeight="1">
      <c r="A287" s="307"/>
      <c r="B287" s="307"/>
      <c r="C287" s="306"/>
      <c r="D287" s="257"/>
      <c r="E287" s="257"/>
      <c r="F287" s="308"/>
      <c r="G287" s="309"/>
    </row>
    <row r="288" ht="15.75" customHeight="1">
      <c r="A288" s="307"/>
      <c r="B288" s="307"/>
      <c r="C288" s="306"/>
      <c r="D288" s="257"/>
      <c r="E288" s="257"/>
      <c r="F288" s="308"/>
      <c r="G288" s="309"/>
    </row>
    <row r="289" ht="15.75" customHeight="1">
      <c r="A289" s="307"/>
      <c r="B289" s="307"/>
      <c r="C289" s="306"/>
      <c r="D289" s="257"/>
      <c r="E289" s="257"/>
      <c r="F289" s="308"/>
      <c r="G289" s="309"/>
    </row>
    <row r="290" ht="15.75" customHeight="1">
      <c r="A290" s="307"/>
      <c r="B290" s="307"/>
      <c r="C290" s="306"/>
      <c r="D290" s="257"/>
      <c r="E290" s="257"/>
      <c r="F290" s="308"/>
      <c r="G290" s="309"/>
    </row>
    <row r="291" ht="15.75" customHeight="1">
      <c r="A291" s="307"/>
      <c r="B291" s="307"/>
      <c r="C291" s="306"/>
      <c r="D291" s="257"/>
      <c r="E291" s="257"/>
      <c r="F291" s="308"/>
      <c r="G291" s="309"/>
    </row>
    <row r="292" ht="15.75" customHeight="1">
      <c r="A292" s="307"/>
      <c r="B292" s="307"/>
      <c r="C292" s="306"/>
      <c r="D292" s="257"/>
      <c r="E292" s="257"/>
      <c r="F292" s="308"/>
      <c r="G292" s="309"/>
    </row>
    <row r="293" ht="15.75" customHeight="1">
      <c r="A293" s="307"/>
      <c r="B293" s="307"/>
      <c r="C293" s="306"/>
      <c r="D293" s="257"/>
      <c r="E293" s="257"/>
      <c r="F293" s="308"/>
      <c r="G293" s="309"/>
    </row>
    <row r="294" ht="15.75" customHeight="1">
      <c r="A294" s="307"/>
      <c r="B294" s="307"/>
      <c r="C294" s="306"/>
      <c r="D294" s="257"/>
      <c r="E294" s="257"/>
      <c r="F294" s="308"/>
      <c r="G294" s="309"/>
    </row>
    <row r="295" ht="15.75" customHeight="1">
      <c r="A295" s="307"/>
      <c r="B295" s="307"/>
      <c r="C295" s="306"/>
      <c r="D295" s="257"/>
      <c r="E295" s="257"/>
      <c r="F295" s="308"/>
      <c r="G295" s="309"/>
    </row>
    <row r="296" ht="15.75" customHeight="1">
      <c r="A296" s="307"/>
      <c r="B296" s="307"/>
      <c r="C296" s="306"/>
      <c r="D296" s="257"/>
      <c r="E296" s="257"/>
      <c r="F296" s="308"/>
      <c r="G296" s="309"/>
    </row>
    <row r="297" ht="15.75" customHeight="1">
      <c r="A297" s="307"/>
      <c r="B297" s="307"/>
      <c r="C297" s="306"/>
      <c r="D297" s="257"/>
      <c r="E297" s="257"/>
      <c r="F297" s="308"/>
      <c r="G297" s="309"/>
    </row>
    <row r="298" ht="15.75" customHeight="1">
      <c r="A298" s="307"/>
      <c r="B298" s="307"/>
      <c r="C298" s="306"/>
      <c r="D298" s="257"/>
      <c r="E298" s="257"/>
      <c r="F298" s="308"/>
      <c r="G298" s="309"/>
    </row>
    <row r="299" ht="15.75" customHeight="1">
      <c r="A299" s="307"/>
      <c r="B299" s="307"/>
      <c r="C299" s="306"/>
      <c r="D299" s="257"/>
      <c r="E299" s="257"/>
      <c r="F299" s="308"/>
      <c r="G299" s="309"/>
    </row>
    <row r="300" ht="15.75" customHeight="1">
      <c r="A300" s="307"/>
      <c r="B300" s="307"/>
      <c r="C300" s="306"/>
      <c r="D300" s="257"/>
      <c r="E300" s="257"/>
      <c r="F300" s="308"/>
      <c r="G300" s="309"/>
    </row>
    <row r="301" ht="15.75" customHeight="1">
      <c r="A301" s="307"/>
      <c r="B301" s="307"/>
      <c r="C301" s="306"/>
      <c r="D301" s="257"/>
      <c r="E301" s="257"/>
      <c r="F301" s="308"/>
      <c r="G301" s="309"/>
    </row>
    <row r="302" ht="15.75" customHeight="1">
      <c r="A302" s="307"/>
      <c r="B302" s="307"/>
      <c r="C302" s="306"/>
      <c r="D302" s="257"/>
      <c r="E302" s="257"/>
      <c r="F302" s="308"/>
      <c r="G302" s="309"/>
    </row>
    <row r="303" ht="15.75" customHeight="1">
      <c r="A303" s="307"/>
      <c r="B303" s="307"/>
      <c r="C303" s="306"/>
      <c r="D303" s="257"/>
      <c r="E303" s="257"/>
      <c r="F303" s="308"/>
      <c r="G303" s="309"/>
    </row>
    <row r="304" ht="15.75" customHeight="1">
      <c r="A304" s="307"/>
      <c r="B304" s="307"/>
      <c r="C304" s="306"/>
      <c r="D304" s="257"/>
      <c r="E304" s="257"/>
      <c r="F304" s="308"/>
      <c r="G304" s="309"/>
    </row>
    <row r="305" ht="15.75" customHeight="1">
      <c r="A305" s="307"/>
      <c r="B305" s="307"/>
      <c r="C305" s="306"/>
      <c r="D305" s="257"/>
      <c r="E305" s="257"/>
      <c r="F305" s="308"/>
      <c r="G305" s="309"/>
    </row>
    <row r="306" ht="15.75" customHeight="1">
      <c r="A306" s="307"/>
      <c r="B306" s="307"/>
      <c r="C306" s="306"/>
      <c r="D306" s="257"/>
      <c r="E306" s="257"/>
      <c r="F306" s="308"/>
      <c r="G306" s="309"/>
    </row>
    <row r="307" ht="15.75" customHeight="1">
      <c r="A307" s="307"/>
      <c r="B307" s="307"/>
      <c r="C307" s="306"/>
      <c r="D307" s="257"/>
      <c r="E307" s="257"/>
      <c r="F307" s="308"/>
      <c r="G307" s="309"/>
    </row>
    <row r="308" ht="15.75" customHeight="1">
      <c r="A308" s="307"/>
      <c r="B308" s="307"/>
      <c r="C308" s="306"/>
      <c r="D308" s="257"/>
      <c r="E308" s="257"/>
      <c r="F308" s="308"/>
      <c r="G308" s="309"/>
    </row>
    <row r="309" ht="15.75" customHeight="1">
      <c r="A309" s="307"/>
      <c r="B309" s="307"/>
      <c r="C309" s="306"/>
      <c r="D309" s="257"/>
      <c r="E309" s="257"/>
      <c r="F309" s="308"/>
      <c r="G309" s="309"/>
    </row>
    <row r="310" ht="15.75" customHeight="1">
      <c r="A310" s="307"/>
      <c r="B310" s="307"/>
      <c r="C310" s="306"/>
      <c r="D310" s="257"/>
      <c r="E310" s="257"/>
      <c r="F310" s="308"/>
      <c r="G310" s="309"/>
    </row>
    <row r="311" ht="15.75" customHeight="1">
      <c r="A311" s="307"/>
      <c r="B311" s="307"/>
      <c r="C311" s="306"/>
      <c r="D311" s="257"/>
      <c r="E311" s="257"/>
      <c r="F311" s="308"/>
      <c r="G311" s="309"/>
    </row>
    <row r="312" ht="15.75" customHeight="1">
      <c r="A312" s="307"/>
      <c r="B312" s="307"/>
      <c r="C312" s="306"/>
      <c r="D312" s="257"/>
      <c r="E312" s="257"/>
      <c r="F312" s="308"/>
      <c r="G312" s="309"/>
    </row>
    <row r="313" ht="15.75" customHeight="1">
      <c r="A313" s="307"/>
      <c r="B313" s="307"/>
      <c r="C313" s="306"/>
      <c r="D313" s="257"/>
      <c r="E313" s="257"/>
      <c r="F313" s="308"/>
      <c r="G313" s="309"/>
    </row>
    <row r="314" ht="15.75" customHeight="1">
      <c r="A314" s="307"/>
      <c r="B314" s="307"/>
      <c r="C314" s="306"/>
      <c r="D314" s="257"/>
      <c r="E314" s="257"/>
      <c r="F314" s="308"/>
      <c r="G314" s="309"/>
    </row>
    <row r="315" ht="15.75" customHeight="1">
      <c r="A315" s="307"/>
      <c r="B315" s="307"/>
      <c r="C315" s="306"/>
      <c r="D315" s="257"/>
      <c r="E315" s="257"/>
      <c r="F315" s="308"/>
      <c r="G315" s="309"/>
    </row>
    <row r="316" ht="15.75" customHeight="1">
      <c r="A316" s="307"/>
      <c r="B316" s="307"/>
      <c r="C316" s="306"/>
      <c r="D316" s="257"/>
      <c r="E316" s="257"/>
      <c r="F316" s="308"/>
      <c r="G316" s="309"/>
    </row>
    <row r="317" ht="15.75" customHeight="1">
      <c r="A317" s="307"/>
      <c r="B317" s="307"/>
      <c r="C317" s="306"/>
      <c r="D317" s="257"/>
      <c r="E317" s="257"/>
      <c r="F317" s="308"/>
      <c r="G317" s="309"/>
    </row>
    <row r="318" ht="15.75" customHeight="1">
      <c r="A318" s="307"/>
      <c r="B318" s="307"/>
      <c r="C318" s="306"/>
      <c r="D318" s="257"/>
      <c r="E318" s="257"/>
      <c r="F318" s="308"/>
      <c r="G318" s="309"/>
    </row>
    <row r="319" ht="15.75" customHeight="1">
      <c r="A319" s="307"/>
      <c r="B319" s="307"/>
      <c r="C319" s="306"/>
      <c r="D319" s="257"/>
      <c r="E319" s="257"/>
      <c r="F319" s="308"/>
      <c r="G319" s="309"/>
    </row>
    <row r="320" ht="15.75" customHeight="1">
      <c r="A320" s="307"/>
      <c r="B320" s="307"/>
      <c r="C320" s="306"/>
      <c r="D320" s="257"/>
      <c r="E320" s="257"/>
      <c r="F320" s="308"/>
      <c r="G320" s="309"/>
    </row>
    <row r="321" ht="15.75" customHeight="1">
      <c r="A321" s="307"/>
      <c r="B321" s="307"/>
      <c r="C321" s="306"/>
      <c r="D321" s="257"/>
      <c r="E321" s="257"/>
      <c r="F321" s="308"/>
      <c r="G321" s="309"/>
    </row>
    <row r="322" ht="15.75" customHeight="1">
      <c r="A322" s="307"/>
      <c r="B322" s="307"/>
      <c r="C322" s="306"/>
      <c r="D322" s="257"/>
      <c r="E322" s="257"/>
      <c r="F322" s="308"/>
      <c r="G322" s="309"/>
    </row>
    <row r="323" ht="15.75" customHeight="1">
      <c r="A323" s="307"/>
      <c r="B323" s="307"/>
      <c r="C323" s="306"/>
      <c r="D323" s="257"/>
      <c r="E323" s="257"/>
      <c r="F323" s="308"/>
      <c r="G323" s="309"/>
    </row>
    <row r="324" ht="15.75" customHeight="1">
      <c r="A324" s="307"/>
      <c r="B324" s="307"/>
      <c r="C324" s="306"/>
      <c r="D324" s="257"/>
      <c r="E324" s="257"/>
      <c r="F324" s="308"/>
      <c r="G324" s="309"/>
    </row>
    <row r="325" ht="15.75" customHeight="1">
      <c r="A325" s="307"/>
      <c r="B325" s="307"/>
      <c r="C325" s="306"/>
      <c r="D325" s="257"/>
      <c r="E325" s="257"/>
      <c r="F325" s="308"/>
      <c r="G325" s="309"/>
    </row>
    <row r="326" ht="15.75" customHeight="1">
      <c r="A326" s="307"/>
      <c r="B326" s="307"/>
      <c r="C326" s="306"/>
      <c r="D326" s="257"/>
      <c r="E326" s="257"/>
      <c r="F326" s="308"/>
      <c r="G326" s="309"/>
    </row>
    <row r="327" ht="15.75" customHeight="1">
      <c r="A327" s="307"/>
      <c r="B327" s="307"/>
      <c r="C327" s="306"/>
      <c r="D327" s="257"/>
      <c r="E327" s="257"/>
      <c r="F327" s="308"/>
      <c r="G327" s="309"/>
    </row>
    <row r="328" ht="15.75" customHeight="1">
      <c r="A328" s="307"/>
      <c r="B328" s="307"/>
      <c r="C328" s="306"/>
      <c r="D328" s="257"/>
      <c r="E328" s="257"/>
      <c r="F328" s="308"/>
      <c r="G328" s="309"/>
    </row>
    <row r="329" ht="15.75" customHeight="1">
      <c r="A329" s="307"/>
      <c r="B329" s="307"/>
      <c r="C329" s="306"/>
      <c r="D329" s="257"/>
      <c r="E329" s="257"/>
      <c r="F329" s="308"/>
      <c r="G329" s="309"/>
    </row>
    <row r="330" ht="15.75" customHeight="1">
      <c r="A330" s="307"/>
      <c r="B330" s="307"/>
      <c r="C330" s="306"/>
      <c r="D330" s="257"/>
      <c r="E330" s="257"/>
      <c r="F330" s="308"/>
      <c r="G330" s="309"/>
    </row>
    <row r="331" ht="15.75" customHeight="1">
      <c r="A331" s="307"/>
      <c r="B331" s="307"/>
      <c r="C331" s="306"/>
      <c r="D331" s="257"/>
      <c r="E331" s="257"/>
      <c r="F331" s="308"/>
      <c r="G331" s="309"/>
    </row>
    <row r="332" ht="15.75" customHeight="1">
      <c r="A332" s="307"/>
      <c r="B332" s="307"/>
      <c r="C332" s="306"/>
      <c r="D332" s="257"/>
      <c r="E332" s="257"/>
      <c r="F332" s="308"/>
      <c r="G332" s="309"/>
    </row>
    <row r="333" ht="15.75" customHeight="1">
      <c r="A333" s="307"/>
      <c r="B333" s="307"/>
      <c r="C333" s="306"/>
      <c r="D333" s="257"/>
      <c r="E333" s="257"/>
      <c r="F333" s="308"/>
      <c r="G333" s="309"/>
    </row>
    <row r="334" ht="15.75" customHeight="1">
      <c r="A334" s="307"/>
      <c r="B334" s="307"/>
      <c r="C334" s="306"/>
      <c r="D334" s="257"/>
      <c r="E334" s="257"/>
      <c r="F334" s="308"/>
      <c r="G334" s="309"/>
    </row>
    <row r="335" ht="15.75" customHeight="1">
      <c r="A335" s="307"/>
      <c r="B335" s="307"/>
      <c r="C335" s="306"/>
      <c r="D335" s="257"/>
      <c r="E335" s="257"/>
      <c r="F335" s="308"/>
      <c r="G335" s="309"/>
    </row>
    <row r="336" ht="15.75" customHeight="1">
      <c r="A336" s="307"/>
      <c r="B336" s="307"/>
      <c r="C336" s="306"/>
      <c r="D336" s="257"/>
      <c r="E336" s="257"/>
      <c r="F336" s="308"/>
      <c r="G336" s="309"/>
    </row>
    <row r="337" ht="15.75" customHeight="1">
      <c r="A337" s="307"/>
      <c r="B337" s="307"/>
      <c r="C337" s="306"/>
      <c r="D337" s="257"/>
      <c r="E337" s="257"/>
      <c r="F337" s="308"/>
      <c r="G337" s="309"/>
    </row>
    <row r="338" ht="15.75" customHeight="1">
      <c r="A338" s="307"/>
      <c r="B338" s="307"/>
      <c r="C338" s="306"/>
      <c r="D338" s="257"/>
      <c r="E338" s="257"/>
      <c r="F338" s="308"/>
      <c r="G338" s="309"/>
    </row>
    <row r="339" ht="15.75" customHeight="1">
      <c r="A339" s="307"/>
      <c r="B339" s="307"/>
      <c r="C339" s="306"/>
      <c r="D339" s="257"/>
      <c r="E339" s="257"/>
      <c r="F339" s="308"/>
      <c r="G339" s="309"/>
    </row>
    <row r="340" ht="15.75" customHeight="1">
      <c r="A340" s="307"/>
      <c r="B340" s="307"/>
      <c r="C340" s="306"/>
      <c r="D340" s="257"/>
      <c r="E340" s="257"/>
      <c r="F340" s="308"/>
      <c r="G340" s="309"/>
    </row>
    <row r="341" ht="15.75" customHeight="1">
      <c r="A341" s="307"/>
      <c r="B341" s="307"/>
      <c r="C341" s="306"/>
      <c r="D341" s="257"/>
      <c r="E341" s="257"/>
      <c r="F341" s="308"/>
      <c r="G341" s="309"/>
    </row>
    <row r="342" ht="15.75" customHeight="1">
      <c r="A342" s="307"/>
      <c r="B342" s="307"/>
      <c r="C342" s="306"/>
      <c r="D342" s="257"/>
      <c r="E342" s="257"/>
      <c r="F342" s="308"/>
      <c r="G342" s="309"/>
    </row>
    <row r="343" ht="15.75" customHeight="1">
      <c r="A343" s="307"/>
      <c r="B343" s="307"/>
      <c r="C343" s="306"/>
      <c r="D343" s="257"/>
      <c r="E343" s="257"/>
      <c r="F343" s="308"/>
      <c r="G343" s="309"/>
    </row>
    <row r="344" ht="15.75" customHeight="1">
      <c r="A344" s="307"/>
      <c r="B344" s="307"/>
      <c r="C344" s="306"/>
      <c r="D344" s="257"/>
      <c r="E344" s="257"/>
      <c r="F344" s="308"/>
      <c r="G344" s="309"/>
    </row>
    <row r="345" ht="15.75" customHeight="1">
      <c r="A345" s="307"/>
      <c r="B345" s="307"/>
      <c r="C345" s="306"/>
      <c r="D345" s="257"/>
      <c r="E345" s="257"/>
      <c r="F345" s="308"/>
      <c r="G345" s="309"/>
    </row>
    <row r="346" ht="15.75" customHeight="1">
      <c r="A346" s="307"/>
      <c r="B346" s="307"/>
      <c r="C346" s="306"/>
      <c r="D346" s="257"/>
      <c r="E346" s="257"/>
      <c r="F346" s="308"/>
      <c r="G346" s="309"/>
    </row>
    <row r="347" ht="15.75" customHeight="1">
      <c r="A347" s="307"/>
      <c r="B347" s="307"/>
      <c r="C347" s="306"/>
      <c r="D347" s="257"/>
      <c r="E347" s="257"/>
      <c r="F347" s="308"/>
      <c r="G347" s="309"/>
    </row>
    <row r="348" ht="15.75" customHeight="1">
      <c r="A348" s="307"/>
      <c r="B348" s="307"/>
      <c r="C348" s="306"/>
      <c r="D348" s="257"/>
      <c r="E348" s="257"/>
      <c r="F348" s="308"/>
      <c r="G348" s="309"/>
    </row>
    <row r="349" ht="15.75" customHeight="1">
      <c r="A349" s="307"/>
      <c r="B349" s="307"/>
      <c r="C349" s="306"/>
      <c r="D349" s="257"/>
      <c r="E349" s="257"/>
      <c r="F349" s="308"/>
      <c r="G349" s="309"/>
    </row>
    <row r="350" ht="15.75" customHeight="1">
      <c r="A350" s="307"/>
      <c r="B350" s="307"/>
      <c r="C350" s="306"/>
      <c r="D350" s="257"/>
      <c r="E350" s="257"/>
      <c r="F350" s="308"/>
      <c r="G350" s="309"/>
    </row>
    <row r="351" ht="15.75" customHeight="1">
      <c r="A351" s="307"/>
      <c r="B351" s="307"/>
      <c r="C351" s="306"/>
      <c r="D351" s="257"/>
      <c r="E351" s="257"/>
      <c r="F351" s="308"/>
      <c r="G351" s="309"/>
    </row>
    <row r="352" ht="15.75" customHeight="1">
      <c r="A352" s="307"/>
      <c r="B352" s="307"/>
      <c r="C352" s="306"/>
      <c r="D352" s="257"/>
      <c r="E352" s="257"/>
      <c r="F352" s="308"/>
      <c r="G352" s="309"/>
    </row>
    <row r="353" ht="15.75" customHeight="1">
      <c r="A353" s="307"/>
      <c r="B353" s="307"/>
      <c r="C353" s="306"/>
      <c r="D353" s="257"/>
      <c r="E353" s="257"/>
      <c r="F353" s="308"/>
      <c r="G353" s="309"/>
    </row>
    <row r="354" ht="15.75" customHeight="1">
      <c r="A354" s="307"/>
      <c r="B354" s="307"/>
      <c r="C354" s="306"/>
      <c r="D354" s="257"/>
      <c r="E354" s="257"/>
      <c r="F354" s="308"/>
      <c r="G354" s="309"/>
    </row>
    <row r="355" ht="15.75" customHeight="1">
      <c r="A355" s="307"/>
      <c r="B355" s="307"/>
      <c r="C355" s="306"/>
      <c r="D355" s="257"/>
      <c r="E355" s="257"/>
      <c r="F355" s="308"/>
      <c r="G355" s="309"/>
    </row>
    <row r="356" ht="15.75" customHeight="1">
      <c r="A356" s="307"/>
      <c r="B356" s="307"/>
      <c r="C356" s="306"/>
      <c r="D356" s="257"/>
      <c r="E356" s="257"/>
      <c r="F356" s="308"/>
      <c r="G356" s="309"/>
    </row>
    <row r="357" ht="15.75" customHeight="1">
      <c r="A357" s="307"/>
      <c r="B357" s="307"/>
      <c r="C357" s="306"/>
      <c r="D357" s="257"/>
      <c r="E357" s="257"/>
      <c r="F357" s="308"/>
      <c r="G357" s="309"/>
    </row>
    <row r="358" ht="15.75" customHeight="1">
      <c r="A358" s="307"/>
      <c r="B358" s="307"/>
      <c r="C358" s="306"/>
      <c r="D358" s="257"/>
      <c r="E358" s="257"/>
      <c r="F358" s="308"/>
      <c r="G358" s="309"/>
    </row>
    <row r="359" ht="15.75" customHeight="1">
      <c r="A359" s="307"/>
      <c r="B359" s="307"/>
      <c r="C359" s="306"/>
      <c r="D359" s="257"/>
      <c r="E359" s="257"/>
      <c r="F359" s="308"/>
      <c r="G359" s="309"/>
    </row>
    <row r="360" ht="15.75" customHeight="1">
      <c r="A360" s="307"/>
      <c r="B360" s="307"/>
      <c r="C360" s="306"/>
      <c r="D360" s="257"/>
      <c r="E360" s="257"/>
      <c r="F360" s="308"/>
      <c r="G360" s="309"/>
    </row>
    <row r="361" ht="15.75" customHeight="1">
      <c r="A361" s="307"/>
      <c r="B361" s="307"/>
      <c r="C361" s="306"/>
      <c r="D361" s="257"/>
      <c r="E361" s="257"/>
      <c r="F361" s="308"/>
      <c r="G361" s="309"/>
    </row>
    <row r="362" ht="15.75" customHeight="1">
      <c r="A362" s="307"/>
      <c r="B362" s="307"/>
      <c r="C362" s="306"/>
      <c r="D362" s="257"/>
      <c r="E362" s="257"/>
      <c r="F362" s="308"/>
      <c r="G362" s="309"/>
    </row>
    <row r="363" ht="15.75" customHeight="1">
      <c r="A363" s="307"/>
      <c r="B363" s="307"/>
      <c r="C363" s="306"/>
      <c r="D363" s="257"/>
      <c r="E363" s="257"/>
      <c r="F363" s="308"/>
      <c r="G363" s="309"/>
    </row>
    <row r="364" ht="15.75" customHeight="1">
      <c r="A364" s="307"/>
      <c r="B364" s="307"/>
      <c r="C364" s="306"/>
      <c r="D364" s="257"/>
      <c r="E364" s="257"/>
      <c r="F364" s="308"/>
      <c r="G364" s="309"/>
    </row>
    <row r="365" ht="15.75" customHeight="1">
      <c r="A365" s="307"/>
      <c r="B365" s="307"/>
      <c r="C365" s="306"/>
      <c r="D365" s="257"/>
      <c r="E365" s="257"/>
      <c r="F365" s="308"/>
      <c r="G365" s="309"/>
    </row>
    <row r="366" ht="15.75" customHeight="1">
      <c r="A366" s="307"/>
      <c r="B366" s="307"/>
      <c r="C366" s="306"/>
      <c r="D366" s="257"/>
      <c r="E366" s="257"/>
      <c r="F366" s="308"/>
      <c r="G366" s="309"/>
    </row>
    <row r="367" ht="15.75" customHeight="1">
      <c r="A367" s="307"/>
      <c r="B367" s="307"/>
      <c r="C367" s="306"/>
      <c r="D367" s="257"/>
      <c r="E367" s="257"/>
      <c r="F367" s="308"/>
      <c r="G367" s="309"/>
    </row>
    <row r="368" ht="15.75" customHeight="1">
      <c r="A368" s="307"/>
      <c r="B368" s="307"/>
      <c r="C368" s="306"/>
      <c r="D368" s="257"/>
      <c r="E368" s="257"/>
      <c r="F368" s="308"/>
      <c r="G368" s="309"/>
    </row>
    <row r="369" ht="15.75" customHeight="1">
      <c r="A369" s="307"/>
      <c r="B369" s="307"/>
      <c r="C369" s="306"/>
      <c r="D369" s="257"/>
      <c r="E369" s="257"/>
      <c r="F369" s="308"/>
      <c r="G369" s="309"/>
    </row>
    <row r="370" ht="15.75" customHeight="1">
      <c r="A370" s="307"/>
      <c r="B370" s="307"/>
      <c r="C370" s="306"/>
      <c r="D370" s="257"/>
      <c r="E370" s="257"/>
      <c r="F370" s="308"/>
      <c r="G370" s="309"/>
    </row>
    <row r="371" ht="15.75" customHeight="1">
      <c r="A371" s="307"/>
      <c r="B371" s="307"/>
      <c r="C371" s="306"/>
      <c r="D371" s="257"/>
      <c r="E371" s="257"/>
      <c r="F371" s="308"/>
      <c r="G371" s="309"/>
    </row>
    <row r="372" ht="15.75" customHeight="1">
      <c r="A372" s="307"/>
      <c r="B372" s="307"/>
      <c r="C372" s="306"/>
      <c r="D372" s="257"/>
      <c r="E372" s="257"/>
      <c r="F372" s="308"/>
      <c r="G372" s="309"/>
    </row>
    <row r="373" ht="15.75" customHeight="1">
      <c r="A373" s="307"/>
      <c r="B373" s="307"/>
      <c r="C373" s="306"/>
      <c r="D373" s="257"/>
      <c r="E373" s="257"/>
      <c r="F373" s="308"/>
      <c r="G373" s="309"/>
    </row>
    <row r="374" ht="15.75" customHeight="1">
      <c r="A374" s="307"/>
      <c r="B374" s="307"/>
      <c r="C374" s="306"/>
      <c r="D374" s="257"/>
      <c r="E374" s="257"/>
      <c r="F374" s="308"/>
      <c r="G374" s="309"/>
    </row>
    <row r="375" ht="15.75" customHeight="1">
      <c r="A375" s="307"/>
      <c r="B375" s="307"/>
      <c r="C375" s="306"/>
      <c r="D375" s="257"/>
      <c r="E375" s="257"/>
      <c r="F375" s="308"/>
      <c r="G375" s="309"/>
    </row>
    <row r="376" ht="15.75" customHeight="1">
      <c r="A376" s="307"/>
      <c r="B376" s="307"/>
      <c r="C376" s="306"/>
      <c r="D376" s="257"/>
      <c r="E376" s="257"/>
      <c r="F376" s="308"/>
      <c r="G376" s="309"/>
    </row>
    <row r="377" ht="15.75" customHeight="1">
      <c r="A377" s="307"/>
      <c r="B377" s="307"/>
      <c r="C377" s="306"/>
      <c r="D377" s="257"/>
      <c r="E377" s="257"/>
      <c r="F377" s="308"/>
      <c r="G377" s="309"/>
    </row>
    <row r="378" ht="15.75" customHeight="1">
      <c r="A378" s="307"/>
      <c r="B378" s="307"/>
      <c r="C378" s="306"/>
      <c r="D378" s="257"/>
      <c r="E378" s="257"/>
      <c r="F378" s="308"/>
      <c r="G378" s="309"/>
    </row>
    <row r="379" ht="15.75" customHeight="1">
      <c r="A379" s="307"/>
      <c r="B379" s="307"/>
      <c r="C379" s="306"/>
      <c r="D379" s="257"/>
      <c r="E379" s="257"/>
      <c r="F379" s="308"/>
      <c r="G379" s="309"/>
    </row>
    <row r="380" ht="15.75" customHeight="1">
      <c r="A380" s="307"/>
      <c r="B380" s="307"/>
      <c r="C380" s="306"/>
      <c r="D380" s="257"/>
      <c r="E380" s="257"/>
      <c r="F380" s="308"/>
      <c r="G380" s="309"/>
    </row>
    <row r="381" ht="15.75" customHeight="1">
      <c r="A381" s="307"/>
      <c r="B381" s="307"/>
      <c r="C381" s="306"/>
      <c r="D381" s="257"/>
      <c r="E381" s="257"/>
      <c r="F381" s="308"/>
      <c r="G381" s="309"/>
    </row>
    <row r="382" ht="15.75" customHeight="1">
      <c r="A382" s="307"/>
      <c r="B382" s="307"/>
      <c r="C382" s="306"/>
      <c r="D382" s="257"/>
      <c r="E382" s="257"/>
      <c r="F382" s="308"/>
      <c r="G382" s="309"/>
    </row>
    <row r="383" ht="15.75" customHeight="1">
      <c r="A383" s="307"/>
      <c r="B383" s="307"/>
      <c r="C383" s="306"/>
      <c r="D383" s="257"/>
      <c r="E383" s="257"/>
      <c r="F383" s="308"/>
      <c r="G383" s="309"/>
    </row>
    <row r="384" ht="15.75" customHeight="1">
      <c r="A384" s="307"/>
      <c r="B384" s="307"/>
      <c r="C384" s="306"/>
      <c r="D384" s="257"/>
      <c r="E384" s="257"/>
      <c r="F384" s="308"/>
      <c r="G384" s="309"/>
    </row>
    <row r="385" ht="15.75" customHeight="1">
      <c r="A385" s="307"/>
      <c r="B385" s="307"/>
      <c r="C385" s="306"/>
      <c r="D385" s="257"/>
      <c r="E385" s="257"/>
      <c r="F385" s="308"/>
      <c r="G385" s="309"/>
    </row>
    <row r="386" ht="15.75" customHeight="1">
      <c r="A386" s="307"/>
      <c r="B386" s="307"/>
      <c r="C386" s="306"/>
      <c r="D386" s="257"/>
      <c r="E386" s="257"/>
      <c r="F386" s="308"/>
      <c r="G386" s="309"/>
    </row>
    <row r="387" ht="15.75" customHeight="1">
      <c r="A387" s="307"/>
      <c r="B387" s="307"/>
      <c r="C387" s="306"/>
      <c r="D387" s="257"/>
      <c r="E387" s="257"/>
      <c r="F387" s="308"/>
      <c r="G387" s="309"/>
    </row>
    <row r="388" ht="15.75" customHeight="1">
      <c r="A388" s="307"/>
      <c r="B388" s="307"/>
      <c r="C388" s="306"/>
      <c r="D388" s="257"/>
      <c r="E388" s="257"/>
      <c r="F388" s="308"/>
      <c r="G388" s="309"/>
    </row>
    <row r="389" ht="15.75" customHeight="1">
      <c r="A389" s="307"/>
      <c r="B389" s="307"/>
      <c r="C389" s="306"/>
      <c r="D389" s="257"/>
      <c r="E389" s="257"/>
      <c r="F389" s="308"/>
      <c r="G389" s="309"/>
    </row>
    <row r="390" ht="15.75" customHeight="1">
      <c r="A390" s="307"/>
      <c r="B390" s="307"/>
      <c r="C390" s="306"/>
      <c r="D390" s="257"/>
      <c r="E390" s="257"/>
      <c r="F390" s="308"/>
      <c r="G390" s="309"/>
    </row>
    <row r="391" ht="15.75" customHeight="1">
      <c r="A391" s="307"/>
      <c r="B391" s="307"/>
      <c r="C391" s="306"/>
      <c r="D391" s="257"/>
      <c r="E391" s="257"/>
      <c r="F391" s="308"/>
      <c r="G391" s="309"/>
    </row>
    <row r="392" ht="15.75" customHeight="1">
      <c r="A392" s="307"/>
      <c r="B392" s="307"/>
      <c r="C392" s="306"/>
      <c r="D392" s="257"/>
      <c r="E392" s="257"/>
      <c r="F392" s="308"/>
      <c r="G392" s="309"/>
    </row>
    <row r="393" ht="15.75" customHeight="1">
      <c r="A393" s="307"/>
      <c r="B393" s="307"/>
      <c r="C393" s="306"/>
      <c r="D393" s="257"/>
      <c r="E393" s="257"/>
      <c r="F393" s="308"/>
      <c r="G393" s="309"/>
    </row>
    <row r="394" ht="15.75" customHeight="1">
      <c r="A394" s="307"/>
      <c r="B394" s="307"/>
      <c r="C394" s="306"/>
      <c r="D394" s="257"/>
      <c r="E394" s="257"/>
      <c r="F394" s="308"/>
      <c r="G394" s="309"/>
    </row>
    <row r="395" ht="15.75" customHeight="1">
      <c r="A395" s="307"/>
      <c r="B395" s="307"/>
      <c r="C395" s="306"/>
      <c r="D395" s="257"/>
      <c r="E395" s="257"/>
      <c r="F395" s="308"/>
      <c r="G395" s="309"/>
    </row>
    <row r="396" ht="15.75" customHeight="1">
      <c r="A396" s="307"/>
      <c r="B396" s="307"/>
      <c r="C396" s="306"/>
      <c r="D396" s="257"/>
      <c r="E396" s="257"/>
      <c r="F396" s="308"/>
      <c r="G396" s="309"/>
    </row>
    <row r="397" ht="15.75" customHeight="1">
      <c r="A397" s="307"/>
      <c r="B397" s="307"/>
      <c r="C397" s="306"/>
      <c r="D397" s="257"/>
      <c r="E397" s="257"/>
      <c r="F397" s="308"/>
      <c r="G397" s="309"/>
    </row>
    <row r="398" ht="15.75" customHeight="1">
      <c r="A398" s="307"/>
      <c r="B398" s="307"/>
      <c r="C398" s="306"/>
      <c r="D398" s="257"/>
      <c r="E398" s="257"/>
      <c r="F398" s="308"/>
      <c r="G398" s="309"/>
    </row>
    <row r="399" ht="15.75" customHeight="1">
      <c r="A399" s="307"/>
      <c r="B399" s="307"/>
      <c r="C399" s="306"/>
      <c r="D399" s="257"/>
      <c r="E399" s="257"/>
      <c r="F399" s="308"/>
      <c r="G399" s="309"/>
    </row>
    <row r="400" ht="15.75" customHeight="1">
      <c r="A400" s="307"/>
      <c r="B400" s="307"/>
      <c r="C400" s="306"/>
      <c r="D400" s="257"/>
      <c r="E400" s="257"/>
      <c r="F400" s="308"/>
      <c r="G400" s="309"/>
    </row>
    <row r="401" ht="15.75" customHeight="1">
      <c r="A401" s="307"/>
      <c r="B401" s="307"/>
      <c r="C401" s="306"/>
      <c r="D401" s="257"/>
      <c r="E401" s="257"/>
      <c r="F401" s="308"/>
      <c r="G401" s="309"/>
    </row>
    <row r="402" ht="15.75" customHeight="1">
      <c r="A402" s="307"/>
      <c r="B402" s="307"/>
      <c r="C402" s="306"/>
      <c r="D402" s="257"/>
      <c r="E402" s="257"/>
      <c r="F402" s="308"/>
      <c r="G402" s="309"/>
    </row>
    <row r="403" ht="15.75" customHeight="1">
      <c r="A403" s="307"/>
      <c r="B403" s="307"/>
      <c r="C403" s="306"/>
      <c r="D403" s="257"/>
      <c r="E403" s="257"/>
      <c r="F403" s="308"/>
      <c r="G403" s="309"/>
    </row>
    <row r="404" ht="15.75" customHeight="1">
      <c r="A404" s="307"/>
      <c r="B404" s="307"/>
      <c r="C404" s="306"/>
      <c r="D404" s="257"/>
      <c r="E404" s="257"/>
      <c r="F404" s="308"/>
      <c r="G404" s="309"/>
    </row>
    <row r="405" ht="15.75" customHeight="1">
      <c r="A405" s="307"/>
      <c r="B405" s="307"/>
      <c r="C405" s="306"/>
      <c r="D405" s="257"/>
      <c r="E405" s="257"/>
      <c r="F405" s="308"/>
      <c r="G405" s="309"/>
    </row>
    <row r="406" ht="15.75" customHeight="1">
      <c r="A406" s="307"/>
      <c r="B406" s="307"/>
      <c r="C406" s="306"/>
      <c r="D406" s="257"/>
      <c r="E406" s="257"/>
      <c r="F406" s="308"/>
      <c r="G406" s="309"/>
    </row>
    <row r="407" ht="15.75" customHeight="1">
      <c r="A407" s="307"/>
      <c r="B407" s="307"/>
      <c r="C407" s="306"/>
      <c r="D407" s="257"/>
      <c r="E407" s="257"/>
      <c r="F407" s="308"/>
      <c r="G407" s="309"/>
    </row>
    <row r="408" ht="15.75" customHeight="1">
      <c r="A408" s="307"/>
      <c r="B408" s="307"/>
      <c r="C408" s="306"/>
      <c r="D408" s="257"/>
      <c r="E408" s="257"/>
      <c r="F408" s="308"/>
      <c r="G408" s="309"/>
    </row>
    <row r="409" ht="15.75" customHeight="1">
      <c r="A409" s="307"/>
      <c r="B409" s="307"/>
      <c r="C409" s="306"/>
      <c r="D409" s="257"/>
      <c r="E409" s="257"/>
      <c r="F409" s="308"/>
      <c r="G409" s="309"/>
    </row>
    <row r="410" ht="15.75" customHeight="1">
      <c r="A410" s="307"/>
      <c r="B410" s="307"/>
      <c r="C410" s="306"/>
      <c r="D410" s="257"/>
      <c r="E410" s="257"/>
      <c r="F410" s="308"/>
      <c r="G410" s="309"/>
    </row>
    <row r="411" ht="15.75" customHeight="1">
      <c r="A411" s="307"/>
      <c r="B411" s="307"/>
      <c r="C411" s="306"/>
      <c r="D411" s="257"/>
      <c r="E411" s="257"/>
      <c r="F411" s="308"/>
      <c r="G411" s="309"/>
    </row>
    <row r="412" ht="15.75" customHeight="1">
      <c r="A412" s="307"/>
      <c r="B412" s="307"/>
      <c r="C412" s="306"/>
      <c r="D412" s="257"/>
      <c r="E412" s="257"/>
      <c r="F412" s="308"/>
      <c r="G412" s="309"/>
    </row>
    <row r="413" ht="15.75" customHeight="1">
      <c r="A413" s="307"/>
      <c r="B413" s="307"/>
      <c r="C413" s="306"/>
      <c r="D413" s="257"/>
      <c r="E413" s="257"/>
      <c r="F413" s="308"/>
      <c r="G413" s="309"/>
    </row>
    <row r="414" ht="15.75" customHeight="1">
      <c r="A414" s="307"/>
      <c r="B414" s="307"/>
      <c r="C414" s="306"/>
      <c r="D414" s="257"/>
      <c r="E414" s="257"/>
      <c r="F414" s="308"/>
      <c r="G414" s="309"/>
    </row>
    <row r="415" ht="15.75" customHeight="1">
      <c r="A415" s="307"/>
      <c r="B415" s="307"/>
      <c r="C415" s="306"/>
      <c r="D415" s="257"/>
      <c r="E415" s="257"/>
      <c r="F415" s="308"/>
      <c r="G415" s="309"/>
    </row>
    <row r="416" ht="15.75" customHeight="1">
      <c r="A416" s="307"/>
      <c r="B416" s="307"/>
      <c r="C416" s="306"/>
      <c r="D416" s="257"/>
      <c r="E416" s="257"/>
      <c r="F416" s="308"/>
      <c r="G416" s="309"/>
    </row>
    <row r="417" ht="15.75" customHeight="1">
      <c r="A417" s="307"/>
      <c r="B417" s="307"/>
      <c r="C417" s="306"/>
      <c r="D417" s="257"/>
      <c r="E417" s="257"/>
      <c r="F417" s="308"/>
      <c r="G417" s="309"/>
    </row>
    <row r="418" ht="15.75" customHeight="1">
      <c r="A418" s="307"/>
      <c r="B418" s="307"/>
      <c r="C418" s="306"/>
      <c r="D418" s="257"/>
      <c r="E418" s="257"/>
      <c r="F418" s="308"/>
      <c r="G418" s="309"/>
    </row>
    <row r="419" ht="15.75" customHeight="1">
      <c r="A419" s="307"/>
      <c r="B419" s="307"/>
      <c r="C419" s="306"/>
      <c r="D419" s="257"/>
      <c r="E419" s="257"/>
      <c r="F419" s="308"/>
      <c r="G419" s="309"/>
    </row>
    <row r="420" ht="15.75" customHeight="1">
      <c r="A420" s="307"/>
      <c r="B420" s="307"/>
      <c r="C420" s="306"/>
      <c r="D420" s="257"/>
      <c r="E420" s="257"/>
      <c r="F420" s="308"/>
      <c r="G420" s="309"/>
    </row>
    <row r="421" ht="15.75" customHeight="1">
      <c r="A421" s="307"/>
      <c r="B421" s="307"/>
      <c r="C421" s="306"/>
      <c r="D421" s="257"/>
      <c r="E421" s="257"/>
      <c r="F421" s="308"/>
      <c r="G421" s="309"/>
    </row>
    <row r="422" ht="15.75" customHeight="1">
      <c r="A422" s="307"/>
      <c r="B422" s="307"/>
      <c r="C422" s="306"/>
      <c r="D422" s="257"/>
      <c r="E422" s="257"/>
      <c r="F422" s="308"/>
      <c r="G422" s="309"/>
    </row>
    <row r="423" ht="15.75" customHeight="1">
      <c r="A423" s="307"/>
      <c r="B423" s="307"/>
      <c r="C423" s="306"/>
      <c r="D423" s="257"/>
      <c r="E423" s="257"/>
      <c r="F423" s="308"/>
      <c r="G423" s="309"/>
    </row>
    <row r="424" ht="15.75" customHeight="1">
      <c r="A424" s="307"/>
      <c r="B424" s="307"/>
      <c r="C424" s="306"/>
      <c r="D424" s="257"/>
      <c r="E424" s="257"/>
      <c r="F424" s="308"/>
      <c r="G424" s="309"/>
    </row>
    <row r="425" ht="15.75" customHeight="1">
      <c r="A425" s="307"/>
      <c r="B425" s="307"/>
      <c r="C425" s="306"/>
      <c r="D425" s="257"/>
      <c r="E425" s="257"/>
      <c r="F425" s="308"/>
      <c r="G425" s="309"/>
    </row>
    <row r="426" ht="15.75" customHeight="1">
      <c r="A426" s="307"/>
      <c r="B426" s="307"/>
      <c r="C426" s="306"/>
      <c r="D426" s="257"/>
      <c r="E426" s="257"/>
      <c r="F426" s="308"/>
      <c r="G426" s="309"/>
    </row>
    <row r="427" ht="15.75" customHeight="1">
      <c r="A427" s="307"/>
      <c r="B427" s="307"/>
      <c r="C427" s="306"/>
      <c r="D427" s="257"/>
      <c r="E427" s="257"/>
      <c r="F427" s="308"/>
      <c r="G427" s="309"/>
    </row>
    <row r="428" ht="15.75" customHeight="1">
      <c r="A428" s="307"/>
      <c r="B428" s="307"/>
      <c r="C428" s="306"/>
      <c r="D428" s="257"/>
      <c r="E428" s="257"/>
      <c r="F428" s="308"/>
      <c r="G428" s="309"/>
    </row>
    <row r="429" ht="15.75" customHeight="1">
      <c r="A429" s="307"/>
      <c r="B429" s="307"/>
      <c r="C429" s="306"/>
      <c r="D429" s="257"/>
      <c r="E429" s="257"/>
      <c r="F429" s="308"/>
      <c r="G429" s="309"/>
    </row>
    <row r="430" ht="15.75" customHeight="1">
      <c r="A430" s="307"/>
      <c r="B430" s="307"/>
      <c r="C430" s="306"/>
      <c r="D430" s="257"/>
      <c r="E430" s="257"/>
      <c r="F430" s="308"/>
      <c r="G430" s="309"/>
    </row>
    <row r="431" ht="15.75" customHeight="1">
      <c r="A431" s="307"/>
      <c r="B431" s="307"/>
      <c r="C431" s="306"/>
      <c r="D431" s="257"/>
      <c r="E431" s="257"/>
      <c r="F431" s="308"/>
      <c r="G431" s="309"/>
    </row>
    <row r="432" ht="15.75" customHeight="1">
      <c r="A432" s="307"/>
      <c r="B432" s="307"/>
      <c r="C432" s="306"/>
      <c r="D432" s="257"/>
      <c r="E432" s="257"/>
      <c r="F432" s="308"/>
      <c r="G432" s="309"/>
    </row>
    <row r="433" ht="15.75" customHeight="1">
      <c r="A433" s="307"/>
      <c r="B433" s="307"/>
      <c r="C433" s="306"/>
      <c r="D433" s="257"/>
      <c r="E433" s="257"/>
      <c r="F433" s="308"/>
      <c r="G433" s="309"/>
    </row>
    <row r="434" ht="15.75" customHeight="1">
      <c r="A434" s="307"/>
      <c r="B434" s="307"/>
      <c r="C434" s="306"/>
      <c r="D434" s="257"/>
      <c r="E434" s="257"/>
      <c r="F434" s="308"/>
      <c r="G434" s="309"/>
    </row>
    <row r="435" ht="15.75" customHeight="1">
      <c r="A435" s="307"/>
      <c r="B435" s="307"/>
      <c r="C435" s="306"/>
      <c r="D435" s="257"/>
      <c r="E435" s="257"/>
      <c r="F435" s="308"/>
      <c r="G435" s="309"/>
    </row>
    <row r="436" ht="15.75" customHeight="1">
      <c r="A436" s="307"/>
      <c r="B436" s="307"/>
      <c r="C436" s="306"/>
      <c r="D436" s="257"/>
      <c r="E436" s="257"/>
      <c r="F436" s="308"/>
      <c r="G436" s="309"/>
    </row>
    <row r="437" ht="15.75" customHeight="1">
      <c r="A437" s="307"/>
      <c r="B437" s="307"/>
      <c r="C437" s="306"/>
      <c r="D437" s="257"/>
      <c r="E437" s="257"/>
      <c r="F437" s="308"/>
      <c r="G437" s="309"/>
    </row>
    <row r="438" ht="15.75" customHeight="1">
      <c r="A438" s="307"/>
      <c r="B438" s="307"/>
      <c r="C438" s="306"/>
      <c r="D438" s="257"/>
      <c r="E438" s="257"/>
      <c r="F438" s="308"/>
      <c r="G438" s="309"/>
    </row>
    <row r="439" ht="15.75" customHeight="1">
      <c r="A439" s="307"/>
      <c r="B439" s="307"/>
      <c r="C439" s="306"/>
      <c r="D439" s="257"/>
      <c r="E439" s="257"/>
      <c r="F439" s="308"/>
      <c r="G439" s="309"/>
    </row>
    <row r="440" ht="15.75" customHeight="1">
      <c r="A440" s="307"/>
      <c r="B440" s="307"/>
      <c r="C440" s="306"/>
      <c r="D440" s="257"/>
      <c r="E440" s="257"/>
      <c r="F440" s="308"/>
      <c r="G440" s="309"/>
    </row>
    <row r="441" ht="15.75" customHeight="1">
      <c r="A441" s="307"/>
      <c r="B441" s="307"/>
      <c r="C441" s="306"/>
      <c r="D441" s="257"/>
      <c r="E441" s="257"/>
      <c r="F441" s="308"/>
      <c r="G441" s="309"/>
    </row>
    <row r="442" ht="15.75" customHeight="1">
      <c r="A442" s="307"/>
      <c r="B442" s="307"/>
      <c r="C442" s="306"/>
      <c r="D442" s="257"/>
      <c r="E442" s="257"/>
      <c r="F442" s="308"/>
      <c r="G442" s="309"/>
    </row>
    <row r="443" ht="15.75" customHeight="1">
      <c r="A443" s="307"/>
      <c r="B443" s="307"/>
      <c r="C443" s="306"/>
      <c r="D443" s="257"/>
      <c r="E443" s="257"/>
      <c r="F443" s="308"/>
      <c r="G443" s="309"/>
    </row>
    <row r="444" ht="15.75" customHeight="1">
      <c r="A444" s="307"/>
      <c r="B444" s="307"/>
      <c r="C444" s="306"/>
      <c r="D444" s="257"/>
      <c r="E444" s="257"/>
      <c r="F444" s="308"/>
      <c r="G444" s="309"/>
    </row>
    <row r="445" ht="15.75" customHeight="1">
      <c r="A445" s="307"/>
      <c r="B445" s="307"/>
      <c r="C445" s="306"/>
      <c r="D445" s="257"/>
      <c r="E445" s="257"/>
      <c r="F445" s="308"/>
      <c r="G445" s="309"/>
    </row>
    <row r="446" ht="15.75" customHeight="1">
      <c r="A446" s="307"/>
      <c r="B446" s="307"/>
      <c r="C446" s="306"/>
      <c r="D446" s="257"/>
      <c r="E446" s="257"/>
      <c r="F446" s="308"/>
      <c r="G446" s="309"/>
    </row>
    <row r="447" ht="15.75" customHeight="1">
      <c r="A447" s="307"/>
      <c r="B447" s="307"/>
      <c r="C447" s="306"/>
      <c r="D447" s="257"/>
      <c r="E447" s="257"/>
      <c r="F447" s="308"/>
      <c r="G447" s="309"/>
    </row>
    <row r="448" ht="15.75" customHeight="1">
      <c r="A448" s="307"/>
      <c r="B448" s="307"/>
      <c r="C448" s="306"/>
      <c r="D448" s="257"/>
      <c r="E448" s="257"/>
      <c r="F448" s="308"/>
      <c r="G448" s="309"/>
    </row>
    <row r="449" ht="15.75" customHeight="1">
      <c r="A449" s="307"/>
      <c r="B449" s="307"/>
      <c r="C449" s="306"/>
      <c r="D449" s="257"/>
      <c r="E449" s="257"/>
      <c r="F449" s="308"/>
      <c r="G449" s="309"/>
    </row>
    <row r="450" ht="15.75" customHeight="1">
      <c r="A450" s="307"/>
      <c r="B450" s="307"/>
      <c r="C450" s="306"/>
      <c r="D450" s="257"/>
      <c r="E450" s="257"/>
      <c r="F450" s="308"/>
      <c r="G450" s="309"/>
    </row>
    <row r="451" ht="15.75" customHeight="1">
      <c r="A451" s="307"/>
      <c r="B451" s="307"/>
      <c r="C451" s="306"/>
      <c r="D451" s="257"/>
      <c r="E451" s="257"/>
      <c r="F451" s="308"/>
      <c r="G451" s="309"/>
    </row>
    <row r="452" ht="15.75" customHeight="1">
      <c r="A452" s="307"/>
      <c r="B452" s="307"/>
      <c r="C452" s="306"/>
      <c r="D452" s="257"/>
      <c r="E452" s="257"/>
      <c r="F452" s="308"/>
      <c r="G452" s="309"/>
    </row>
    <row r="453" ht="15.75" customHeight="1">
      <c r="A453" s="307"/>
      <c r="B453" s="307"/>
      <c r="C453" s="306"/>
      <c r="D453" s="257"/>
      <c r="E453" s="257"/>
      <c r="F453" s="308"/>
      <c r="G453" s="309"/>
    </row>
    <row r="454" ht="15.75" customHeight="1">
      <c r="A454" s="307"/>
      <c r="B454" s="307"/>
      <c r="C454" s="306"/>
      <c r="D454" s="257"/>
      <c r="E454" s="257"/>
      <c r="F454" s="308"/>
      <c r="G454" s="309"/>
    </row>
    <row r="455" ht="15.75" customHeight="1">
      <c r="A455" s="307"/>
      <c r="B455" s="307"/>
      <c r="C455" s="306"/>
      <c r="D455" s="257"/>
      <c r="E455" s="257"/>
      <c r="F455" s="308"/>
      <c r="G455" s="309"/>
    </row>
    <row r="456" ht="15.75" customHeight="1">
      <c r="A456" s="307"/>
      <c r="B456" s="307"/>
      <c r="C456" s="306"/>
      <c r="D456" s="257"/>
      <c r="E456" s="257"/>
      <c r="F456" s="308"/>
      <c r="G456" s="309"/>
    </row>
    <row r="457" ht="15.75" customHeight="1">
      <c r="A457" s="307"/>
      <c r="B457" s="307"/>
      <c r="C457" s="306"/>
      <c r="D457" s="257"/>
      <c r="E457" s="257"/>
      <c r="F457" s="308"/>
      <c r="G457" s="309"/>
    </row>
    <row r="458" ht="15.75" customHeight="1">
      <c r="A458" s="307"/>
      <c r="B458" s="307"/>
      <c r="C458" s="306"/>
      <c r="D458" s="257"/>
      <c r="E458" s="257"/>
      <c r="F458" s="308"/>
      <c r="G458" s="309"/>
    </row>
    <row r="459" ht="15.75" customHeight="1">
      <c r="A459" s="307"/>
      <c r="B459" s="307"/>
      <c r="C459" s="306"/>
      <c r="D459" s="257"/>
      <c r="E459" s="257"/>
      <c r="F459" s="308"/>
      <c r="G459" s="309"/>
    </row>
    <row r="460" ht="15.75" customHeight="1">
      <c r="A460" s="307"/>
      <c r="B460" s="307"/>
      <c r="C460" s="306"/>
      <c r="D460" s="257"/>
      <c r="E460" s="257"/>
      <c r="F460" s="308"/>
      <c r="G460" s="309"/>
    </row>
    <row r="461" ht="15.75" customHeight="1">
      <c r="A461" s="307"/>
      <c r="B461" s="307"/>
      <c r="C461" s="306"/>
      <c r="D461" s="257"/>
      <c r="E461" s="257"/>
      <c r="F461" s="308"/>
      <c r="G461" s="309"/>
    </row>
    <row r="462" ht="15.75" customHeight="1">
      <c r="A462" s="307"/>
      <c r="B462" s="307"/>
      <c r="C462" s="306"/>
      <c r="D462" s="257"/>
      <c r="E462" s="257"/>
      <c r="F462" s="308"/>
      <c r="G462" s="309"/>
    </row>
    <row r="463" ht="15.75" customHeight="1">
      <c r="A463" s="307"/>
      <c r="B463" s="307"/>
      <c r="C463" s="306"/>
      <c r="D463" s="257"/>
      <c r="E463" s="257"/>
      <c r="F463" s="308"/>
      <c r="G463" s="309"/>
    </row>
    <row r="464" ht="15.75" customHeight="1">
      <c r="A464" s="307"/>
      <c r="B464" s="307"/>
      <c r="C464" s="306"/>
      <c r="D464" s="257"/>
      <c r="E464" s="257"/>
      <c r="F464" s="308"/>
      <c r="G464" s="309"/>
    </row>
    <row r="465" ht="15.75" customHeight="1">
      <c r="A465" s="307"/>
      <c r="B465" s="307"/>
      <c r="C465" s="306"/>
      <c r="D465" s="257"/>
      <c r="E465" s="257"/>
      <c r="F465" s="308"/>
      <c r="G465" s="309"/>
    </row>
    <row r="466" ht="15.75" customHeight="1">
      <c r="A466" s="307"/>
      <c r="B466" s="307"/>
      <c r="C466" s="306"/>
      <c r="D466" s="257"/>
      <c r="E466" s="257"/>
      <c r="F466" s="308"/>
      <c r="G466" s="309"/>
    </row>
    <row r="467" ht="15.75" customHeight="1">
      <c r="A467" s="307"/>
      <c r="B467" s="307"/>
      <c r="C467" s="306"/>
      <c r="D467" s="257"/>
      <c r="E467" s="257"/>
      <c r="F467" s="308"/>
      <c r="G467" s="309"/>
    </row>
    <row r="468" ht="15.75" customHeight="1">
      <c r="A468" s="307"/>
      <c r="B468" s="307"/>
      <c r="C468" s="306"/>
      <c r="D468" s="257"/>
      <c r="E468" s="257"/>
      <c r="F468" s="308"/>
      <c r="G468" s="309"/>
    </row>
    <row r="469" ht="15.75" customHeight="1">
      <c r="A469" s="307"/>
      <c r="B469" s="307"/>
      <c r="C469" s="306"/>
      <c r="D469" s="257"/>
      <c r="E469" s="257"/>
      <c r="F469" s="308"/>
      <c r="G469" s="309"/>
    </row>
    <row r="470" ht="15.75" customHeight="1">
      <c r="A470" s="307"/>
      <c r="B470" s="307"/>
      <c r="C470" s="306"/>
      <c r="D470" s="257"/>
      <c r="E470" s="257"/>
      <c r="F470" s="308"/>
      <c r="G470" s="309"/>
    </row>
    <row r="471" ht="15.75" customHeight="1">
      <c r="A471" s="307"/>
      <c r="B471" s="307"/>
      <c r="C471" s="306"/>
      <c r="D471" s="257"/>
      <c r="E471" s="257"/>
      <c r="F471" s="308"/>
      <c r="G471" s="309"/>
    </row>
    <row r="472" ht="15.75" customHeight="1">
      <c r="A472" s="307"/>
      <c r="B472" s="307"/>
      <c r="C472" s="306"/>
      <c r="D472" s="257"/>
      <c r="E472" s="257"/>
      <c r="F472" s="308"/>
      <c r="G472" s="309"/>
    </row>
    <row r="473" ht="15.75" customHeight="1">
      <c r="A473" s="307"/>
      <c r="B473" s="307"/>
      <c r="C473" s="306"/>
      <c r="D473" s="257"/>
      <c r="E473" s="257"/>
      <c r="F473" s="308"/>
      <c r="G473" s="309"/>
    </row>
    <row r="474" ht="15.75" customHeight="1">
      <c r="A474" s="307"/>
      <c r="B474" s="307"/>
      <c r="C474" s="306"/>
      <c r="D474" s="257"/>
      <c r="E474" s="257"/>
      <c r="F474" s="308"/>
      <c r="G474" s="309"/>
    </row>
    <row r="475" ht="15.75" customHeight="1">
      <c r="A475" s="307"/>
      <c r="B475" s="307"/>
      <c r="C475" s="306"/>
      <c r="D475" s="257"/>
      <c r="E475" s="257"/>
      <c r="F475" s="308"/>
      <c r="G475" s="309"/>
    </row>
    <row r="476" ht="15.75" customHeight="1">
      <c r="A476" s="307"/>
      <c r="B476" s="307"/>
      <c r="C476" s="306"/>
      <c r="D476" s="257"/>
      <c r="E476" s="257"/>
      <c r="F476" s="308"/>
      <c r="G476" s="309"/>
    </row>
    <row r="477" ht="15.75" customHeight="1">
      <c r="A477" s="307"/>
      <c r="B477" s="307"/>
      <c r="C477" s="306"/>
      <c r="D477" s="257"/>
      <c r="E477" s="257"/>
      <c r="F477" s="308"/>
      <c r="G477" s="309"/>
    </row>
    <row r="478" ht="15.75" customHeight="1">
      <c r="A478" s="307"/>
      <c r="B478" s="307"/>
      <c r="C478" s="306"/>
      <c r="D478" s="257"/>
      <c r="E478" s="257"/>
      <c r="F478" s="308"/>
      <c r="G478" s="309"/>
    </row>
    <row r="479" ht="15.75" customHeight="1">
      <c r="A479" s="307"/>
      <c r="B479" s="307"/>
      <c r="C479" s="306"/>
      <c r="D479" s="257"/>
      <c r="E479" s="257"/>
      <c r="F479" s="308"/>
      <c r="G479" s="309"/>
    </row>
    <row r="480" ht="15.75" customHeight="1">
      <c r="A480" s="307"/>
      <c r="B480" s="307"/>
      <c r="C480" s="306"/>
      <c r="D480" s="257"/>
      <c r="E480" s="257"/>
      <c r="F480" s="308"/>
      <c r="G480" s="309"/>
    </row>
    <row r="481" ht="15.75" customHeight="1">
      <c r="A481" s="307"/>
      <c r="B481" s="307"/>
      <c r="C481" s="306"/>
      <c r="D481" s="257"/>
      <c r="E481" s="257"/>
      <c r="F481" s="308"/>
      <c r="G481" s="309"/>
    </row>
    <row r="482" ht="15.75" customHeight="1">
      <c r="A482" s="307"/>
      <c r="B482" s="307"/>
      <c r="C482" s="306"/>
      <c r="D482" s="257"/>
      <c r="E482" s="257"/>
      <c r="F482" s="308"/>
      <c r="G482" s="309"/>
    </row>
    <row r="483" ht="15.75" customHeight="1">
      <c r="A483" s="307"/>
      <c r="B483" s="307"/>
      <c r="C483" s="306"/>
      <c r="D483" s="257"/>
      <c r="E483" s="257"/>
      <c r="F483" s="308"/>
      <c r="G483" s="309"/>
    </row>
    <row r="484" ht="15.75" customHeight="1">
      <c r="A484" s="307"/>
      <c r="B484" s="307"/>
      <c r="C484" s="306"/>
      <c r="D484" s="257"/>
      <c r="E484" s="257"/>
      <c r="F484" s="308"/>
      <c r="G484" s="309"/>
    </row>
    <row r="485" ht="15.75" customHeight="1">
      <c r="A485" s="307"/>
      <c r="B485" s="307"/>
      <c r="C485" s="306"/>
      <c r="D485" s="257"/>
      <c r="E485" s="257"/>
      <c r="F485" s="308"/>
      <c r="G485" s="309"/>
    </row>
    <row r="486" ht="15.75" customHeight="1">
      <c r="A486" s="307"/>
      <c r="B486" s="307"/>
      <c r="C486" s="306"/>
      <c r="D486" s="257"/>
      <c r="E486" s="257"/>
      <c r="F486" s="308"/>
      <c r="G486" s="309"/>
    </row>
    <row r="487" ht="15.75" customHeight="1">
      <c r="A487" s="307"/>
      <c r="B487" s="307"/>
      <c r="C487" s="306"/>
      <c r="D487" s="257"/>
      <c r="E487" s="257"/>
      <c r="F487" s="308"/>
      <c r="G487" s="309"/>
    </row>
    <row r="488" ht="15.75" customHeight="1">
      <c r="A488" s="307"/>
      <c r="B488" s="307"/>
      <c r="C488" s="306"/>
      <c r="D488" s="257"/>
      <c r="E488" s="257"/>
      <c r="F488" s="308"/>
      <c r="G488" s="309"/>
    </row>
    <row r="489" ht="15.75" customHeight="1">
      <c r="A489" s="307"/>
      <c r="B489" s="307"/>
      <c r="C489" s="306"/>
      <c r="D489" s="257"/>
      <c r="E489" s="257"/>
      <c r="F489" s="308"/>
      <c r="G489" s="309"/>
    </row>
    <row r="490" ht="15.75" customHeight="1">
      <c r="A490" s="307"/>
      <c r="B490" s="307"/>
      <c r="C490" s="306"/>
      <c r="D490" s="257"/>
      <c r="E490" s="257"/>
      <c r="F490" s="308"/>
      <c r="G490" s="309"/>
    </row>
    <row r="491" ht="15.75" customHeight="1">
      <c r="A491" s="307"/>
      <c r="B491" s="307"/>
      <c r="C491" s="306"/>
      <c r="D491" s="257"/>
      <c r="E491" s="257"/>
      <c r="F491" s="308"/>
      <c r="G491" s="309"/>
    </row>
    <row r="492" ht="15.75" customHeight="1">
      <c r="A492" s="307"/>
      <c r="B492" s="307"/>
      <c r="C492" s="306"/>
      <c r="D492" s="257"/>
      <c r="E492" s="257"/>
      <c r="F492" s="308"/>
      <c r="G492" s="309"/>
    </row>
    <row r="493" ht="15.75" customHeight="1">
      <c r="A493" s="307"/>
      <c r="B493" s="307"/>
      <c r="C493" s="306"/>
      <c r="D493" s="257"/>
      <c r="E493" s="257"/>
      <c r="F493" s="308"/>
      <c r="G493" s="309"/>
    </row>
    <row r="494" ht="15.75" customHeight="1">
      <c r="A494" s="307"/>
      <c r="B494" s="307"/>
      <c r="C494" s="306"/>
      <c r="D494" s="257"/>
      <c r="E494" s="257"/>
      <c r="F494" s="308"/>
      <c r="G494" s="309"/>
    </row>
    <row r="495" ht="15.75" customHeight="1">
      <c r="A495" s="307"/>
      <c r="B495" s="307"/>
      <c r="C495" s="306"/>
      <c r="D495" s="257"/>
      <c r="E495" s="257"/>
      <c r="F495" s="308"/>
      <c r="G495" s="309"/>
    </row>
    <row r="496" ht="15.75" customHeight="1">
      <c r="A496" s="307"/>
      <c r="B496" s="307"/>
      <c r="C496" s="306"/>
      <c r="D496" s="257"/>
      <c r="E496" s="257"/>
      <c r="F496" s="308"/>
      <c r="G496" s="309"/>
    </row>
    <row r="497" ht="15.75" customHeight="1">
      <c r="A497" s="307"/>
      <c r="B497" s="307"/>
      <c r="C497" s="306"/>
      <c r="D497" s="257"/>
      <c r="E497" s="257"/>
      <c r="F497" s="308"/>
      <c r="G497" s="309"/>
    </row>
    <row r="498" ht="15.75" customHeight="1">
      <c r="A498" s="307"/>
      <c r="B498" s="307"/>
      <c r="C498" s="306"/>
      <c r="D498" s="257"/>
      <c r="E498" s="257"/>
      <c r="F498" s="308"/>
      <c r="G498" s="309"/>
    </row>
    <row r="499" ht="15.75" customHeight="1">
      <c r="A499" s="307"/>
      <c r="B499" s="307"/>
      <c r="C499" s="306"/>
      <c r="D499" s="257"/>
      <c r="E499" s="257"/>
      <c r="F499" s="308"/>
      <c r="G499" s="309"/>
    </row>
    <row r="500" ht="15.75" customHeight="1">
      <c r="A500" s="307"/>
      <c r="B500" s="307"/>
      <c r="C500" s="306"/>
      <c r="D500" s="257"/>
      <c r="E500" s="257"/>
      <c r="F500" s="308"/>
      <c r="G500" s="309"/>
    </row>
    <row r="501" ht="15.75" customHeight="1">
      <c r="A501" s="307"/>
      <c r="B501" s="307"/>
      <c r="C501" s="306"/>
      <c r="D501" s="257"/>
      <c r="E501" s="257"/>
      <c r="F501" s="308"/>
      <c r="G501" s="309"/>
    </row>
    <row r="502" ht="15.75" customHeight="1">
      <c r="A502" s="307"/>
      <c r="B502" s="307"/>
      <c r="C502" s="306"/>
      <c r="D502" s="257"/>
      <c r="E502" s="257"/>
      <c r="F502" s="308"/>
      <c r="G502" s="309"/>
    </row>
    <row r="503" ht="15.75" customHeight="1">
      <c r="A503" s="307"/>
      <c r="B503" s="307"/>
      <c r="C503" s="306"/>
      <c r="D503" s="257"/>
      <c r="E503" s="257"/>
      <c r="F503" s="308"/>
      <c r="G503" s="309"/>
    </row>
    <row r="504" ht="15.75" customHeight="1">
      <c r="A504" s="307"/>
      <c r="B504" s="307"/>
      <c r="C504" s="306"/>
      <c r="D504" s="257"/>
      <c r="E504" s="257"/>
      <c r="F504" s="308"/>
      <c r="G504" s="309"/>
    </row>
    <row r="505" ht="15.75" customHeight="1">
      <c r="A505" s="307"/>
      <c r="B505" s="307"/>
      <c r="C505" s="306"/>
      <c r="D505" s="257"/>
      <c r="E505" s="257"/>
      <c r="F505" s="308"/>
      <c r="G505" s="309"/>
    </row>
    <row r="506" ht="15.75" customHeight="1">
      <c r="A506" s="307"/>
      <c r="B506" s="307"/>
      <c r="C506" s="306"/>
      <c r="D506" s="257"/>
      <c r="E506" s="257"/>
      <c r="F506" s="308"/>
      <c r="G506" s="309"/>
    </row>
    <row r="507" ht="15.75" customHeight="1">
      <c r="A507" s="307"/>
      <c r="B507" s="307"/>
      <c r="C507" s="306"/>
      <c r="D507" s="257"/>
      <c r="E507" s="257"/>
      <c r="F507" s="308"/>
      <c r="G507" s="309"/>
    </row>
    <row r="508" ht="15.75" customHeight="1">
      <c r="A508" s="307"/>
      <c r="B508" s="307"/>
      <c r="C508" s="306"/>
      <c r="D508" s="257"/>
      <c r="E508" s="257"/>
      <c r="F508" s="308"/>
      <c r="G508" s="309"/>
    </row>
    <row r="509" ht="15.75" customHeight="1">
      <c r="A509" s="307"/>
      <c r="B509" s="307"/>
      <c r="C509" s="306"/>
      <c r="D509" s="257"/>
      <c r="E509" s="257"/>
      <c r="F509" s="308"/>
      <c r="G509" s="309"/>
    </row>
    <row r="510" ht="15.75" customHeight="1">
      <c r="A510" s="307"/>
      <c r="B510" s="307"/>
      <c r="C510" s="306"/>
      <c r="D510" s="257"/>
      <c r="E510" s="257"/>
      <c r="F510" s="308"/>
      <c r="G510" s="309"/>
    </row>
    <row r="511" ht="15.75" customHeight="1">
      <c r="A511" s="307"/>
      <c r="B511" s="307"/>
      <c r="C511" s="306"/>
      <c r="D511" s="257"/>
      <c r="E511" s="257"/>
      <c r="F511" s="308"/>
      <c r="G511" s="309"/>
    </row>
    <row r="512" ht="15.75" customHeight="1">
      <c r="A512" s="307"/>
      <c r="B512" s="307"/>
      <c r="C512" s="306"/>
      <c r="D512" s="257"/>
      <c r="E512" s="257"/>
      <c r="F512" s="308"/>
      <c r="G512" s="309"/>
    </row>
    <row r="513" ht="15.75" customHeight="1">
      <c r="A513" s="307"/>
      <c r="B513" s="307"/>
      <c r="C513" s="306"/>
      <c r="D513" s="257"/>
      <c r="E513" s="257"/>
      <c r="F513" s="308"/>
      <c r="G513" s="309"/>
    </row>
    <row r="514" ht="15.75" customHeight="1">
      <c r="A514" s="307"/>
      <c r="B514" s="307"/>
      <c r="C514" s="306"/>
      <c r="D514" s="257"/>
      <c r="E514" s="257"/>
      <c r="F514" s="308"/>
      <c r="G514" s="309"/>
    </row>
    <row r="515" ht="15.75" customHeight="1">
      <c r="A515" s="307"/>
      <c r="B515" s="307"/>
      <c r="C515" s="306"/>
      <c r="D515" s="257"/>
      <c r="E515" s="257"/>
      <c r="F515" s="308"/>
      <c r="G515" s="309"/>
    </row>
    <row r="516" ht="15.75" customHeight="1">
      <c r="A516" s="307"/>
      <c r="B516" s="307"/>
      <c r="C516" s="306"/>
      <c r="D516" s="257"/>
      <c r="E516" s="257"/>
      <c r="F516" s="308"/>
      <c r="G516" s="309"/>
    </row>
    <row r="517" ht="15.75" customHeight="1">
      <c r="A517" s="307"/>
      <c r="B517" s="307"/>
      <c r="C517" s="306"/>
      <c r="D517" s="257"/>
      <c r="E517" s="257"/>
      <c r="F517" s="308"/>
      <c r="G517" s="309"/>
    </row>
    <row r="518" ht="15.75" customHeight="1">
      <c r="A518" s="307"/>
      <c r="B518" s="307"/>
      <c r="C518" s="306"/>
      <c r="D518" s="257"/>
      <c r="E518" s="257"/>
      <c r="F518" s="308"/>
      <c r="G518" s="309"/>
    </row>
    <row r="519" ht="15.75" customHeight="1">
      <c r="A519" s="307"/>
      <c r="B519" s="307"/>
      <c r="C519" s="306"/>
      <c r="D519" s="257"/>
      <c r="E519" s="257"/>
      <c r="F519" s="308"/>
      <c r="G519" s="309"/>
    </row>
    <row r="520" ht="15.75" customHeight="1">
      <c r="A520" s="307"/>
      <c r="B520" s="307"/>
      <c r="C520" s="306"/>
      <c r="D520" s="257"/>
      <c r="E520" s="257"/>
      <c r="F520" s="308"/>
      <c r="G520" s="309"/>
    </row>
    <row r="521" ht="15.75" customHeight="1">
      <c r="A521" s="307"/>
      <c r="B521" s="307"/>
      <c r="C521" s="306"/>
      <c r="D521" s="257"/>
      <c r="E521" s="257"/>
      <c r="F521" s="308"/>
      <c r="G521" s="309"/>
    </row>
    <row r="522" ht="15.75" customHeight="1">
      <c r="A522" s="307"/>
      <c r="B522" s="307"/>
      <c r="C522" s="306"/>
      <c r="D522" s="257"/>
      <c r="E522" s="257"/>
      <c r="F522" s="308"/>
      <c r="G522" s="309"/>
    </row>
    <row r="523" ht="15.75" customHeight="1">
      <c r="A523" s="307"/>
      <c r="B523" s="307"/>
      <c r="C523" s="306"/>
      <c r="D523" s="257"/>
      <c r="E523" s="257"/>
      <c r="F523" s="308"/>
      <c r="G523" s="309"/>
    </row>
    <row r="524" ht="15.75" customHeight="1">
      <c r="A524" s="307"/>
      <c r="B524" s="307"/>
      <c r="C524" s="306"/>
      <c r="D524" s="257"/>
      <c r="E524" s="257"/>
      <c r="F524" s="308"/>
      <c r="G524" s="309"/>
    </row>
    <row r="525" ht="15.75" customHeight="1">
      <c r="A525" s="307"/>
      <c r="B525" s="307"/>
      <c r="C525" s="306"/>
      <c r="D525" s="257"/>
      <c r="E525" s="257"/>
      <c r="F525" s="308"/>
      <c r="G525" s="309"/>
    </row>
    <row r="526" ht="15.75" customHeight="1">
      <c r="A526" s="307"/>
      <c r="B526" s="307"/>
      <c r="C526" s="306"/>
      <c r="D526" s="257"/>
      <c r="E526" s="257"/>
      <c r="F526" s="308"/>
      <c r="G526" s="309"/>
    </row>
    <row r="527" ht="15.75" customHeight="1">
      <c r="A527" s="307"/>
      <c r="B527" s="307"/>
      <c r="C527" s="306"/>
      <c r="D527" s="257"/>
      <c r="E527" s="257"/>
      <c r="F527" s="308"/>
      <c r="G527" s="309"/>
    </row>
    <row r="528" ht="15.75" customHeight="1">
      <c r="A528" s="307"/>
      <c r="B528" s="307"/>
      <c r="C528" s="306"/>
      <c r="D528" s="257"/>
      <c r="E528" s="257"/>
      <c r="F528" s="308"/>
      <c r="G528" s="309"/>
    </row>
    <row r="529" ht="15.75" customHeight="1">
      <c r="A529" s="307"/>
      <c r="B529" s="307"/>
      <c r="C529" s="306"/>
      <c r="D529" s="257"/>
      <c r="E529" s="257"/>
      <c r="F529" s="308"/>
      <c r="G529" s="309"/>
    </row>
    <row r="530" ht="15.75" customHeight="1">
      <c r="A530" s="307"/>
      <c r="B530" s="307"/>
      <c r="C530" s="306"/>
      <c r="D530" s="257"/>
      <c r="E530" s="257"/>
      <c r="F530" s="308"/>
      <c r="G530" s="309"/>
    </row>
    <row r="531" ht="15.75" customHeight="1">
      <c r="A531" s="307"/>
      <c r="B531" s="307"/>
      <c r="C531" s="306"/>
      <c r="D531" s="257"/>
      <c r="E531" s="257"/>
      <c r="F531" s="308"/>
      <c r="G531" s="309"/>
    </row>
    <row r="532" ht="15.75" customHeight="1">
      <c r="A532" s="307"/>
      <c r="B532" s="307"/>
      <c r="C532" s="306"/>
      <c r="D532" s="257"/>
      <c r="E532" s="257"/>
      <c r="F532" s="308"/>
      <c r="G532" s="309"/>
    </row>
    <row r="533" ht="15.75" customHeight="1">
      <c r="A533" s="307"/>
      <c r="B533" s="307"/>
      <c r="C533" s="306"/>
      <c r="D533" s="257"/>
      <c r="E533" s="257"/>
      <c r="F533" s="308"/>
      <c r="G533" s="309"/>
    </row>
    <row r="534" ht="15.75" customHeight="1">
      <c r="A534" s="307"/>
      <c r="B534" s="307"/>
      <c r="C534" s="306"/>
      <c r="D534" s="257"/>
      <c r="E534" s="257"/>
      <c r="F534" s="308"/>
      <c r="G534" s="309"/>
    </row>
    <row r="535" ht="15.75" customHeight="1">
      <c r="A535" s="307"/>
      <c r="B535" s="307"/>
      <c r="C535" s="306"/>
      <c r="D535" s="257"/>
      <c r="E535" s="257"/>
      <c r="F535" s="308"/>
      <c r="G535" s="309"/>
    </row>
    <row r="536" ht="15.75" customHeight="1">
      <c r="A536" s="307"/>
      <c r="B536" s="307"/>
      <c r="C536" s="306"/>
      <c r="D536" s="257"/>
      <c r="E536" s="257"/>
      <c r="F536" s="308"/>
      <c r="G536" s="309"/>
    </row>
    <row r="537" ht="15.75" customHeight="1">
      <c r="A537" s="307"/>
      <c r="B537" s="307"/>
      <c r="C537" s="306"/>
      <c r="D537" s="257"/>
      <c r="E537" s="257"/>
      <c r="F537" s="308"/>
      <c r="G537" s="309"/>
    </row>
    <row r="538" ht="15.75" customHeight="1">
      <c r="A538" s="307"/>
      <c r="B538" s="307"/>
      <c r="C538" s="306"/>
      <c r="D538" s="257"/>
      <c r="E538" s="257"/>
      <c r="F538" s="308"/>
      <c r="G538" s="309"/>
    </row>
    <row r="539" ht="15.75" customHeight="1">
      <c r="A539" s="307"/>
      <c r="B539" s="307"/>
      <c r="C539" s="306"/>
      <c r="D539" s="257"/>
      <c r="E539" s="257"/>
      <c r="F539" s="308"/>
      <c r="G539" s="309"/>
    </row>
    <row r="540" ht="15.75" customHeight="1">
      <c r="A540" s="307"/>
      <c r="B540" s="307"/>
      <c r="C540" s="306"/>
      <c r="D540" s="257"/>
      <c r="E540" s="257"/>
      <c r="F540" s="308"/>
      <c r="G540" s="309"/>
    </row>
    <row r="541" ht="15.75" customHeight="1">
      <c r="A541" s="307"/>
      <c r="B541" s="307"/>
      <c r="C541" s="306"/>
      <c r="D541" s="257"/>
      <c r="E541" s="257"/>
      <c r="F541" s="308"/>
      <c r="G541" s="309"/>
    </row>
    <row r="542" ht="15.75" customHeight="1">
      <c r="A542" s="307"/>
      <c r="B542" s="307"/>
      <c r="C542" s="306"/>
      <c r="D542" s="257"/>
      <c r="E542" s="257"/>
      <c r="F542" s="308"/>
      <c r="G542" s="309"/>
    </row>
    <row r="543" ht="15.75" customHeight="1">
      <c r="A543" s="307"/>
      <c r="B543" s="307"/>
      <c r="C543" s="306"/>
      <c r="D543" s="257"/>
      <c r="E543" s="257"/>
      <c r="F543" s="308"/>
      <c r="G543" s="309"/>
    </row>
    <row r="544" ht="15.75" customHeight="1">
      <c r="A544" s="307"/>
      <c r="B544" s="307"/>
      <c r="C544" s="306"/>
      <c r="D544" s="257"/>
      <c r="E544" s="257"/>
      <c r="F544" s="308"/>
      <c r="G544" s="309"/>
    </row>
    <row r="545" ht="15.75" customHeight="1">
      <c r="A545" s="307"/>
      <c r="B545" s="307"/>
      <c r="C545" s="306"/>
      <c r="D545" s="257"/>
      <c r="E545" s="257"/>
      <c r="F545" s="308"/>
      <c r="G545" s="309"/>
    </row>
    <row r="546" ht="15.75" customHeight="1">
      <c r="A546" s="307"/>
      <c r="B546" s="307"/>
      <c r="C546" s="306"/>
      <c r="D546" s="257"/>
      <c r="E546" s="257"/>
      <c r="F546" s="308"/>
      <c r="G546" s="309"/>
    </row>
    <row r="547" ht="15.75" customHeight="1">
      <c r="A547" s="307"/>
      <c r="B547" s="307"/>
      <c r="C547" s="306"/>
      <c r="D547" s="257"/>
      <c r="E547" s="257"/>
      <c r="F547" s="308"/>
      <c r="G547" s="309"/>
    </row>
    <row r="548" ht="15.75" customHeight="1">
      <c r="A548" s="307"/>
      <c r="B548" s="307"/>
      <c r="C548" s="306"/>
      <c r="D548" s="257"/>
      <c r="E548" s="257"/>
      <c r="F548" s="308"/>
      <c r="G548" s="309"/>
    </row>
    <row r="549" ht="15.75" customHeight="1">
      <c r="A549" s="307"/>
      <c r="B549" s="307"/>
      <c r="C549" s="306"/>
      <c r="D549" s="257"/>
      <c r="E549" s="257"/>
      <c r="F549" s="308"/>
      <c r="G549" s="309"/>
    </row>
    <row r="550" ht="15.75" customHeight="1">
      <c r="A550" s="307"/>
      <c r="B550" s="307"/>
      <c r="C550" s="306"/>
      <c r="D550" s="257"/>
      <c r="E550" s="257"/>
      <c r="F550" s="308"/>
      <c r="G550" s="309"/>
    </row>
    <row r="551" ht="15.75" customHeight="1">
      <c r="A551" s="307"/>
      <c r="B551" s="307"/>
      <c r="C551" s="306"/>
      <c r="D551" s="257"/>
      <c r="E551" s="257"/>
      <c r="F551" s="308"/>
      <c r="G551" s="309"/>
    </row>
    <row r="552" ht="15.75" customHeight="1">
      <c r="A552" s="307"/>
      <c r="B552" s="307"/>
      <c r="C552" s="306"/>
      <c r="D552" s="257"/>
      <c r="E552" s="257"/>
      <c r="F552" s="308"/>
      <c r="G552" s="309"/>
    </row>
    <row r="553" ht="15.75" customHeight="1">
      <c r="A553" s="307"/>
      <c r="B553" s="307"/>
      <c r="C553" s="306"/>
      <c r="D553" s="257"/>
      <c r="E553" s="257"/>
      <c r="F553" s="308"/>
      <c r="G553" s="309"/>
    </row>
    <row r="554" ht="15.75" customHeight="1">
      <c r="A554" s="307"/>
      <c r="B554" s="307"/>
      <c r="C554" s="306"/>
      <c r="D554" s="257"/>
      <c r="E554" s="257"/>
      <c r="F554" s="308"/>
      <c r="G554" s="309"/>
    </row>
    <row r="555" ht="15.75" customHeight="1">
      <c r="A555" s="307"/>
      <c r="B555" s="307"/>
      <c r="C555" s="306"/>
      <c r="D555" s="257"/>
      <c r="E555" s="257"/>
      <c r="F555" s="308"/>
      <c r="G555" s="309"/>
    </row>
    <row r="556" ht="15.75" customHeight="1">
      <c r="A556" s="307"/>
      <c r="B556" s="307"/>
      <c r="C556" s="306"/>
      <c r="D556" s="257"/>
      <c r="E556" s="257"/>
      <c r="F556" s="308"/>
      <c r="G556" s="309"/>
    </row>
    <row r="557" ht="15.75" customHeight="1">
      <c r="A557" s="307"/>
      <c r="B557" s="307"/>
      <c r="C557" s="306"/>
      <c r="D557" s="257"/>
      <c r="E557" s="257"/>
      <c r="F557" s="308"/>
      <c r="G557" s="309"/>
    </row>
    <row r="558" ht="15.75" customHeight="1">
      <c r="A558" s="307"/>
      <c r="B558" s="307"/>
      <c r="C558" s="306"/>
      <c r="D558" s="257"/>
      <c r="E558" s="257"/>
      <c r="F558" s="308"/>
      <c r="G558" s="309"/>
    </row>
    <row r="559" ht="15.75" customHeight="1">
      <c r="A559" s="307"/>
      <c r="B559" s="307"/>
      <c r="C559" s="306"/>
      <c r="D559" s="257"/>
      <c r="E559" s="257"/>
      <c r="F559" s="308"/>
      <c r="G559" s="309"/>
    </row>
    <row r="560" ht="15.75" customHeight="1">
      <c r="A560" s="307"/>
      <c r="B560" s="307"/>
      <c r="C560" s="306"/>
      <c r="D560" s="257"/>
      <c r="E560" s="257"/>
      <c r="F560" s="308"/>
      <c r="G560" s="309"/>
    </row>
    <row r="561" ht="15.75" customHeight="1">
      <c r="A561" s="307"/>
      <c r="B561" s="307"/>
      <c r="C561" s="306"/>
      <c r="D561" s="257"/>
      <c r="E561" s="257"/>
      <c r="F561" s="308"/>
      <c r="G561" s="309"/>
    </row>
    <row r="562" ht="15.75" customHeight="1">
      <c r="A562" s="307"/>
      <c r="B562" s="307"/>
      <c r="C562" s="306"/>
      <c r="D562" s="257"/>
      <c r="E562" s="257"/>
      <c r="F562" s="308"/>
      <c r="G562" s="309"/>
    </row>
    <row r="563" ht="15.75" customHeight="1">
      <c r="A563" s="307"/>
      <c r="B563" s="307"/>
      <c r="C563" s="306"/>
      <c r="D563" s="257"/>
      <c r="E563" s="257"/>
      <c r="F563" s="308"/>
      <c r="G563" s="309"/>
    </row>
    <row r="564" ht="15.75" customHeight="1">
      <c r="A564" s="307"/>
      <c r="B564" s="307"/>
      <c r="C564" s="306"/>
      <c r="D564" s="257"/>
      <c r="E564" s="257"/>
      <c r="F564" s="308"/>
      <c r="G564" s="309"/>
    </row>
    <row r="565" ht="15.75" customHeight="1">
      <c r="A565" s="307"/>
      <c r="B565" s="307"/>
      <c r="C565" s="306"/>
      <c r="D565" s="257"/>
      <c r="E565" s="257"/>
      <c r="F565" s="308"/>
      <c r="G565" s="309"/>
    </row>
    <row r="566" ht="15.75" customHeight="1">
      <c r="A566" s="307"/>
      <c r="B566" s="307"/>
      <c r="C566" s="306"/>
      <c r="D566" s="257"/>
      <c r="E566" s="257"/>
      <c r="F566" s="308"/>
      <c r="G566" s="309"/>
    </row>
    <row r="567" ht="15.75" customHeight="1">
      <c r="A567" s="307"/>
      <c r="B567" s="307"/>
      <c r="C567" s="306"/>
      <c r="D567" s="257"/>
      <c r="E567" s="257"/>
      <c r="F567" s="308"/>
      <c r="G567" s="309"/>
    </row>
    <row r="568" ht="15.75" customHeight="1">
      <c r="A568" s="307"/>
      <c r="B568" s="307"/>
      <c r="C568" s="306"/>
      <c r="D568" s="257"/>
      <c r="E568" s="257"/>
      <c r="F568" s="308"/>
      <c r="G568" s="309"/>
    </row>
    <row r="569" ht="15.75" customHeight="1">
      <c r="A569" s="307"/>
      <c r="B569" s="307"/>
      <c r="C569" s="306"/>
      <c r="D569" s="257"/>
      <c r="E569" s="257"/>
      <c r="F569" s="308"/>
      <c r="G569" s="309"/>
    </row>
    <row r="570" ht="15.75" customHeight="1">
      <c r="A570" s="307"/>
      <c r="B570" s="307"/>
      <c r="C570" s="306"/>
      <c r="D570" s="257"/>
      <c r="E570" s="257"/>
      <c r="F570" s="308"/>
      <c r="G570" s="309"/>
    </row>
    <row r="571" ht="15.75" customHeight="1">
      <c r="A571" s="307"/>
      <c r="B571" s="307"/>
      <c r="C571" s="306"/>
      <c r="D571" s="257"/>
      <c r="E571" s="257"/>
      <c r="F571" s="308"/>
      <c r="G571" s="309"/>
    </row>
    <row r="572" ht="15.75" customHeight="1">
      <c r="A572" s="307"/>
      <c r="B572" s="307"/>
      <c r="C572" s="306"/>
      <c r="D572" s="257"/>
      <c r="E572" s="257"/>
      <c r="F572" s="308"/>
      <c r="G572" s="309"/>
    </row>
    <row r="573" ht="15.75" customHeight="1">
      <c r="A573" s="307"/>
      <c r="B573" s="307"/>
      <c r="C573" s="306"/>
      <c r="D573" s="257"/>
      <c r="E573" s="257"/>
      <c r="F573" s="308"/>
      <c r="G573" s="309"/>
    </row>
    <row r="574" ht="15.75" customHeight="1">
      <c r="A574" s="307"/>
      <c r="B574" s="307"/>
      <c r="C574" s="306"/>
      <c r="D574" s="257"/>
      <c r="E574" s="257"/>
      <c r="F574" s="308"/>
      <c r="G574" s="309"/>
    </row>
    <row r="575" ht="15.75" customHeight="1">
      <c r="A575" s="307"/>
      <c r="B575" s="307"/>
      <c r="C575" s="306"/>
      <c r="D575" s="257"/>
      <c r="E575" s="257"/>
      <c r="F575" s="308"/>
      <c r="G575" s="309"/>
    </row>
    <row r="576" ht="15.75" customHeight="1">
      <c r="A576" s="307"/>
      <c r="B576" s="307"/>
      <c r="C576" s="306"/>
      <c r="D576" s="257"/>
      <c r="E576" s="257"/>
      <c r="F576" s="308"/>
      <c r="G576" s="309"/>
    </row>
    <row r="577" ht="15.75" customHeight="1">
      <c r="A577" s="307"/>
      <c r="B577" s="307"/>
      <c r="C577" s="306"/>
      <c r="D577" s="257"/>
      <c r="E577" s="257"/>
      <c r="F577" s="308"/>
      <c r="G577" s="309"/>
    </row>
    <row r="578" ht="15.75" customHeight="1">
      <c r="A578" s="307"/>
      <c r="B578" s="307"/>
      <c r="C578" s="306"/>
      <c r="D578" s="257"/>
      <c r="E578" s="257"/>
      <c r="F578" s="308"/>
      <c r="G578" s="309"/>
    </row>
    <row r="579" ht="15.75" customHeight="1">
      <c r="A579" s="307"/>
      <c r="B579" s="307"/>
      <c r="C579" s="306"/>
      <c r="D579" s="257"/>
      <c r="E579" s="257"/>
      <c r="F579" s="308"/>
      <c r="G579" s="309"/>
    </row>
    <row r="580" ht="15.75" customHeight="1">
      <c r="A580" s="307"/>
      <c r="B580" s="307"/>
      <c r="C580" s="306"/>
      <c r="D580" s="257"/>
      <c r="E580" s="257"/>
      <c r="F580" s="308"/>
      <c r="G580" s="309"/>
    </row>
    <row r="581" ht="15.75" customHeight="1">
      <c r="A581" s="307"/>
      <c r="B581" s="307"/>
      <c r="C581" s="306"/>
      <c r="D581" s="257"/>
      <c r="E581" s="257"/>
      <c r="F581" s="308"/>
      <c r="G581" s="309"/>
    </row>
    <row r="582" ht="15.75" customHeight="1">
      <c r="A582" s="307"/>
      <c r="B582" s="307"/>
      <c r="C582" s="306"/>
      <c r="D582" s="257"/>
      <c r="E582" s="257"/>
      <c r="F582" s="308"/>
      <c r="G582" s="309"/>
    </row>
    <row r="583" ht="15.75" customHeight="1">
      <c r="A583" s="307"/>
      <c r="B583" s="307"/>
      <c r="C583" s="306"/>
      <c r="D583" s="257"/>
      <c r="E583" s="257"/>
      <c r="F583" s="308"/>
      <c r="G583" s="309"/>
    </row>
    <row r="584" ht="15.75" customHeight="1">
      <c r="A584" s="307"/>
      <c r="B584" s="307"/>
      <c r="C584" s="306"/>
      <c r="D584" s="257"/>
      <c r="E584" s="257"/>
      <c r="F584" s="308"/>
      <c r="G584" s="309"/>
    </row>
    <row r="585" ht="15.75" customHeight="1">
      <c r="A585" s="307"/>
      <c r="B585" s="307"/>
      <c r="C585" s="306"/>
      <c r="D585" s="257"/>
      <c r="E585" s="257"/>
      <c r="F585" s="308"/>
      <c r="G585" s="309"/>
    </row>
    <row r="586" ht="15.75" customHeight="1">
      <c r="A586" s="307"/>
      <c r="B586" s="307"/>
      <c r="C586" s="306"/>
      <c r="D586" s="257"/>
      <c r="E586" s="257"/>
      <c r="F586" s="308"/>
      <c r="G586" s="309"/>
    </row>
    <row r="587" ht="15.75" customHeight="1">
      <c r="A587" s="307"/>
      <c r="B587" s="307"/>
      <c r="C587" s="306"/>
      <c r="D587" s="257"/>
      <c r="E587" s="257"/>
      <c r="F587" s="308"/>
      <c r="G587" s="309"/>
    </row>
    <row r="588" ht="15.75" customHeight="1">
      <c r="A588" s="307"/>
      <c r="B588" s="307"/>
      <c r="C588" s="306"/>
      <c r="D588" s="257"/>
      <c r="E588" s="257"/>
      <c r="F588" s="308"/>
      <c r="G588" s="309"/>
    </row>
    <row r="589" ht="15.75" customHeight="1">
      <c r="A589" s="307"/>
      <c r="B589" s="307"/>
      <c r="C589" s="306"/>
      <c r="D589" s="257"/>
      <c r="E589" s="257"/>
      <c r="F589" s="308"/>
      <c r="G589" s="309"/>
    </row>
    <row r="590" ht="15.75" customHeight="1">
      <c r="A590" s="307"/>
      <c r="B590" s="307"/>
      <c r="C590" s="306"/>
      <c r="D590" s="257"/>
      <c r="E590" s="257"/>
      <c r="F590" s="308"/>
      <c r="G590" s="309"/>
    </row>
    <row r="591" ht="15.75" customHeight="1">
      <c r="A591" s="307"/>
      <c r="B591" s="307"/>
      <c r="C591" s="306"/>
      <c r="D591" s="257"/>
      <c r="E591" s="257"/>
      <c r="F591" s="308"/>
      <c r="G591" s="309"/>
    </row>
    <row r="592" ht="15.75" customHeight="1">
      <c r="A592" s="307"/>
      <c r="B592" s="307"/>
      <c r="C592" s="306"/>
      <c r="D592" s="257"/>
      <c r="E592" s="257"/>
      <c r="F592" s="308"/>
      <c r="G592" s="309"/>
    </row>
    <row r="593" ht="15.75" customHeight="1">
      <c r="A593" s="307"/>
      <c r="B593" s="307"/>
      <c r="C593" s="306"/>
      <c r="D593" s="257"/>
      <c r="E593" s="257"/>
      <c r="F593" s="308"/>
      <c r="G593" s="309"/>
    </row>
    <row r="594" ht="15.75" customHeight="1">
      <c r="A594" s="307"/>
      <c r="B594" s="307"/>
      <c r="C594" s="306"/>
      <c r="D594" s="257"/>
      <c r="E594" s="257"/>
      <c r="F594" s="308"/>
      <c r="G594" s="309"/>
    </row>
    <row r="595" ht="15.75" customHeight="1">
      <c r="A595" s="307"/>
      <c r="B595" s="307"/>
      <c r="C595" s="306"/>
      <c r="D595" s="257"/>
      <c r="E595" s="257"/>
      <c r="F595" s="308"/>
      <c r="G595" s="309"/>
    </row>
    <row r="596" ht="15.75" customHeight="1">
      <c r="A596" s="307"/>
      <c r="B596" s="307"/>
      <c r="C596" s="306"/>
      <c r="D596" s="257"/>
      <c r="E596" s="257"/>
      <c r="F596" s="308"/>
      <c r="G596" s="309"/>
    </row>
    <row r="597" ht="15.75" customHeight="1">
      <c r="A597" s="307"/>
      <c r="B597" s="307"/>
      <c r="C597" s="306"/>
      <c r="D597" s="257"/>
      <c r="E597" s="257"/>
      <c r="F597" s="308"/>
      <c r="G597" s="309"/>
    </row>
    <row r="598" ht="15.75" customHeight="1">
      <c r="A598" s="307"/>
      <c r="B598" s="307"/>
      <c r="C598" s="306"/>
      <c r="D598" s="257"/>
      <c r="E598" s="257"/>
      <c r="F598" s="308"/>
      <c r="G598" s="309"/>
    </row>
    <row r="599" ht="15.75" customHeight="1">
      <c r="A599" s="307"/>
      <c r="B599" s="307"/>
      <c r="C599" s="306"/>
      <c r="D599" s="257"/>
      <c r="E599" s="257"/>
      <c r="F599" s="308"/>
      <c r="G599" s="309"/>
    </row>
    <row r="600" ht="15.75" customHeight="1">
      <c r="A600" s="307"/>
      <c r="B600" s="307"/>
      <c r="C600" s="306"/>
      <c r="D600" s="257"/>
      <c r="E600" s="257"/>
      <c r="F600" s="308"/>
      <c r="G600" s="309"/>
    </row>
    <row r="601" ht="15.75" customHeight="1">
      <c r="A601" s="307"/>
      <c r="B601" s="307"/>
      <c r="C601" s="306"/>
      <c r="D601" s="257"/>
      <c r="E601" s="257"/>
      <c r="F601" s="308"/>
      <c r="G601" s="309"/>
    </row>
    <row r="602" ht="15.75" customHeight="1">
      <c r="A602" s="307"/>
      <c r="B602" s="307"/>
      <c r="C602" s="306"/>
      <c r="D602" s="257"/>
      <c r="E602" s="257"/>
      <c r="F602" s="308"/>
      <c r="G602" s="309"/>
    </row>
    <row r="603" ht="15.75" customHeight="1">
      <c r="A603" s="307"/>
      <c r="B603" s="307"/>
      <c r="C603" s="306"/>
      <c r="D603" s="257"/>
      <c r="E603" s="257"/>
      <c r="F603" s="308"/>
      <c r="G603" s="309"/>
    </row>
    <row r="604" ht="15.75" customHeight="1">
      <c r="A604" s="307"/>
      <c r="B604" s="307"/>
      <c r="C604" s="306"/>
      <c r="D604" s="257"/>
      <c r="E604" s="257"/>
      <c r="F604" s="308"/>
      <c r="G604" s="309"/>
    </row>
    <row r="605" ht="15.75" customHeight="1">
      <c r="A605" s="307"/>
      <c r="B605" s="307"/>
      <c r="C605" s="306"/>
      <c r="D605" s="257"/>
      <c r="E605" s="257"/>
      <c r="F605" s="308"/>
      <c r="G605" s="309"/>
    </row>
    <row r="606" ht="15.75" customHeight="1">
      <c r="A606" s="307"/>
      <c r="B606" s="307"/>
      <c r="C606" s="306"/>
      <c r="D606" s="257"/>
      <c r="E606" s="257"/>
      <c r="F606" s="308"/>
      <c r="G606" s="309"/>
    </row>
    <row r="607" ht="15.75" customHeight="1">
      <c r="A607" s="307"/>
      <c r="B607" s="307"/>
      <c r="C607" s="306"/>
      <c r="D607" s="257"/>
      <c r="E607" s="257"/>
      <c r="F607" s="308"/>
      <c r="G607" s="309"/>
    </row>
    <row r="608" ht="15.75" customHeight="1">
      <c r="A608" s="307"/>
      <c r="B608" s="307"/>
      <c r="C608" s="306"/>
      <c r="D608" s="257"/>
      <c r="E608" s="257"/>
      <c r="F608" s="308"/>
      <c r="G608" s="309"/>
    </row>
    <row r="609" ht="15.75" customHeight="1">
      <c r="A609" s="307"/>
      <c r="B609" s="307"/>
      <c r="C609" s="306"/>
      <c r="D609" s="257"/>
      <c r="E609" s="257"/>
      <c r="F609" s="308"/>
      <c r="G609" s="309"/>
    </row>
    <row r="610" ht="15.75" customHeight="1">
      <c r="A610" s="307"/>
      <c r="B610" s="307"/>
      <c r="C610" s="306"/>
      <c r="D610" s="257"/>
      <c r="E610" s="257"/>
      <c r="F610" s="308"/>
      <c r="G610" s="309"/>
    </row>
    <row r="611" ht="15.75" customHeight="1">
      <c r="A611" s="307"/>
      <c r="B611" s="307"/>
      <c r="C611" s="306"/>
      <c r="D611" s="257"/>
      <c r="E611" s="257"/>
      <c r="F611" s="308"/>
      <c r="G611" s="309"/>
    </row>
    <row r="612" ht="15.75" customHeight="1">
      <c r="A612" s="307"/>
      <c r="B612" s="307"/>
      <c r="C612" s="306"/>
      <c r="D612" s="257"/>
      <c r="E612" s="257"/>
      <c r="F612" s="308"/>
      <c r="G612" s="309"/>
    </row>
    <row r="613" ht="15.75" customHeight="1">
      <c r="A613" s="307"/>
      <c r="B613" s="307"/>
      <c r="C613" s="306"/>
      <c r="D613" s="257"/>
      <c r="E613" s="257"/>
      <c r="F613" s="308"/>
      <c r="G613" s="309"/>
    </row>
    <row r="614" ht="15.75" customHeight="1">
      <c r="A614" s="307"/>
      <c r="B614" s="307"/>
      <c r="C614" s="306"/>
      <c r="D614" s="257"/>
      <c r="E614" s="257"/>
      <c r="F614" s="308"/>
      <c r="G614" s="309"/>
    </row>
    <row r="615" ht="15.75" customHeight="1">
      <c r="A615" s="307"/>
      <c r="B615" s="307"/>
      <c r="C615" s="306"/>
      <c r="D615" s="257"/>
      <c r="E615" s="257"/>
      <c r="F615" s="308"/>
      <c r="G615" s="309"/>
    </row>
    <row r="616" ht="15.75" customHeight="1">
      <c r="A616" s="307"/>
      <c r="B616" s="307"/>
      <c r="C616" s="306"/>
      <c r="D616" s="257"/>
      <c r="E616" s="257"/>
      <c r="F616" s="308"/>
      <c r="G616" s="309"/>
    </row>
    <row r="617" ht="15.75" customHeight="1">
      <c r="A617" s="307"/>
      <c r="B617" s="307"/>
      <c r="C617" s="306"/>
      <c r="D617" s="257"/>
      <c r="E617" s="257"/>
      <c r="F617" s="308"/>
      <c r="G617" s="309"/>
    </row>
    <row r="618" ht="15.75" customHeight="1">
      <c r="A618" s="307"/>
      <c r="B618" s="307"/>
      <c r="C618" s="306"/>
      <c r="D618" s="257"/>
      <c r="E618" s="257"/>
      <c r="F618" s="308"/>
      <c r="G618" s="309"/>
    </row>
    <row r="619" ht="15.75" customHeight="1">
      <c r="A619" s="307"/>
      <c r="B619" s="307"/>
      <c r="C619" s="306"/>
      <c r="D619" s="257"/>
      <c r="E619" s="257"/>
      <c r="F619" s="308"/>
      <c r="G619" s="309"/>
    </row>
    <row r="620" ht="15.75" customHeight="1">
      <c r="A620" s="307"/>
      <c r="B620" s="307"/>
      <c r="C620" s="306"/>
      <c r="D620" s="257"/>
      <c r="E620" s="257"/>
      <c r="F620" s="308"/>
      <c r="G620" s="309"/>
    </row>
    <row r="621" ht="15.75" customHeight="1">
      <c r="A621" s="307"/>
      <c r="B621" s="307"/>
      <c r="C621" s="306"/>
      <c r="D621" s="257"/>
      <c r="E621" s="257"/>
      <c r="F621" s="308"/>
      <c r="G621" s="309"/>
    </row>
    <row r="622" ht="15.75" customHeight="1">
      <c r="A622" s="307"/>
      <c r="B622" s="307"/>
      <c r="C622" s="306"/>
      <c r="D622" s="257"/>
      <c r="E622" s="257"/>
      <c r="F622" s="308"/>
      <c r="G622" s="309"/>
    </row>
    <row r="623" ht="15.75" customHeight="1">
      <c r="A623" s="307"/>
      <c r="B623" s="307"/>
      <c r="C623" s="306"/>
      <c r="D623" s="257"/>
      <c r="E623" s="257"/>
      <c r="F623" s="308"/>
      <c r="G623" s="309"/>
    </row>
    <row r="624" ht="15.75" customHeight="1">
      <c r="A624" s="307"/>
      <c r="B624" s="307"/>
      <c r="C624" s="306"/>
      <c r="D624" s="257"/>
      <c r="E624" s="257"/>
      <c r="F624" s="308"/>
      <c r="G624" s="309"/>
    </row>
    <row r="625" ht="15.75" customHeight="1">
      <c r="A625" s="307"/>
      <c r="B625" s="307"/>
      <c r="C625" s="306"/>
      <c r="D625" s="257"/>
      <c r="E625" s="257"/>
      <c r="F625" s="308"/>
      <c r="G625" s="309"/>
    </row>
    <row r="626" ht="15.75" customHeight="1">
      <c r="A626" s="307"/>
      <c r="B626" s="307"/>
      <c r="C626" s="306"/>
      <c r="D626" s="257"/>
      <c r="E626" s="257"/>
      <c r="F626" s="308"/>
      <c r="G626" s="309"/>
    </row>
    <row r="627" ht="15.75" customHeight="1">
      <c r="A627" s="307"/>
      <c r="B627" s="307"/>
      <c r="C627" s="306"/>
      <c r="D627" s="257"/>
      <c r="E627" s="257"/>
      <c r="F627" s="308"/>
      <c r="G627" s="309"/>
    </row>
    <row r="628" ht="15.75" customHeight="1">
      <c r="A628" s="307"/>
      <c r="B628" s="307"/>
      <c r="C628" s="306"/>
      <c r="D628" s="257"/>
      <c r="E628" s="257"/>
      <c r="F628" s="308"/>
      <c r="G628" s="309"/>
    </row>
    <row r="629" ht="15.75" customHeight="1">
      <c r="A629" s="307"/>
      <c r="B629" s="307"/>
      <c r="C629" s="306"/>
      <c r="D629" s="257"/>
      <c r="E629" s="257"/>
      <c r="F629" s="308"/>
      <c r="G629" s="309"/>
    </row>
    <row r="630" ht="15.75" customHeight="1">
      <c r="A630" s="307"/>
      <c r="B630" s="307"/>
      <c r="C630" s="306"/>
      <c r="D630" s="257"/>
      <c r="E630" s="257"/>
      <c r="F630" s="308"/>
      <c r="G630" s="309"/>
    </row>
    <row r="631" ht="15.75" customHeight="1">
      <c r="A631" s="307"/>
      <c r="B631" s="307"/>
      <c r="C631" s="306"/>
      <c r="D631" s="257"/>
      <c r="E631" s="257"/>
      <c r="F631" s="308"/>
      <c r="G631" s="309"/>
    </row>
    <row r="632" ht="15.75" customHeight="1">
      <c r="A632" s="307"/>
      <c r="B632" s="307"/>
      <c r="C632" s="306"/>
      <c r="D632" s="257"/>
      <c r="E632" s="257"/>
      <c r="F632" s="308"/>
      <c r="G632" s="309"/>
    </row>
    <row r="633" ht="15.75" customHeight="1">
      <c r="A633" s="307"/>
      <c r="B633" s="307"/>
      <c r="C633" s="306"/>
      <c r="D633" s="257"/>
      <c r="E633" s="257"/>
      <c r="F633" s="308"/>
      <c r="G633" s="309"/>
    </row>
    <row r="634" ht="15.75" customHeight="1">
      <c r="A634" s="307"/>
      <c r="B634" s="307"/>
      <c r="C634" s="306"/>
      <c r="D634" s="257"/>
      <c r="E634" s="257"/>
      <c r="F634" s="308"/>
      <c r="G634" s="309"/>
    </row>
    <row r="635" ht="15.75" customHeight="1">
      <c r="A635" s="307"/>
      <c r="B635" s="307"/>
      <c r="C635" s="306"/>
      <c r="D635" s="257"/>
      <c r="E635" s="257"/>
      <c r="F635" s="308"/>
      <c r="G635" s="309"/>
    </row>
    <row r="636" ht="15.75" customHeight="1">
      <c r="A636" s="307"/>
      <c r="B636" s="307"/>
      <c r="C636" s="306"/>
      <c r="D636" s="257"/>
      <c r="E636" s="257"/>
      <c r="F636" s="308"/>
      <c r="G636" s="309"/>
    </row>
    <row r="637" ht="15.75" customHeight="1">
      <c r="A637" s="307"/>
      <c r="B637" s="307"/>
      <c r="C637" s="306"/>
      <c r="D637" s="257"/>
      <c r="E637" s="257"/>
      <c r="F637" s="308"/>
      <c r="G637" s="309"/>
    </row>
    <row r="638" ht="15.75" customHeight="1">
      <c r="A638" s="307"/>
      <c r="B638" s="307"/>
      <c r="C638" s="306"/>
      <c r="D638" s="257"/>
      <c r="E638" s="257"/>
      <c r="F638" s="308"/>
      <c r="G638" s="309"/>
    </row>
    <row r="639" ht="15.75" customHeight="1">
      <c r="A639" s="307"/>
      <c r="B639" s="307"/>
      <c r="C639" s="306"/>
      <c r="D639" s="257"/>
      <c r="E639" s="257"/>
      <c r="F639" s="308"/>
      <c r="G639" s="309"/>
    </row>
    <row r="640" ht="15.75" customHeight="1">
      <c r="A640" s="307"/>
      <c r="B640" s="307"/>
      <c r="C640" s="306"/>
      <c r="D640" s="257"/>
      <c r="E640" s="257"/>
      <c r="F640" s="308"/>
      <c r="G640" s="309"/>
    </row>
    <row r="641" ht="15.75" customHeight="1">
      <c r="A641" s="307"/>
      <c r="B641" s="307"/>
      <c r="C641" s="306"/>
      <c r="D641" s="257"/>
      <c r="E641" s="257"/>
      <c r="F641" s="308"/>
      <c r="G641" s="309"/>
    </row>
    <row r="642" ht="15.75" customHeight="1">
      <c r="A642" s="307"/>
      <c r="B642" s="307"/>
      <c r="C642" s="306"/>
      <c r="D642" s="257"/>
      <c r="E642" s="257"/>
      <c r="F642" s="308"/>
      <c r="G642" s="309"/>
    </row>
    <row r="643" ht="15.75" customHeight="1">
      <c r="A643" s="307"/>
      <c r="B643" s="307"/>
      <c r="C643" s="306"/>
      <c r="D643" s="257"/>
      <c r="E643" s="257"/>
      <c r="F643" s="308"/>
      <c r="G643" s="309"/>
    </row>
    <row r="644" ht="15.75" customHeight="1">
      <c r="A644" s="307"/>
      <c r="B644" s="307"/>
      <c r="C644" s="306"/>
      <c r="D644" s="257"/>
      <c r="E644" s="257"/>
      <c r="F644" s="308"/>
      <c r="G644" s="309"/>
    </row>
    <row r="645" ht="15.75" customHeight="1">
      <c r="A645" s="307"/>
      <c r="B645" s="307"/>
      <c r="C645" s="306"/>
      <c r="D645" s="257"/>
      <c r="E645" s="257"/>
      <c r="F645" s="308"/>
      <c r="G645" s="309"/>
    </row>
    <row r="646" ht="15.75" customHeight="1">
      <c r="A646" s="307"/>
      <c r="B646" s="307"/>
      <c r="C646" s="306"/>
      <c r="D646" s="257"/>
      <c r="E646" s="257"/>
      <c r="F646" s="308"/>
      <c r="G646" s="309"/>
    </row>
    <row r="647" ht="15.75" customHeight="1">
      <c r="A647" s="307"/>
      <c r="B647" s="307"/>
      <c r="C647" s="306"/>
      <c r="D647" s="257"/>
      <c r="E647" s="257"/>
      <c r="F647" s="308"/>
      <c r="G647" s="309"/>
    </row>
    <row r="648" ht="15.75" customHeight="1">
      <c r="A648" s="307"/>
      <c r="B648" s="307"/>
      <c r="C648" s="306"/>
      <c r="D648" s="257"/>
      <c r="E648" s="257"/>
      <c r="F648" s="308"/>
      <c r="G648" s="309"/>
    </row>
    <row r="649" ht="15.75" customHeight="1">
      <c r="A649" s="307"/>
      <c r="B649" s="307"/>
      <c r="C649" s="306"/>
      <c r="D649" s="257"/>
      <c r="E649" s="257"/>
      <c r="F649" s="308"/>
      <c r="G649" s="309"/>
    </row>
    <row r="650" ht="15.75" customHeight="1">
      <c r="A650" s="307"/>
      <c r="B650" s="307"/>
      <c r="C650" s="306"/>
      <c r="D650" s="257"/>
      <c r="E650" s="257"/>
      <c r="F650" s="308"/>
      <c r="G650" s="309"/>
    </row>
    <row r="651" ht="15.75" customHeight="1">
      <c r="A651" s="307"/>
      <c r="B651" s="307"/>
      <c r="C651" s="306"/>
      <c r="D651" s="257"/>
      <c r="E651" s="257"/>
      <c r="F651" s="308"/>
      <c r="G651" s="309"/>
    </row>
    <row r="652" ht="15.75" customHeight="1">
      <c r="A652" s="307"/>
      <c r="B652" s="307"/>
      <c r="C652" s="306"/>
      <c r="D652" s="257"/>
      <c r="E652" s="257"/>
      <c r="F652" s="308"/>
      <c r="G652" s="309"/>
    </row>
    <row r="653" ht="15.75" customHeight="1">
      <c r="A653" s="307"/>
      <c r="B653" s="307"/>
      <c r="C653" s="306"/>
      <c r="D653" s="257"/>
      <c r="E653" s="257"/>
      <c r="F653" s="308"/>
      <c r="G653" s="309"/>
    </row>
    <row r="654" ht="15.75" customHeight="1">
      <c r="A654" s="307"/>
      <c r="B654" s="307"/>
      <c r="C654" s="306"/>
      <c r="D654" s="257"/>
      <c r="E654" s="257"/>
      <c r="F654" s="308"/>
      <c r="G654" s="309"/>
    </row>
    <row r="655" ht="15.75" customHeight="1">
      <c r="A655" s="307"/>
      <c r="B655" s="307"/>
      <c r="C655" s="306"/>
      <c r="D655" s="257"/>
      <c r="E655" s="257"/>
      <c r="F655" s="308"/>
      <c r="G655" s="309"/>
    </row>
    <row r="656" ht="15.75" customHeight="1">
      <c r="A656" s="307"/>
      <c r="B656" s="307"/>
      <c r="C656" s="306"/>
      <c r="D656" s="257"/>
      <c r="E656" s="257"/>
      <c r="F656" s="308"/>
      <c r="G656" s="309"/>
    </row>
    <row r="657" ht="15.75" customHeight="1">
      <c r="A657" s="307"/>
      <c r="B657" s="307"/>
      <c r="C657" s="306"/>
      <c r="D657" s="257"/>
      <c r="E657" s="257"/>
      <c r="F657" s="308"/>
      <c r="G657" s="309"/>
    </row>
    <row r="658" ht="15.75" customHeight="1">
      <c r="A658" s="307"/>
      <c r="B658" s="307"/>
      <c r="C658" s="306"/>
      <c r="D658" s="257"/>
      <c r="E658" s="257"/>
      <c r="F658" s="308"/>
      <c r="G658" s="309"/>
    </row>
    <row r="659" ht="15.75" customHeight="1">
      <c r="A659" s="307"/>
      <c r="B659" s="307"/>
      <c r="C659" s="306"/>
      <c r="D659" s="257"/>
      <c r="E659" s="257"/>
      <c r="F659" s="308"/>
      <c r="G659" s="309"/>
    </row>
    <row r="660" ht="15.75" customHeight="1">
      <c r="A660" s="307"/>
      <c r="B660" s="307"/>
      <c r="C660" s="306"/>
      <c r="D660" s="257"/>
      <c r="E660" s="257"/>
      <c r="F660" s="308"/>
      <c r="G660" s="309"/>
    </row>
    <row r="661" ht="15.75" customHeight="1">
      <c r="A661" s="307"/>
      <c r="B661" s="307"/>
      <c r="C661" s="306"/>
      <c r="D661" s="257"/>
      <c r="E661" s="257"/>
      <c r="F661" s="308"/>
      <c r="G661" s="309"/>
    </row>
    <row r="662" ht="15.75" customHeight="1">
      <c r="A662" s="307"/>
      <c r="B662" s="307"/>
      <c r="C662" s="306"/>
      <c r="D662" s="257"/>
      <c r="E662" s="257"/>
      <c r="F662" s="308"/>
      <c r="G662" s="309"/>
    </row>
    <row r="663" ht="15.75" customHeight="1">
      <c r="A663" s="307"/>
      <c r="B663" s="307"/>
      <c r="C663" s="306"/>
      <c r="D663" s="257"/>
      <c r="E663" s="257"/>
      <c r="F663" s="308"/>
      <c r="G663" s="309"/>
    </row>
    <row r="664" ht="15.75" customHeight="1">
      <c r="A664" s="307"/>
      <c r="B664" s="307"/>
      <c r="C664" s="306"/>
      <c r="D664" s="257"/>
      <c r="E664" s="257"/>
      <c r="F664" s="308"/>
      <c r="G664" s="309"/>
    </row>
    <row r="665" ht="15.75" customHeight="1">
      <c r="A665" s="307"/>
      <c r="B665" s="307"/>
      <c r="C665" s="306"/>
      <c r="D665" s="257"/>
      <c r="E665" s="257"/>
      <c r="F665" s="308"/>
      <c r="G665" s="309"/>
    </row>
    <row r="666" ht="15.75" customHeight="1">
      <c r="A666" s="307"/>
      <c r="B666" s="307"/>
      <c r="C666" s="306"/>
      <c r="D666" s="257"/>
      <c r="E666" s="257"/>
      <c r="F666" s="308"/>
      <c r="G666" s="309"/>
    </row>
    <row r="667" ht="15.75" customHeight="1">
      <c r="A667" s="307"/>
      <c r="B667" s="307"/>
      <c r="C667" s="306"/>
      <c r="D667" s="257"/>
      <c r="E667" s="257"/>
      <c r="F667" s="308"/>
      <c r="G667" s="309"/>
    </row>
    <row r="668" ht="15.75" customHeight="1">
      <c r="A668" s="307"/>
      <c r="B668" s="307"/>
      <c r="C668" s="306"/>
      <c r="D668" s="257"/>
      <c r="E668" s="257"/>
      <c r="F668" s="308"/>
      <c r="G668" s="309"/>
    </row>
    <row r="669" ht="15.75" customHeight="1">
      <c r="A669" s="307"/>
      <c r="B669" s="307"/>
      <c r="C669" s="306"/>
      <c r="D669" s="257"/>
      <c r="E669" s="257"/>
      <c r="F669" s="308"/>
      <c r="G669" s="309"/>
    </row>
    <row r="670" ht="15.75" customHeight="1">
      <c r="A670" s="307"/>
      <c r="B670" s="307"/>
      <c r="C670" s="306"/>
      <c r="D670" s="257"/>
      <c r="E670" s="257"/>
      <c r="F670" s="308"/>
      <c r="G670" s="309"/>
    </row>
    <row r="671" ht="15.75" customHeight="1">
      <c r="A671" s="307"/>
      <c r="B671" s="307"/>
      <c r="C671" s="306"/>
      <c r="D671" s="257"/>
      <c r="E671" s="257"/>
      <c r="F671" s="308"/>
      <c r="G671" s="309"/>
    </row>
    <row r="672" ht="15.75" customHeight="1">
      <c r="A672" s="307"/>
      <c r="B672" s="307"/>
      <c r="C672" s="306"/>
      <c r="D672" s="257"/>
      <c r="E672" s="257"/>
      <c r="F672" s="308"/>
      <c r="G672" s="309"/>
    </row>
    <row r="673" ht="15.75" customHeight="1">
      <c r="A673" s="307"/>
      <c r="B673" s="307"/>
      <c r="C673" s="306"/>
      <c r="D673" s="257"/>
      <c r="E673" s="257"/>
      <c r="F673" s="308"/>
      <c r="G673" s="309"/>
    </row>
    <row r="674" ht="15.75" customHeight="1">
      <c r="A674" s="307"/>
      <c r="B674" s="307"/>
      <c r="C674" s="306"/>
      <c r="D674" s="257"/>
      <c r="E674" s="257"/>
      <c r="F674" s="308"/>
      <c r="G674" s="309"/>
    </row>
    <row r="675" ht="15.75" customHeight="1">
      <c r="A675" s="307"/>
      <c r="B675" s="307"/>
      <c r="C675" s="306"/>
      <c r="D675" s="257"/>
      <c r="E675" s="257"/>
      <c r="F675" s="308"/>
      <c r="G675" s="309"/>
    </row>
    <row r="676" ht="15.75" customHeight="1">
      <c r="A676" s="307"/>
      <c r="B676" s="307"/>
      <c r="C676" s="306"/>
      <c r="D676" s="257"/>
      <c r="E676" s="257"/>
      <c r="F676" s="308"/>
      <c r="G676" s="309"/>
    </row>
    <row r="677" ht="15.75" customHeight="1">
      <c r="A677" s="307"/>
      <c r="B677" s="307"/>
      <c r="C677" s="306"/>
      <c r="D677" s="257"/>
      <c r="E677" s="257"/>
      <c r="F677" s="308"/>
      <c r="G677" s="309"/>
    </row>
    <row r="678" ht="15.75" customHeight="1">
      <c r="A678" s="307"/>
      <c r="B678" s="307"/>
      <c r="C678" s="306"/>
      <c r="D678" s="257"/>
      <c r="E678" s="257"/>
      <c r="F678" s="308"/>
      <c r="G678" s="309"/>
    </row>
    <row r="679" ht="15.75" customHeight="1">
      <c r="A679" s="307"/>
      <c r="B679" s="307"/>
      <c r="C679" s="306"/>
      <c r="D679" s="257"/>
      <c r="E679" s="257"/>
      <c r="F679" s="308"/>
      <c r="G679" s="309"/>
    </row>
    <row r="680" ht="15.75" customHeight="1">
      <c r="A680" s="307"/>
      <c r="B680" s="307"/>
      <c r="C680" s="306"/>
      <c r="D680" s="257"/>
      <c r="E680" s="257"/>
      <c r="F680" s="308"/>
      <c r="G680" s="309"/>
    </row>
    <row r="681" ht="15.75" customHeight="1">
      <c r="A681" s="307"/>
      <c r="B681" s="307"/>
      <c r="C681" s="306"/>
      <c r="D681" s="257"/>
      <c r="E681" s="257"/>
      <c r="F681" s="308"/>
      <c r="G681" s="309"/>
    </row>
    <row r="682" ht="15.75" customHeight="1">
      <c r="A682" s="307"/>
      <c r="B682" s="307"/>
      <c r="C682" s="306"/>
      <c r="D682" s="257"/>
      <c r="E682" s="257"/>
      <c r="F682" s="308"/>
      <c r="G682" s="309"/>
    </row>
    <row r="683" ht="15.75" customHeight="1">
      <c r="A683" s="307"/>
      <c r="B683" s="307"/>
      <c r="C683" s="306"/>
      <c r="D683" s="257"/>
      <c r="E683" s="257"/>
      <c r="F683" s="308"/>
      <c r="G683" s="309"/>
    </row>
    <row r="684" ht="15.75" customHeight="1">
      <c r="A684" s="307"/>
      <c r="B684" s="307"/>
      <c r="C684" s="306"/>
      <c r="D684" s="257"/>
      <c r="E684" s="257"/>
      <c r="F684" s="308"/>
      <c r="G684" s="309"/>
    </row>
    <row r="685" ht="15.75" customHeight="1">
      <c r="A685" s="307"/>
      <c r="B685" s="307"/>
      <c r="C685" s="306"/>
      <c r="D685" s="257"/>
      <c r="E685" s="257"/>
      <c r="F685" s="308"/>
      <c r="G685" s="309"/>
    </row>
    <row r="686" ht="15.75" customHeight="1">
      <c r="A686" s="307"/>
      <c r="B686" s="307"/>
      <c r="C686" s="306"/>
      <c r="D686" s="257"/>
      <c r="E686" s="257"/>
      <c r="F686" s="308"/>
      <c r="G686" s="309"/>
    </row>
    <row r="687" ht="15.75" customHeight="1">
      <c r="A687" s="307"/>
      <c r="B687" s="307"/>
      <c r="C687" s="306"/>
      <c r="D687" s="257"/>
      <c r="E687" s="257"/>
      <c r="F687" s="308"/>
      <c r="G687" s="309"/>
    </row>
    <row r="688" ht="15.75" customHeight="1">
      <c r="A688" s="307"/>
      <c r="B688" s="307"/>
      <c r="C688" s="306"/>
      <c r="D688" s="257"/>
      <c r="E688" s="257"/>
      <c r="F688" s="308"/>
      <c r="G688" s="309"/>
    </row>
    <row r="689" ht="15.75" customHeight="1">
      <c r="A689" s="307"/>
      <c r="B689" s="307"/>
      <c r="C689" s="306"/>
      <c r="D689" s="257"/>
      <c r="E689" s="257"/>
      <c r="F689" s="308"/>
      <c r="G689" s="309"/>
    </row>
    <row r="690" ht="15.75" customHeight="1">
      <c r="A690" s="307"/>
      <c r="B690" s="307"/>
      <c r="C690" s="306"/>
      <c r="D690" s="257"/>
      <c r="E690" s="257"/>
      <c r="F690" s="308"/>
      <c r="G690" s="309"/>
    </row>
    <row r="691" ht="15.75" customHeight="1">
      <c r="A691" s="307"/>
      <c r="B691" s="307"/>
      <c r="C691" s="306"/>
      <c r="D691" s="257"/>
      <c r="E691" s="257"/>
      <c r="F691" s="308"/>
      <c r="G691" s="309"/>
    </row>
    <row r="692" ht="15.75" customHeight="1">
      <c r="A692" s="307"/>
      <c r="B692" s="307"/>
      <c r="C692" s="306"/>
      <c r="D692" s="257"/>
      <c r="E692" s="257"/>
      <c r="F692" s="308"/>
      <c r="G692" s="309"/>
    </row>
    <row r="693" ht="15.75" customHeight="1">
      <c r="A693" s="307"/>
      <c r="B693" s="307"/>
      <c r="C693" s="306"/>
      <c r="D693" s="257"/>
      <c r="E693" s="257"/>
      <c r="F693" s="308"/>
      <c r="G693" s="309"/>
    </row>
    <row r="694" ht="15.75" customHeight="1">
      <c r="A694" s="307"/>
      <c r="B694" s="307"/>
      <c r="C694" s="306"/>
      <c r="D694" s="257"/>
      <c r="E694" s="257"/>
      <c r="F694" s="308"/>
      <c r="G694" s="309"/>
    </row>
    <row r="695" ht="15.75" customHeight="1">
      <c r="A695" s="307"/>
      <c r="B695" s="307"/>
      <c r="C695" s="306"/>
      <c r="D695" s="257"/>
      <c r="E695" s="257"/>
      <c r="F695" s="308"/>
      <c r="G695" s="309"/>
    </row>
    <row r="696" ht="15.75" customHeight="1">
      <c r="A696" s="307"/>
      <c r="B696" s="307"/>
      <c r="C696" s="306"/>
      <c r="D696" s="257"/>
      <c r="E696" s="257"/>
      <c r="F696" s="308"/>
      <c r="G696" s="309"/>
    </row>
    <row r="697" ht="15.75" customHeight="1">
      <c r="A697" s="307"/>
      <c r="B697" s="307"/>
      <c r="C697" s="306"/>
      <c r="D697" s="257"/>
      <c r="E697" s="257"/>
      <c r="F697" s="308"/>
      <c r="G697" s="309"/>
    </row>
    <row r="698" ht="15.75" customHeight="1">
      <c r="A698" s="307"/>
      <c r="B698" s="307"/>
      <c r="C698" s="306"/>
      <c r="D698" s="257"/>
      <c r="E698" s="257"/>
      <c r="F698" s="308"/>
      <c r="G698" s="309"/>
    </row>
    <row r="699" ht="15.75" customHeight="1">
      <c r="A699" s="307"/>
      <c r="B699" s="307"/>
      <c r="C699" s="306"/>
      <c r="D699" s="257"/>
      <c r="E699" s="257"/>
      <c r="F699" s="308"/>
      <c r="G699" s="309"/>
    </row>
    <row r="700" ht="15.75" customHeight="1">
      <c r="A700" s="307"/>
      <c r="B700" s="307"/>
      <c r="C700" s="306"/>
      <c r="D700" s="257"/>
      <c r="E700" s="257"/>
      <c r="F700" s="308"/>
      <c r="G700" s="309"/>
    </row>
    <row r="701" ht="15.75" customHeight="1">
      <c r="A701" s="307"/>
      <c r="B701" s="307"/>
      <c r="C701" s="306"/>
      <c r="D701" s="257"/>
      <c r="E701" s="257"/>
      <c r="F701" s="308"/>
      <c r="G701" s="309"/>
    </row>
    <row r="702" ht="15.75" customHeight="1">
      <c r="A702" s="307"/>
      <c r="B702" s="307"/>
      <c r="C702" s="306"/>
      <c r="D702" s="257"/>
      <c r="E702" s="257"/>
      <c r="F702" s="308"/>
      <c r="G702" s="309"/>
    </row>
    <row r="703" ht="15.75" customHeight="1">
      <c r="A703" s="307"/>
      <c r="B703" s="307"/>
      <c r="C703" s="306"/>
      <c r="D703" s="257"/>
      <c r="E703" s="257"/>
      <c r="F703" s="308"/>
      <c r="G703" s="309"/>
    </row>
    <row r="704" ht="15.75" customHeight="1">
      <c r="A704" s="307"/>
      <c r="B704" s="307"/>
      <c r="C704" s="306"/>
      <c r="D704" s="257"/>
      <c r="E704" s="257"/>
      <c r="F704" s="308"/>
      <c r="G704" s="309"/>
    </row>
    <row r="705" ht="15.75" customHeight="1">
      <c r="A705" s="307"/>
      <c r="B705" s="307"/>
      <c r="C705" s="306"/>
      <c r="D705" s="257"/>
      <c r="E705" s="257"/>
      <c r="F705" s="308"/>
      <c r="G705" s="309"/>
    </row>
    <row r="706" ht="15.75" customHeight="1">
      <c r="A706" s="307"/>
      <c r="B706" s="307"/>
      <c r="C706" s="306"/>
      <c r="D706" s="257"/>
      <c r="E706" s="257"/>
      <c r="F706" s="308"/>
      <c r="G706" s="309"/>
    </row>
    <row r="707" ht="15.75" customHeight="1">
      <c r="A707" s="307"/>
      <c r="B707" s="307"/>
      <c r="C707" s="306"/>
      <c r="D707" s="257"/>
      <c r="E707" s="257"/>
      <c r="F707" s="308"/>
      <c r="G707" s="309"/>
    </row>
    <row r="708" ht="15.75" customHeight="1">
      <c r="A708" s="307"/>
      <c r="B708" s="307"/>
      <c r="C708" s="306"/>
      <c r="D708" s="257"/>
      <c r="E708" s="257"/>
      <c r="F708" s="308"/>
      <c r="G708" s="309"/>
    </row>
    <row r="709" ht="15.75" customHeight="1">
      <c r="A709" s="307"/>
      <c r="B709" s="307"/>
      <c r="C709" s="306"/>
      <c r="D709" s="257"/>
      <c r="E709" s="257"/>
      <c r="F709" s="308"/>
      <c r="G709" s="309"/>
    </row>
    <row r="710" ht="15.75" customHeight="1">
      <c r="A710" s="307"/>
      <c r="B710" s="307"/>
      <c r="C710" s="306"/>
      <c r="D710" s="257"/>
      <c r="E710" s="257"/>
      <c r="F710" s="308"/>
      <c r="G710" s="309"/>
    </row>
    <row r="711" ht="15.75" customHeight="1">
      <c r="A711" s="307"/>
      <c r="B711" s="307"/>
      <c r="C711" s="306"/>
      <c r="D711" s="257"/>
      <c r="E711" s="257"/>
      <c r="F711" s="308"/>
      <c r="G711" s="309"/>
    </row>
    <row r="712" ht="15.75" customHeight="1">
      <c r="A712" s="307"/>
      <c r="B712" s="307"/>
      <c r="C712" s="306"/>
      <c r="D712" s="257"/>
      <c r="E712" s="257"/>
      <c r="F712" s="308"/>
      <c r="G712" s="309"/>
    </row>
    <row r="713" ht="15.75" customHeight="1">
      <c r="A713" s="307"/>
      <c r="B713" s="307"/>
      <c r="C713" s="306"/>
      <c r="D713" s="257"/>
      <c r="E713" s="257"/>
      <c r="F713" s="308"/>
      <c r="G713" s="309"/>
    </row>
    <row r="714" ht="15.75" customHeight="1">
      <c r="A714" s="307"/>
      <c r="B714" s="307"/>
      <c r="C714" s="306"/>
      <c r="D714" s="257"/>
      <c r="E714" s="257"/>
      <c r="F714" s="308"/>
      <c r="G714" s="309"/>
    </row>
    <row r="715" ht="15.75" customHeight="1">
      <c r="A715" s="307"/>
      <c r="B715" s="307"/>
      <c r="C715" s="306"/>
      <c r="D715" s="257"/>
      <c r="E715" s="257"/>
      <c r="F715" s="308"/>
      <c r="G715" s="309"/>
    </row>
    <row r="716" ht="15.75" customHeight="1">
      <c r="A716" s="307"/>
      <c r="B716" s="307"/>
      <c r="C716" s="306"/>
      <c r="D716" s="257"/>
      <c r="E716" s="257"/>
      <c r="F716" s="308"/>
      <c r="G716" s="309"/>
    </row>
    <row r="717" ht="15.75" customHeight="1">
      <c r="A717" s="307"/>
      <c r="B717" s="307"/>
      <c r="C717" s="306"/>
      <c r="D717" s="257"/>
      <c r="E717" s="257"/>
      <c r="F717" s="308"/>
      <c r="G717" s="309"/>
    </row>
    <row r="718" ht="15.75" customHeight="1">
      <c r="A718" s="307"/>
      <c r="B718" s="307"/>
      <c r="C718" s="306"/>
      <c r="D718" s="257"/>
      <c r="E718" s="257"/>
      <c r="F718" s="308"/>
      <c r="G718" s="309"/>
    </row>
    <row r="719" ht="15.75" customHeight="1">
      <c r="A719" s="307"/>
      <c r="B719" s="307"/>
      <c r="C719" s="306"/>
      <c r="D719" s="257"/>
      <c r="E719" s="257"/>
      <c r="F719" s="308"/>
      <c r="G719" s="309"/>
    </row>
    <row r="720" ht="15.75" customHeight="1">
      <c r="A720" s="307"/>
      <c r="B720" s="307"/>
      <c r="C720" s="306"/>
      <c r="D720" s="257"/>
      <c r="E720" s="257"/>
      <c r="F720" s="308"/>
      <c r="G720" s="309"/>
    </row>
    <row r="721" ht="15.75" customHeight="1">
      <c r="A721" s="307"/>
      <c r="B721" s="307"/>
      <c r="C721" s="306"/>
      <c r="D721" s="257"/>
      <c r="E721" s="257"/>
      <c r="F721" s="308"/>
      <c r="G721" s="309"/>
    </row>
    <row r="722" ht="15.75" customHeight="1">
      <c r="A722" s="307"/>
      <c r="B722" s="307"/>
      <c r="C722" s="306"/>
      <c r="D722" s="257"/>
      <c r="E722" s="257"/>
      <c r="F722" s="308"/>
      <c r="G722" s="309"/>
    </row>
    <row r="723" ht="15.75" customHeight="1">
      <c r="A723" s="307"/>
      <c r="B723" s="307"/>
      <c r="C723" s="306"/>
      <c r="D723" s="257"/>
      <c r="E723" s="257"/>
      <c r="F723" s="308"/>
      <c r="G723" s="309"/>
    </row>
    <row r="724" ht="15.75" customHeight="1">
      <c r="A724" s="307"/>
      <c r="B724" s="307"/>
      <c r="C724" s="306"/>
      <c r="D724" s="257"/>
      <c r="E724" s="257"/>
      <c r="F724" s="308"/>
      <c r="G724" s="309"/>
    </row>
    <row r="725" ht="15.75" customHeight="1">
      <c r="A725" s="307"/>
      <c r="B725" s="307"/>
      <c r="C725" s="306"/>
      <c r="D725" s="257"/>
      <c r="E725" s="257"/>
      <c r="F725" s="308"/>
      <c r="G725" s="309"/>
    </row>
    <row r="726" ht="15.75" customHeight="1">
      <c r="A726" s="307"/>
      <c r="B726" s="307"/>
      <c r="C726" s="306"/>
      <c r="D726" s="257"/>
      <c r="E726" s="257"/>
      <c r="F726" s="308"/>
      <c r="G726" s="309"/>
    </row>
    <row r="727" ht="15.75" customHeight="1">
      <c r="A727" s="307"/>
      <c r="B727" s="307"/>
      <c r="C727" s="306"/>
      <c r="D727" s="257"/>
      <c r="E727" s="257"/>
      <c r="F727" s="308"/>
      <c r="G727" s="309"/>
    </row>
    <row r="728" ht="15.75" customHeight="1">
      <c r="A728" s="307"/>
      <c r="B728" s="307"/>
      <c r="C728" s="306"/>
      <c r="D728" s="257"/>
      <c r="E728" s="257"/>
      <c r="F728" s="308"/>
      <c r="G728" s="309"/>
    </row>
    <row r="729" ht="15.75" customHeight="1">
      <c r="A729" s="307"/>
      <c r="B729" s="307"/>
      <c r="C729" s="306"/>
      <c r="D729" s="257"/>
      <c r="E729" s="257"/>
      <c r="F729" s="308"/>
      <c r="G729" s="309"/>
    </row>
    <row r="730" ht="15.75" customHeight="1">
      <c r="A730" s="307"/>
      <c r="B730" s="307"/>
      <c r="C730" s="306"/>
      <c r="D730" s="257"/>
      <c r="E730" s="257"/>
      <c r="F730" s="308"/>
      <c r="G730" s="309"/>
    </row>
    <row r="731" ht="15.75" customHeight="1">
      <c r="A731" s="307"/>
      <c r="B731" s="307"/>
      <c r="C731" s="306"/>
      <c r="D731" s="257"/>
      <c r="E731" s="257"/>
      <c r="F731" s="308"/>
      <c r="G731" s="309"/>
    </row>
    <row r="732" ht="15.75" customHeight="1">
      <c r="A732" s="307"/>
      <c r="B732" s="307"/>
      <c r="C732" s="306"/>
      <c r="D732" s="257"/>
      <c r="E732" s="257"/>
      <c r="F732" s="308"/>
      <c r="G732" s="309"/>
    </row>
    <row r="733" ht="15.75" customHeight="1">
      <c r="A733" s="307"/>
      <c r="B733" s="307"/>
      <c r="C733" s="306"/>
      <c r="D733" s="257"/>
      <c r="E733" s="257"/>
      <c r="F733" s="308"/>
      <c r="G733" s="309"/>
    </row>
    <row r="734" ht="15.75" customHeight="1">
      <c r="A734" s="307"/>
      <c r="B734" s="307"/>
      <c r="C734" s="306"/>
      <c r="D734" s="257"/>
      <c r="E734" s="257"/>
      <c r="F734" s="308"/>
      <c r="G734" s="309"/>
    </row>
    <row r="735" ht="15.75" customHeight="1">
      <c r="A735" s="307"/>
      <c r="B735" s="307"/>
      <c r="C735" s="306"/>
      <c r="D735" s="257"/>
      <c r="E735" s="257"/>
      <c r="F735" s="308"/>
      <c r="G735" s="309"/>
    </row>
    <row r="736" ht="15.75" customHeight="1">
      <c r="A736" s="307"/>
      <c r="B736" s="307"/>
      <c r="C736" s="306"/>
      <c r="D736" s="257"/>
      <c r="E736" s="257"/>
      <c r="F736" s="308"/>
      <c r="G736" s="309"/>
    </row>
    <row r="737" ht="15.75" customHeight="1">
      <c r="A737" s="307"/>
      <c r="B737" s="307"/>
      <c r="C737" s="306"/>
      <c r="D737" s="257"/>
      <c r="E737" s="257"/>
      <c r="F737" s="308"/>
      <c r="G737" s="309"/>
    </row>
    <row r="738" ht="15.75" customHeight="1">
      <c r="A738" s="307"/>
      <c r="B738" s="307"/>
      <c r="C738" s="306"/>
      <c r="D738" s="257"/>
      <c r="E738" s="257"/>
      <c r="F738" s="308"/>
      <c r="G738" s="309"/>
    </row>
    <row r="739" ht="15.75" customHeight="1">
      <c r="A739" s="307"/>
      <c r="B739" s="307"/>
      <c r="C739" s="306"/>
      <c r="D739" s="257"/>
      <c r="E739" s="257"/>
      <c r="F739" s="308"/>
      <c r="G739" s="309"/>
    </row>
    <row r="740" ht="15.75" customHeight="1">
      <c r="A740" s="307"/>
      <c r="B740" s="307"/>
      <c r="C740" s="306"/>
      <c r="D740" s="257"/>
      <c r="E740" s="257"/>
      <c r="F740" s="308"/>
      <c r="G740" s="309"/>
    </row>
    <row r="741" ht="15.75" customHeight="1">
      <c r="A741" s="307"/>
      <c r="B741" s="307"/>
      <c r="C741" s="306"/>
      <c r="D741" s="257"/>
      <c r="E741" s="257"/>
      <c r="F741" s="308"/>
      <c r="G741" s="309"/>
    </row>
    <row r="742" ht="15.75" customHeight="1">
      <c r="A742" s="307"/>
      <c r="B742" s="307"/>
      <c r="C742" s="306"/>
      <c r="D742" s="257"/>
      <c r="E742" s="257"/>
      <c r="F742" s="308"/>
      <c r="G742" s="309"/>
    </row>
    <row r="743" ht="15.75" customHeight="1">
      <c r="A743" s="307"/>
      <c r="B743" s="307"/>
      <c r="C743" s="306"/>
      <c r="D743" s="257"/>
      <c r="E743" s="257"/>
      <c r="F743" s="308"/>
      <c r="G743" s="309"/>
    </row>
    <row r="744" ht="15.75" customHeight="1">
      <c r="A744" s="307"/>
      <c r="B744" s="307"/>
      <c r="C744" s="306"/>
      <c r="D744" s="257"/>
      <c r="E744" s="257"/>
      <c r="F744" s="308"/>
      <c r="G744" s="309"/>
    </row>
    <row r="745" ht="15.75" customHeight="1">
      <c r="A745" s="307"/>
      <c r="B745" s="307"/>
      <c r="C745" s="306"/>
      <c r="D745" s="257"/>
      <c r="E745" s="257"/>
      <c r="F745" s="308"/>
      <c r="G745" s="309"/>
    </row>
    <row r="746" ht="15.75" customHeight="1">
      <c r="A746" s="307"/>
      <c r="B746" s="307"/>
      <c r="C746" s="306"/>
      <c r="D746" s="257"/>
      <c r="E746" s="257"/>
      <c r="F746" s="308"/>
      <c r="G746" s="309"/>
    </row>
    <row r="747" ht="15.75" customHeight="1">
      <c r="A747" s="307"/>
      <c r="B747" s="307"/>
      <c r="C747" s="306"/>
      <c r="D747" s="257"/>
      <c r="E747" s="257"/>
      <c r="F747" s="308"/>
      <c r="G747" s="309"/>
    </row>
    <row r="748" ht="15.75" customHeight="1">
      <c r="A748" s="307"/>
      <c r="B748" s="307"/>
      <c r="C748" s="306"/>
      <c r="D748" s="257"/>
      <c r="E748" s="257"/>
      <c r="F748" s="308"/>
      <c r="G748" s="309"/>
    </row>
    <row r="749" ht="15.75" customHeight="1">
      <c r="A749" s="307"/>
      <c r="B749" s="307"/>
      <c r="C749" s="306"/>
      <c r="D749" s="257"/>
      <c r="E749" s="257"/>
      <c r="F749" s="308"/>
      <c r="G749" s="309"/>
    </row>
    <row r="750" ht="15.75" customHeight="1">
      <c r="A750" s="307"/>
      <c r="B750" s="307"/>
      <c r="C750" s="306"/>
      <c r="D750" s="257"/>
      <c r="E750" s="257"/>
      <c r="F750" s="308"/>
      <c r="G750" s="309"/>
    </row>
    <row r="751" ht="15.75" customHeight="1">
      <c r="A751" s="307"/>
      <c r="B751" s="307"/>
      <c r="C751" s="306"/>
      <c r="D751" s="257"/>
      <c r="E751" s="257"/>
      <c r="F751" s="308"/>
      <c r="G751" s="309"/>
    </row>
    <row r="752" ht="15.75" customHeight="1">
      <c r="A752" s="307"/>
      <c r="B752" s="307"/>
      <c r="C752" s="306"/>
      <c r="D752" s="257"/>
      <c r="E752" s="257"/>
      <c r="F752" s="308"/>
      <c r="G752" s="309"/>
    </row>
    <row r="753" ht="15.75" customHeight="1">
      <c r="A753" s="307"/>
      <c r="B753" s="307"/>
      <c r="C753" s="306"/>
      <c r="D753" s="257"/>
      <c r="E753" s="257"/>
      <c r="F753" s="308"/>
      <c r="G753" s="309"/>
    </row>
    <row r="754" ht="15.75" customHeight="1">
      <c r="A754" s="307"/>
      <c r="B754" s="307"/>
      <c r="C754" s="306"/>
      <c r="D754" s="257"/>
      <c r="E754" s="257"/>
      <c r="F754" s="308"/>
      <c r="G754" s="309"/>
    </row>
    <row r="755" ht="15.75" customHeight="1">
      <c r="A755" s="307"/>
      <c r="B755" s="307"/>
      <c r="C755" s="306"/>
      <c r="D755" s="257"/>
      <c r="E755" s="257"/>
      <c r="F755" s="308"/>
      <c r="G755" s="309"/>
    </row>
    <row r="756" ht="15.75" customHeight="1">
      <c r="A756" s="307"/>
      <c r="B756" s="307"/>
      <c r="C756" s="306"/>
      <c r="D756" s="257"/>
      <c r="E756" s="257"/>
      <c r="F756" s="308"/>
      <c r="G756" s="309"/>
    </row>
    <row r="757" ht="15.75" customHeight="1">
      <c r="A757" s="307"/>
      <c r="B757" s="307"/>
      <c r="C757" s="306"/>
      <c r="D757" s="257"/>
      <c r="E757" s="257"/>
      <c r="F757" s="308"/>
      <c r="G757" s="309"/>
    </row>
    <row r="758" ht="15.75" customHeight="1">
      <c r="A758" s="307"/>
      <c r="B758" s="307"/>
      <c r="C758" s="306"/>
      <c r="D758" s="257"/>
      <c r="E758" s="257"/>
      <c r="F758" s="308"/>
      <c r="G758" s="309"/>
    </row>
    <row r="759" ht="15.75" customHeight="1">
      <c r="A759" s="307"/>
      <c r="B759" s="307"/>
      <c r="C759" s="306"/>
      <c r="D759" s="257"/>
      <c r="E759" s="257"/>
      <c r="F759" s="308"/>
      <c r="G759" s="309"/>
    </row>
    <row r="760" ht="15.75" customHeight="1">
      <c r="A760" s="307"/>
      <c r="B760" s="307"/>
      <c r="C760" s="306"/>
      <c r="D760" s="257"/>
      <c r="E760" s="257"/>
      <c r="F760" s="308"/>
      <c r="G760" s="309"/>
    </row>
    <row r="761" ht="15.75" customHeight="1">
      <c r="A761" s="307"/>
      <c r="B761" s="307"/>
      <c r="C761" s="306"/>
      <c r="D761" s="257"/>
      <c r="E761" s="257"/>
      <c r="F761" s="308"/>
      <c r="G761" s="309"/>
    </row>
    <row r="762" ht="15.75" customHeight="1">
      <c r="A762" s="307"/>
      <c r="B762" s="307"/>
      <c r="C762" s="306"/>
      <c r="D762" s="257"/>
      <c r="E762" s="257"/>
      <c r="F762" s="308"/>
      <c r="G762" s="309"/>
    </row>
    <row r="763" ht="15.75" customHeight="1">
      <c r="A763" s="307"/>
      <c r="B763" s="307"/>
      <c r="C763" s="306"/>
      <c r="D763" s="257"/>
      <c r="E763" s="257"/>
      <c r="F763" s="308"/>
      <c r="G763" s="309"/>
    </row>
    <row r="764" ht="15.75" customHeight="1">
      <c r="A764" s="307"/>
      <c r="B764" s="307"/>
      <c r="C764" s="306"/>
      <c r="D764" s="257"/>
      <c r="E764" s="257"/>
      <c r="F764" s="308"/>
      <c r="G764" s="309"/>
    </row>
    <row r="765" ht="15.75" customHeight="1">
      <c r="A765" s="307"/>
      <c r="B765" s="307"/>
      <c r="C765" s="306"/>
      <c r="D765" s="257"/>
      <c r="E765" s="257"/>
      <c r="F765" s="308"/>
      <c r="G765" s="309"/>
    </row>
    <row r="766" ht="15.75" customHeight="1">
      <c r="A766" s="307"/>
      <c r="B766" s="307"/>
      <c r="C766" s="306"/>
      <c r="D766" s="257"/>
      <c r="E766" s="257"/>
      <c r="F766" s="308"/>
      <c r="G766" s="309"/>
    </row>
    <row r="767" ht="15.75" customHeight="1">
      <c r="A767" s="307"/>
      <c r="B767" s="307"/>
      <c r="C767" s="306"/>
      <c r="D767" s="257"/>
      <c r="E767" s="257"/>
      <c r="F767" s="308"/>
      <c r="G767" s="309"/>
    </row>
    <row r="768" ht="15.75" customHeight="1">
      <c r="A768" s="307"/>
      <c r="B768" s="307"/>
      <c r="C768" s="306"/>
      <c r="D768" s="257"/>
      <c r="E768" s="257"/>
      <c r="F768" s="308"/>
      <c r="G768" s="309"/>
    </row>
    <row r="769" ht="15.75" customHeight="1">
      <c r="A769" s="307"/>
      <c r="B769" s="307"/>
      <c r="C769" s="306"/>
      <c r="D769" s="257"/>
      <c r="E769" s="257"/>
      <c r="F769" s="308"/>
      <c r="G769" s="309"/>
    </row>
    <row r="770" ht="15.75" customHeight="1">
      <c r="A770" s="307"/>
      <c r="B770" s="307"/>
      <c r="C770" s="306"/>
      <c r="D770" s="257"/>
      <c r="E770" s="257"/>
      <c r="F770" s="308"/>
      <c r="G770" s="309"/>
    </row>
    <row r="771" ht="15.75" customHeight="1">
      <c r="A771" s="307"/>
      <c r="B771" s="307"/>
      <c r="C771" s="306"/>
      <c r="D771" s="257"/>
      <c r="E771" s="257"/>
      <c r="F771" s="308"/>
      <c r="G771" s="309"/>
    </row>
    <row r="772" ht="15.75" customHeight="1">
      <c r="A772" s="307"/>
      <c r="B772" s="307"/>
      <c r="C772" s="306"/>
      <c r="D772" s="257"/>
      <c r="E772" s="257"/>
      <c r="F772" s="308"/>
      <c r="G772" s="309"/>
    </row>
    <row r="773" ht="15.75" customHeight="1">
      <c r="A773" s="307"/>
      <c r="B773" s="307"/>
      <c r="C773" s="306"/>
      <c r="D773" s="257"/>
      <c r="E773" s="257"/>
      <c r="F773" s="308"/>
      <c r="G773" s="309"/>
    </row>
    <row r="774" ht="15.75" customHeight="1">
      <c r="A774" s="307"/>
      <c r="B774" s="307"/>
      <c r="C774" s="306"/>
      <c r="D774" s="257"/>
      <c r="E774" s="257"/>
      <c r="F774" s="308"/>
      <c r="G774" s="309"/>
    </row>
    <row r="775" ht="15.75" customHeight="1">
      <c r="A775" s="307"/>
      <c r="B775" s="307"/>
      <c r="C775" s="306"/>
      <c r="D775" s="257"/>
      <c r="E775" s="257"/>
      <c r="F775" s="308"/>
      <c r="G775" s="309"/>
    </row>
    <row r="776" ht="15.75" customHeight="1">
      <c r="A776" s="307"/>
      <c r="B776" s="307"/>
      <c r="C776" s="306"/>
      <c r="D776" s="257"/>
      <c r="E776" s="257"/>
      <c r="F776" s="308"/>
      <c r="G776" s="309"/>
    </row>
    <row r="777" ht="15.75" customHeight="1">
      <c r="A777" s="307"/>
      <c r="B777" s="307"/>
      <c r="C777" s="306"/>
      <c r="D777" s="257"/>
      <c r="E777" s="257"/>
      <c r="F777" s="308"/>
      <c r="G777" s="309"/>
    </row>
    <row r="778" ht="15.75" customHeight="1">
      <c r="A778" s="307"/>
      <c r="B778" s="307"/>
      <c r="C778" s="306"/>
      <c r="D778" s="257"/>
      <c r="E778" s="257"/>
      <c r="F778" s="308"/>
      <c r="G778" s="309"/>
    </row>
    <row r="779" ht="15.75" customHeight="1">
      <c r="A779" s="307"/>
      <c r="B779" s="307"/>
      <c r="C779" s="306"/>
      <c r="D779" s="257"/>
      <c r="E779" s="257"/>
      <c r="F779" s="308"/>
      <c r="G779" s="309"/>
    </row>
    <row r="780" ht="15.75" customHeight="1">
      <c r="A780" s="307"/>
      <c r="B780" s="307"/>
      <c r="C780" s="306"/>
      <c r="D780" s="257"/>
      <c r="E780" s="257"/>
      <c r="F780" s="308"/>
      <c r="G780" s="309"/>
    </row>
    <row r="781" ht="15.75" customHeight="1">
      <c r="A781" s="307"/>
      <c r="B781" s="307"/>
      <c r="C781" s="306"/>
      <c r="D781" s="257"/>
      <c r="E781" s="257"/>
      <c r="F781" s="308"/>
      <c r="G781" s="309"/>
    </row>
    <row r="782" ht="15.75" customHeight="1">
      <c r="A782" s="307"/>
      <c r="B782" s="307"/>
      <c r="C782" s="306"/>
      <c r="D782" s="257"/>
      <c r="E782" s="257"/>
      <c r="F782" s="308"/>
      <c r="G782" s="309"/>
    </row>
    <row r="783" ht="15.75" customHeight="1">
      <c r="A783" s="307"/>
      <c r="B783" s="307"/>
      <c r="C783" s="306"/>
      <c r="D783" s="257"/>
      <c r="E783" s="257"/>
      <c r="F783" s="308"/>
      <c r="G783" s="309"/>
    </row>
    <row r="784" ht="15.75" customHeight="1">
      <c r="A784" s="307"/>
      <c r="B784" s="307"/>
      <c r="C784" s="306"/>
      <c r="D784" s="257"/>
      <c r="E784" s="257"/>
      <c r="F784" s="308"/>
      <c r="G784" s="309"/>
    </row>
    <row r="785" ht="15.75" customHeight="1">
      <c r="A785" s="307"/>
      <c r="B785" s="307"/>
      <c r="C785" s="306"/>
      <c r="D785" s="257"/>
      <c r="E785" s="257"/>
      <c r="F785" s="308"/>
      <c r="G785" s="309"/>
    </row>
    <row r="786" ht="15.75" customHeight="1">
      <c r="A786" s="307"/>
      <c r="B786" s="307"/>
      <c r="C786" s="306"/>
      <c r="D786" s="257"/>
      <c r="E786" s="257"/>
      <c r="F786" s="308"/>
      <c r="G786" s="309"/>
    </row>
    <row r="787" ht="15.75" customHeight="1">
      <c r="A787" s="307"/>
      <c r="B787" s="307"/>
      <c r="C787" s="306"/>
      <c r="D787" s="257"/>
      <c r="E787" s="257"/>
      <c r="F787" s="308"/>
      <c r="G787" s="309"/>
    </row>
    <row r="788" ht="15.75" customHeight="1">
      <c r="A788" s="307"/>
      <c r="B788" s="307"/>
      <c r="C788" s="306"/>
      <c r="D788" s="257"/>
      <c r="E788" s="257"/>
      <c r="F788" s="308"/>
      <c r="G788" s="309"/>
    </row>
    <row r="789" ht="15.75" customHeight="1">
      <c r="A789" s="307"/>
      <c r="B789" s="307"/>
      <c r="C789" s="306"/>
      <c r="D789" s="257"/>
      <c r="E789" s="257"/>
      <c r="F789" s="308"/>
      <c r="G789" s="309"/>
    </row>
    <row r="790" ht="15.75" customHeight="1">
      <c r="A790" s="307"/>
      <c r="B790" s="307"/>
      <c r="C790" s="306"/>
      <c r="D790" s="257"/>
      <c r="E790" s="257"/>
      <c r="F790" s="308"/>
      <c r="G790" s="309"/>
    </row>
    <row r="791" ht="15.75" customHeight="1">
      <c r="A791" s="307"/>
      <c r="B791" s="307"/>
      <c r="C791" s="306"/>
      <c r="D791" s="257"/>
      <c r="E791" s="257"/>
      <c r="F791" s="308"/>
      <c r="G791" s="309"/>
    </row>
    <row r="792" ht="15.75" customHeight="1">
      <c r="A792" s="307"/>
      <c r="B792" s="307"/>
      <c r="C792" s="306"/>
      <c r="D792" s="257"/>
      <c r="E792" s="257"/>
      <c r="F792" s="308"/>
      <c r="G792" s="309"/>
    </row>
    <row r="793" ht="15.75" customHeight="1">
      <c r="A793" s="307"/>
      <c r="B793" s="307"/>
      <c r="C793" s="306"/>
      <c r="D793" s="257"/>
      <c r="E793" s="257"/>
      <c r="F793" s="308"/>
      <c r="G793" s="309"/>
    </row>
    <row r="794" ht="15.75" customHeight="1">
      <c r="A794" s="307"/>
      <c r="B794" s="307"/>
      <c r="C794" s="306"/>
      <c r="D794" s="257"/>
      <c r="E794" s="257"/>
      <c r="F794" s="308"/>
      <c r="G794" s="309"/>
    </row>
    <row r="795" ht="15.75" customHeight="1">
      <c r="A795" s="307"/>
      <c r="B795" s="307"/>
      <c r="C795" s="306"/>
      <c r="D795" s="257"/>
      <c r="E795" s="257"/>
      <c r="F795" s="308"/>
      <c r="G795" s="309"/>
    </row>
    <row r="796" ht="15.75" customHeight="1">
      <c r="A796" s="307"/>
      <c r="B796" s="307"/>
      <c r="C796" s="306"/>
      <c r="D796" s="257"/>
      <c r="E796" s="257"/>
      <c r="F796" s="308"/>
      <c r="G796" s="309"/>
    </row>
    <row r="797" ht="15.75" customHeight="1">
      <c r="A797" s="307"/>
      <c r="B797" s="307"/>
      <c r="C797" s="306"/>
      <c r="D797" s="257"/>
      <c r="E797" s="257"/>
      <c r="F797" s="308"/>
      <c r="G797" s="309"/>
    </row>
    <row r="798" ht="15.75" customHeight="1">
      <c r="A798" s="307"/>
      <c r="B798" s="307"/>
      <c r="C798" s="306"/>
      <c r="D798" s="257"/>
      <c r="E798" s="257"/>
      <c r="F798" s="308"/>
      <c r="G798" s="309"/>
    </row>
    <row r="799" ht="15.75" customHeight="1">
      <c r="A799" s="307"/>
      <c r="B799" s="307"/>
      <c r="C799" s="306"/>
      <c r="D799" s="257"/>
      <c r="E799" s="257"/>
      <c r="F799" s="308"/>
      <c r="G799" s="309"/>
    </row>
    <row r="800" ht="15.75" customHeight="1">
      <c r="A800" s="307"/>
      <c r="B800" s="307"/>
      <c r="C800" s="306"/>
      <c r="D800" s="257"/>
      <c r="E800" s="257"/>
      <c r="F800" s="308"/>
      <c r="G800" s="309"/>
    </row>
    <row r="801" ht="15.75" customHeight="1">
      <c r="A801" s="307"/>
      <c r="B801" s="307"/>
      <c r="C801" s="306"/>
      <c r="D801" s="257"/>
      <c r="E801" s="257"/>
      <c r="F801" s="308"/>
      <c r="G801" s="309"/>
    </row>
    <row r="802" ht="15.75" customHeight="1">
      <c r="A802" s="307"/>
      <c r="B802" s="307"/>
      <c r="C802" s="306"/>
      <c r="D802" s="257"/>
      <c r="E802" s="257"/>
      <c r="F802" s="308"/>
      <c r="G802" s="309"/>
    </row>
    <row r="803" ht="15.75" customHeight="1">
      <c r="A803" s="307"/>
      <c r="B803" s="307"/>
      <c r="C803" s="306"/>
      <c r="D803" s="257"/>
      <c r="E803" s="257"/>
      <c r="F803" s="308"/>
      <c r="G803" s="309"/>
    </row>
    <row r="804" ht="15.75" customHeight="1">
      <c r="A804" s="307"/>
      <c r="B804" s="307"/>
      <c r="C804" s="306"/>
      <c r="D804" s="257"/>
      <c r="E804" s="257"/>
      <c r="F804" s="308"/>
      <c r="G804" s="309"/>
    </row>
    <row r="805" ht="15.75" customHeight="1">
      <c r="A805" s="307"/>
      <c r="B805" s="307"/>
      <c r="C805" s="306"/>
      <c r="D805" s="257"/>
      <c r="E805" s="257"/>
      <c r="F805" s="308"/>
      <c r="G805" s="309"/>
    </row>
    <row r="806" ht="15.75" customHeight="1">
      <c r="A806" s="307"/>
      <c r="B806" s="307"/>
      <c r="C806" s="306"/>
      <c r="D806" s="257"/>
      <c r="E806" s="257"/>
      <c r="F806" s="308"/>
      <c r="G806" s="309"/>
    </row>
    <row r="807" ht="15.75" customHeight="1">
      <c r="A807" s="307"/>
      <c r="B807" s="307"/>
      <c r="C807" s="306"/>
      <c r="D807" s="257"/>
      <c r="E807" s="257"/>
      <c r="F807" s="308"/>
      <c r="G807" s="309"/>
    </row>
    <row r="808" ht="15.75" customHeight="1">
      <c r="A808" s="307"/>
      <c r="B808" s="307"/>
      <c r="C808" s="306"/>
      <c r="D808" s="257"/>
      <c r="E808" s="257"/>
      <c r="F808" s="308"/>
      <c r="G808" s="309"/>
    </row>
    <row r="809" ht="15.75" customHeight="1">
      <c r="A809" s="307"/>
      <c r="B809" s="307"/>
      <c r="C809" s="306"/>
      <c r="D809" s="257"/>
      <c r="E809" s="257"/>
      <c r="F809" s="308"/>
      <c r="G809" s="309"/>
    </row>
    <row r="810" ht="15.75" customHeight="1">
      <c r="A810" s="307"/>
      <c r="B810" s="307"/>
      <c r="C810" s="306"/>
      <c r="D810" s="257"/>
      <c r="E810" s="257"/>
      <c r="F810" s="308"/>
      <c r="G810" s="309"/>
    </row>
    <row r="811" ht="15.75" customHeight="1">
      <c r="A811" s="307"/>
      <c r="B811" s="307"/>
      <c r="C811" s="306"/>
      <c r="D811" s="257"/>
      <c r="E811" s="257"/>
      <c r="F811" s="308"/>
      <c r="G811" s="309"/>
    </row>
    <row r="812" ht="15.75" customHeight="1">
      <c r="A812" s="307"/>
      <c r="B812" s="307"/>
      <c r="C812" s="306"/>
      <c r="D812" s="257"/>
      <c r="E812" s="257"/>
      <c r="F812" s="308"/>
      <c r="G812" s="309"/>
    </row>
    <row r="813" ht="15.75" customHeight="1">
      <c r="A813" s="307"/>
      <c r="B813" s="307"/>
      <c r="C813" s="306"/>
      <c r="D813" s="257"/>
      <c r="E813" s="257"/>
      <c r="F813" s="308"/>
      <c r="G813" s="309"/>
    </row>
    <row r="814" ht="15.75" customHeight="1">
      <c r="A814" s="307"/>
      <c r="B814" s="307"/>
      <c r="C814" s="306"/>
      <c r="D814" s="257"/>
      <c r="E814" s="257"/>
      <c r="F814" s="308"/>
      <c r="G814" s="309"/>
    </row>
    <row r="815" ht="15.75" customHeight="1">
      <c r="A815" s="307"/>
      <c r="B815" s="307"/>
      <c r="C815" s="306"/>
      <c r="D815" s="257"/>
      <c r="E815" s="257"/>
      <c r="F815" s="308"/>
      <c r="G815" s="309"/>
    </row>
    <row r="816" ht="15.75" customHeight="1">
      <c r="A816" s="307"/>
      <c r="B816" s="307"/>
      <c r="C816" s="306"/>
      <c r="D816" s="257"/>
      <c r="E816" s="257"/>
      <c r="F816" s="308"/>
      <c r="G816" s="309"/>
    </row>
    <row r="817" ht="15.75" customHeight="1">
      <c r="A817" s="307"/>
      <c r="B817" s="307"/>
      <c r="C817" s="306"/>
      <c r="D817" s="257"/>
      <c r="E817" s="257"/>
      <c r="F817" s="308"/>
      <c r="G817" s="309"/>
    </row>
    <row r="818" ht="15.75" customHeight="1">
      <c r="A818" s="307"/>
      <c r="B818" s="307"/>
      <c r="C818" s="306"/>
      <c r="D818" s="257"/>
      <c r="E818" s="257"/>
      <c r="F818" s="308"/>
      <c r="G818" s="309"/>
    </row>
    <row r="819" ht="15.75" customHeight="1">
      <c r="A819" s="307"/>
      <c r="B819" s="307"/>
      <c r="C819" s="306"/>
      <c r="D819" s="257"/>
      <c r="E819" s="257"/>
      <c r="F819" s="308"/>
      <c r="G819" s="309"/>
    </row>
    <row r="820" ht="15.75" customHeight="1">
      <c r="A820" s="307"/>
      <c r="B820" s="307"/>
      <c r="C820" s="306"/>
      <c r="D820" s="257"/>
      <c r="E820" s="257"/>
      <c r="F820" s="308"/>
      <c r="G820" s="309"/>
    </row>
    <row r="821" ht="15.75" customHeight="1">
      <c r="A821" s="307"/>
      <c r="B821" s="307"/>
      <c r="C821" s="306"/>
      <c r="D821" s="257"/>
      <c r="E821" s="257"/>
      <c r="F821" s="308"/>
      <c r="G821" s="309"/>
    </row>
    <row r="822" ht="15.75" customHeight="1">
      <c r="A822" s="307"/>
      <c r="B822" s="307"/>
      <c r="C822" s="306"/>
      <c r="D822" s="257"/>
      <c r="E822" s="257"/>
      <c r="F822" s="308"/>
      <c r="G822" s="309"/>
    </row>
    <row r="823" ht="15.75" customHeight="1">
      <c r="A823" s="307"/>
      <c r="B823" s="307"/>
      <c r="C823" s="306"/>
      <c r="D823" s="257"/>
      <c r="E823" s="257"/>
      <c r="F823" s="308"/>
      <c r="G823" s="309"/>
    </row>
    <row r="824" ht="15.75" customHeight="1">
      <c r="A824" s="307"/>
      <c r="B824" s="307"/>
      <c r="C824" s="306"/>
      <c r="D824" s="257"/>
      <c r="E824" s="257"/>
      <c r="F824" s="308"/>
      <c r="G824" s="309"/>
    </row>
    <row r="825" ht="15.75" customHeight="1">
      <c r="A825" s="307"/>
      <c r="B825" s="307"/>
      <c r="C825" s="306"/>
      <c r="D825" s="257"/>
      <c r="E825" s="257"/>
      <c r="F825" s="308"/>
      <c r="G825" s="309"/>
    </row>
    <row r="826" ht="15.75" customHeight="1">
      <c r="A826" s="307"/>
      <c r="B826" s="307"/>
      <c r="C826" s="306"/>
      <c r="D826" s="257"/>
      <c r="E826" s="257"/>
      <c r="F826" s="308"/>
      <c r="G826" s="309"/>
    </row>
    <row r="827" ht="15.75" customHeight="1">
      <c r="A827" s="307"/>
      <c r="B827" s="307"/>
      <c r="C827" s="306"/>
      <c r="D827" s="257"/>
      <c r="E827" s="257"/>
      <c r="F827" s="308"/>
      <c r="G827" s="309"/>
    </row>
    <row r="828" ht="15.75" customHeight="1">
      <c r="A828" s="307"/>
      <c r="B828" s="307"/>
      <c r="C828" s="306"/>
      <c r="D828" s="257"/>
      <c r="E828" s="257"/>
      <c r="F828" s="308"/>
      <c r="G828" s="309"/>
    </row>
    <row r="829" ht="15.75" customHeight="1">
      <c r="A829" s="307"/>
      <c r="B829" s="307"/>
      <c r="C829" s="306"/>
      <c r="D829" s="257"/>
      <c r="E829" s="257"/>
      <c r="F829" s="308"/>
      <c r="G829" s="309"/>
    </row>
    <row r="830" ht="15.75" customHeight="1">
      <c r="A830" s="307"/>
      <c r="B830" s="307"/>
      <c r="C830" s="306"/>
      <c r="D830" s="257"/>
      <c r="E830" s="257"/>
      <c r="F830" s="308"/>
      <c r="G830" s="309"/>
    </row>
    <row r="831" ht="15.75" customHeight="1">
      <c r="A831" s="307"/>
      <c r="B831" s="307"/>
      <c r="C831" s="306"/>
      <c r="D831" s="257"/>
      <c r="E831" s="257"/>
      <c r="F831" s="308"/>
      <c r="G831" s="309"/>
    </row>
    <row r="832" ht="15.75" customHeight="1">
      <c r="A832" s="307"/>
      <c r="B832" s="307"/>
      <c r="C832" s="306"/>
      <c r="D832" s="257"/>
      <c r="E832" s="257"/>
      <c r="F832" s="308"/>
      <c r="G832" s="309"/>
    </row>
    <row r="833" ht="15.75" customHeight="1">
      <c r="A833" s="307"/>
      <c r="B833" s="307"/>
      <c r="C833" s="306"/>
      <c r="D833" s="257"/>
      <c r="E833" s="257"/>
      <c r="F833" s="308"/>
      <c r="G833" s="309"/>
    </row>
    <row r="834" ht="15.75" customHeight="1">
      <c r="A834" s="307"/>
      <c r="B834" s="307"/>
      <c r="C834" s="306"/>
      <c r="D834" s="257"/>
      <c r="E834" s="257"/>
      <c r="F834" s="308"/>
      <c r="G834" s="309"/>
    </row>
    <row r="835" ht="15.75" customHeight="1">
      <c r="A835" s="307"/>
      <c r="B835" s="307"/>
      <c r="C835" s="306"/>
      <c r="D835" s="257"/>
      <c r="E835" s="257"/>
      <c r="F835" s="308"/>
      <c r="G835" s="309"/>
    </row>
    <row r="836" ht="15.75" customHeight="1">
      <c r="A836" s="307"/>
      <c r="B836" s="307"/>
      <c r="C836" s="306"/>
      <c r="D836" s="257"/>
      <c r="E836" s="257"/>
      <c r="F836" s="308"/>
      <c r="G836" s="309"/>
    </row>
    <row r="837" ht="15.75" customHeight="1">
      <c r="A837" s="307"/>
      <c r="B837" s="307"/>
      <c r="C837" s="306"/>
      <c r="D837" s="257"/>
      <c r="E837" s="257"/>
      <c r="F837" s="308"/>
      <c r="G837" s="309"/>
    </row>
    <row r="838" ht="15.75" customHeight="1">
      <c r="A838" s="307"/>
      <c r="B838" s="307"/>
      <c r="C838" s="306"/>
      <c r="D838" s="257"/>
      <c r="E838" s="257"/>
      <c r="F838" s="308"/>
      <c r="G838" s="309"/>
    </row>
    <row r="839" ht="15.75" customHeight="1">
      <c r="A839" s="307"/>
      <c r="B839" s="307"/>
      <c r="C839" s="306"/>
      <c r="D839" s="257"/>
      <c r="E839" s="257"/>
      <c r="F839" s="308"/>
      <c r="G839" s="309"/>
    </row>
    <row r="840" ht="15.75" customHeight="1">
      <c r="A840" s="307"/>
      <c r="B840" s="307"/>
      <c r="C840" s="306"/>
      <c r="D840" s="257"/>
      <c r="E840" s="257"/>
      <c r="F840" s="308"/>
      <c r="G840" s="309"/>
    </row>
    <row r="841" ht="15.75" customHeight="1">
      <c r="A841" s="307"/>
      <c r="B841" s="307"/>
      <c r="C841" s="306"/>
      <c r="D841" s="257"/>
      <c r="E841" s="257"/>
      <c r="F841" s="308"/>
      <c r="G841" s="309"/>
    </row>
    <row r="842" ht="15.75" customHeight="1">
      <c r="A842" s="307"/>
      <c r="B842" s="307"/>
      <c r="C842" s="306"/>
      <c r="D842" s="257"/>
      <c r="E842" s="257"/>
      <c r="F842" s="308"/>
      <c r="G842" s="309"/>
    </row>
    <row r="843" ht="15.75" customHeight="1">
      <c r="A843" s="307"/>
      <c r="B843" s="307"/>
      <c r="C843" s="306"/>
      <c r="D843" s="257"/>
      <c r="E843" s="257"/>
      <c r="F843" s="308"/>
      <c r="G843" s="309"/>
    </row>
    <row r="844" ht="15.75" customHeight="1">
      <c r="A844" s="307"/>
      <c r="B844" s="307"/>
      <c r="C844" s="306"/>
      <c r="D844" s="257"/>
      <c r="E844" s="257"/>
      <c r="F844" s="308"/>
      <c r="G844" s="309"/>
    </row>
    <row r="845" ht="15.75" customHeight="1">
      <c r="A845" s="307"/>
      <c r="B845" s="307"/>
      <c r="C845" s="306"/>
      <c r="D845" s="257"/>
      <c r="E845" s="257"/>
      <c r="F845" s="308"/>
      <c r="G845" s="309"/>
    </row>
    <row r="846" ht="15.75" customHeight="1">
      <c r="A846" s="307"/>
      <c r="B846" s="307"/>
      <c r="C846" s="306"/>
      <c r="D846" s="257"/>
      <c r="E846" s="257"/>
      <c r="F846" s="308"/>
      <c r="G846" s="309"/>
    </row>
    <row r="847" ht="15.75" customHeight="1">
      <c r="A847" s="307"/>
      <c r="B847" s="307"/>
      <c r="C847" s="306"/>
      <c r="D847" s="257"/>
      <c r="E847" s="257"/>
      <c r="F847" s="308"/>
      <c r="G847" s="309"/>
    </row>
    <row r="848" ht="15.75" customHeight="1">
      <c r="A848" s="307"/>
      <c r="B848" s="307"/>
      <c r="C848" s="306"/>
      <c r="D848" s="257"/>
      <c r="E848" s="257"/>
      <c r="F848" s="308"/>
      <c r="G848" s="309"/>
    </row>
    <row r="849" ht="15.75" customHeight="1">
      <c r="A849" s="307"/>
      <c r="B849" s="307"/>
      <c r="C849" s="306"/>
      <c r="D849" s="257"/>
      <c r="E849" s="257"/>
      <c r="F849" s="308"/>
      <c r="G849" s="309"/>
    </row>
    <row r="850" ht="15.75" customHeight="1">
      <c r="A850" s="307"/>
      <c r="B850" s="307"/>
      <c r="C850" s="306"/>
      <c r="D850" s="257"/>
      <c r="E850" s="257"/>
      <c r="F850" s="308"/>
      <c r="G850" s="309"/>
    </row>
    <row r="851" ht="15.75" customHeight="1">
      <c r="A851" s="307"/>
      <c r="B851" s="307"/>
      <c r="C851" s="306"/>
      <c r="D851" s="257"/>
      <c r="E851" s="257"/>
      <c r="F851" s="308"/>
      <c r="G851" s="309"/>
    </row>
    <row r="852" ht="15.75" customHeight="1">
      <c r="A852" s="307"/>
      <c r="B852" s="307"/>
      <c r="C852" s="306"/>
      <c r="D852" s="257"/>
      <c r="E852" s="257"/>
      <c r="F852" s="308"/>
      <c r="G852" s="309"/>
    </row>
    <row r="853" ht="15.75" customHeight="1">
      <c r="A853" s="307"/>
      <c r="B853" s="307"/>
      <c r="C853" s="306"/>
      <c r="D853" s="257"/>
      <c r="E853" s="257"/>
      <c r="F853" s="308"/>
      <c r="G853" s="309"/>
    </row>
    <row r="854" ht="15.75" customHeight="1">
      <c r="A854" s="307"/>
      <c r="B854" s="307"/>
      <c r="C854" s="306"/>
      <c r="D854" s="257"/>
      <c r="E854" s="257"/>
      <c r="F854" s="308"/>
      <c r="G854" s="309"/>
    </row>
    <row r="855" ht="15.75" customHeight="1">
      <c r="A855" s="307"/>
      <c r="B855" s="307"/>
      <c r="C855" s="306"/>
      <c r="D855" s="257"/>
      <c r="E855" s="257"/>
      <c r="F855" s="308"/>
      <c r="G855" s="309"/>
    </row>
    <row r="856" ht="15.75" customHeight="1">
      <c r="A856" s="307"/>
      <c r="B856" s="307"/>
      <c r="C856" s="306"/>
      <c r="D856" s="257"/>
      <c r="E856" s="257"/>
      <c r="F856" s="308"/>
      <c r="G856" s="309"/>
    </row>
    <row r="857" ht="15.75" customHeight="1">
      <c r="A857" s="307"/>
      <c r="B857" s="307"/>
      <c r="C857" s="306"/>
      <c r="D857" s="257"/>
      <c r="E857" s="257"/>
      <c r="F857" s="308"/>
      <c r="G857" s="309"/>
    </row>
    <row r="858" ht="15.75" customHeight="1">
      <c r="A858" s="307"/>
      <c r="B858" s="307"/>
      <c r="C858" s="306"/>
      <c r="D858" s="257"/>
      <c r="E858" s="257"/>
      <c r="F858" s="308"/>
      <c r="G858" s="309"/>
    </row>
    <row r="859" ht="15.75" customHeight="1">
      <c r="A859" s="307"/>
      <c r="B859" s="307"/>
      <c r="C859" s="306"/>
      <c r="D859" s="257"/>
      <c r="E859" s="257"/>
      <c r="F859" s="308"/>
      <c r="G859" s="309"/>
    </row>
    <row r="860" ht="15.75" customHeight="1">
      <c r="A860" s="307"/>
      <c r="B860" s="307"/>
      <c r="C860" s="306"/>
      <c r="D860" s="257"/>
      <c r="E860" s="257"/>
      <c r="F860" s="308"/>
      <c r="G860" s="309"/>
    </row>
    <row r="861" ht="15.75" customHeight="1">
      <c r="A861" s="307"/>
      <c r="B861" s="307"/>
      <c r="C861" s="306"/>
      <c r="D861" s="257"/>
      <c r="E861" s="257"/>
      <c r="F861" s="308"/>
      <c r="G861" s="309"/>
    </row>
    <row r="862" ht="15.75" customHeight="1">
      <c r="A862" s="307"/>
      <c r="B862" s="307"/>
      <c r="C862" s="306"/>
      <c r="D862" s="257"/>
      <c r="E862" s="257"/>
      <c r="F862" s="308"/>
      <c r="G862" s="309"/>
    </row>
    <row r="863" ht="15.75" customHeight="1">
      <c r="A863" s="307"/>
      <c r="B863" s="307"/>
      <c r="C863" s="306"/>
      <c r="D863" s="257"/>
      <c r="E863" s="257"/>
      <c r="F863" s="308"/>
      <c r="G863" s="309"/>
    </row>
    <row r="864" ht="15.75" customHeight="1">
      <c r="A864" s="307"/>
      <c r="B864" s="307"/>
      <c r="C864" s="306"/>
      <c r="D864" s="257"/>
      <c r="E864" s="257"/>
      <c r="F864" s="308"/>
      <c r="G864" s="309"/>
    </row>
    <row r="865" ht="15.75" customHeight="1">
      <c r="A865" s="307"/>
      <c r="B865" s="307"/>
      <c r="C865" s="306"/>
      <c r="D865" s="257"/>
      <c r="E865" s="257"/>
      <c r="F865" s="308"/>
      <c r="G865" s="309"/>
    </row>
    <row r="866" ht="15.75" customHeight="1">
      <c r="A866" s="307"/>
      <c r="B866" s="307"/>
      <c r="C866" s="306"/>
      <c r="D866" s="257"/>
      <c r="E866" s="257"/>
      <c r="F866" s="308"/>
      <c r="G866" s="309"/>
    </row>
    <row r="867" ht="15.75" customHeight="1">
      <c r="A867" s="307"/>
      <c r="B867" s="307"/>
      <c r="C867" s="306"/>
      <c r="D867" s="257"/>
      <c r="E867" s="257"/>
      <c r="F867" s="308"/>
      <c r="G867" s="309"/>
    </row>
    <row r="868" ht="15.75" customHeight="1">
      <c r="A868" s="307"/>
      <c r="B868" s="307"/>
      <c r="C868" s="306"/>
      <c r="D868" s="257"/>
      <c r="E868" s="257"/>
      <c r="F868" s="308"/>
      <c r="G868" s="309"/>
    </row>
    <row r="869" ht="15.75" customHeight="1">
      <c r="A869" s="307"/>
      <c r="B869" s="307"/>
      <c r="C869" s="306"/>
      <c r="D869" s="257"/>
      <c r="E869" s="257"/>
      <c r="F869" s="308"/>
      <c r="G869" s="309"/>
    </row>
    <row r="870" ht="15.75" customHeight="1">
      <c r="A870" s="307"/>
      <c r="B870" s="307"/>
      <c r="C870" s="306"/>
      <c r="D870" s="257"/>
      <c r="E870" s="257"/>
      <c r="F870" s="308"/>
      <c r="G870" s="309"/>
    </row>
    <row r="871" ht="15.75" customHeight="1">
      <c r="A871" s="307"/>
      <c r="B871" s="307"/>
      <c r="C871" s="306"/>
      <c r="D871" s="257"/>
      <c r="E871" s="257"/>
      <c r="F871" s="308"/>
      <c r="G871" s="309"/>
    </row>
    <row r="872" ht="15.75" customHeight="1">
      <c r="A872" s="307"/>
      <c r="B872" s="307"/>
      <c r="C872" s="306"/>
      <c r="D872" s="257"/>
      <c r="E872" s="257"/>
      <c r="F872" s="308"/>
      <c r="G872" s="309"/>
    </row>
    <row r="873" ht="15.75" customHeight="1">
      <c r="A873" s="307"/>
      <c r="B873" s="307"/>
      <c r="C873" s="306"/>
      <c r="D873" s="257"/>
      <c r="E873" s="257"/>
      <c r="F873" s="308"/>
      <c r="G873" s="309"/>
    </row>
    <row r="874" ht="15.75" customHeight="1">
      <c r="A874" s="307"/>
      <c r="B874" s="307"/>
      <c r="C874" s="306"/>
      <c r="D874" s="257"/>
      <c r="E874" s="257"/>
      <c r="F874" s="308"/>
      <c r="G874" s="309"/>
    </row>
    <row r="875" ht="15.75" customHeight="1">
      <c r="A875" s="307"/>
      <c r="B875" s="307"/>
      <c r="C875" s="306"/>
      <c r="D875" s="257"/>
      <c r="E875" s="257"/>
      <c r="F875" s="308"/>
      <c r="G875" s="309"/>
    </row>
    <row r="876" ht="15.75" customHeight="1">
      <c r="A876" s="307"/>
      <c r="B876" s="307"/>
      <c r="C876" s="306"/>
      <c r="D876" s="257"/>
      <c r="E876" s="257"/>
      <c r="F876" s="308"/>
      <c r="G876" s="309"/>
    </row>
    <row r="877" ht="15.75" customHeight="1">
      <c r="A877" s="307"/>
      <c r="B877" s="307"/>
      <c r="C877" s="306"/>
      <c r="D877" s="257"/>
      <c r="E877" s="257"/>
      <c r="F877" s="308"/>
      <c r="G877" s="309"/>
    </row>
    <row r="878" ht="15.75" customHeight="1">
      <c r="A878" s="307"/>
      <c r="B878" s="307"/>
      <c r="C878" s="306"/>
      <c r="D878" s="257"/>
      <c r="E878" s="257"/>
      <c r="F878" s="308"/>
      <c r="G878" s="309"/>
    </row>
    <row r="879" ht="15.75" customHeight="1">
      <c r="A879" s="307"/>
      <c r="B879" s="307"/>
      <c r="C879" s="306"/>
      <c r="D879" s="257"/>
      <c r="E879" s="257"/>
      <c r="F879" s="308"/>
      <c r="G879" s="309"/>
    </row>
    <row r="880" ht="15.75" customHeight="1">
      <c r="A880" s="307"/>
      <c r="B880" s="307"/>
      <c r="C880" s="306"/>
      <c r="D880" s="257"/>
      <c r="E880" s="257"/>
      <c r="F880" s="308"/>
      <c r="G880" s="309"/>
    </row>
    <row r="881" ht="15.75" customHeight="1">
      <c r="A881" s="307"/>
      <c r="B881" s="307"/>
      <c r="C881" s="306"/>
      <c r="D881" s="257"/>
      <c r="E881" s="257"/>
      <c r="F881" s="308"/>
      <c r="G881" s="309"/>
    </row>
    <row r="882" ht="15.75" customHeight="1">
      <c r="A882" s="307"/>
      <c r="B882" s="307"/>
      <c r="C882" s="306"/>
      <c r="D882" s="257"/>
      <c r="E882" s="257"/>
      <c r="F882" s="308"/>
      <c r="G882" s="309"/>
    </row>
    <row r="883" ht="15.75" customHeight="1">
      <c r="A883" s="307"/>
      <c r="B883" s="307"/>
      <c r="C883" s="306"/>
      <c r="D883" s="257"/>
      <c r="E883" s="257"/>
      <c r="F883" s="308"/>
      <c r="G883" s="309"/>
    </row>
    <row r="884" ht="15.75" customHeight="1">
      <c r="A884" s="307"/>
      <c r="B884" s="307"/>
      <c r="C884" s="306"/>
      <c r="D884" s="257"/>
      <c r="E884" s="257"/>
      <c r="F884" s="308"/>
      <c r="G884" s="309"/>
    </row>
    <row r="885" ht="15.75" customHeight="1">
      <c r="A885" s="307"/>
      <c r="B885" s="307"/>
      <c r="C885" s="306"/>
      <c r="D885" s="257"/>
      <c r="E885" s="257"/>
      <c r="F885" s="308"/>
      <c r="G885" s="309"/>
    </row>
    <row r="886" ht="15.75" customHeight="1">
      <c r="A886" s="307"/>
      <c r="B886" s="307"/>
      <c r="C886" s="306"/>
      <c r="D886" s="257"/>
      <c r="E886" s="257"/>
      <c r="F886" s="308"/>
      <c r="G886" s="309"/>
    </row>
    <row r="887" ht="15.75" customHeight="1">
      <c r="A887" s="307"/>
      <c r="B887" s="307"/>
      <c r="C887" s="306"/>
      <c r="D887" s="257"/>
      <c r="E887" s="257"/>
      <c r="F887" s="308"/>
      <c r="G887" s="309"/>
    </row>
    <row r="888" ht="15.75" customHeight="1">
      <c r="A888" s="307"/>
      <c r="B888" s="307"/>
      <c r="C888" s="306"/>
      <c r="D888" s="257"/>
      <c r="E888" s="257"/>
      <c r="F888" s="308"/>
      <c r="G888" s="309"/>
    </row>
    <row r="889" ht="15.75" customHeight="1">
      <c r="A889" s="307"/>
      <c r="B889" s="307"/>
      <c r="C889" s="306"/>
      <c r="D889" s="257"/>
      <c r="E889" s="257"/>
      <c r="F889" s="308"/>
      <c r="G889" s="309"/>
    </row>
    <row r="890" ht="15.75" customHeight="1">
      <c r="A890" s="307"/>
      <c r="B890" s="307"/>
      <c r="C890" s="306"/>
      <c r="D890" s="257"/>
      <c r="E890" s="257"/>
      <c r="F890" s="308"/>
      <c r="G890" s="309"/>
    </row>
    <row r="891" ht="15.75" customHeight="1">
      <c r="A891" s="307"/>
      <c r="B891" s="307"/>
      <c r="C891" s="306"/>
      <c r="D891" s="257"/>
      <c r="E891" s="257"/>
      <c r="F891" s="308"/>
      <c r="G891" s="309"/>
    </row>
    <row r="892" ht="15.75" customHeight="1">
      <c r="A892" s="307"/>
      <c r="B892" s="307"/>
      <c r="C892" s="306"/>
      <c r="D892" s="257"/>
      <c r="E892" s="257"/>
      <c r="F892" s="308"/>
      <c r="G892" s="309"/>
    </row>
    <row r="893" ht="15.75" customHeight="1">
      <c r="A893" s="307"/>
      <c r="B893" s="307"/>
      <c r="C893" s="306"/>
      <c r="D893" s="257"/>
      <c r="E893" s="257"/>
      <c r="F893" s="308"/>
      <c r="G893" s="309"/>
    </row>
    <row r="894" ht="15.75" customHeight="1">
      <c r="A894" s="307"/>
      <c r="B894" s="307"/>
      <c r="C894" s="306"/>
      <c r="D894" s="257"/>
      <c r="E894" s="257"/>
      <c r="F894" s="308"/>
      <c r="G894" s="309"/>
    </row>
    <row r="895" ht="15.75" customHeight="1">
      <c r="A895" s="307"/>
      <c r="B895" s="307"/>
      <c r="C895" s="306"/>
      <c r="D895" s="257"/>
      <c r="E895" s="257"/>
      <c r="F895" s="308"/>
      <c r="G895" s="309"/>
    </row>
    <row r="896" ht="15.75" customHeight="1">
      <c r="A896" s="307"/>
      <c r="B896" s="307"/>
      <c r="C896" s="306"/>
      <c r="D896" s="257"/>
      <c r="E896" s="257"/>
      <c r="F896" s="308"/>
      <c r="G896" s="309"/>
    </row>
    <row r="897" ht="15.75" customHeight="1">
      <c r="A897" s="307"/>
      <c r="B897" s="307"/>
      <c r="C897" s="306"/>
      <c r="D897" s="257"/>
      <c r="E897" s="257"/>
      <c r="F897" s="308"/>
      <c r="G897" s="309"/>
    </row>
    <row r="898" ht="15.75" customHeight="1">
      <c r="A898" s="307"/>
      <c r="B898" s="307"/>
      <c r="C898" s="306"/>
      <c r="D898" s="257"/>
      <c r="E898" s="257"/>
      <c r="F898" s="308"/>
      <c r="G898" s="309"/>
    </row>
    <row r="899" ht="15.75" customHeight="1">
      <c r="A899" s="307"/>
      <c r="B899" s="307"/>
      <c r="C899" s="306"/>
      <c r="D899" s="257"/>
      <c r="E899" s="257"/>
      <c r="F899" s="308"/>
      <c r="G899" s="309"/>
    </row>
    <row r="900" ht="15.75" customHeight="1">
      <c r="A900" s="307"/>
      <c r="B900" s="307"/>
      <c r="C900" s="306"/>
      <c r="D900" s="257"/>
      <c r="E900" s="257"/>
      <c r="F900" s="308"/>
      <c r="G900" s="309"/>
    </row>
    <row r="901" ht="15.75" customHeight="1">
      <c r="A901" s="307"/>
      <c r="B901" s="307"/>
      <c r="C901" s="306"/>
      <c r="D901" s="257"/>
      <c r="E901" s="257"/>
      <c r="F901" s="308"/>
      <c r="G901" s="309"/>
    </row>
    <row r="902" ht="15.75" customHeight="1">
      <c r="A902" s="307"/>
      <c r="B902" s="307"/>
      <c r="C902" s="306"/>
      <c r="D902" s="257"/>
      <c r="E902" s="257"/>
      <c r="F902" s="308"/>
      <c r="G902" s="309"/>
    </row>
    <row r="903" ht="15.75" customHeight="1">
      <c r="A903" s="307"/>
      <c r="B903" s="307"/>
      <c r="C903" s="306"/>
      <c r="D903" s="257"/>
      <c r="E903" s="257"/>
      <c r="F903" s="308"/>
      <c r="G903" s="309"/>
    </row>
    <row r="904" ht="15.75" customHeight="1">
      <c r="A904" s="307"/>
      <c r="B904" s="307"/>
      <c r="C904" s="306"/>
      <c r="D904" s="257"/>
      <c r="E904" s="257"/>
      <c r="F904" s="308"/>
      <c r="G904" s="309"/>
    </row>
    <row r="905" ht="15.75" customHeight="1">
      <c r="A905" s="307"/>
      <c r="B905" s="307"/>
      <c r="C905" s="306"/>
      <c r="D905" s="257"/>
      <c r="E905" s="257"/>
      <c r="F905" s="308"/>
      <c r="G905" s="309"/>
    </row>
    <row r="906" ht="15.75" customHeight="1">
      <c r="A906" s="307"/>
      <c r="B906" s="307"/>
      <c r="C906" s="306"/>
      <c r="D906" s="257"/>
      <c r="E906" s="257"/>
      <c r="F906" s="308"/>
      <c r="G906" s="309"/>
    </row>
    <row r="907" ht="15.75" customHeight="1">
      <c r="A907" s="307"/>
      <c r="B907" s="307"/>
      <c r="C907" s="306"/>
      <c r="D907" s="257"/>
      <c r="E907" s="257"/>
      <c r="F907" s="308"/>
      <c r="G907" s="309"/>
    </row>
    <row r="908" ht="15.75" customHeight="1">
      <c r="A908" s="307"/>
      <c r="B908" s="307"/>
      <c r="C908" s="306"/>
      <c r="D908" s="257"/>
      <c r="E908" s="257"/>
      <c r="F908" s="308"/>
      <c r="G908" s="309"/>
    </row>
    <row r="909" ht="15.75" customHeight="1">
      <c r="A909" s="307"/>
      <c r="B909" s="307"/>
      <c r="C909" s="306"/>
      <c r="D909" s="257"/>
      <c r="E909" s="257"/>
      <c r="F909" s="308"/>
      <c r="G909" s="309"/>
    </row>
    <row r="910" ht="15.75" customHeight="1">
      <c r="A910" s="307"/>
      <c r="B910" s="307"/>
      <c r="C910" s="306"/>
      <c r="D910" s="257"/>
      <c r="E910" s="257"/>
      <c r="F910" s="308"/>
      <c r="G910" s="309"/>
    </row>
    <row r="911" ht="15.75" customHeight="1">
      <c r="A911" s="307"/>
      <c r="B911" s="307"/>
      <c r="C911" s="306"/>
      <c r="D911" s="257"/>
      <c r="E911" s="257"/>
      <c r="F911" s="308"/>
      <c r="G911" s="309"/>
    </row>
    <row r="912" ht="15.75" customHeight="1">
      <c r="A912" s="307"/>
      <c r="B912" s="307"/>
      <c r="C912" s="306"/>
      <c r="D912" s="257"/>
      <c r="E912" s="257"/>
      <c r="F912" s="308"/>
      <c r="G912" s="309"/>
    </row>
    <row r="913" ht="15.75" customHeight="1">
      <c r="A913" s="307"/>
      <c r="B913" s="307"/>
      <c r="C913" s="306"/>
      <c r="D913" s="257"/>
      <c r="E913" s="257"/>
      <c r="F913" s="308"/>
      <c r="G913" s="309"/>
    </row>
    <row r="914" ht="15.75" customHeight="1">
      <c r="A914" s="307"/>
      <c r="B914" s="307"/>
      <c r="C914" s="306"/>
      <c r="D914" s="257"/>
      <c r="E914" s="257"/>
      <c r="F914" s="308"/>
      <c r="G914" s="309"/>
    </row>
    <row r="915" ht="15.75" customHeight="1">
      <c r="A915" s="307"/>
      <c r="B915" s="307"/>
      <c r="C915" s="306"/>
      <c r="D915" s="257"/>
      <c r="E915" s="257"/>
      <c r="F915" s="308"/>
      <c r="G915" s="309"/>
    </row>
    <row r="916" ht="15.75" customHeight="1">
      <c r="A916" s="307"/>
      <c r="B916" s="307"/>
      <c r="C916" s="306"/>
      <c r="D916" s="257"/>
      <c r="E916" s="257"/>
      <c r="F916" s="308"/>
      <c r="G916" s="309"/>
    </row>
    <row r="917" ht="15.75" customHeight="1">
      <c r="A917" s="307"/>
      <c r="B917" s="307"/>
      <c r="C917" s="306"/>
      <c r="D917" s="257"/>
      <c r="E917" s="257"/>
      <c r="F917" s="308"/>
      <c r="G917" s="309"/>
    </row>
    <row r="918" ht="15.75" customHeight="1">
      <c r="A918" s="307"/>
      <c r="B918" s="307"/>
      <c r="C918" s="306"/>
      <c r="D918" s="257"/>
      <c r="E918" s="257"/>
      <c r="F918" s="308"/>
      <c r="G918" s="309"/>
    </row>
    <row r="919" ht="15.75" customHeight="1">
      <c r="A919" s="307"/>
      <c r="B919" s="307"/>
      <c r="C919" s="306"/>
      <c r="D919" s="257"/>
      <c r="E919" s="257"/>
      <c r="F919" s="308"/>
      <c r="G919" s="309"/>
    </row>
    <row r="920" ht="15.75" customHeight="1">
      <c r="A920" s="307"/>
      <c r="B920" s="307"/>
      <c r="C920" s="306"/>
      <c r="D920" s="257"/>
      <c r="E920" s="257"/>
      <c r="F920" s="308"/>
      <c r="G920" s="309"/>
    </row>
    <row r="921" ht="15.75" customHeight="1">
      <c r="A921" s="307"/>
      <c r="B921" s="307"/>
      <c r="C921" s="306"/>
      <c r="D921" s="257"/>
      <c r="E921" s="257"/>
      <c r="F921" s="308"/>
      <c r="G921" s="309"/>
    </row>
    <row r="922" ht="15.75" customHeight="1">
      <c r="A922" s="307"/>
      <c r="B922" s="307"/>
      <c r="C922" s="306"/>
      <c r="D922" s="257"/>
      <c r="E922" s="257"/>
      <c r="F922" s="308"/>
      <c r="G922" s="309"/>
    </row>
    <row r="923" ht="15.75" customHeight="1">
      <c r="A923" s="307"/>
      <c r="B923" s="307"/>
      <c r="C923" s="306"/>
      <c r="D923" s="257"/>
      <c r="E923" s="257"/>
      <c r="F923" s="308"/>
      <c r="G923" s="309"/>
    </row>
    <row r="924" ht="15.75" customHeight="1">
      <c r="A924" s="307"/>
      <c r="B924" s="307"/>
      <c r="C924" s="306"/>
      <c r="D924" s="257"/>
      <c r="E924" s="257"/>
      <c r="F924" s="308"/>
      <c r="G924" s="309"/>
    </row>
    <row r="925" ht="15.75" customHeight="1">
      <c r="A925" s="307"/>
      <c r="B925" s="307"/>
      <c r="C925" s="306"/>
      <c r="D925" s="257"/>
      <c r="E925" s="257"/>
      <c r="F925" s="308"/>
      <c r="G925" s="309"/>
    </row>
    <row r="926" ht="15.75" customHeight="1">
      <c r="A926" s="307"/>
      <c r="B926" s="307"/>
      <c r="C926" s="306"/>
      <c r="D926" s="257"/>
      <c r="E926" s="257"/>
      <c r="F926" s="308"/>
      <c r="G926" s="309"/>
    </row>
    <row r="927" ht="15.75" customHeight="1">
      <c r="A927" s="307"/>
      <c r="B927" s="307"/>
      <c r="C927" s="306"/>
      <c r="D927" s="257"/>
      <c r="E927" s="257"/>
      <c r="F927" s="308"/>
      <c r="G927" s="309"/>
    </row>
    <row r="928" ht="15.75" customHeight="1">
      <c r="A928" s="307"/>
      <c r="B928" s="307"/>
      <c r="C928" s="306"/>
      <c r="D928" s="257"/>
      <c r="E928" s="257"/>
      <c r="F928" s="308"/>
      <c r="G928" s="309"/>
    </row>
    <row r="929" ht="15.75" customHeight="1">
      <c r="A929" s="307"/>
      <c r="B929" s="307"/>
      <c r="C929" s="306"/>
      <c r="D929" s="257"/>
      <c r="E929" s="257"/>
      <c r="F929" s="308"/>
      <c r="G929" s="309"/>
    </row>
    <row r="930" ht="15.75" customHeight="1">
      <c r="A930" s="307"/>
      <c r="B930" s="307"/>
      <c r="C930" s="306"/>
      <c r="D930" s="257"/>
      <c r="E930" s="257"/>
      <c r="F930" s="308"/>
      <c r="G930" s="309"/>
    </row>
    <row r="931" ht="15.75" customHeight="1">
      <c r="A931" s="307"/>
      <c r="B931" s="307"/>
      <c r="C931" s="306"/>
      <c r="D931" s="257"/>
      <c r="E931" s="257"/>
      <c r="F931" s="308"/>
      <c r="G931" s="309"/>
    </row>
    <row r="932" ht="15.75" customHeight="1">
      <c r="A932" s="307"/>
      <c r="B932" s="307"/>
      <c r="C932" s="306"/>
      <c r="D932" s="257"/>
      <c r="E932" s="257"/>
      <c r="F932" s="308"/>
      <c r="G932" s="309"/>
    </row>
    <row r="933" ht="15.75" customHeight="1">
      <c r="A933" s="307"/>
      <c r="B933" s="307"/>
      <c r="C933" s="306"/>
      <c r="D933" s="257"/>
      <c r="E933" s="257"/>
      <c r="F933" s="308"/>
      <c r="G933" s="309"/>
    </row>
    <row r="934" ht="15.75" customHeight="1">
      <c r="A934" s="307"/>
      <c r="B934" s="307"/>
      <c r="C934" s="306"/>
      <c r="D934" s="257"/>
      <c r="E934" s="257"/>
      <c r="F934" s="308"/>
      <c r="G934" s="309"/>
    </row>
    <row r="935" ht="15.75" customHeight="1">
      <c r="A935" s="307"/>
      <c r="B935" s="307"/>
      <c r="C935" s="306"/>
      <c r="D935" s="257"/>
      <c r="E935" s="257"/>
      <c r="F935" s="308"/>
      <c r="G935" s="309"/>
    </row>
    <row r="936" ht="15.75" customHeight="1">
      <c r="A936" s="307"/>
      <c r="B936" s="307"/>
      <c r="C936" s="306"/>
      <c r="D936" s="257"/>
      <c r="E936" s="257"/>
      <c r="F936" s="308"/>
      <c r="G936" s="309"/>
    </row>
    <row r="937" ht="15.75" customHeight="1">
      <c r="A937" s="307"/>
      <c r="B937" s="307"/>
      <c r="C937" s="306"/>
      <c r="D937" s="257"/>
      <c r="E937" s="257"/>
      <c r="F937" s="308"/>
      <c r="G937" s="309"/>
    </row>
    <row r="938" ht="15.75" customHeight="1">
      <c r="A938" s="307"/>
      <c r="B938" s="307"/>
      <c r="C938" s="306"/>
      <c r="D938" s="257"/>
      <c r="E938" s="257"/>
      <c r="F938" s="308"/>
      <c r="G938" s="309"/>
    </row>
    <row r="939" ht="15.75" customHeight="1">
      <c r="A939" s="307"/>
      <c r="B939" s="307"/>
      <c r="C939" s="306"/>
      <c r="D939" s="257"/>
      <c r="E939" s="257"/>
      <c r="F939" s="308"/>
      <c r="G939" s="309"/>
    </row>
    <row r="940" ht="15.75" customHeight="1">
      <c r="A940" s="307"/>
      <c r="B940" s="307"/>
      <c r="C940" s="306"/>
      <c r="D940" s="257"/>
      <c r="E940" s="257"/>
      <c r="F940" s="308"/>
      <c r="G940" s="309"/>
    </row>
    <row r="941" ht="15.75" customHeight="1">
      <c r="A941" s="307"/>
      <c r="B941" s="307"/>
      <c r="C941" s="306"/>
      <c r="D941" s="257"/>
      <c r="E941" s="257"/>
      <c r="F941" s="308"/>
      <c r="G941" s="309"/>
    </row>
    <row r="942" ht="15.75" customHeight="1">
      <c r="A942" s="307"/>
      <c r="B942" s="307"/>
      <c r="C942" s="306"/>
      <c r="D942" s="257"/>
      <c r="E942" s="257"/>
      <c r="F942" s="308"/>
      <c r="G942" s="309"/>
    </row>
    <row r="943" ht="15.75" customHeight="1">
      <c r="A943" s="307"/>
      <c r="B943" s="307"/>
      <c r="C943" s="306"/>
      <c r="D943" s="257"/>
      <c r="E943" s="257"/>
      <c r="F943" s="308"/>
      <c r="G943" s="309"/>
    </row>
    <row r="944" ht="15.75" customHeight="1">
      <c r="A944" s="307"/>
      <c r="B944" s="307"/>
      <c r="C944" s="306"/>
      <c r="D944" s="257"/>
      <c r="E944" s="257"/>
      <c r="F944" s="308"/>
      <c r="G944" s="309"/>
    </row>
    <row r="945" ht="15.75" customHeight="1">
      <c r="A945" s="307"/>
      <c r="B945" s="307"/>
      <c r="C945" s="306"/>
      <c r="D945" s="257"/>
      <c r="E945" s="257"/>
      <c r="F945" s="308"/>
      <c r="G945" s="309"/>
    </row>
    <row r="946" ht="15.75" customHeight="1">
      <c r="A946" s="307"/>
      <c r="B946" s="307"/>
      <c r="C946" s="306"/>
      <c r="D946" s="257"/>
      <c r="E946" s="257"/>
      <c r="F946" s="308"/>
      <c r="G946" s="309"/>
    </row>
    <row r="947" ht="15.75" customHeight="1">
      <c r="A947" s="307"/>
      <c r="B947" s="307"/>
      <c r="C947" s="306"/>
      <c r="D947" s="257"/>
      <c r="E947" s="257"/>
      <c r="F947" s="308"/>
      <c r="G947" s="309"/>
    </row>
    <row r="948" ht="15.75" customHeight="1">
      <c r="A948" s="307"/>
      <c r="B948" s="307"/>
      <c r="C948" s="306"/>
      <c r="D948" s="257"/>
      <c r="E948" s="257"/>
      <c r="F948" s="308"/>
      <c r="G948" s="309"/>
    </row>
    <row r="949" ht="15.75" customHeight="1">
      <c r="A949" s="307"/>
      <c r="B949" s="307"/>
      <c r="C949" s="306"/>
      <c r="D949" s="257"/>
      <c r="E949" s="257"/>
      <c r="F949" s="308"/>
      <c r="G949" s="309"/>
    </row>
    <row r="950" ht="15.75" customHeight="1">
      <c r="A950" s="307"/>
      <c r="B950" s="307"/>
      <c r="C950" s="306"/>
      <c r="D950" s="257"/>
      <c r="E950" s="257"/>
      <c r="F950" s="308"/>
      <c r="G950" s="309"/>
    </row>
    <row r="951" ht="15.75" customHeight="1">
      <c r="A951" s="307"/>
      <c r="B951" s="307"/>
      <c r="C951" s="306"/>
      <c r="D951" s="257"/>
      <c r="E951" s="257"/>
      <c r="F951" s="308"/>
      <c r="G951" s="309"/>
    </row>
    <row r="952" ht="15.75" customHeight="1">
      <c r="A952" s="307"/>
      <c r="B952" s="307"/>
      <c r="C952" s="306"/>
      <c r="D952" s="257"/>
      <c r="E952" s="257"/>
      <c r="F952" s="308"/>
      <c r="G952" s="309"/>
    </row>
    <row r="953" ht="15.75" customHeight="1">
      <c r="A953" s="307"/>
      <c r="B953" s="307"/>
      <c r="C953" s="306"/>
      <c r="D953" s="257"/>
      <c r="E953" s="257"/>
      <c r="F953" s="308"/>
      <c r="G953" s="309"/>
    </row>
    <row r="954" ht="15.75" customHeight="1">
      <c r="A954" s="307"/>
      <c r="B954" s="307"/>
      <c r="C954" s="306"/>
      <c r="D954" s="257"/>
      <c r="E954" s="257"/>
      <c r="F954" s="308"/>
      <c r="G954" s="309"/>
    </row>
    <row r="955" ht="15.75" customHeight="1">
      <c r="A955" s="307"/>
      <c r="B955" s="307"/>
      <c r="C955" s="306"/>
      <c r="D955" s="257"/>
      <c r="E955" s="257"/>
      <c r="F955" s="308"/>
      <c r="G955" s="309"/>
    </row>
    <row r="956" ht="15.75" customHeight="1">
      <c r="A956" s="307"/>
      <c r="B956" s="307"/>
      <c r="C956" s="306"/>
      <c r="D956" s="257"/>
      <c r="E956" s="257"/>
      <c r="F956" s="308"/>
      <c r="G956" s="309"/>
    </row>
    <row r="957" ht="15.75" customHeight="1">
      <c r="A957" s="307"/>
      <c r="B957" s="307"/>
      <c r="C957" s="306"/>
      <c r="D957" s="257"/>
      <c r="E957" s="257"/>
      <c r="F957" s="308"/>
      <c r="G957" s="309"/>
    </row>
    <row r="958" ht="15.75" customHeight="1">
      <c r="A958" s="307"/>
      <c r="B958" s="307"/>
      <c r="C958" s="306"/>
      <c r="D958" s="257"/>
      <c r="E958" s="257"/>
      <c r="F958" s="308"/>
      <c r="G958" s="309"/>
    </row>
    <row r="959" ht="15.75" customHeight="1">
      <c r="A959" s="307"/>
      <c r="B959" s="307"/>
      <c r="C959" s="306"/>
      <c r="D959" s="257"/>
      <c r="E959" s="257"/>
      <c r="F959" s="308"/>
      <c r="G959" s="309"/>
    </row>
    <row r="960" ht="15.75" customHeight="1">
      <c r="A960" s="307"/>
      <c r="B960" s="307"/>
      <c r="C960" s="306"/>
      <c r="D960" s="257"/>
      <c r="E960" s="257"/>
      <c r="F960" s="308"/>
      <c r="G960" s="309"/>
    </row>
    <row r="961" ht="15.75" customHeight="1">
      <c r="A961" s="307"/>
      <c r="B961" s="307"/>
      <c r="C961" s="306"/>
      <c r="D961" s="257"/>
      <c r="E961" s="257"/>
      <c r="F961" s="308"/>
      <c r="G961" s="309"/>
    </row>
    <row r="962" ht="15.75" customHeight="1">
      <c r="A962" s="307"/>
      <c r="B962" s="307"/>
      <c r="C962" s="306"/>
      <c r="D962" s="257"/>
      <c r="E962" s="257"/>
      <c r="F962" s="308"/>
      <c r="G962" s="309"/>
    </row>
    <row r="963" ht="15.75" customHeight="1">
      <c r="A963" s="307"/>
      <c r="B963" s="307"/>
      <c r="C963" s="306"/>
      <c r="D963" s="257"/>
      <c r="E963" s="257"/>
      <c r="F963" s="308"/>
      <c r="G963" s="309"/>
    </row>
    <row r="964" ht="15.75" customHeight="1">
      <c r="A964" s="307"/>
      <c r="B964" s="307"/>
      <c r="C964" s="306"/>
      <c r="D964" s="257"/>
      <c r="E964" s="257"/>
      <c r="F964" s="308"/>
      <c r="G964" s="309"/>
    </row>
    <row r="965" ht="15.75" customHeight="1">
      <c r="A965" s="307"/>
      <c r="B965" s="307"/>
      <c r="C965" s="306"/>
      <c r="D965" s="257"/>
      <c r="E965" s="257"/>
      <c r="F965" s="308"/>
      <c r="G965" s="309"/>
    </row>
    <row r="966" ht="15.75" customHeight="1">
      <c r="A966" s="307"/>
      <c r="B966" s="307"/>
      <c r="C966" s="306"/>
      <c r="D966" s="257"/>
      <c r="E966" s="257"/>
      <c r="F966" s="308"/>
      <c r="G966" s="309"/>
    </row>
    <row r="967" ht="15.75" customHeight="1">
      <c r="A967" s="307"/>
      <c r="B967" s="307"/>
      <c r="C967" s="306"/>
      <c r="D967" s="257"/>
      <c r="E967" s="257"/>
      <c r="F967" s="308"/>
      <c r="G967" s="309"/>
    </row>
    <row r="968" ht="15.75" customHeight="1">
      <c r="A968" s="307"/>
      <c r="B968" s="307"/>
      <c r="C968" s="306"/>
      <c r="D968" s="257"/>
      <c r="E968" s="257"/>
      <c r="F968" s="308"/>
      <c r="G968" s="309"/>
    </row>
    <row r="969" ht="15.75" customHeight="1">
      <c r="A969" s="307"/>
      <c r="B969" s="307"/>
      <c r="C969" s="306"/>
      <c r="D969" s="257"/>
      <c r="E969" s="257"/>
      <c r="F969" s="308"/>
      <c r="G969" s="309"/>
    </row>
    <row r="970" ht="15.75" customHeight="1">
      <c r="A970" s="307"/>
      <c r="B970" s="307"/>
      <c r="C970" s="306"/>
      <c r="D970" s="257"/>
      <c r="E970" s="257"/>
      <c r="F970" s="308"/>
      <c r="G970" s="309"/>
    </row>
    <row r="971" ht="15.75" customHeight="1">
      <c r="A971" s="307"/>
      <c r="B971" s="307"/>
      <c r="C971" s="306"/>
      <c r="D971" s="257"/>
      <c r="E971" s="257"/>
      <c r="F971" s="308"/>
      <c r="G971" s="309"/>
    </row>
    <row r="972" ht="15.75" customHeight="1">
      <c r="A972" s="307"/>
      <c r="B972" s="307"/>
      <c r="C972" s="306"/>
      <c r="D972" s="257"/>
      <c r="E972" s="257"/>
      <c r="F972" s="308"/>
      <c r="G972" s="309"/>
    </row>
    <row r="973" ht="15.75" customHeight="1">
      <c r="A973" s="307"/>
      <c r="B973" s="307"/>
      <c r="C973" s="306"/>
      <c r="D973" s="257"/>
      <c r="E973" s="257"/>
      <c r="F973" s="308"/>
      <c r="G973" s="309"/>
    </row>
    <row r="974" ht="15.75" customHeight="1">
      <c r="A974" s="307"/>
      <c r="B974" s="307"/>
      <c r="C974" s="306"/>
      <c r="D974" s="257"/>
      <c r="E974" s="257"/>
      <c r="F974" s="308"/>
      <c r="G974" s="309"/>
    </row>
    <row r="975" ht="15.75" customHeight="1">
      <c r="A975" s="307"/>
      <c r="B975" s="307"/>
      <c r="C975" s="306"/>
      <c r="D975" s="257"/>
      <c r="E975" s="257"/>
      <c r="F975" s="308"/>
      <c r="G975" s="309"/>
    </row>
    <row r="976" ht="15.75" customHeight="1">
      <c r="A976" s="307"/>
      <c r="B976" s="307"/>
      <c r="C976" s="306"/>
      <c r="D976" s="257"/>
      <c r="E976" s="257"/>
      <c r="F976" s="308"/>
      <c r="G976" s="309"/>
    </row>
    <row r="977" ht="15.75" customHeight="1">
      <c r="A977" s="307"/>
      <c r="B977" s="307"/>
      <c r="C977" s="306"/>
      <c r="D977" s="257"/>
      <c r="E977" s="257"/>
      <c r="F977" s="308"/>
      <c r="G977" s="309"/>
    </row>
    <row r="978" ht="15.75" customHeight="1">
      <c r="A978" s="307"/>
      <c r="B978" s="307"/>
      <c r="C978" s="306"/>
      <c r="D978" s="257"/>
      <c r="E978" s="257"/>
      <c r="F978" s="308"/>
      <c r="G978" s="309"/>
    </row>
    <row r="979" ht="15.75" customHeight="1">
      <c r="A979" s="307"/>
      <c r="B979" s="307"/>
      <c r="C979" s="306"/>
      <c r="D979" s="257"/>
      <c r="E979" s="257"/>
      <c r="F979" s="308"/>
      <c r="G979" s="309"/>
    </row>
    <row r="980" ht="15.75" customHeight="1">
      <c r="A980" s="307"/>
      <c r="B980" s="307"/>
      <c r="C980" s="306"/>
      <c r="D980" s="257"/>
      <c r="E980" s="257"/>
      <c r="F980" s="308"/>
      <c r="G980" s="309"/>
    </row>
    <row r="981" ht="15.75" customHeight="1">
      <c r="A981" s="186"/>
      <c r="B981" s="186"/>
      <c r="C981" s="187"/>
      <c r="D981" s="301"/>
      <c r="E981" s="301"/>
      <c r="F981" s="226"/>
      <c r="G981" s="169"/>
    </row>
    <row r="982" ht="15.75" customHeight="1">
      <c r="A982" s="186"/>
      <c r="B982" s="186"/>
      <c r="C982" s="187"/>
      <c r="D982" s="301"/>
      <c r="E982" s="301"/>
      <c r="F982" s="226"/>
      <c r="G982" s="169"/>
    </row>
    <row r="983" ht="15.75" customHeight="1">
      <c r="A983" s="186"/>
      <c r="B983" s="186"/>
      <c r="C983" s="187"/>
      <c r="D983" s="301"/>
      <c r="E983" s="301"/>
      <c r="F983" s="226"/>
      <c r="G983" s="169"/>
    </row>
    <row r="984" ht="15.75" customHeight="1">
      <c r="A984" s="186"/>
      <c r="B984" s="186"/>
      <c r="C984" s="187"/>
      <c r="D984" s="301"/>
      <c r="E984" s="301"/>
      <c r="F984" s="226"/>
      <c r="G984" s="169"/>
    </row>
    <row r="985" ht="15.75" customHeight="1">
      <c r="A985" s="186"/>
      <c r="B985" s="186"/>
      <c r="C985" s="187"/>
      <c r="D985" s="301"/>
      <c r="E985" s="301"/>
      <c r="F985" s="226"/>
      <c r="G985" s="169"/>
    </row>
    <row r="986" ht="15.75" customHeight="1">
      <c r="A986" s="186"/>
      <c r="B986" s="186"/>
      <c r="C986" s="187"/>
      <c r="D986" s="301"/>
      <c r="E986" s="301"/>
      <c r="F986" s="226"/>
      <c r="G986" s="169"/>
    </row>
    <row r="987" ht="15.75" customHeight="1">
      <c r="A987" s="186"/>
      <c r="B987" s="186"/>
      <c r="C987" s="187"/>
      <c r="D987" s="301"/>
      <c r="E987" s="301"/>
      <c r="F987" s="226"/>
      <c r="G987" s="169"/>
    </row>
    <row r="988" ht="15.75" customHeight="1">
      <c r="A988" s="186"/>
      <c r="B988" s="186"/>
      <c r="C988" s="187"/>
      <c r="D988" s="301"/>
      <c r="E988" s="301"/>
      <c r="F988" s="226"/>
      <c r="G988" s="169"/>
    </row>
    <row r="989" ht="15.75" customHeight="1">
      <c r="A989" s="186"/>
      <c r="B989" s="186"/>
      <c r="C989" s="187"/>
      <c r="D989" s="301"/>
      <c r="E989" s="301"/>
      <c r="F989" s="226"/>
      <c r="G989" s="169"/>
    </row>
    <row r="990" ht="15.75" customHeight="1">
      <c r="A990" s="186"/>
      <c r="B990" s="186"/>
      <c r="C990" s="187"/>
      <c r="D990" s="301"/>
      <c r="E990" s="301"/>
      <c r="F990" s="226"/>
      <c r="G990" s="169"/>
    </row>
    <row r="991" ht="15.75" customHeight="1">
      <c r="A991" s="186"/>
      <c r="B991" s="186"/>
      <c r="C991" s="187"/>
      <c r="D991" s="301"/>
      <c r="E991" s="301"/>
      <c r="F991" s="226"/>
      <c r="G991" s="169"/>
    </row>
    <row r="992" ht="15.75" customHeight="1">
      <c r="A992" s="186"/>
      <c r="B992" s="186"/>
      <c r="C992" s="187"/>
      <c r="D992" s="301"/>
      <c r="E992" s="301"/>
      <c r="F992" s="226"/>
      <c r="G992" s="169"/>
    </row>
    <row r="993" ht="15.75" customHeight="1">
      <c r="A993" s="186"/>
      <c r="B993" s="186"/>
      <c r="C993" s="187"/>
      <c r="D993" s="301"/>
      <c r="E993" s="301"/>
      <c r="F993" s="226"/>
      <c r="G993" s="169"/>
    </row>
    <row r="994" ht="15.75" customHeight="1">
      <c r="A994" s="186"/>
      <c r="B994" s="186"/>
      <c r="C994" s="187"/>
      <c r="D994" s="301"/>
      <c r="E994" s="301"/>
      <c r="F994" s="226"/>
      <c r="G994" s="169"/>
    </row>
    <row r="995" ht="15.75" customHeight="1">
      <c r="A995" s="186"/>
      <c r="B995" s="186"/>
      <c r="C995" s="187"/>
      <c r="D995" s="301"/>
      <c r="E995" s="301"/>
      <c r="F995" s="226"/>
      <c r="G995" s="169"/>
    </row>
    <row r="996" ht="15.75" customHeight="1">
      <c r="A996" s="186"/>
      <c r="B996" s="186"/>
      <c r="C996" s="187"/>
      <c r="D996" s="301"/>
      <c r="E996" s="301"/>
      <c r="F996" s="226"/>
      <c r="G996" s="169"/>
    </row>
    <row r="997" ht="15.75" customHeight="1">
      <c r="A997" s="186"/>
      <c r="B997" s="186"/>
      <c r="C997" s="187"/>
      <c r="D997" s="301"/>
      <c r="E997" s="301"/>
      <c r="F997" s="226"/>
      <c r="G997" s="169"/>
    </row>
    <row r="998" ht="15.75" customHeight="1">
      <c r="A998" s="186"/>
      <c r="B998" s="186"/>
      <c r="C998" s="187"/>
      <c r="D998" s="301"/>
      <c r="E998" s="301"/>
      <c r="F998" s="226"/>
      <c r="G998" s="169"/>
    </row>
    <row r="999" ht="15.75" customHeight="1">
      <c r="A999" s="186"/>
      <c r="B999" s="186"/>
      <c r="C999" s="187"/>
      <c r="D999" s="301"/>
      <c r="E999" s="301"/>
      <c r="F999" s="226"/>
      <c r="G999" s="169"/>
    </row>
    <row r="1000" ht="15.75" customHeight="1">
      <c r="A1000" s="186"/>
      <c r="B1000" s="186"/>
      <c r="C1000" s="187"/>
      <c r="D1000" s="301"/>
      <c r="E1000" s="301"/>
      <c r="F1000" s="226"/>
      <c r="G1000" s="169"/>
    </row>
    <row r="1001" ht="15.75" customHeight="1">
      <c r="A1001" s="186"/>
      <c r="B1001" s="186"/>
      <c r="C1001" s="187"/>
      <c r="D1001" s="301"/>
      <c r="E1001" s="301"/>
      <c r="F1001" s="226"/>
      <c r="G1001" s="169"/>
    </row>
    <row r="1002" ht="15.75" customHeight="1">
      <c r="A1002" s="186"/>
      <c r="B1002" s="186"/>
      <c r="C1002" s="187"/>
      <c r="D1002" s="301"/>
      <c r="E1002" s="301"/>
      <c r="F1002" s="226"/>
      <c r="G1002" s="169"/>
    </row>
    <row r="1003" ht="15.75" customHeight="1">
      <c r="A1003" s="186"/>
      <c r="B1003" s="186"/>
      <c r="C1003" s="187"/>
      <c r="D1003" s="301"/>
      <c r="E1003" s="301"/>
      <c r="F1003" s="226"/>
      <c r="G1003" s="169"/>
    </row>
    <row r="1004" ht="15.75" customHeight="1">
      <c r="A1004" s="186"/>
      <c r="B1004" s="186"/>
      <c r="C1004" s="187"/>
      <c r="D1004" s="301"/>
      <c r="E1004" s="301"/>
      <c r="F1004" s="226"/>
      <c r="G1004" s="169"/>
    </row>
    <row r="1005" ht="15.75" customHeight="1">
      <c r="A1005" s="186"/>
      <c r="B1005" s="186"/>
      <c r="C1005" s="187"/>
      <c r="D1005" s="301"/>
      <c r="E1005" s="301"/>
      <c r="F1005" s="226"/>
      <c r="G1005" s="169"/>
    </row>
    <row r="1006" ht="15.75" customHeight="1">
      <c r="A1006" s="186"/>
      <c r="B1006" s="186"/>
      <c r="C1006" s="187"/>
      <c r="D1006" s="301"/>
      <c r="E1006" s="301"/>
      <c r="F1006" s="226"/>
      <c r="G1006" s="169"/>
    </row>
    <row r="1007" ht="15.75" customHeight="1">
      <c r="A1007" s="186"/>
      <c r="B1007" s="186"/>
      <c r="C1007" s="187"/>
      <c r="D1007" s="301"/>
      <c r="E1007" s="301"/>
      <c r="F1007" s="226"/>
      <c r="G1007" s="169"/>
    </row>
    <row r="1008" ht="15.75" customHeight="1">
      <c r="A1008" s="186"/>
      <c r="B1008" s="186"/>
      <c r="C1008" s="187"/>
      <c r="D1008" s="301"/>
      <c r="E1008" s="301"/>
      <c r="F1008" s="226"/>
      <c r="G1008" s="169"/>
    </row>
    <row r="1009" ht="15.75" customHeight="1">
      <c r="A1009" s="186"/>
      <c r="B1009" s="186"/>
      <c r="C1009" s="187"/>
      <c r="D1009" s="301"/>
      <c r="E1009" s="301"/>
      <c r="F1009" s="226"/>
      <c r="G1009" s="169"/>
    </row>
    <row r="1010" ht="15.75" customHeight="1">
      <c r="A1010" s="186"/>
      <c r="B1010" s="186"/>
      <c r="C1010" s="187"/>
      <c r="D1010" s="301"/>
      <c r="E1010" s="301"/>
      <c r="F1010" s="226"/>
      <c r="G1010" s="169"/>
    </row>
    <row r="1011" ht="15.75" customHeight="1">
      <c r="A1011" s="186"/>
      <c r="B1011" s="186"/>
      <c r="C1011" s="187"/>
      <c r="D1011" s="301"/>
      <c r="E1011" s="301"/>
      <c r="F1011" s="226"/>
      <c r="G1011" s="169"/>
    </row>
    <row r="1012" ht="15.75" customHeight="1">
      <c r="A1012" s="186"/>
      <c r="B1012" s="186"/>
      <c r="C1012" s="187"/>
      <c r="D1012" s="301"/>
      <c r="E1012" s="301"/>
      <c r="F1012" s="226"/>
      <c r="G1012" s="169"/>
    </row>
    <row r="1013" ht="15.75" customHeight="1">
      <c r="A1013" s="186"/>
      <c r="B1013" s="186"/>
      <c r="C1013" s="187"/>
      <c r="D1013" s="301"/>
      <c r="E1013" s="301"/>
      <c r="F1013" s="226"/>
      <c r="G1013" s="169"/>
    </row>
    <row r="1014" ht="15.75" customHeight="1">
      <c r="A1014" s="186"/>
      <c r="B1014" s="186"/>
      <c r="C1014" s="187"/>
      <c r="D1014" s="301"/>
      <c r="E1014" s="301"/>
      <c r="F1014" s="226"/>
      <c r="G1014" s="169"/>
    </row>
    <row r="1015" ht="15.75" customHeight="1">
      <c r="A1015" s="186"/>
      <c r="B1015" s="186"/>
      <c r="C1015" s="187"/>
      <c r="D1015" s="301"/>
      <c r="E1015" s="301"/>
      <c r="F1015" s="226"/>
      <c r="G1015" s="169"/>
    </row>
    <row r="1016" ht="15.75" customHeight="1">
      <c r="A1016" s="186"/>
      <c r="B1016" s="186"/>
      <c r="C1016" s="187"/>
      <c r="D1016" s="301"/>
      <c r="E1016" s="301"/>
      <c r="F1016" s="226"/>
      <c r="G1016" s="169"/>
    </row>
    <row r="1017" ht="15.75" customHeight="1">
      <c r="A1017" s="186"/>
      <c r="B1017" s="186"/>
      <c r="C1017" s="187"/>
      <c r="D1017" s="301"/>
      <c r="E1017" s="301"/>
      <c r="F1017" s="226"/>
      <c r="G1017" s="169"/>
    </row>
    <row r="1018" ht="15.75" customHeight="1">
      <c r="A1018" s="186"/>
      <c r="B1018" s="186"/>
      <c r="C1018" s="187"/>
      <c r="D1018" s="301"/>
      <c r="E1018" s="301"/>
      <c r="F1018" s="226"/>
      <c r="G1018" s="169"/>
    </row>
    <row r="1019" ht="15.75" customHeight="1">
      <c r="A1019" s="186"/>
      <c r="B1019" s="186"/>
      <c r="C1019" s="187"/>
      <c r="D1019" s="301"/>
      <c r="E1019" s="301"/>
      <c r="F1019" s="226"/>
      <c r="G1019" s="169"/>
    </row>
    <row r="1020" ht="15.75" customHeight="1">
      <c r="A1020" s="186"/>
      <c r="B1020" s="186"/>
      <c r="C1020" s="187"/>
      <c r="D1020" s="301"/>
      <c r="E1020" s="301"/>
      <c r="F1020" s="226"/>
      <c r="G1020" s="169"/>
    </row>
    <row r="1021" ht="15.75" customHeight="1">
      <c r="A1021" s="186"/>
      <c r="B1021" s="186"/>
      <c r="C1021" s="187"/>
      <c r="D1021" s="301"/>
      <c r="E1021" s="301"/>
      <c r="F1021" s="226"/>
      <c r="G1021" s="169"/>
    </row>
    <row r="1022" ht="15.75" customHeight="1">
      <c r="A1022" s="186"/>
      <c r="B1022" s="186"/>
      <c r="C1022" s="187"/>
      <c r="D1022" s="301"/>
      <c r="E1022" s="301"/>
      <c r="F1022" s="226"/>
      <c r="G1022" s="169"/>
    </row>
    <row r="1023" ht="15.75" customHeight="1">
      <c r="A1023" s="186"/>
      <c r="B1023" s="186"/>
      <c r="C1023" s="187"/>
      <c r="D1023" s="301"/>
      <c r="E1023" s="301"/>
      <c r="F1023" s="226"/>
      <c r="G1023" s="169"/>
    </row>
    <row r="1024" ht="15.75" customHeight="1">
      <c r="A1024" s="186"/>
      <c r="B1024" s="186"/>
      <c r="C1024" s="187"/>
      <c r="D1024" s="301"/>
      <c r="E1024" s="301"/>
      <c r="F1024" s="226"/>
      <c r="G1024" s="169"/>
    </row>
    <row r="1025" ht="15.75" customHeight="1">
      <c r="A1025" s="186"/>
      <c r="B1025" s="186"/>
      <c r="C1025" s="187"/>
      <c r="D1025" s="301"/>
      <c r="E1025" s="301"/>
      <c r="F1025" s="226"/>
      <c r="G1025" s="169"/>
    </row>
    <row r="1026" ht="15.75" customHeight="1">
      <c r="A1026" s="186"/>
      <c r="B1026" s="186"/>
      <c r="C1026" s="187"/>
      <c r="D1026" s="301"/>
      <c r="E1026" s="301"/>
      <c r="F1026" s="226"/>
      <c r="G1026" s="169"/>
    </row>
    <row r="1027" ht="15.75" customHeight="1">
      <c r="A1027" s="186"/>
      <c r="B1027" s="186"/>
      <c r="C1027" s="187"/>
      <c r="D1027" s="301"/>
      <c r="E1027" s="301"/>
      <c r="F1027" s="226"/>
      <c r="G1027" s="169"/>
    </row>
    <row r="1028" ht="15.75" customHeight="1">
      <c r="A1028" s="186"/>
      <c r="B1028" s="186"/>
      <c r="C1028" s="187"/>
      <c r="D1028" s="301"/>
      <c r="E1028" s="301"/>
      <c r="F1028" s="226"/>
      <c r="G1028" s="169"/>
    </row>
    <row r="1029" ht="15.75" customHeight="1">
      <c r="A1029" s="186"/>
      <c r="B1029" s="186"/>
      <c r="C1029" s="187"/>
      <c r="D1029" s="301"/>
      <c r="E1029" s="301"/>
      <c r="F1029" s="226"/>
      <c r="G1029" s="169"/>
    </row>
    <row r="1030" ht="15.75" customHeight="1">
      <c r="A1030" s="186"/>
      <c r="B1030" s="186"/>
      <c r="C1030" s="187"/>
      <c r="D1030" s="301"/>
      <c r="E1030" s="301"/>
      <c r="F1030" s="226"/>
      <c r="G1030" s="169"/>
    </row>
    <row r="1031" ht="15.75" customHeight="1">
      <c r="A1031" s="186"/>
      <c r="B1031" s="186"/>
      <c r="C1031" s="187"/>
      <c r="D1031" s="301"/>
      <c r="E1031" s="301"/>
      <c r="F1031" s="226"/>
      <c r="G1031" s="169"/>
    </row>
    <row r="1032" ht="15.75" customHeight="1">
      <c r="A1032" s="186"/>
      <c r="B1032" s="186"/>
      <c r="C1032" s="187"/>
      <c r="D1032" s="301"/>
      <c r="E1032" s="301"/>
      <c r="F1032" s="226"/>
      <c r="G1032" s="169"/>
    </row>
    <row r="1033" ht="15.75" customHeight="1">
      <c r="A1033" s="186"/>
      <c r="B1033" s="186"/>
      <c r="C1033" s="187"/>
      <c r="D1033" s="301"/>
      <c r="E1033" s="301"/>
      <c r="F1033" s="226"/>
      <c r="G1033" s="169"/>
    </row>
    <row r="1034" ht="15.75" customHeight="1">
      <c r="A1034" s="186"/>
      <c r="B1034" s="186"/>
      <c r="C1034" s="187"/>
      <c r="D1034" s="301"/>
      <c r="E1034" s="301"/>
      <c r="F1034" s="226"/>
      <c r="G1034" s="169"/>
    </row>
    <row r="1035" ht="15.75" customHeight="1">
      <c r="A1035" s="186"/>
      <c r="B1035" s="186"/>
      <c r="C1035" s="187"/>
      <c r="D1035" s="301"/>
      <c r="E1035" s="301"/>
      <c r="F1035" s="226"/>
      <c r="G1035" s="169"/>
    </row>
    <row r="1036" ht="15.75" customHeight="1">
      <c r="A1036" s="186"/>
      <c r="B1036" s="186"/>
      <c r="C1036" s="187"/>
      <c r="D1036" s="301"/>
      <c r="E1036" s="301"/>
      <c r="F1036" s="226"/>
      <c r="G1036" s="169"/>
    </row>
    <row r="1037" ht="15.75" customHeight="1">
      <c r="A1037" s="186"/>
      <c r="B1037" s="186"/>
      <c r="C1037" s="187"/>
      <c r="D1037" s="301"/>
      <c r="E1037" s="301"/>
      <c r="F1037" s="226"/>
      <c r="G1037" s="169"/>
    </row>
    <row r="1038" ht="15.75" customHeight="1">
      <c r="A1038" s="186"/>
      <c r="B1038" s="186"/>
      <c r="C1038" s="187"/>
      <c r="D1038" s="301"/>
      <c r="E1038" s="301"/>
      <c r="F1038" s="226"/>
      <c r="G1038" s="169"/>
    </row>
    <row r="1039" ht="15.75" customHeight="1">
      <c r="A1039" s="186"/>
      <c r="B1039" s="186"/>
      <c r="C1039" s="187"/>
      <c r="D1039" s="301"/>
      <c r="E1039" s="301"/>
      <c r="F1039" s="226"/>
      <c r="G1039" s="169"/>
    </row>
    <row r="1040" ht="15.75" customHeight="1">
      <c r="A1040" s="186"/>
      <c r="B1040" s="186"/>
      <c r="C1040" s="187"/>
      <c r="D1040" s="301"/>
      <c r="E1040" s="301"/>
      <c r="F1040" s="226"/>
      <c r="G1040" s="169"/>
    </row>
    <row r="1041" ht="15.75" customHeight="1">
      <c r="A1041" s="186"/>
      <c r="B1041" s="186"/>
      <c r="C1041" s="187"/>
      <c r="D1041" s="301"/>
      <c r="E1041" s="301"/>
      <c r="F1041" s="226"/>
      <c r="G1041" s="169"/>
    </row>
    <row r="1042" ht="15.75" customHeight="1">
      <c r="A1042" s="186"/>
      <c r="B1042" s="186"/>
      <c r="C1042" s="187"/>
      <c r="D1042" s="301"/>
      <c r="E1042" s="301"/>
      <c r="F1042" s="226"/>
      <c r="G1042" s="169"/>
    </row>
    <row r="1043" ht="15.75" customHeight="1">
      <c r="A1043" s="186"/>
      <c r="B1043" s="186"/>
      <c r="C1043" s="187"/>
      <c r="D1043" s="301"/>
      <c r="E1043" s="301"/>
      <c r="F1043" s="226"/>
      <c r="G1043" s="169"/>
    </row>
    <row r="1044" ht="15.75" customHeight="1">
      <c r="A1044" s="186"/>
      <c r="B1044" s="186"/>
      <c r="C1044" s="187"/>
      <c r="D1044" s="301"/>
      <c r="E1044" s="301"/>
      <c r="F1044" s="226"/>
      <c r="G1044" s="169"/>
    </row>
    <row r="1045" ht="15.75" customHeight="1">
      <c r="A1045" s="186"/>
      <c r="B1045" s="186"/>
      <c r="C1045" s="187"/>
      <c r="D1045" s="301"/>
      <c r="E1045" s="301"/>
      <c r="F1045" s="226"/>
      <c r="G1045" s="169"/>
    </row>
    <row r="1046" ht="15.75" customHeight="1">
      <c r="A1046" s="186"/>
      <c r="B1046" s="186"/>
      <c r="C1046" s="187"/>
      <c r="D1046" s="301"/>
      <c r="E1046" s="301"/>
      <c r="F1046" s="226"/>
      <c r="G1046" s="169"/>
    </row>
    <row r="1047" ht="15.75" customHeight="1">
      <c r="A1047" s="186"/>
      <c r="B1047" s="186"/>
      <c r="C1047" s="187"/>
      <c r="D1047" s="301"/>
      <c r="E1047" s="301"/>
      <c r="F1047" s="226"/>
      <c r="G1047" s="169"/>
    </row>
    <row r="1048" ht="15.75" customHeight="1">
      <c r="A1048" s="186"/>
      <c r="B1048" s="186"/>
      <c r="C1048" s="187"/>
      <c r="D1048" s="301"/>
      <c r="E1048" s="301"/>
      <c r="F1048" s="226"/>
      <c r="G1048" s="169"/>
    </row>
    <row r="1049" ht="15.75" customHeight="1">
      <c r="A1049" s="186"/>
      <c r="B1049" s="186"/>
      <c r="C1049" s="187"/>
      <c r="D1049" s="301"/>
      <c r="E1049" s="301"/>
      <c r="F1049" s="226"/>
      <c r="G1049" s="169"/>
    </row>
    <row r="1050" ht="15.75" customHeight="1">
      <c r="A1050" s="186"/>
      <c r="B1050" s="186"/>
      <c r="C1050" s="187"/>
      <c r="D1050" s="301"/>
      <c r="E1050" s="301"/>
      <c r="F1050" s="226"/>
      <c r="G1050" s="169"/>
    </row>
    <row r="1051" ht="15.75" customHeight="1">
      <c r="A1051" s="186"/>
      <c r="B1051" s="186"/>
      <c r="C1051" s="187"/>
      <c r="D1051" s="301"/>
      <c r="E1051" s="301"/>
      <c r="F1051" s="226"/>
      <c r="G1051" s="169"/>
    </row>
    <row r="1052" ht="15.75" customHeight="1">
      <c r="A1052" s="186"/>
      <c r="B1052" s="186"/>
      <c r="C1052" s="187"/>
      <c r="D1052" s="301"/>
      <c r="E1052" s="301"/>
      <c r="F1052" s="226"/>
      <c r="G1052" s="169"/>
    </row>
    <row r="1053" ht="15.75" customHeight="1">
      <c r="A1053" s="186"/>
      <c r="B1053" s="186"/>
      <c r="C1053" s="187"/>
      <c r="D1053" s="301"/>
      <c r="E1053" s="301"/>
      <c r="F1053" s="226"/>
      <c r="G1053" s="169"/>
    </row>
    <row r="1054" ht="15.75" customHeight="1">
      <c r="A1054" s="186"/>
      <c r="B1054" s="186"/>
      <c r="C1054" s="187"/>
      <c r="D1054" s="301"/>
      <c r="E1054" s="301"/>
      <c r="F1054" s="226"/>
      <c r="G1054" s="169"/>
    </row>
    <row r="1055" ht="15.75" customHeight="1">
      <c r="A1055" s="186"/>
      <c r="B1055" s="186"/>
      <c r="C1055" s="187"/>
      <c r="D1055" s="301"/>
      <c r="E1055" s="301"/>
      <c r="F1055" s="226"/>
      <c r="G1055" s="169"/>
    </row>
    <row r="1056" ht="15.75" customHeight="1">
      <c r="A1056" s="186"/>
      <c r="B1056" s="186"/>
      <c r="C1056" s="187"/>
      <c r="D1056" s="301"/>
      <c r="E1056" s="301"/>
      <c r="F1056" s="226"/>
      <c r="G1056" s="169"/>
    </row>
    <row r="1057" ht="15.75" customHeight="1">
      <c r="A1057" s="186"/>
      <c r="B1057" s="186"/>
      <c r="C1057" s="187"/>
      <c r="D1057" s="301"/>
      <c r="E1057" s="301"/>
      <c r="F1057" s="226"/>
      <c r="G1057" s="169"/>
    </row>
    <row r="1058" ht="15.75" customHeight="1">
      <c r="A1058" s="186"/>
      <c r="B1058" s="186"/>
      <c r="C1058" s="187"/>
      <c r="D1058" s="301"/>
      <c r="E1058" s="301"/>
      <c r="F1058" s="226"/>
      <c r="G1058" s="169"/>
    </row>
    <row r="1059" ht="15.75" customHeight="1">
      <c r="A1059" s="186"/>
      <c r="B1059" s="186"/>
      <c r="C1059" s="187"/>
      <c r="D1059" s="301"/>
      <c r="E1059" s="301"/>
      <c r="F1059" s="226"/>
      <c r="G1059" s="169"/>
    </row>
    <row r="1060" ht="15.75" customHeight="1">
      <c r="A1060" s="186"/>
      <c r="B1060" s="186"/>
      <c r="C1060" s="187"/>
      <c r="D1060" s="301"/>
      <c r="E1060" s="301"/>
      <c r="F1060" s="226"/>
      <c r="G1060" s="169"/>
    </row>
    <row r="1061" ht="15.75" customHeight="1">
      <c r="A1061" s="186"/>
      <c r="B1061" s="186"/>
      <c r="C1061" s="187"/>
      <c r="D1061" s="301"/>
      <c r="E1061" s="301"/>
      <c r="F1061" s="226"/>
      <c r="G1061" s="169"/>
    </row>
    <row r="1062" ht="15.75" customHeight="1">
      <c r="A1062" s="186"/>
      <c r="B1062" s="186"/>
      <c r="C1062" s="187"/>
      <c r="D1062" s="301"/>
      <c r="E1062" s="301"/>
      <c r="F1062" s="226"/>
      <c r="G1062" s="169"/>
    </row>
    <row r="1063" ht="15.75" customHeight="1">
      <c r="A1063" s="186"/>
      <c r="B1063" s="186"/>
      <c r="C1063" s="187"/>
      <c r="D1063" s="301"/>
      <c r="E1063" s="301"/>
      <c r="F1063" s="226"/>
      <c r="G1063" s="169"/>
    </row>
    <row r="1064" ht="15.75" customHeight="1">
      <c r="A1064" s="186"/>
      <c r="B1064" s="186"/>
      <c r="C1064" s="187"/>
      <c r="D1064" s="301"/>
      <c r="E1064" s="301"/>
      <c r="F1064" s="226"/>
      <c r="G1064" s="169"/>
    </row>
    <row r="1065" ht="15.75" customHeight="1">
      <c r="A1065" s="186"/>
      <c r="B1065" s="186"/>
      <c r="C1065" s="187"/>
      <c r="D1065" s="301"/>
      <c r="E1065" s="301"/>
      <c r="F1065" s="226"/>
      <c r="G1065" s="169"/>
    </row>
    <row r="1066" ht="15.75" customHeight="1">
      <c r="A1066" s="186"/>
      <c r="B1066" s="186"/>
      <c r="C1066" s="187"/>
      <c r="D1066" s="301"/>
      <c r="E1066" s="301"/>
      <c r="F1066" s="226"/>
      <c r="G1066" s="169"/>
    </row>
    <row r="1067" ht="15.75" customHeight="1">
      <c r="A1067" s="186"/>
      <c r="B1067" s="186"/>
      <c r="C1067" s="187"/>
      <c r="D1067" s="301"/>
      <c r="E1067" s="301"/>
      <c r="F1067" s="226"/>
      <c r="G1067" s="169"/>
    </row>
    <row r="1068" ht="15.75" customHeight="1">
      <c r="A1068" s="186"/>
      <c r="B1068" s="186"/>
      <c r="C1068" s="187"/>
      <c r="D1068" s="301"/>
      <c r="E1068" s="301"/>
      <c r="F1068" s="226"/>
      <c r="G1068" s="169"/>
    </row>
    <row r="1069" ht="15.75" customHeight="1">
      <c r="A1069" s="186"/>
      <c r="B1069" s="186"/>
      <c r="C1069" s="187"/>
      <c r="D1069" s="301"/>
      <c r="E1069" s="301"/>
      <c r="F1069" s="226"/>
      <c r="G1069" s="169"/>
    </row>
    <row r="1070" ht="15.75" customHeight="1">
      <c r="A1070" s="186"/>
      <c r="B1070" s="186"/>
      <c r="C1070" s="187"/>
      <c r="D1070" s="301"/>
      <c r="E1070" s="301"/>
      <c r="F1070" s="226"/>
      <c r="G1070" s="169"/>
    </row>
    <row r="1071" ht="15.75" customHeight="1">
      <c r="A1071" s="186"/>
      <c r="B1071" s="186"/>
      <c r="C1071" s="187"/>
      <c r="D1071" s="301"/>
      <c r="E1071" s="301"/>
      <c r="F1071" s="226"/>
      <c r="G1071" s="169"/>
    </row>
    <row r="1072" ht="15.75" customHeight="1">
      <c r="A1072" s="186"/>
      <c r="B1072" s="186"/>
      <c r="C1072" s="187"/>
      <c r="D1072" s="301"/>
      <c r="E1072" s="301"/>
      <c r="F1072" s="226"/>
      <c r="G1072" s="169"/>
    </row>
    <row r="1073" ht="15.75" customHeight="1">
      <c r="A1073" s="186"/>
      <c r="B1073" s="186"/>
      <c r="C1073" s="187"/>
      <c r="D1073" s="301"/>
      <c r="E1073" s="301"/>
      <c r="F1073" s="226"/>
      <c r="G1073" s="169"/>
    </row>
    <row r="1074" ht="15.75" customHeight="1">
      <c r="A1074" s="186"/>
      <c r="B1074" s="186"/>
      <c r="C1074" s="187"/>
      <c r="D1074" s="301"/>
      <c r="E1074" s="301"/>
      <c r="F1074" s="226"/>
      <c r="G1074" s="169"/>
    </row>
    <row r="1075" ht="15.75" customHeight="1">
      <c r="A1075" s="186"/>
      <c r="B1075" s="186"/>
      <c r="C1075" s="187"/>
      <c r="D1075" s="301"/>
      <c r="E1075" s="301"/>
      <c r="F1075" s="226"/>
      <c r="G1075" s="169"/>
    </row>
    <row r="1076" ht="15.75" customHeight="1">
      <c r="A1076" s="186"/>
      <c r="B1076" s="186"/>
      <c r="C1076" s="187"/>
      <c r="D1076" s="301"/>
      <c r="E1076" s="301"/>
      <c r="F1076" s="226"/>
      <c r="G1076" s="169"/>
    </row>
    <row r="1077" ht="15.75" customHeight="1">
      <c r="A1077" s="186"/>
      <c r="B1077" s="186"/>
      <c r="C1077" s="187"/>
      <c r="D1077" s="301"/>
      <c r="E1077" s="301"/>
      <c r="F1077" s="226"/>
      <c r="G1077" s="169"/>
    </row>
    <row r="1078" ht="15.75" customHeight="1">
      <c r="A1078" s="186"/>
      <c r="B1078" s="186"/>
      <c r="C1078" s="187"/>
      <c r="D1078" s="301"/>
      <c r="E1078" s="301"/>
      <c r="F1078" s="226"/>
      <c r="G1078" s="169"/>
    </row>
    <row r="1079" ht="15.75" customHeight="1">
      <c r="A1079" s="186"/>
      <c r="B1079" s="186"/>
      <c r="C1079" s="187"/>
      <c r="D1079" s="301"/>
      <c r="E1079" s="301"/>
      <c r="F1079" s="226"/>
      <c r="G1079" s="169"/>
    </row>
    <row r="1080" ht="15.75" customHeight="1">
      <c r="A1080" s="186"/>
      <c r="B1080" s="186"/>
      <c r="C1080" s="187"/>
      <c r="D1080" s="301"/>
      <c r="E1080" s="301"/>
      <c r="F1080" s="226"/>
      <c r="G1080" s="169"/>
    </row>
    <row r="1081" ht="15.75" customHeight="1">
      <c r="A1081" s="186"/>
      <c r="B1081" s="186"/>
      <c r="C1081" s="187"/>
      <c r="D1081" s="301"/>
      <c r="E1081" s="301"/>
      <c r="F1081" s="226"/>
      <c r="G1081" s="169"/>
    </row>
    <row r="1082" ht="15.75" customHeight="1">
      <c r="A1082" s="186"/>
      <c r="B1082" s="186"/>
      <c r="C1082" s="187"/>
      <c r="D1082" s="301"/>
      <c r="E1082" s="301"/>
      <c r="F1082" s="226"/>
      <c r="G1082" s="169"/>
    </row>
    <row r="1083" ht="15.75" customHeight="1">
      <c r="A1083" s="186"/>
      <c r="B1083" s="186"/>
      <c r="C1083" s="187"/>
      <c r="D1083" s="301"/>
      <c r="E1083" s="301"/>
      <c r="F1083" s="226"/>
      <c r="G1083" s="169"/>
    </row>
    <row r="1084" ht="15.75" customHeight="1">
      <c r="A1084" s="186"/>
      <c r="B1084" s="186"/>
      <c r="C1084" s="187"/>
      <c r="D1084" s="301"/>
      <c r="E1084" s="301"/>
      <c r="F1084" s="226"/>
      <c r="G1084" s="169"/>
    </row>
    <row r="1085" ht="15.75" customHeight="1">
      <c r="A1085" s="186"/>
      <c r="B1085" s="186"/>
      <c r="C1085" s="187"/>
      <c r="D1085" s="301"/>
      <c r="E1085" s="301"/>
      <c r="F1085" s="226"/>
      <c r="G1085" s="169"/>
    </row>
    <row r="1086" ht="15.75" customHeight="1">
      <c r="A1086" s="186"/>
      <c r="B1086" s="186"/>
      <c r="C1086" s="187"/>
      <c r="D1086" s="301"/>
      <c r="E1086" s="301"/>
      <c r="F1086" s="226"/>
      <c r="G1086" s="169"/>
    </row>
    <row r="1087" ht="15.75" customHeight="1">
      <c r="A1087" s="186"/>
      <c r="B1087" s="186"/>
      <c r="C1087" s="187"/>
      <c r="D1087" s="301"/>
      <c r="E1087" s="301"/>
      <c r="F1087" s="226"/>
      <c r="G1087" s="169"/>
    </row>
    <row r="1088" ht="15.75" customHeight="1">
      <c r="A1088" s="186"/>
      <c r="B1088" s="186"/>
      <c r="C1088" s="187"/>
      <c r="D1088" s="301"/>
      <c r="E1088" s="301"/>
      <c r="F1088" s="226"/>
      <c r="G1088" s="169"/>
    </row>
    <row r="1089" ht="15.75" customHeight="1">
      <c r="A1089" s="186"/>
      <c r="B1089" s="186"/>
      <c r="C1089" s="187"/>
      <c r="D1089" s="301"/>
      <c r="E1089" s="301"/>
      <c r="F1089" s="226"/>
      <c r="G1089" s="169"/>
    </row>
    <row r="1090" ht="15.75" customHeight="1">
      <c r="A1090" s="186"/>
      <c r="B1090" s="186"/>
      <c r="C1090" s="187"/>
      <c r="D1090" s="301"/>
      <c r="E1090" s="301"/>
      <c r="F1090" s="226"/>
      <c r="G1090" s="169"/>
    </row>
    <row r="1091" ht="15.75" customHeight="1">
      <c r="A1091" s="186"/>
      <c r="B1091" s="186"/>
      <c r="C1091" s="187"/>
      <c r="D1091" s="301"/>
      <c r="E1091" s="301"/>
      <c r="F1091" s="226"/>
      <c r="G1091" s="169"/>
    </row>
    <row r="1092" ht="15.75" customHeight="1">
      <c r="A1092" s="186"/>
      <c r="B1092" s="186"/>
      <c r="C1092" s="187"/>
      <c r="D1092" s="301"/>
      <c r="E1092" s="301"/>
      <c r="F1092" s="226"/>
      <c r="G1092" s="169"/>
    </row>
    <row r="1093" ht="15.75" customHeight="1">
      <c r="A1093" s="186"/>
      <c r="B1093" s="186"/>
      <c r="C1093" s="187"/>
      <c r="D1093" s="301"/>
      <c r="E1093" s="301"/>
      <c r="F1093" s="226"/>
      <c r="G1093" s="169"/>
    </row>
    <row r="1094" ht="15.75" customHeight="1">
      <c r="A1094" s="186"/>
      <c r="B1094" s="186"/>
      <c r="C1094" s="187"/>
      <c r="D1094" s="301"/>
      <c r="E1094" s="301"/>
      <c r="F1094" s="226"/>
      <c r="G1094" s="169"/>
    </row>
    <row r="1095" ht="15.75" customHeight="1">
      <c r="A1095" s="186"/>
      <c r="B1095" s="186"/>
      <c r="C1095" s="187"/>
      <c r="D1095" s="301"/>
      <c r="E1095" s="301"/>
      <c r="F1095" s="226"/>
      <c r="G1095" s="169"/>
    </row>
    <row r="1096" ht="15.75" customHeight="1">
      <c r="A1096" s="186"/>
      <c r="B1096" s="186"/>
      <c r="C1096" s="187"/>
      <c r="D1096" s="301"/>
      <c r="E1096" s="301"/>
      <c r="F1096" s="226"/>
      <c r="G1096" s="169"/>
    </row>
    <row r="1097" ht="15.75" customHeight="1">
      <c r="A1097" s="186"/>
      <c r="B1097" s="186"/>
      <c r="C1097" s="187"/>
      <c r="D1097" s="301"/>
      <c r="E1097" s="301"/>
      <c r="F1097" s="226"/>
      <c r="G1097" s="169"/>
    </row>
    <row r="1098" ht="15.75" customHeight="1">
      <c r="A1098" s="186"/>
      <c r="B1098" s="186"/>
      <c r="C1098" s="187"/>
      <c r="D1098" s="301"/>
      <c r="E1098" s="301"/>
      <c r="F1098" s="226"/>
      <c r="G1098" s="169"/>
    </row>
    <row r="1099" ht="15.75" customHeight="1">
      <c r="A1099" s="186"/>
      <c r="B1099" s="186"/>
      <c r="C1099" s="187"/>
      <c r="D1099" s="301"/>
      <c r="E1099" s="301"/>
      <c r="F1099" s="226"/>
      <c r="G1099" s="169"/>
    </row>
    <row r="1100" ht="15.75" customHeight="1">
      <c r="A1100" s="186"/>
      <c r="B1100" s="186"/>
      <c r="C1100" s="187"/>
      <c r="D1100" s="301"/>
      <c r="E1100" s="301"/>
      <c r="F1100" s="226"/>
      <c r="G1100" s="169"/>
    </row>
    <row r="1101" ht="15.75" customHeight="1">
      <c r="A1101" s="186"/>
      <c r="B1101" s="186"/>
      <c r="C1101" s="187"/>
      <c r="D1101" s="301"/>
      <c r="E1101" s="301"/>
      <c r="F1101" s="226"/>
      <c r="G1101" s="169"/>
    </row>
    <row r="1102" ht="15.75" customHeight="1">
      <c r="A1102" s="186"/>
      <c r="B1102" s="186"/>
      <c r="C1102" s="187"/>
      <c r="D1102" s="301"/>
      <c r="E1102" s="301"/>
      <c r="F1102" s="226"/>
      <c r="G1102" s="169"/>
    </row>
    <row r="1103" ht="15.75" customHeight="1">
      <c r="A1103" s="186"/>
      <c r="B1103" s="186"/>
      <c r="C1103" s="187"/>
      <c r="D1103" s="301"/>
      <c r="E1103" s="301"/>
      <c r="F1103" s="226"/>
      <c r="G1103" s="169"/>
    </row>
    <row r="1104" ht="15.75" customHeight="1">
      <c r="A1104" s="186"/>
      <c r="B1104" s="186"/>
      <c r="C1104" s="187"/>
      <c r="D1104" s="301"/>
      <c r="E1104" s="301"/>
      <c r="F1104" s="226"/>
      <c r="G1104" s="169"/>
    </row>
    <row r="1105" ht="15.75" customHeight="1">
      <c r="A1105" s="186"/>
      <c r="B1105" s="186"/>
      <c r="C1105" s="187"/>
      <c r="D1105" s="301"/>
      <c r="E1105" s="301"/>
      <c r="F1105" s="226"/>
      <c r="G1105" s="169"/>
    </row>
    <row r="1106" ht="15.75" customHeight="1">
      <c r="A1106" s="186"/>
      <c r="B1106" s="186"/>
      <c r="C1106" s="187"/>
      <c r="D1106" s="301"/>
      <c r="E1106" s="301"/>
      <c r="F1106" s="226"/>
      <c r="G1106" s="169"/>
    </row>
    <row r="1107" ht="15.75" customHeight="1">
      <c r="A1107" s="186"/>
      <c r="B1107" s="186"/>
      <c r="C1107" s="187"/>
      <c r="D1107" s="301"/>
      <c r="E1107" s="301"/>
      <c r="F1107" s="226"/>
      <c r="G1107" s="169"/>
    </row>
    <row r="1108" ht="15.75" customHeight="1">
      <c r="A1108" s="186"/>
      <c r="B1108" s="186"/>
      <c r="C1108" s="187"/>
      <c r="D1108" s="301"/>
      <c r="E1108" s="301"/>
      <c r="F1108" s="226"/>
      <c r="G1108" s="169"/>
    </row>
    <row r="1109" ht="15.75" customHeight="1">
      <c r="A1109" s="186"/>
      <c r="B1109" s="186"/>
      <c r="C1109" s="187"/>
      <c r="D1109" s="301"/>
      <c r="E1109" s="301"/>
      <c r="F1109" s="226"/>
      <c r="G1109" s="169"/>
    </row>
    <row r="1110" ht="15.75" customHeight="1">
      <c r="A1110" s="186"/>
      <c r="B1110" s="186"/>
      <c r="C1110" s="187"/>
      <c r="D1110" s="301"/>
      <c r="E1110" s="301"/>
      <c r="F1110" s="226"/>
      <c r="G1110" s="169"/>
    </row>
    <row r="1111" ht="15.75" customHeight="1">
      <c r="A1111" s="186"/>
      <c r="B1111" s="186"/>
      <c r="C1111" s="187"/>
      <c r="D1111" s="301"/>
      <c r="E1111" s="301"/>
      <c r="F1111" s="226"/>
      <c r="G1111" s="169"/>
    </row>
    <row r="1112" ht="15.75" customHeight="1">
      <c r="A1112" s="186"/>
      <c r="B1112" s="186"/>
      <c r="C1112" s="187"/>
      <c r="D1112" s="301"/>
      <c r="E1112" s="301"/>
      <c r="F1112" s="226"/>
      <c r="G1112" s="169"/>
    </row>
    <row r="1113" ht="15.75" customHeight="1">
      <c r="A1113" s="186"/>
      <c r="B1113" s="186"/>
      <c r="C1113" s="187"/>
      <c r="D1113" s="301"/>
      <c r="E1113" s="301"/>
      <c r="F1113" s="226"/>
      <c r="G1113" s="169"/>
    </row>
    <row r="1114" ht="15.75" customHeight="1">
      <c r="A1114" s="186"/>
      <c r="B1114" s="186"/>
      <c r="C1114" s="187"/>
      <c r="D1114" s="301"/>
      <c r="E1114" s="301"/>
      <c r="F1114" s="226"/>
      <c r="G1114" s="169"/>
    </row>
    <row r="1115" ht="15.75" customHeight="1">
      <c r="A1115" s="186"/>
      <c r="B1115" s="186"/>
      <c r="C1115" s="187"/>
      <c r="D1115" s="301"/>
      <c r="E1115" s="301"/>
      <c r="F1115" s="226"/>
      <c r="G1115" s="169"/>
    </row>
    <row r="1116" ht="15.75" customHeight="1">
      <c r="A1116" s="186"/>
      <c r="B1116" s="186"/>
      <c r="C1116" s="187"/>
      <c r="D1116" s="301"/>
      <c r="E1116" s="301"/>
      <c r="F1116" s="226"/>
      <c r="G1116" s="169"/>
    </row>
    <row r="1117" ht="15.75" customHeight="1">
      <c r="A1117" s="186"/>
      <c r="B1117" s="186"/>
      <c r="C1117" s="187"/>
      <c r="D1117" s="301"/>
      <c r="E1117" s="301"/>
      <c r="F1117" s="226"/>
      <c r="G1117" s="169"/>
    </row>
    <row r="1118" ht="15.75" customHeight="1">
      <c r="A1118" s="186"/>
      <c r="B1118" s="186"/>
      <c r="C1118" s="187"/>
      <c r="D1118" s="301"/>
      <c r="E1118" s="301"/>
      <c r="F1118" s="226"/>
      <c r="G1118" s="169"/>
    </row>
    <row r="1119" ht="15.75" customHeight="1">
      <c r="A1119" s="186"/>
      <c r="B1119" s="186"/>
      <c r="C1119" s="187"/>
      <c r="D1119" s="301"/>
      <c r="E1119" s="301"/>
      <c r="F1119" s="226"/>
      <c r="G1119" s="169"/>
    </row>
    <row r="1120" ht="15.75" customHeight="1">
      <c r="A1120" s="186"/>
      <c r="B1120" s="186"/>
      <c r="C1120" s="187"/>
      <c r="D1120" s="301"/>
      <c r="E1120" s="301"/>
      <c r="F1120" s="226"/>
      <c r="G1120" s="169"/>
    </row>
    <row r="1121" ht="15.75" customHeight="1">
      <c r="A1121" s="186"/>
      <c r="B1121" s="186"/>
      <c r="C1121" s="187"/>
      <c r="D1121" s="301"/>
      <c r="E1121" s="301"/>
      <c r="F1121" s="226"/>
      <c r="G1121" s="169"/>
    </row>
    <row r="1122" ht="15.75" customHeight="1">
      <c r="A1122" s="186"/>
      <c r="B1122" s="186"/>
      <c r="C1122" s="187"/>
      <c r="D1122" s="301"/>
      <c r="E1122" s="301"/>
      <c r="F1122" s="226"/>
      <c r="G1122" s="169"/>
    </row>
    <row r="1123" ht="15.75" customHeight="1">
      <c r="A1123" s="186"/>
      <c r="B1123" s="186"/>
      <c r="C1123" s="187"/>
      <c r="D1123" s="301"/>
      <c r="E1123" s="301"/>
      <c r="F1123" s="226"/>
      <c r="G1123" s="169"/>
    </row>
    <row r="1124" ht="15.75" customHeight="1">
      <c r="A1124" s="186"/>
      <c r="B1124" s="186"/>
      <c r="C1124" s="187"/>
      <c r="D1124" s="301"/>
      <c r="E1124" s="301"/>
      <c r="F1124" s="226"/>
      <c r="G1124" s="169"/>
    </row>
    <row r="1125" ht="15.75" customHeight="1">
      <c r="A1125" s="186"/>
      <c r="B1125" s="186"/>
      <c r="C1125" s="187"/>
      <c r="D1125" s="301"/>
      <c r="E1125" s="301"/>
      <c r="F1125" s="226"/>
      <c r="G1125" s="169"/>
    </row>
    <row r="1126" ht="15.75" customHeight="1">
      <c r="A1126" s="186"/>
      <c r="B1126" s="186"/>
      <c r="C1126" s="187"/>
      <c r="D1126" s="301"/>
      <c r="E1126" s="301"/>
      <c r="F1126" s="226"/>
      <c r="G1126" s="169"/>
    </row>
    <row r="1127" ht="15.75" customHeight="1">
      <c r="A1127" s="186"/>
      <c r="B1127" s="186"/>
      <c r="C1127" s="187"/>
      <c r="D1127" s="301"/>
      <c r="E1127" s="301"/>
      <c r="F1127" s="226"/>
      <c r="G1127" s="169"/>
    </row>
    <row r="1128" ht="15.75" customHeight="1">
      <c r="A1128" s="186"/>
      <c r="B1128" s="186"/>
      <c r="C1128" s="187"/>
      <c r="D1128" s="301"/>
      <c r="E1128" s="301"/>
      <c r="F1128" s="226"/>
      <c r="G1128" s="169"/>
    </row>
    <row r="1129" ht="15.75" customHeight="1">
      <c r="A1129" s="186"/>
      <c r="B1129" s="186"/>
      <c r="C1129" s="187"/>
      <c r="D1129" s="301"/>
      <c r="E1129" s="301"/>
      <c r="F1129" s="226"/>
      <c r="G1129" s="169"/>
    </row>
    <row r="1130" ht="15.75" customHeight="1">
      <c r="A1130" s="186"/>
      <c r="B1130" s="186"/>
      <c r="C1130" s="187"/>
      <c r="D1130" s="301"/>
      <c r="E1130" s="301"/>
      <c r="F1130" s="226"/>
      <c r="G1130" s="169"/>
    </row>
    <row r="1131" ht="15.75" customHeight="1">
      <c r="A1131" s="186"/>
      <c r="B1131" s="186"/>
      <c r="C1131" s="187"/>
      <c r="D1131" s="301"/>
      <c r="E1131" s="301"/>
      <c r="F1131" s="226"/>
      <c r="G1131" s="169"/>
    </row>
    <row r="1132" ht="15.75" customHeight="1">
      <c r="A1132" s="186"/>
      <c r="B1132" s="186"/>
      <c r="C1132" s="187"/>
      <c r="D1132" s="301"/>
      <c r="E1132" s="301"/>
      <c r="F1132" s="226"/>
      <c r="G1132" s="169"/>
    </row>
    <row r="1133" ht="15.75" customHeight="1">
      <c r="A1133" s="186"/>
      <c r="B1133" s="186"/>
      <c r="C1133" s="187"/>
      <c r="D1133" s="301"/>
      <c r="E1133" s="301"/>
      <c r="F1133" s="226"/>
      <c r="G1133" s="169"/>
    </row>
    <row r="1134" ht="15.75" customHeight="1">
      <c r="A1134" s="186"/>
      <c r="B1134" s="186"/>
      <c r="C1134" s="187"/>
      <c r="D1134" s="301"/>
      <c r="E1134" s="301"/>
      <c r="F1134" s="226"/>
      <c r="G1134" s="169"/>
    </row>
    <row r="1135" ht="15.75" customHeight="1">
      <c r="A1135" s="186"/>
      <c r="B1135" s="186"/>
      <c r="C1135" s="187"/>
      <c r="D1135" s="301"/>
      <c r="E1135" s="301"/>
      <c r="F1135" s="226"/>
      <c r="G1135" s="169"/>
    </row>
    <row r="1136" ht="15.75" customHeight="1">
      <c r="A1136" s="186"/>
      <c r="B1136" s="186"/>
      <c r="C1136" s="187"/>
      <c r="D1136" s="301"/>
      <c r="E1136" s="301"/>
      <c r="F1136" s="226"/>
      <c r="G1136" s="169"/>
    </row>
    <row r="1137" ht="15.75" customHeight="1">
      <c r="A1137" s="186"/>
      <c r="B1137" s="186"/>
      <c r="C1137" s="187"/>
      <c r="D1137" s="301"/>
      <c r="E1137" s="301"/>
      <c r="F1137" s="226"/>
      <c r="G1137" s="169"/>
    </row>
    <row r="1138" ht="15.75" customHeight="1">
      <c r="A1138" s="186"/>
      <c r="B1138" s="186"/>
      <c r="C1138" s="187"/>
      <c r="D1138" s="301"/>
      <c r="E1138" s="301"/>
      <c r="F1138" s="226"/>
      <c r="G1138" s="169"/>
    </row>
    <row r="1139" ht="15.75" customHeight="1">
      <c r="A1139" s="186"/>
      <c r="B1139" s="186"/>
      <c r="C1139" s="187"/>
      <c r="D1139" s="301"/>
      <c r="E1139" s="301"/>
      <c r="F1139" s="226"/>
      <c r="G1139" s="169"/>
    </row>
    <row r="1140" ht="15.75" customHeight="1">
      <c r="A1140" s="186"/>
      <c r="B1140" s="186"/>
      <c r="C1140" s="187"/>
      <c r="D1140" s="301"/>
      <c r="E1140" s="301"/>
      <c r="F1140" s="226"/>
      <c r="G1140" s="169"/>
    </row>
    <row r="1141" ht="15.75" customHeight="1">
      <c r="A1141" s="186"/>
      <c r="B1141" s="186"/>
      <c r="C1141" s="187"/>
      <c r="D1141" s="301"/>
      <c r="E1141" s="301"/>
      <c r="F1141" s="226"/>
      <c r="G1141" s="169"/>
    </row>
    <row r="1142" ht="15.75" customHeight="1">
      <c r="A1142" s="186"/>
      <c r="B1142" s="186"/>
      <c r="C1142" s="187"/>
      <c r="D1142" s="301"/>
      <c r="E1142" s="301"/>
      <c r="F1142" s="226"/>
      <c r="G1142" s="169"/>
    </row>
    <row r="1143" ht="15.75" customHeight="1">
      <c r="A1143" s="186"/>
      <c r="B1143" s="186"/>
      <c r="C1143" s="187"/>
      <c r="D1143" s="301"/>
      <c r="E1143" s="301"/>
      <c r="F1143" s="226"/>
      <c r="G1143" s="169"/>
    </row>
    <row r="1144" ht="15.75" customHeight="1">
      <c r="A1144" s="186"/>
      <c r="B1144" s="186"/>
      <c r="C1144" s="187"/>
      <c r="D1144" s="301"/>
      <c r="E1144" s="301"/>
      <c r="F1144" s="226"/>
      <c r="G1144" s="169"/>
    </row>
    <row r="1145" ht="15.75" customHeight="1">
      <c r="A1145" s="186"/>
      <c r="B1145" s="186"/>
      <c r="C1145" s="187"/>
      <c r="D1145" s="301"/>
      <c r="E1145" s="301"/>
      <c r="F1145" s="226"/>
      <c r="G1145" s="169"/>
    </row>
    <row r="1146" ht="15.75" customHeight="1">
      <c r="A1146" s="186"/>
      <c r="B1146" s="186"/>
      <c r="C1146" s="187"/>
      <c r="D1146" s="301"/>
      <c r="E1146" s="301"/>
      <c r="F1146" s="226"/>
      <c r="G1146" s="169"/>
    </row>
    <row r="1147" ht="15.75" customHeight="1">
      <c r="A1147" s="186"/>
      <c r="B1147" s="186"/>
      <c r="C1147" s="187"/>
      <c r="D1147" s="301"/>
      <c r="E1147" s="301"/>
      <c r="F1147" s="226"/>
      <c r="G1147" s="169"/>
    </row>
    <row r="1148" ht="15.75" customHeight="1">
      <c r="A1148" s="186"/>
      <c r="B1148" s="186"/>
      <c r="C1148" s="187"/>
      <c r="D1148" s="301"/>
      <c r="E1148" s="301"/>
      <c r="F1148" s="226"/>
      <c r="G1148" s="169"/>
    </row>
    <row r="1149" ht="15.75" customHeight="1">
      <c r="A1149" s="186"/>
      <c r="B1149" s="186"/>
      <c r="C1149" s="187"/>
      <c r="D1149" s="301"/>
      <c r="E1149" s="301"/>
      <c r="F1149" s="226"/>
      <c r="G1149" s="169"/>
    </row>
    <row r="1150" ht="15.75" customHeight="1">
      <c r="A1150" s="186"/>
      <c r="B1150" s="186"/>
      <c r="C1150" s="187"/>
      <c r="D1150" s="301"/>
      <c r="E1150" s="301"/>
      <c r="F1150" s="226"/>
      <c r="G1150" s="169"/>
    </row>
    <row r="1151" ht="15.75" customHeight="1">
      <c r="A1151" s="186"/>
      <c r="B1151" s="186"/>
      <c r="C1151" s="187"/>
      <c r="D1151" s="301"/>
      <c r="E1151" s="301"/>
      <c r="F1151" s="226"/>
      <c r="G1151" s="169"/>
    </row>
    <row r="1152" ht="15.75" customHeight="1">
      <c r="A1152" s="186"/>
      <c r="B1152" s="186"/>
      <c r="C1152" s="187"/>
      <c r="D1152" s="301"/>
      <c r="E1152" s="301"/>
      <c r="F1152" s="226"/>
      <c r="G1152" s="169"/>
    </row>
    <row r="1153" ht="15.75" customHeight="1">
      <c r="A1153" s="186"/>
      <c r="B1153" s="186"/>
      <c r="C1153" s="187"/>
      <c r="D1153" s="301"/>
      <c r="E1153" s="301"/>
      <c r="F1153" s="226"/>
      <c r="G1153" s="169"/>
    </row>
    <row r="1154" ht="15.75" customHeight="1">
      <c r="A1154" s="186"/>
      <c r="B1154" s="186"/>
      <c r="C1154" s="187"/>
      <c r="D1154" s="301"/>
      <c r="E1154" s="301"/>
      <c r="F1154" s="226"/>
      <c r="G1154" s="169"/>
    </row>
    <row r="1155" ht="15.75" customHeight="1">
      <c r="A1155" s="186"/>
      <c r="B1155" s="186"/>
      <c r="C1155" s="187"/>
      <c r="D1155" s="301"/>
      <c r="E1155" s="301"/>
      <c r="F1155" s="226"/>
      <c r="G1155" s="169"/>
    </row>
    <row r="1156" ht="15.75" customHeight="1">
      <c r="A1156" s="186"/>
      <c r="B1156" s="186"/>
      <c r="C1156" s="187"/>
      <c r="D1156" s="301"/>
      <c r="E1156" s="301"/>
      <c r="F1156" s="226"/>
      <c r="G1156" s="169"/>
    </row>
    <row r="1157" ht="15.75" customHeight="1">
      <c r="A1157" s="186"/>
      <c r="B1157" s="186"/>
      <c r="C1157" s="187"/>
      <c r="D1157" s="301"/>
      <c r="E1157" s="301"/>
      <c r="F1157" s="226"/>
      <c r="G1157" s="169"/>
    </row>
    <row r="1158" ht="15.75" customHeight="1">
      <c r="A1158" s="186"/>
      <c r="B1158" s="186"/>
      <c r="C1158" s="187"/>
      <c r="D1158" s="301"/>
      <c r="E1158" s="301"/>
      <c r="F1158" s="226"/>
      <c r="G1158" s="169"/>
    </row>
    <row r="1159" ht="15.75" customHeight="1">
      <c r="A1159" s="186"/>
      <c r="B1159" s="186"/>
      <c r="C1159" s="187"/>
      <c r="D1159" s="301"/>
      <c r="E1159" s="301"/>
      <c r="F1159" s="226"/>
      <c r="G1159" s="169"/>
    </row>
    <row r="1160" ht="15.75" customHeight="1">
      <c r="A1160" s="186"/>
      <c r="B1160" s="186"/>
      <c r="C1160" s="187"/>
      <c r="D1160" s="301"/>
      <c r="E1160" s="301"/>
      <c r="F1160" s="226"/>
      <c r="G1160" s="169"/>
    </row>
    <row r="1161" ht="15.75" customHeight="1">
      <c r="A1161" s="186"/>
      <c r="B1161" s="186"/>
      <c r="C1161" s="187"/>
      <c r="D1161" s="301"/>
      <c r="E1161" s="301"/>
      <c r="F1161" s="226"/>
      <c r="G1161" s="169"/>
    </row>
    <row r="1162" ht="15.75" customHeight="1">
      <c r="A1162" s="186"/>
      <c r="B1162" s="186"/>
      <c r="C1162" s="187"/>
      <c r="D1162" s="301"/>
      <c r="E1162" s="301"/>
      <c r="F1162" s="226"/>
      <c r="G1162" s="169"/>
    </row>
    <row r="1163" ht="15.75" customHeight="1">
      <c r="A1163" s="186"/>
      <c r="B1163" s="186"/>
      <c r="C1163" s="187"/>
      <c r="D1163" s="301"/>
      <c r="E1163" s="301"/>
      <c r="F1163" s="226"/>
      <c r="G1163" s="169"/>
    </row>
    <row r="1164" ht="15.75" customHeight="1">
      <c r="A1164" s="186"/>
      <c r="B1164" s="186"/>
      <c r="C1164" s="187"/>
      <c r="D1164" s="301"/>
      <c r="E1164" s="301"/>
      <c r="F1164" s="226"/>
      <c r="G1164" s="169"/>
    </row>
    <row r="1165" ht="15.75" customHeight="1">
      <c r="A1165" s="186"/>
      <c r="B1165" s="186"/>
      <c r="C1165" s="187"/>
      <c r="D1165" s="301"/>
      <c r="E1165" s="301"/>
      <c r="F1165" s="226"/>
      <c r="G1165" s="169"/>
    </row>
    <row r="1166" ht="15.75" customHeight="1">
      <c r="A1166" s="186"/>
      <c r="B1166" s="186"/>
      <c r="C1166" s="187"/>
      <c r="D1166" s="301"/>
      <c r="E1166" s="301"/>
      <c r="F1166" s="226"/>
      <c r="G1166" s="169"/>
    </row>
    <row r="1167" ht="15.75" customHeight="1">
      <c r="A1167" s="186"/>
      <c r="B1167" s="186"/>
      <c r="C1167" s="187"/>
      <c r="D1167" s="301"/>
      <c r="E1167" s="301"/>
      <c r="F1167" s="226"/>
      <c r="G1167" s="169"/>
    </row>
    <row r="1168" ht="15.75" customHeight="1">
      <c r="A1168" s="186"/>
      <c r="B1168" s="186"/>
      <c r="C1168" s="187"/>
      <c r="D1168" s="301"/>
      <c r="E1168" s="301"/>
      <c r="F1168" s="226"/>
      <c r="G1168" s="169"/>
    </row>
    <row r="1169" ht="15.75" customHeight="1">
      <c r="A1169" s="186"/>
      <c r="B1169" s="186"/>
      <c r="C1169" s="187"/>
      <c r="D1169" s="301"/>
      <c r="E1169" s="301"/>
      <c r="F1169" s="226"/>
      <c r="G1169" s="169"/>
    </row>
    <row r="1170" ht="15.75" customHeight="1">
      <c r="A1170" s="186"/>
      <c r="B1170" s="186"/>
      <c r="C1170" s="187"/>
      <c r="D1170" s="301"/>
      <c r="E1170" s="301"/>
      <c r="F1170" s="226"/>
      <c r="G1170" s="169"/>
    </row>
    <row r="1171" ht="15.75" customHeight="1">
      <c r="A1171" s="186"/>
      <c r="B1171" s="186"/>
      <c r="C1171" s="187"/>
      <c r="D1171" s="301"/>
      <c r="E1171" s="301"/>
      <c r="F1171" s="226"/>
      <c r="G1171" s="169"/>
    </row>
    <row r="1172" ht="15.75" customHeight="1">
      <c r="A1172" s="186"/>
      <c r="B1172" s="186"/>
      <c r="C1172" s="187"/>
      <c r="D1172" s="301"/>
      <c r="E1172" s="301"/>
      <c r="F1172" s="226"/>
      <c r="G1172" s="169"/>
    </row>
    <row r="1173" ht="15.75" customHeight="1">
      <c r="A1173" s="186"/>
      <c r="B1173" s="186"/>
      <c r="C1173" s="187"/>
      <c r="D1173" s="301"/>
      <c r="E1173" s="301"/>
      <c r="F1173" s="226"/>
      <c r="G1173" s="169"/>
    </row>
    <row r="1174" ht="15.75" customHeight="1">
      <c r="A1174" s="186"/>
      <c r="B1174" s="186"/>
      <c r="C1174" s="187"/>
      <c r="D1174" s="301"/>
      <c r="E1174" s="301"/>
      <c r="F1174" s="226"/>
      <c r="G1174" s="169"/>
    </row>
    <row r="1175" ht="15.75" customHeight="1">
      <c r="A1175" s="186"/>
      <c r="B1175" s="186"/>
      <c r="C1175" s="187"/>
      <c r="D1175" s="301"/>
      <c r="E1175" s="301"/>
      <c r="F1175" s="226"/>
      <c r="G1175" s="169"/>
    </row>
    <row r="1176" ht="15.75" customHeight="1">
      <c r="A1176" s="186"/>
      <c r="B1176" s="186"/>
      <c r="C1176" s="187"/>
      <c r="D1176" s="301"/>
      <c r="E1176" s="301"/>
      <c r="F1176" s="226"/>
      <c r="G1176" s="169"/>
    </row>
    <row r="1177" ht="15.75" customHeight="1">
      <c r="A1177" s="186"/>
      <c r="B1177" s="186"/>
      <c r="C1177" s="187"/>
      <c r="D1177" s="301"/>
      <c r="E1177" s="301"/>
      <c r="F1177" s="226"/>
      <c r="G1177" s="169"/>
    </row>
    <row r="1178" ht="15.75" customHeight="1">
      <c r="A1178" s="186"/>
      <c r="B1178" s="186"/>
      <c r="C1178" s="187"/>
      <c r="D1178" s="301"/>
      <c r="E1178" s="301"/>
      <c r="F1178" s="226"/>
      <c r="G1178" s="169"/>
    </row>
    <row r="1179" ht="15.75" customHeight="1">
      <c r="A1179" s="186"/>
      <c r="B1179" s="186"/>
      <c r="C1179" s="187"/>
      <c r="D1179" s="301"/>
      <c r="E1179" s="301"/>
      <c r="F1179" s="226"/>
      <c r="G1179" s="169"/>
    </row>
    <row r="1180" ht="15.75" customHeight="1">
      <c r="A1180" s="186"/>
      <c r="B1180" s="186"/>
      <c r="C1180" s="187"/>
      <c r="D1180" s="301"/>
      <c r="E1180" s="301"/>
      <c r="F1180" s="226"/>
      <c r="G1180" s="169"/>
    </row>
    <row r="1181" ht="15.75" customHeight="1">
      <c r="A1181" s="186"/>
      <c r="B1181" s="186"/>
      <c r="C1181" s="187"/>
      <c r="D1181" s="301"/>
      <c r="E1181" s="301"/>
      <c r="F1181" s="226"/>
      <c r="G1181" s="169"/>
    </row>
    <row r="1182" ht="15.75" customHeight="1">
      <c r="A1182" s="186"/>
      <c r="B1182" s="186"/>
      <c r="C1182" s="187"/>
      <c r="D1182" s="301"/>
      <c r="E1182" s="301"/>
      <c r="F1182" s="226"/>
      <c r="G1182" s="169"/>
    </row>
    <row r="1183" ht="15.75" customHeight="1">
      <c r="A1183" s="186"/>
      <c r="B1183" s="186"/>
      <c r="C1183" s="187"/>
      <c r="D1183" s="301"/>
      <c r="E1183" s="301"/>
      <c r="F1183" s="226"/>
      <c r="G1183" s="169"/>
    </row>
    <row r="1184" ht="15.75" customHeight="1">
      <c r="A1184" s="186"/>
      <c r="B1184" s="186"/>
      <c r="C1184" s="187"/>
      <c r="D1184" s="301"/>
      <c r="E1184" s="301"/>
      <c r="F1184" s="226"/>
      <c r="G1184" s="169"/>
    </row>
    <row r="1185" ht="15.75" customHeight="1">
      <c r="A1185" s="186"/>
      <c r="B1185" s="186"/>
      <c r="C1185" s="187"/>
      <c r="D1185" s="301"/>
      <c r="E1185" s="301"/>
      <c r="F1185" s="226"/>
      <c r="G1185" s="169"/>
    </row>
    <row r="1186" ht="15.75" customHeight="1">
      <c r="A1186" s="186"/>
      <c r="B1186" s="186"/>
      <c r="C1186" s="187"/>
      <c r="D1186" s="301"/>
      <c r="E1186" s="301"/>
      <c r="F1186" s="226"/>
      <c r="G1186" s="169"/>
    </row>
    <row r="1187" ht="15.75" customHeight="1">
      <c r="A1187" s="186"/>
      <c r="B1187" s="186"/>
      <c r="C1187" s="187"/>
      <c r="D1187" s="301"/>
      <c r="E1187" s="301"/>
      <c r="F1187" s="226"/>
      <c r="G1187" s="169"/>
    </row>
    <row r="1188" ht="15.75" customHeight="1">
      <c r="A1188" s="186"/>
      <c r="B1188" s="186"/>
      <c r="C1188" s="187"/>
      <c r="D1188" s="301"/>
      <c r="E1188" s="301"/>
      <c r="F1188" s="226"/>
      <c r="G1188" s="169"/>
    </row>
    <row r="1189" ht="15.75" customHeight="1">
      <c r="A1189" s="186"/>
      <c r="B1189" s="186"/>
      <c r="C1189" s="187"/>
      <c r="D1189" s="301"/>
      <c r="E1189" s="301"/>
      <c r="F1189" s="226"/>
      <c r="G1189" s="169"/>
    </row>
    <row r="1190" ht="15.75" customHeight="1">
      <c r="A1190" s="186"/>
      <c r="B1190" s="186"/>
      <c r="C1190" s="187"/>
      <c r="D1190" s="301"/>
      <c r="E1190" s="301"/>
      <c r="F1190" s="226"/>
      <c r="G1190" s="169"/>
    </row>
    <row r="1191" ht="15.75" customHeight="1">
      <c r="A1191" s="186"/>
      <c r="B1191" s="186"/>
      <c r="C1191" s="187"/>
      <c r="D1191" s="301"/>
      <c r="E1191" s="301"/>
      <c r="F1191" s="226"/>
      <c r="G1191" s="169"/>
    </row>
    <row r="1192" ht="15.75" customHeight="1">
      <c r="A1192" s="186"/>
      <c r="B1192" s="186"/>
      <c r="C1192" s="187"/>
      <c r="D1192" s="301"/>
      <c r="E1192" s="301"/>
      <c r="F1192" s="226"/>
      <c r="G1192" s="169"/>
    </row>
    <row r="1193" ht="15.75" customHeight="1">
      <c r="A1193" s="186"/>
      <c r="B1193" s="186"/>
      <c r="C1193" s="187"/>
      <c r="D1193" s="301"/>
      <c r="E1193" s="301"/>
      <c r="F1193" s="226"/>
      <c r="G1193" s="169"/>
    </row>
    <row r="1194" ht="15.75" customHeight="1">
      <c r="A1194" s="186"/>
      <c r="B1194" s="186"/>
      <c r="C1194" s="187"/>
      <c r="D1194" s="301"/>
      <c r="E1194" s="301"/>
      <c r="F1194" s="226"/>
      <c r="G1194" s="169"/>
    </row>
    <row r="1195" ht="15.75" customHeight="1">
      <c r="A1195" s="186"/>
      <c r="B1195" s="186"/>
      <c r="C1195" s="187"/>
      <c r="D1195" s="301"/>
      <c r="E1195" s="301"/>
      <c r="F1195" s="226"/>
      <c r="G1195" s="169"/>
    </row>
    <row r="1196" ht="15.75" customHeight="1">
      <c r="A1196" s="186"/>
      <c r="B1196" s="186"/>
      <c r="C1196" s="187"/>
      <c r="D1196" s="301"/>
      <c r="E1196" s="301"/>
      <c r="F1196" s="226"/>
      <c r="G1196" s="169"/>
    </row>
    <row r="1197" ht="15.75" customHeight="1">
      <c r="A1197" s="186"/>
      <c r="B1197" s="186"/>
      <c r="C1197" s="187"/>
      <c r="D1197" s="301"/>
      <c r="E1197" s="301"/>
      <c r="F1197" s="226"/>
      <c r="G1197" s="169"/>
    </row>
    <row r="1198" ht="15.75" customHeight="1">
      <c r="A1198" s="186"/>
      <c r="B1198" s="186"/>
      <c r="C1198" s="187"/>
      <c r="D1198" s="301"/>
      <c r="E1198" s="301"/>
      <c r="F1198" s="226"/>
      <c r="G1198" s="169"/>
    </row>
    <row r="1199" ht="15.75" customHeight="1">
      <c r="A1199" s="186"/>
      <c r="B1199" s="186"/>
      <c r="C1199" s="187"/>
      <c r="D1199" s="301"/>
      <c r="E1199" s="301"/>
      <c r="F1199" s="226"/>
      <c r="G1199" s="169"/>
    </row>
    <row r="1200" ht="15.75" customHeight="1">
      <c r="A1200" s="186"/>
      <c r="B1200" s="186"/>
      <c r="C1200" s="187"/>
      <c r="D1200" s="301"/>
      <c r="E1200" s="301"/>
      <c r="F1200" s="226"/>
      <c r="G1200" s="169"/>
    </row>
    <row r="1201" ht="15.75" customHeight="1">
      <c r="A1201" s="186"/>
      <c r="B1201" s="186"/>
      <c r="C1201" s="187"/>
      <c r="D1201" s="301"/>
      <c r="E1201" s="301"/>
      <c r="F1201" s="226"/>
      <c r="G1201" s="169"/>
    </row>
    <row r="1202" ht="15.75" customHeight="1">
      <c r="A1202" s="186"/>
      <c r="B1202" s="186"/>
      <c r="C1202" s="187"/>
      <c r="D1202" s="301"/>
      <c r="E1202" s="301"/>
      <c r="F1202" s="226"/>
      <c r="G1202" s="169"/>
    </row>
    <row r="1203" ht="15.75" customHeight="1">
      <c r="A1203" s="186"/>
      <c r="B1203" s="186"/>
      <c r="C1203" s="187"/>
      <c r="D1203" s="301"/>
      <c r="E1203" s="301"/>
      <c r="F1203" s="226"/>
      <c r="G1203" s="169"/>
    </row>
    <row r="1204" ht="15.75" customHeight="1">
      <c r="A1204" s="186"/>
      <c r="B1204" s="186"/>
      <c r="C1204" s="187"/>
      <c r="D1204" s="301"/>
      <c r="E1204" s="301"/>
      <c r="F1204" s="226"/>
      <c r="G1204" s="169"/>
    </row>
    <row r="1205" ht="15.75" customHeight="1">
      <c r="A1205" s="186"/>
      <c r="B1205" s="186"/>
      <c r="C1205" s="187"/>
      <c r="D1205" s="301"/>
      <c r="E1205" s="301"/>
      <c r="F1205" s="226"/>
      <c r="G1205" s="169"/>
    </row>
    <row r="1206" ht="15.75" customHeight="1">
      <c r="A1206" s="186"/>
      <c r="B1206" s="186"/>
      <c r="C1206" s="187"/>
      <c r="D1206" s="301"/>
      <c r="E1206" s="301"/>
      <c r="F1206" s="226"/>
      <c r="G1206" s="169"/>
    </row>
    <row r="1207" ht="15.75" customHeight="1">
      <c r="A1207" s="186"/>
      <c r="B1207" s="186"/>
      <c r="C1207" s="187"/>
      <c r="D1207" s="301"/>
      <c r="E1207" s="301"/>
      <c r="F1207" s="226"/>
      <c r="G1207" s="169"/>
    </row>
    <row r="1208" ht="15.75" customHeight="1">
      <c r="A1208" s="186"/>
      <c r="B1208" s="186"/>
      <c r="C1208" s="187"/>
      <c r="D1208" s="301"/>
      <c r="E1208" s="301"/>
      <c r="F1208" s="226"/>
      <c r="G1208" s="169"/>
    </row>
    <row r="1209" ht="15.75" customHeight="1">
      <c r="A1209" s="186"/>
      <c r="B1209" s="186"/>
      <c r="C1209" s="187"/>
      <c r="D1209" s="301"/>
      <c r="E1209" s="301"/>
      <c r="F1209" s="226"/>
      <c r="G1209" s="169"/>
    </row>
    <row r="1210" ht="15.75" customHeight="1">
      <c r="A1210" s="186"/>
      <c r="B1210" s="186"/>
      <c r="C1210" s="187"/>
      <c r="D1210" s="301"/>
      <c r="E1210" s="301"/>
      <c r="F1210" s="226"/>
      <c r="G1210" s="169"/>
    </row>
    <row r="1211" ht="15.75" customHeight="1">
      <c r="A1211" s="186"/>
      <c r="B1211" s="186"/>
      <c r="C1211" s="187"/>
      <c r="D1211" s="301"/>
      <c r="E1211" s="301"/>
      <c r="F1211" s="226"/>
      <c r="G1211" s="169"/>
    </row>
    <row r="1212" ht="15.75" customHeight="1">
      <c r="A1212" s="186"/>
      <c r="B1212" s="186"/>
      <c r="C1212" s="187"/>
      <c r="D1212" s="301"/>
      <c r="E1212" s="301"/>
      <c r="F1212" s="226"/>
      <c r="G1212" s="169"/>
    </row>
    <row r="1213" ht="15.75" customHeight="1">
      <c r="A1213" s="186"/>
      <c r="B1213" s="186"/>
      <c r="C1213" s="187"/>
      <c r="D1213" s="301"/>
      <c r="E1213" s="301"/>
      <c r="F1213" s="226"/>
      <c r="G1213" s="169"/>
    </row>
    <row r="1214" ht="15.75" customHeight="1">
      <c r="A1214" s="186"/>
      <c r="B1214" s="186"/>
      <c r="C1214" s="187"/>
      <c r="D1214" s="301"/>
      <c r="E1214" s="301"/>
      <c r="F1214" s="226"/>
      <c r="G1214" s="169"/>
    </row>
    <row r="1215" ht="15.75" customHeight="1">
      <c r="A1215" s="186"/>
      <c r="B1215" s="186"/>
      <c r="C1215" s="187"/>
      <c r="D1215" s="301"/>
      <c r="E1215" s="301"/>
      <c r="F1215" s="226"/>
      <c r="G1215" s="169"/>
    </row>
    <row r="1216" ht="15.75" customHeight="1">
      <c r="A1216" s="186"/>
      <c r="B1216" s="186"/>
      <c r="C1216" s="187"/>
      <c r="D1216" s="301"/>
      <c r="E1216" s="301"/>
      <c r="F1216" s="226"/>
      <c r="G1216" s="169"/>
    </row>
    <row r="1217" ht="15.75" customHeight="1">
      <c r="A1217" s="186"/>
      <c r="B1217" s="186"/>
      <c r="C1217" s="187"/>
      <c r="D1217" s="301"/>
      <c r="E1217" s="301"/>
      <c r="F1217" s="226"/>
      <c r="G1217" s="169"/>
    </row>
    <row r="1218" ht="15.75" customHeight="1">
      <c r="A1218" s="186"/>
      <c r="B1218" s="186"/>
      <c r="C1218" s="187"/>
      <c r="D1218" s="301"/>
      <c r="E1218" s="301"/>
      <c r="F1218" s="226"/>
      <c r="G1218" s="169"/>
    </row>
    <row r="1219" ht="15.75" customHeight="1">
      <c r="A1219" s="186"/>
      <c r="B1219" s="186"/>
      <c r="C1219" s="187"/>
      <c r="D1219" s="301"/>
      <c r="E1219" s="301"/>
      <c r="F1219" s="226"/>
      <c r="G1219" s="169"/>
    </row>
    <row r="1220" ht="15.75" customHeight="1">
      <c r="A1220" s="186"/>
      <c r="B1220" s="186"/>
      <c r="C1220" s="187"/>
      <c r="D1220" s="301"/>
      <c r="E1220" s="301"/>
      <c r="F1220" s="226"/>
      <c r="G1220" s="169"/>
    </row>
    <row r="1221" ht="15.75" customHeight="1">
      <c r="A1221" s="186"/>
      <c r="B1221" s="186"/>
      <c r="C1221" s="187"/>
      <c r="D1221" s="301"/>
      <c r="E1221" s="301"/>
      <c r="F1221" s="226"/>
      <c r="G1221" s="169"/>
    </row>
    <row r="1222" ht="15.75" customHeight="1">
      <c r="A1222" s="186"/>
      <c r="B1222" s="186"/>
      <c r="C1222" s="187"/>
      <c r="D1222" s="301"/>
      <c r="E1222" s="301"/>
      <c r="F1222" s="226"/>
      <c r="G1222" s="169"/>
    </row>
    <row r="1223" ht="15.75" customHeight="1">
      <c r="A1223" s="186"/>
      <c r="B1223" s="186"/>
      <c r="C1223" s="187"/>
      <c r="D1223" s="301"/>
      <c r="E1223" s="301"/>
      <c r="F1223" s="226"/>
      <c r="G1223" s="169"/>
    </row>
    <row r="1224" ht="15.75" customHeight="1">
      <c r="A1224" s="186"/>
      <c r="B1224" s="186"/>
      <c r="C1224" s="187"/>
      <c r="D1224" s="301"/>
      <c r="E1224" s="301"/>
      <c r="F1224" s="226"/>
      <c r="G1224" s="169"/>
    </row>
    <row r="1225" ht="15.75" customHeight="1">
      <c r="A1225" s="186"/>
      <c r="B1225" s="186"/>
      <c r="C1225" s="187"/>
      <c r="D1225" s="301"/>
      <c r="E1225" s="301"/>
      <c r="F1225" s="226"/>
      <c r="G1225" s="169"/>
    </row>
    <row r="1226" ht="15.75" customHeight="1">
      <c r="A1226" s="186"/>
      <c r="B1226" s="186"/>
      <c r="C1226" s="187"/>
      <c r="D1226" s="301"/>
      <c r="E1226" s="301"/>
      <c r="F1226" s="226"/>
      <c r="G1226" s="169"/>
    </row>
    <row r="1227" ht="15.75" customHeight="1">
      <c r="A1227" s="186"/>
      <c r="B1227" s="186"/>
      <c r="C1227" s="187"/>
      <c r="D1227" s="301"/>
      <c r="E1227" s="301"/>
      <c r="F1227" s="226"/>
      <c r="G1227" s="169"/>
    </row>
    <row r="1228" ht="15.75" customHeight="1">
      <c r="A1228" s="186"/>
      <c r="B1228" s="186"/>
      <c r="C1228" s="187"/>
      <c r="D1228" s="301"/>
      <c r="E1228" s="301"/>
      <c r="F1228" s="226"/>
      <c r="G1228" s="169"/>
    </row>
    <row r="1229" ht="15.75" customHeight="1">
      <c r="A1229" s="186"/>
      <c r="B1229" s="186"/>
      <c r="C1229" s="187"/>
      <c r="D1229" s="301"/>
      <c r="E1229" s="301"/>
      <c r="F1229" s="226"/>
      <c r="G1229" s="169"/>
    </row>
    <row r="1230" ht="15.75" customHeight="1">
      <c r="A1230" s="186"/>
      <c r="B1230" s="186"/>
      <c r="C1230" s="187"/>
      <c r="D1230" s="301"/>
      <c r="E1230" s="301"/>
      <c r="F1230" s="226"/>
      <c r="G1230" s="169"/>
    </row>
    <row r="1231" ht="15.75" customHeight="1">
      <c r="A1231" s="186"/>
      <c r="B1231" s="186"/>
      <c r="C1231" s="187"/>
      <c r="D1231" s="301"/>
      <c r="E1231" s="301"/>
      <c r="F1231" s="226"/>
      <c r="G1231" s="169"/>
    </row>
    <row r="1232" ht="15.75" customHeight="1">
      <c r="A1232" s="186"/>
      <c r="B1232" s="186"/>
      <c r="C1232" s="187"/>
      <c r="D1232" s="301"/>
      <c r="E1232" s="301"/>
      <c r="F1232" s="226"/>
      <c r="G1232" s="169"/>
    </row>
    <row r="1233" ht="15.75" customHeight="1">
      <c r="A1233" s="186"/>
      <c r="B1233" s="186"/>
      <c r="C1233" s="187"/>
      <c r="D1233" s="301"/>
      <c r="E1233" s="301"/>
      <c r="F1233" s="226"/>
      <c r="G1233" s="169"/>
    </row>
    <row r="1234" ht="15.75" customHeight="1">
      <c r="A1234" s="186"/>
      <c r="B1234" s="186"/>
      <c r="C1234" s="187"/>
      <c r="D1234" s="301"/>
      <c r="E1234" s="301"/>
      <c r="F1234" s="226"/>
      <c r="G1234" s="169"/>
    </row>
    <row r="1235" ht="15.75" customHeight="1">
      <c r="A1235" s="186"/>
      <c r="B1235" s="186"/>
      <c r="C1235" s="187"/>
      <c r="D1235" s="301"/>
      <c r="E1235" s="301"/>
      <c r="F1235" s="226"/>
      <c r="G1235" s="169"/>
    </row>
    <row r="1236" ht="15.75" customHeight="1">
      <c r="A1236" s="186"/>
      <c r="B1236" s="186"/>
      <c r="C1236" s="187"/>
      <c r="D1236" s="301"/>
      <c r="E1236" s="301"/>
      <c r="F1236" s="226"/>
      <c r="G1236" s="169"/>
    </row>
    <row r="1237" ht="15.75" customHeight="1">
      <c r="A1237" s="186"/>
      <c r="B1237" s="186"/>
      <c r="C1237" s="187"/>
      <c r="D1237" s="301"/>
      <c r="E1237" s="301"/>
      <c r="F1237" s="226"/>
      <c r="G1237" s="169"/>
    </row>
    <row r="1238" ht="15.75" customHeight="1">
      <c r="A1238" s="186"/>
      <c r="B1238" s="186"/>
      <c r="C1238" s="187"/>
      <c r="D1238" s="301"/>
      <c r="E1238" s="301"/>
      <c r="F1238" s="226"/>
      <c r="G1238" s="169"/>
    </row>
    <row r="1239" ht="15.75" customHeight="1">
      <c r="A1239" s="186"/>
      <c r="B1239" s="186"/>
      <c r="C1239" s="187"/>
      <c r="D1239" s="301"/>
      <c r="E1239" s="301"/>
      <c r="F1239" s="226"/>
      <c r="G1239" s="169"/>
    </row>
    <row r="1240" ht="15.75" customHeight="1">
      <c r="A1240" s="186"/>
      <c r="B1240" s="186"/>
      <c r="C1240" s="187"/>
      <c r="D1240" s="301"/>
      <c r="E1240" s="301"/>
      <c r="F1240" s="226"/>
      <c r="G1240" s="169"/>
    </row>
    <row r="1241" ht="15.75" customHeight="1">
      <c r="A1241" s="186"/>
      <c r="B1241" s="186"/>
      <c r="C1241" s="187"/>
      <c r="D1241" s="301"/>
      <c r="E1241" s="301"/>
      <c r="F1241" s="226"/>
      <c r="G1241" s="169"/>
    </row>
    <row r="1242" ht="15.75" customHeight="1">
      <c r="A1242" s="186"/>
      <c r="B1242" s="186"/>
      <c r="C1242" s="187"/>
      <c r="D1242" s="301"/>
      <c r="E1242" s="301"/>
      <c r="F1242" s="226"/>
      <c r="G1242" s="169"/>
    </row>
    <row r="1243" ht="15.75" customHeight="1">
      <c r="A1243" s="186"/>
      <c r="B1243" s="186"/>
      <c r="C1243" s="187"/>
      <c r="D1243" s="301"/>
      <c r="E1243" s="301"/>
      <c r="F1243" s="226"/>
      <c r="G1243" s="169"/>
    </row>
    <row r="1244" ht="15.75" customHeight="1">
      <c r="A1244" s="186"/>
      <c r="B1244" s="186"/>
      <c r="C1244" s="187"/>
      <c r="D1244" s="301"/>
      <c r="E1244" s="301"/>
      <c r="F1244" s="226"/>
      <c r="G1244" s="169"/>
    </row>
    <row r="1245" ht="15.75" customHeight="1">
      <c r="A1245" s="186"/>
      <c r="B1245" s="186"/>
      <c r="C1245" s="187"/>
      <c r="D1245" s="301"/>
      <c r="E1245" s="301"/>
      <c r="F1245" s="226"/>
      <c r="G1245" s="169"/>
    </row>
    <row r="1246" ht="15.75" customHeight="1">
      <c r="A1246" s="186"/>
      <c r="B1246" s="186"/>
      <c r="C1246" s="187"/>
      <c r="D1246" s="301"/>
      <c r="E1246" s="301"/>
      <c r="F1246" s="226"/>
      <c r="G1246" s="169"/>
    </row>
    <row r="1247" ht="15.75" customHeight="1">
      <c r="A1247" s="186"/>
      <c r="B1247" s="186"/>
      <c r="C1247" s="187"/>
      <c r="D1247" s="301"/>
      <c r="E1247" s="301"/>
      <c r="F1247" s="226"/>
      <c r="G1247" s="169"/>
    </row>
    <row r="1248" ht="15.75" customHeight="1">
      <c r="A1248" s="186"/>
      <c r="B1248" s="186"/>
      <c r="C1248" s="187"/>
      <c r="D1248" s="301"/>
      <c r="E1248" s="301"/>
      <c r="F1248" s="226"/>
      <c r="G1248" s="169"/>
    </row>
    <row r="1249" ht="15.75" customHeight="1">
      <c r="A1249" s="186"/>
      <c r="B1249" s="186"/>
      <c r="C1249" s="187"/>
      <c r="D1249" s="301"/>
      <c r="E1249" s="301"/>
      <c r="F1249" s="226"/>
      <c r="G1249" s="169"/>
    </row>
    <row r="1250" ht="15.75" customHeight="1">
      <c r="A1250" s="186"/>
      <c r="B1250" s="186"/>
      <c r="C1250" s="187"/>
      <c r="D1250" s="301"/>
      <c r="E1250" s="301"/>
      <c r="F1250" s="226"/>
      <c r="G1250" s="169"/>
    </row>
    <row r="1251" ht="15.75" customHeight="1">
      <c r="A1251" s="186"/>
      <c r="B1251" s="186"/>
      <c r="C1251" s="187"/>
      <c r="D1251" s="301"/>
      <c r="E1251" s="301"/>
      <c r="F1251" s="226"/>
      <c r="G1251" s="169"/>
    </row>
    <row r="1252" ht="15.75" customHeight="1">
      <c r="A1252" s="186"/>
      <c r="B1252" s="186"/>
      <c r="C1252" s="187"/>
      <c r="D1252" s="301"/>
      <c r="E1252" s="301"/>
      <c r="F1252" s="226"/>
      <c r="G1252" s="169"/>
    </row>
    <row r="1253" ht="15.75" customHeight="1">
      <c r="A1253" s="186"/>
      <c r="B1253" s="186"/>
      <c r="C1253" s="187"/>
      <c r="D1253" s="301"/>
      <c r="E1253" s="301"/>
      <c r="F1253" s="226"/>
      <c r="G1253" s="169"/>
    </row>
    <row r="1254" ht="15.75" customHeight="1">
      <c r="A1254" s="186"/>
      <c r="B1254" s="186"/>
      <c r="C1254" s="187"/>
      <c r="D1254" s="301"/>
      <c r="E1254" s="301"/>
      <c r="F1254" s="226"/>
      <c r="G1254" s="169"/>
    </row>
    <row r="1255" ht="15.75" customHeight="1">
      <c r="A1255" s="186"/>
      <c r="B1255" s="186"/>
      <c r="C1255" s="187"/>
      <c r="D1255" s="301"/>
      <c r="E1255" s="301"/>
      <c r="F1255" s="226"/>
      <c r="G1255" s="169"/>
    </row>
    <row r="1256" ht="15.75" customHeight="1">
      <c r="A1256" s="186"/>
      <c r="B1256" s="186"/>
      <c r="C1256" s="187"/>
      <c r="D1256" s="301"/>
      <c r="E1256" s="301"/>
      <c r="F1256" s="226"/>
      <c r="G1256" s="169"/>
    </row>
    <row r="1257" ht="15.75" customHeight="1">
      <c r="A1257" s="186"/>
      <c r="B1257" s="186"/>
      <c r="C1257" s="187"/>
      <c r="D1257" s="188"/>
      <c r="E1257" s="184"/>
      <c r="F1257" s="185"/>
      <c r="G1257" s="118"/>
    </row>
  </sheetData>
  <conditionalFormatting sqref="D4:G6 D8:G9 D11:G12 D14:G14 D16:G17 D20:G21 D23:G1257">
    <cfRule type="containsText" dxfId="1" priority="1" operator="containsText" text="Mayor a 5">
      <formula>NOT(ISERROR(SEARCH(("Mayor a 5"),(D4))))</formula>
    </cfRule>
  </conditionalFormatting>
  <conditionalFormatting sqref="D4:G6 D8:G9 D11:G12 D14:G14 D16:G17 D20:G21 D23:G1257">
    <cfRule type="containsText" dxfId="2" priority="2" operator="containsText" text="Menor a 5">
      <formula>NOT(ISERROR(SEARCH(("Menor a 5"),(D4))))</formula>
    </cfRule>
  </conditionalFormatting>
  <conditionalFormatting sqref="D4:G6 D8:G9 D11:G12 D14:G14 D16:G17 D20:G21 D23:G1257">
    <cfRule type="containsText" dxfId="3" priority="3" operator="containsText" text="Sin stock">
      <formula>NOT(ISERROR(SEARCH(("Sin stock"),(D4))))</formula>
    </cfRule>
  </conditionalFormatting>
  <hyperlinks>
    <hyperlink r:id="rId2" ref="B4"/>
    <hyperlink r:id="rId3" ref="B5"/>
    <hyperlink r:id="rId4" ref="B6"/>
    <hyperlink r:id="rId5" ref="B8"/>
    <hyperlink r:id="rId6" ref="B9"/>
    <hyperlink r:id="rId7" ref="B11"/>
    <hyperlink r:id="rId8" ref="B12"/>
    <hyperlink r:id="rId9" ref="B14"/>
    <hyperlink r:id="rId10" ref="B16"/>
    <hyperlink r:id="rId11" ref="B17"/>
    <hyperlink r:id="rId12" ref="B20"/>
    <hyperlink r:id="rId13" ref="B21"/>
    <hyperlink r:id="rId14" ref="B23"/>
    <hyperlink r:id="rId15" ref="B24"/>
  </hyperlinks>
  <printOptions/>
  <pageMargins bottom="0.75" footer="0.0" header="0.0" left="0.7" right="0.7" top="0.75"/>
  <pageSetup orientation="landscape"/>
  <drawing r:id="rId16"/>
  <legacy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6D6"/>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25"/>
    <col customWidth="1" min="2" max="2" width="21.5"/>
    <col customWidth="1" min="3" max="3" width="73.0"/>
    <col customWidth="1" min="4" max="4" width="15.75"/>
    <col customWidth="1" min="5" max="5" width="14.88"/>
    <col customWidth="1" min="6" max="19" width="9.25"/>
  </cols>
  <sheetData>
    <row r="1">
      <c r="A1" s="8" t="s">
        <v>23</v>
      </c>
      <c r="B1" s="8" t="s">
        <v>24</v>
      </c>
      <c r="C1" s="8" t="s">
        <v>25</v>
      </c>
      <c r="D1" s="26" t="s">
        <v>26</v>
      </c>
      <c r="E1" s="26" t="s">
        <v>27</v>
      </c>
      <c r="F1" s="8" t="s">
        <v>28</v>
      </c>
      <c r="G1" s="8" t="s">
        <v>29</v>
      </c>
      <c r="H1" s="27"/>
      <c r="I1" s="27"/>
      <c r="J1" s="27"/>
      <c r="K1" s="27"/>
      <c r="L1" s="27"/>
      <c r="M1" s="27"/>
      <c r="N1" s="27"/>
      <c r="O1" s="27"/>
      <c r="P1" s="27"/>
      <c r="Q1" s="27"/>
      <c r="R1" s="27"/>
      <c r="S1" s="27"/>
    </row>
    <row r="2" ht="15.75" customHeight="1">
      <c r="A2" s="28" t="s">
        <v>30</v>
      </c>
      <c r="C2" s="29"/>
      <c r="D2" s="30"/>
      <c r="E2" s="31"/>
      <c r="F2" s="29"/>
      <c r="G2" s="29"/>
      <c r="H2" s="32"/>
      <c r="I2" s="27"/>
      <c r="J2" s="32"/>
      <c r="K2" s="27"/>
      <c r="L2" s="32"/>
      <c r="M2" s="27"/>
      <c r="N2" s="27"/>
      <c r="O2" s="27"/>
      <c r="P2" s="27"/>
      <c r="Q2" s="27"/>
      <c r="R2" s="27"/>
      <c r="S2" s="27"/>
    </row>
    <row r="3" ht="15.75" customHeight="1">
      <c r="A3" s="33" t="s">
        <v>31</v>
      </c>
      <c r="B3" s="33" t="s">
        <v>32</v>
      </c>
      <c r="C3" s="34" t="s">
        <v>33</v>
      </c>
      <c r="D3" s="35" t="s">
        <v>34</v>
      </c>
      <c r="E3" s="36" t="s">
        <v>35</v>
      </c>
      <c r="F3" s="37">
        <v>0.21</v>
      </c>
      <c r="G3" s="38" t="str">
        <f>IFERROR(VLOOKUP("HD206",STOCK!$B$1:$Q$5632,3,FALSE),"SIN STOCK")</f>
        <v>Menor a 5</v>
      </c>
      <c r="H3" s="27"/>
      <c r="I3" s="27"/>
      <c r="J3" s="39"/>
      <c r="K3" s="39"/>
      <c r="L3" s="39"/>
      <c r="M3" s="27"/>
      <c r="N3" s="27"/>
      <c r="O3" s="27"/>
      <c r="P3" s="27"/>
      <c r="Q3" s="27"/>
      <c r="R3" s="27"/>
      <c r="S3" s="27"/>
    </row>
    <row r="4" ht="15.75" customHeight="1">
      <c r="A4" s="40" t="s">
        <v>31</v>
      </c>
      <c r="B4" s="41" t="s">
        <v>36</v>
      </c>
      <c r="C4" s="42" t="s">
        <v>33</v>
      </c>
      <c r="D4" s="43" t="s">
        <v>37</v>
      </c>
      <c r="E4" s="43" t="s">
        <v>38</v>
      </c>
      <c r="F4" s="44">
        <v>0.21</v>
      </c>
      <c r="G4" s="38" t="str">
        <f>IFERROR(VLOOKUP("HD 200 PRO",STOCK!$B$1:$Q$5632,3,FALSE),"SIN STOCK")</f>
        <v>Mayor a 5</v>
      </c>
      <c r="H4" s="27"/>
      <c r="I4" s="27"/>
      <c r="J4" s="39"/>
      <c r="K4" s="39"/>
      <c r="L4" s="39"/>
      <c r="M4" s="27"/>
      <c r="N4" s="27"/>
      <c r="O4" s="27"/>
      <c r="P4" s="27"/>
      <c r="Q4" s="27"/>
      <c r="R4" s="27"/>
      <c r="S4" s="27"/>
    </row>
    <row r="5" ht="15.75" customHeight="1">
      <c r="A5" s="33" t="s">
        <v>31</v>
      </c>
      <c r="B5" s="45" t="s">
        <v>39</v>
      </c>
      <c r="C5" s="34" t="s">
        <v>40</v>
      </c>
      <c r="D5" s="36" t="s">
        <v>41</v>
      </c>
      <c r="E5" s="36" t="s">
        <v>42</v>
      </c>
      <c r="F5" s="37">
        <v>0.21</v>
      </c>
      <c r="G5" s="38" t="str">
        <f>IFERROR(VLOOKUP("HD 25",STOCK!B2:Q3677,3,FALSE),"SIN STOCK")</f>
        <v>Mayor a 5</v>
      </c>
      <c r="H5" s="27"/>
      <c r="I5" s="27"/>
      <c r="J5" s="39"/>
      <c r="K5" s="39"/>
      <c r="L5" s="39"/>
      <c r="M5" s="27"/>
      <c r="N5" s="27"/>
      <c r="O5" s="27"/>
      <c r="P5" s="27"/>
      <c r="Q5" s="27"/>
      <c r="R5" s="27"/>
      <c r="S5" s="27"/>
    </row>
    <row r="6" ht="15.75" customHeight="1">
      <c r="A6" s="40" t="s">
        <v>31</v>
      </c>
      <c r="B6" s="41" t="s">
        <v>43</v>
      </c>
      <c r="C6" s="42" t="s">
        <v>44</v>
      </c>
      <c r="D6" s="43" t="s">
        <v>45</v>
      </c>
      <c r="E6" s="43" t="s">
        <v>46</v>
      </c>
      <c r="F6" s="44">
        <v>0.21</v>
      </c>
      <c r="G6" s="46" t="str">
        <f>IFERROR(VLOOKUP("HD 25 LIGHT",STOCK!B2:Q3677,3,FALSE),"SIN STOCK")</f>
        <v>SIN STOCK</v>
      </c>
      <c r="H6" s="27"/>
      <c r="I6" s="27"/>
      <c r="J6" s="39"/>
      <c r="K6" s="39"/>
      <c r="L6" s="39"/>
      <c r="M6" s="27"/>
      <c r="N6" s="27"/>
      <c r="O6" s="27"/>
      <c r="P6" s="27"/>
      <c r="Q6" s="27"/>
      <c r="R6" s="27"/>
      <c r="S6" s="27"/>
    </row>
    <row r="7" ht="15.75" customHeight="1">
      <c r="A7" s="33" t="s">
        <v>31</v>
      </c>
      <c r="B7" s="45" t="s">
        <v>47</v>
      </c>
      <c r="C7" s="34" t="s">
        <v>48</v>
      </c>
      <c r="D7" s="36" t="s">
        <v>49</v>
      </c>
      <c r="E7" s="36" t="s">
        <v>50</v>
      </c>
      <c r="F7" s="37">
        <v>0.21</v>
      </c>
      <c r="G7" s="38" t="str">
        <f>IFERROR(VLOOKUP("HD 25 PLUS",STOCK!B2:Q3677,3,FALSE),"SIN STOCK")</f>
        <v>Mayor a 5</v>
      </c>
      <c r="H7" s="47"/>
      <c r="I7" s="27"/>
      <c r="J7" s="39"/>
      <c r="K7" s="39"/>
      <c r="L7" s="39"/>
      <c r="M7" s="27"/>
      <c r="N7" s="27"/>
      <c r="O7" s="27"/>
      <c r="P7" s="27"/>
      <c r="Q7" s="27"/>
      <c r="R7" s="27"/>
      <c r="S7" s="27"/>
    </row>
    <row r="8" ht="15.75" customHeight="1">
      <c r="A8" s="40" t="s">
        <v>31</v>
      </c>
      <c r="B8" s="41" t="s">
        <v>51</v>
      </c>
      <c r="C8" s="48" t="s">
        <v>52</v>
      </c>
      <c r="D8" s="43" t="s">
        <v>45</v>
      </c>
      <c r="E8" s="43" t="s">
        <v>46</v>
      </c>
      <c r="F8" s="44">
        <v>0.21</v>
      </c>
      <c r="G8" s="38" t="str">
        <f>IFERROR(VLOOKUP("HD 280 PRO",STOCK!B2:Q3677,3,FALSE),"SIN STOCK")</f>
        <v>Mayor a 5</v>
      </c>
      <c r="H8" s="27"/>
      <c r="I8" s="27"/>
      <c r="J8" s="39"/>
      <c r="K8" s="39"/>
      <c r="L8" s="39"/>
      <c r="M8" s="27"/>
      <c r="N8" s="27"/>
      <c r="O8" s="27"/>
      <c r="P8" s="27"/>
      <c r="Q8" s="27"/>
      <c r="R8" s="27"/>
      <c r="S8" s="27"/>
    </row>
    <row r="9" ht="15.75" customHeight="1">
      <c r="A9" s="33" t="s">
        <v>31</v>
      </c>
      <c r="B9" s="45" t="s">
        <v>53</v>
      </c>
      <c r="C9" s="34" t="s">
        <v>54</v>
      </c>
      <c r="D9" s="36" t="s">
        <v>49</v>
      </c>
      <c r="E9" s="36" t="s">
        <v>50</v>
      </c>
      <c r="F9" s="37">
        <v>0.21</v>
      </c>
      <c r="G9" s="38" t="str">
        <f>IFERROR(VLOOKUP("HD 300 pro",STOCK!B2:Q3677,3,FALSE),"SIN STOCK")</f>
        <v>SIN STOCK</v>
      </c>
      <c r="H9" s="27"/>
      <c r="I9" s="27"/>
      <c r="J9" s="39"/>
      <c r="K9" s="39"/>
      <c r="L9" s="39"/>
      <c r="M9" s="27"/>
      <c r="N9" s="27"/>
      <c r="O9" s="27"/>
      <c r="P9" s="27"/>
      <c r="Q9" s="27"/>
      <c r="R9" s="27"/>
      <c r="S9" s="27"/>
    </row>
    <row r="10" ht="15.75" customHeight="1">
      <c r="A10" s="40" t="s">
        <v>31</v>
      </c>
      <c r="B10" s="41" t="s">
        <v>55</v>
      </c>
      <c r="C10" s="42" t="s">
        <v>56</v>
      </c>
      <c r="D10" s="43" t="s">
        <v>57</v>
      </c>
      <c r="E10" s="43" t="s">
        <v>58</v>
      </c>
      <c r="F10" s="44">
        <v>0.21</v>
      </c>
      <c r="G10" s="38" t="str">
        <f>IFERROR(VLOOKUP("HD 400 PRO",STOCK!B2:Q3677,3,FALSE),"SIN STOCK")</f>
        <v>Mayor a 5</v>
      </c>
      <c r="H10" s="27"/>
      <c r="I10" s="27"/>
      <c r="J10" s="39"/>
      <c r="K10" s="39"/>
      <c r="L10" s="39"/>
      <c r="M10" s="27"/>
      <c r="N10" s="27"/>
      <c r="O10" s="27"/>
      <c r="P10" s="27"/>
      <c r="Q10" s="27"/>
      <c r="R10" s="27"/>
      <c r="S10" s="27"/>
    </row>
    <row r="11" ht="15.75" hidden="1" customHeight="1">
      <c r="A11" s="33" t="s">
        <v>31</v>
      </c>
      <c r="B11" s="45" t="s">
        <v>59</v>
      </c>
      <c r="C11" s="34" t="s">
        <v>60</v>
      </c>
      <c r="D11" s="36" t="s">
        <v>45</v>
      </c>
      <c r="E11" s="36" t="s">
        <v>46</v>
      </c>
      <c r="F11" s="37">
        <v>0.21</v>
      </c>
      <c r="G11" s="38" t="str">
        <f>IFERROR(VLOOKUP("IE 100 PRO BLACK",STOCK!B2:Q3677,3,FALSE),"SIN STOCK")</f>
        <v>Mayor a 5</v>
      </c>
      <c r="H11" s="27"/>
      <c r="I11" s="27"/>
      <c r="J11" s="39"/>
      <c r="K11" s="39"/>
      <c r="L11" s="39"/>
      <c r="M11" s="27"/>
      <c r="N11" s="27"/>
      <c r="O11" s="27"/>
      <c r="P11" s="27"/>
      <c r="Q11" s="27"/>
      <c r="R11" s="27"/>
      <c r="S11" s="27"/>
    </row>
    <row r="12" ht="15.75" hidden="1" customHeight="1">
      <c r="A12" s="40" t="s">
        <v>31</v>
      </c>
      <c r="B12" s="41" t="s">
        <v>61</v>
      </c>
      <c r="C12" s="42" t="s">
        <v>62</v>
      </c>
      <c r="D12" s="43" t="s">
        <v>45</v>
      </c>
      <c r="E12" s="43" t="s">
        <v>46</v>
      </c>
      <c r="F12" s="44">
        <v>0.21</v>
      </c>
      <c r="G12" s="49" t="str">
        <f>IFERROR(VLOOKUP("IE 100 PRO CLEAR",STOCK!B2:Q3677,3,FALSE),"SIN STOCK")</f>
        <v>Menor a 5</v>
      </c>
      <c r="H12" s="27"/>
      <c r="I12" s="27"/>
      <c r="J12" s="39"/>
      <c r="K12" s="39"/>
      <c r="L12" s="39"/>
      <c r="M12" s="27"/>
      <c r="N12" s="27"/>
      <c r="O12" s="27"/>
      <c r="P12" s="27"/>
      <c r="Q12" s="27"/>
      <c r="R12" s="27"/>
      <c r="S12" s="27"/>
    </row>
    <row r="13" ht="15.75" hidden="1" customHeight="1">
      <c r="A13" s="33" t="s">
        <v>31</v>
      </c>
      <c r="B13" s="45" t="s">
        <v>63</v>
      </c>
      <c r="C13" s="34" t="s">
        <v>64</v>
      </c>
      <c r="D13" s="36" t="s">
        <v>45</v>
      </c>
      <c r="E13" s="36" t="s">
        <v>46</v>
      </c>
      <c r="F13" s="37">
        <v>0.21</v>
      </c>
      <c r="G13" s="46" t="str">
        <f>IFERROR(VLOOKUP("IE 100 PRO RED",STOCK!B2:Q3677,3,FALSE),"SIN STOCK")</f>
        <v>SIN STOCK</v>
      </c>
      <c r="H13" s="27"/>
      <c r="I13" s="27"/>
      <c r="J13" s="39"/>
      <c r="K13" s="39"/>
      <c r="L13" s="39"/>
      <c r="M13" s="27"/>
      <c r="N13" s="27"/>
      <c r="O13" s="27"/>
      <c r="P13" s="27"/>
      <c r="Q13" s="27"/>
      <c r="R13" s="27"/>
      <c r="S13" s="27"/>
    </row>
    <row r="14" ht="15.75" customHeight="1">
      <c r="A14" s="40" t="s">
        <v>31</v>
      </c>
      <c r="B14" s="40" t="s">
        <v>65</v>
      </c>
      <c r="C14" s="42" t="s">
        <v>66</v>
      </c>
      <c r="D14" s="43" t="s">
        <v>41</v>
      </c>
      <c r="E14" s="43" t="s">
        <v>42</v>
      </c>
      <c r="F14" s="44">
        <v>0.21</v>
      </c>
      <c r="G14" s="38" t="str">
        <f>IFERROR(VLOOKUP("IE 100 PRO WIRELESS BLACK",STOCK!B2:Q3677,3,FALSE),"SIN STOCK")</f>
        <v>Mayor a 5</v>
      </c>
      <c r="H14" s="27"/>
      <c r="I14" s="27"/>
      <c r="J14" s="39"/>
      <c r="K14" s="39"/>
      <c r="L14" s="39"/>
      <c r="M14" s="27"/>
      <c r="N14" s="27"/>
      <c r="O14" s="27"/>
      <c r="P14" s="27"/>
      <c r="Q14" s="27"/>
      <c r="R14" s="27"/>
      <c r="S14" s="27"/>
    </row>
    <row r="15" ht="15.75" customHeight="1">
      <c r="A15" s="33" t="s">
        <v>31</v>
      </c>
      <c r="B15" s="33" t="s">
        <v>67</v>
      </c>
      <c r="C15" s="34" t="s">
        <v>68</v>
      </c>
      <c r="D15" s="36" t="s">
        <v>41</v>
      </c>
      <c r="E15" s="36" t="s">
        <v>42</v>
      </c>
      <c r="F15" s="37">
        <v>0.21</v>
      </c>
      <c r="G15" s="38" t="str">
        <f>IFERROR(VLOOKUP("IE 100 PRO WIRELESS CLEAR",STOCK!B2:Q3677,3,FALSE),"SIN STOCK")</f>
        <v>Mayor a 5</v>
      </c>
      <c r="H15" s="27"/>
      <c r="I15" s="27"/>
      <c r="J15" s="39"/>
      <c r="K15" s="39"/>
      <c r="L15" s="39"/>
      <c r="M15" s="27"/>
      <c r="N15" s="27"/>
      <c r="O15" s="27"/>
      <c r="P15" s="27"/>
      <c r="Q15" s="27"/>
      <c r="R15" s="27"/>
      <c r="S15" s="27"/>
    </row>
    <row r="16" ht="15.75" customHeight="1">
      <c r="A16" s="40" t="s">
        <v>31</v>
      </c>
      <c r="B16" s="40" t="s">
        <v>69</v>
      </c>
      <c r="C16" s="42" t="s">
        <v>70</v>
      </c>
      <c r="D16" s="43" t="s">
        <v>41</v>
      </c>
      <c r="E16" s="43" t="s">
        <v>42</v>
      </c>
      <c r="F16" s="44">
        <v>0.21</v>
      </c>
      <c r="G16" s="46" t="str">
        <f>IFERROR(VLOOKUP("IE 100 PRO WIRELESS RED",STOCK!B2:Q3677,3,FALSE),"SIN STOCK")</f>
        <v>SIN STOCK</v>
      </c>
      <c r="H16" s="27"/>
      <c r="I16" s="27"/>
      <c r="J16" s="39"/>
      <c r="K16" s="39"/>
      <c r="L16" s="39"/>
      <c r="M16" s="27"/>
      <c r="N16" s="27"/>
      <c r="O16" s="27"/>
      <c r="P16" s="27"/>
      <c r="Q16" s="27"/>
      <c r="R16" s="27"/>
      <c r="S16" s="27"/>
    </row>
    <row r="17" ht="15.75" customHeight="1">
      <c r="A17" s="33" t="s">
        <v>31</v>
      </c>
      <c r="B17" s="45" t="s">
        <v>71</v>
      </c>
      <c r="C17" s="34" t="s">
        <v>72</v>
      </c>
      <c r="D17" s="36" t="s">
        <v>73</v>
      </c>
      <c r="E17" s="36" t="s">
        <v>74</v>
      </c>
      <c r="F17" s="37">
        <v>0.21</v>
      </c>
      <c r="G17" s="38" t="str">
        <f>IFERROR(VLOOKUP("IE 4",STOCK!B2:Q3677,3,FALSE),"SIN STOCK")</f>
        <v>Mayor a 5</v>
      </c>
      <c r="H17" s="27"/>
      <c r="I17" s="27"/>
      <c r="J17" s="39"/>
      <c r="K17" s="39"/>
      <c r="L17" s="39"/>
      <c r="M17" s="27"/>
      <c r="N17" s="27"/>
      <c r="O17" s="27"/>
      <c r="P17" s="27"/>
      <c r="Q17" s="27"/>
      <c r="R17" s="27"/>
      <c r="S17" s="27"/>
    </row>
    <row r="18" ht="15.75" customHeight="1">
      <c r="A18" s="40" t="s">
        <v>31</v>
      </c>
      <c r="B18" s="50" t="s">
        <v>75</v>
      </c>
      <c r="C18" s="42" t="s">
        <v>76</v>
      </c>
      <c r="D18" s="43" t="s">
        <v>77</v>
      </c>
      <c r="E18" s="43" t="s">
        <v>78</v>
      </c>
      <c r="F18" s="44">
        <v>0.21</v>
      </c>
      <c r="G18" s="46" t="str">
        <f>IFERROR(VLOOKUP("IE 400 PRO CLEAR",STOCK!B2:Q3677,3,FALSE),"SIN STOCK")</f>
        <v>SIN STOCK</v>
      </c>
      <c r="H18" s="27"/>
      <c r="I18" s="27"/>
      <c r="J18" s="39"/>
      <c r="K18" s="39"/>
      <c r="L18" s="39"/>
      <c r="M18" s="27"/>
      <c r="N18" s="27"/>
      <c r="O18" s="27"/>
      <c r="P18" s="27"/>
      <c r="Q18" s="27"/>
      <c r="R18" s="27"/>
      <c r="S18" s="27"/>
    </row>
    <row r="19" ht="15.75" customHeight="1">
      <c r="A19" s="33" t="s">
        <v>31</v>
      </c>
      <c r="B19" s="45" t="s">
        <v>79</v>
      </c>
      <c r="C19" s="34" t="s">
        <v>80</v>
      </c>
      <c r="D19" s="36" t="s">
        <v>77</v>
      </c>
      <c r="E19" s="36" t="s">
        <v>78</v>
      </c>
      <c r="F19" s="37">
        <v>0.21</v>
      </c>
      <c r="G19" s="46" t="str">
        <f>IFERROR(VLOOKUP("IE 400 PRO SMOKY BLACK",STOCK!B2:Q3677,3,FALSE),"SIN STOCK")</f>
        <v>SIN STOCK</v>
      </c>
      <c r="H19" s="27"/>
      <c r="I19" s="27"/>
      <c r="J19" s="39"/>
      <c r="K19" s="39"/>
      <c r="L19" s="39"/>
      <c r="M19" s="27"/>
      <c r="N19" s="27"/>
      <c r="O19" s="27"/>
      <c r="P19" s="27"/>
      <c r="Q19" s="27"/>
      <c r="R19" s="27"/>
      <c r="S19" s="27"/>
    </row>
    <row r="20">
      <c r="A20" s="40" t="s">
        <v>31</v>
      </c>
      <c r="B20" s="41" t="s">
        <v>81</v>
      </c>
      <c r="C20" s="42" t="s">
        <v>82</v>
      </c>
      <c r="D20" s="43" t="s">
        <v>83</v>
      </c>
      <c r="E20" s="43" t="s">
        <v>84</v>
      </c>
      <c r="F20" s="44">
        <v>0.21</v>
      </c>
      <c r="G20" s="46" t="str">
        <f>IFERROR(VLOOKUP("IE 500 PRO CLEAR",STOCK!B4:Q3679,3,FALSE),"SIN STOCK")</f>
        <v>Menor a 5</v>
      </c>
      <c r="H20" s="27"/>
      <c r="I20" s="27"/>
      <c r="J20" s="39"/>
      <c r="K20" s="39"/>
      <c r="L20" s="39"/>
      <c r="M20" s="27"/>
      <c r="N20" s="27"/>
      <c r="O20" s="27"/>
      <c r="P20" s="27"/>
      <c r="Q20" s="27"/>
      <c r="R20" s="27"/>
      <c r="S20" s="27"/>
    </row>
    <row r="21" ht="15.75" customHeight="1">
      <c r="A21" s="28" t="s">
        <v>85</v>
      </c>
      <c r="C21" s="29"/>
      <c r="D21" s="51"/>
      <c r="E21" s="31"/>
      <c r="F21" s="29"/>
      <c r="G21" s="29"/>
      <c r="H21" s="27"/>
      <c r="I21" s="27"/>
      <c r="J21" s="27"/>
      <c r="K21" s="27"/>
      <c r="L21" s="27"/>
      <c r="M21" s="27"/>
      <c r="N21" s="27"/>
      <c r="O21" s="27"/>
      <c r="P21" s="27"/>
      <c r="Q21" s="27"/>
      <c r="R21" s="27"/>
      <c r="S21" s="27"/>
    </row>
    <row r="22" ht="15.75" customHeight="1">
      <c r="A22" s="40" t="s">
        <v>31</v>
      </c>
      <c r="B22" s="41" t="s">
        <v>86</v>
      </c>
      <c r="C22" s="42" t="s">
        <v>87</v>
      </c>
      <c r="D22" s="43" t="s">
        <v>88</v>
      </c>
      <c r="E22" s="43" t="s">
        <v>89</v>
      </c>
      <c r="F22" s="44">
        <v>0.21</v>
      </c>
      <c r="G22" s="38" t="str">
        <f>IFERROR(VLOOKUP("XS 1",STOCK!B2:Q3677,3,FALSE),"SIN STOCK")</f>
        <v>Mayor a 5</v>
      </c>
      <c r="H22" s="27"/>
      <c r="I22" s="27"/>
      <c r="J22" s="27"/>
      <c r="K22" s="27"/>
      <c r="L22" s="27"/>
      <c r="M22" s="27"/>
      <c r="N22" s="27"/>
      <c r="O22" s="27"/>
      <c r="P22" s="27"/>
      <c r="Q22" s="27"/>
      <c r="R22" s="27"/>
      <c r="S22" s="27"/>
    </row>
    <row r="23" ht="15.75" customHeight="1">
      <c r="A23" s="33" t="s">
        <v>31</v>
      </c>
      <c r="B23" s="45" t="s">
        <v>90</v>
      </c>
      <c r="C23" s="34" t="s">
        <v>91</v>
      </c>
      <c r="D23" s="36" t="s">
        <v>92</v>
      </c>
      <c r="E23" s="36" t="s">
        <v>93</v>
      </c>
      <c r="F23" s="37">
        <v>0.21</v>
      </c>
      <c r="G23" s="38" t="str">
        <f>IFERROR(VLOOKUP("E 600 SERIES DRUM PACK III",STOCK!B2:Q3677,3,FALSE),"SIN STOCK")</f>
        <v>Menor a 5</v>
      </c>
      <c r="H23" s="27"/>
      <c r="I23" s="27"/>
      <c r="J23" s="27"/>
      <c r="K23" s="27"/>
      <c r="L23" s="27"/>
      <c r="M23" s="27"/>
      <c r="N23" s="27"/>
      <c r="O23" s="27"/>
      <c r="P23" s="27"/>
      <c r="Q23" s="27"/>
      <c r="R23" s="27"/>
      <c r="S23" s="27"/>
    </row>
    <row r="24" ht="15.75" customHeight="1">
      <c r="A24" s="40" t="s">
        <v>31</v>
      </c>
      <c r="B24" s="41" t="s">
        <v>94</v>
      </c>
      <c r="C24" s="42" t="s">
        <v>95</v>
      </c>
      <c r="D24" s="43" t="s">
        <v>41</v>
      </c>
      <c r="E24" s="43" t="s">
        <v>42</v>
      </c>
      <c r="F24" s="44">
        <v>0.21</v>
      </c>
      <c r="G24" s="38" t="str">
        <f>IFERROR(VLOOKUP("E 602 II",STOCK!B2:Q3677,3,FALSE),"SIN STOCK")</f>
        <v>Mayor a 5</v>
      </c>
      <c r="H24" s="27"/>
      <c r="I24" s="27"/>
      <c r="J24" s="27"/>
      <c r="K24" s="27"/>
      <c r="L24" s="27"/>
      <c r="M24" s="27"/>
      <c r="N24" s="27"/>
      <c r="O24" s="27"/>
      <c r="P24" s="27"/>
      <c r="Q24" s="27"/>
      <c r="R24" s="27"/>
      <c r="S24" s="27"/>
    </row>
    <row r="25" ht="15.75" customHeight="1">
      <c r="A25" s="33" t="s">
        <v>31</v>
      </c>
      <c r="B25" s="45" t="s">
        <v>96</v>
      </c>
      <c r="C25" s="34" t="s">
        <v>97</v>
      </c>
      <c r="D25" s="36" t="s">
        <v>41</v>
      </c>
      <c r="E25" s="36" t="s">
        <v>42</v>
      </c>
      <c r="F25" s="37">
        <v>0.21</v>
      </c>
      <c r="G25" s="38" t="str">
        <f>IFERROR(VLOOKUP("E 604",STOCK!B2:Q3677,3,FALSE),"SIN STOCK")</f>
        <v>Mayor a 5</v>
      </c>
      <c r="H25" s="27"/>
      <c r="I25" s="27"/>
      <c r="J25" s="27"/>
      <c r="K25" s="27"/>
      <c r="L25" s="27"/>
      <c r="M25" s="27"/>
      <c r="N25" s="27"/>
      <c r="O25" s="27"/>
      <c r="P25" s="27"/>
      <c r="Q25" s="27"/>
      <c r="R25" s="27"/>
      <c r="S25" s="27"/>
    </row>
    <row r="26" ht="15.75" customHeight="1">
      <c r="A26" s="40" t="s">
        <v>31</v>
      </c>
      <c r="B26" s="41" t="s">
        <v>98</v>
      </c>
      <c r="C26" s="42" t="s">
        <v>99</v>
      </c>
      <c r="D26" s="43" t="s">
        <v>100</v>
      </c>
      <c r="E26" s="43" t="s">
        <v>101</v>
      </c>
      <c r="F26" s="44">
        <v>0.21</v>
      </c>
      <c r="G26" s="38" t="str">
        <f>IFERROR(VLOOKUP("E 608",STOCK!B2:Q3677,3,FALSE),"SIN STOCK")</f>
        <v>Mayor a 5</v>
      </c>
      <c r="H26" s="27"/>
      <c r="I26" s="27"/>
      <c r="J26" s="27"/>
      <c r="K26" s="27"/>
      <c r="L26" s="27"/>
      <c r="M26" s="27"/>
      <c r="N26" s="27"/>
      <c r="O26" s="27"/>
      <c r="P26" s="27"/>
      <c r="Q26" s="27"/>
      <c r="R26" s="27"/>
      <c r="S26" s="27"/>
    </row>
    <row r="27" ht="15.75" customHeight="1">
      <c r="A27" s="33" t="s">
        <v>31</v>
      </c>
      <c r="B27" s="45" t="s">
        <v>102</v>
      </c>
      <c r="C27" s="34" t="s">
        <v>103</v>
      </c>
      <c r="D27" s="36" t="s">
        <v>45</v>
      </c>
      <c r="E27" s="36" t="s">
        <v>46</v>
      </c>
      <c r="F27" s="37">
        <v>0.21</v>
      </c>
      <c r="G27" s="38" t="str">
        <f>IFERROR(VLOOKUP("E 609 SILVER",STOCK!B2:Q3677,3,FALSE),"SIN STOCK")</f>
        <v>Mayor a 5</v>
      </c>
      <c r="H27" s="27"/>
      <c r="I27" s="27"/>
      <c r="J27" s="27"/>
      <c r="K27" s="27"/>
      <c r="L27" s="27"/>
      <c r="M27" s="27"/>
      <c r="N27" s="27"/>
      <c r="O27" s="27"/>
      <c r="P27" s="27"/>
      <c r="Q27" s="27"/>
      <c r="R27" s="27"/>
      <c r="S27" s="27"/>
    </row>
    <row r="28" ht="15.75" customHeight="1">
      <c r="A28" s="40" t="s">
        <v>31</v>
      </c>
      <c r="B28" s="41" t="s">
        <v>104</v>
      </c>
      <c r="C28" s="42" t="s">
        <v>105</v>
      </c>
      <c r="D28" s="43" t="s">
        <v>49</v>
      </c>
      <c r="E28" s="43" t="s">
        <v>50</v>
      </c>
      <c r="F28" s="44">
        <v>0.21</v>
      </c>
      <c r="G28" s="38" t="str">
        <f>IFERROR(VLOOKUP("E 614",STOCK!B2:Q3677,3,FALSE),"SIN STOCK")</f>
        <v>Mayor a 5</v>
      </c>
      <c r="H28" s="27"/>
      <c r="I28" s="27"/>
      <c r="J28" s="27"/>
      <c r="K28" s="27"/>
      <c r="L28" s="27"/>
      <c r="M28" s="27"/>
      <c r="N28" s="27"/>
      <c r="O28" s="27"/>
      <c r="P28" s="27"/>
      <c r="Q28" s="27"/>
      <c r="R28" s="27"/>
      <c r="S28" s="27"/>
    </row>
    <row r="29" ht="15.75" customHeight="1">
      <c r="A29" s="33" t="s">
        <v>31</v>
      </c>
      <c r="B29" s="45" t="s">
        <v>106</v>
      </c>
      <c r="C29" s="42" t="s">
        <v>105</v>
      </c>
      <c r="D29" s="36" t="s">
        <v>73</v>
      </c>
      <c r="E29" s="36" t="s">
        <v>74</v>
      </c>
      <c r="F29" s="37">
        <v>0.21</v>
      </c>
      <c r="G29" s="38" t="str">
        <f>IFERROR(VLOOKUP("E 825-S",STOCK!B2:Q3677,3,FALSE),"SIN STOCK")</f>
        <v>Mayor a 5</v>
      </c>
      <c r="H29" s="27"/>
      <c r="I29" s="27"/>
      <c r="J29" s="27"/>
      <c r="K29" s="27"/>
      <c r="L29" s="27"/>
      <c r="M29" s="27"/>
      <c r="N29" s="27"/>
      <c r="O29" s="27"/>
      <c r="P29" s="27"/>
      <c r="Q29" s="27"/>
      <c r="R29" s="27"/>
      <c r="S29" s="27"/>
    </row>
    <row r="30" ht="15.75" customHeight="1">
      <c r="A30" s="40" t="s">
        <v>31</v>
      </c>
      <c r="B30" s="41" t="s">
        <v>107</v>
      </c>
      <c r="C30" s="42" t="s">
        <v>108</v>
      </c>
      <c r="D30" s="43" t="s">
        <v>45</v>
      </c>
      <c r="E30" s="43" t="s">
        <v>46</v>
      </c>
      <c r="F30" s="44">
        <v>0.21</v>
      </c>
      <c r="G30" s="38" t="str">
        <f>IFERROR(VLOOKUP("E 835",STOCK!B2:Q3677,3,FALSE),"SIN STOCK")</f>
        <v>Mayor a 5</v>
      </c>
      <c r="H30" s="27"/>
      <c r="I30" s="27"/>
      <c r="J30" s="27"/>
      <c r="K30" s="27"/>
      <c r="L30" s="27"/>
      <c r="M30" s="27"/>
      <c r="N30" s="27"/>
      <c r="O30" s="27"/>
      <c r="P30" s="27"/>
      <c r="Q30" s="27"/>
      <c r="R30" s="27"/>
      <c r="S30" s="27"/>
    </row>
    <row r="31" ht="15.75" customHeight="1">
      <c r="A31" s="33" t="s">
        <v>31</v>
      </c>
      <c r="B31" s="45" t="s">
        <v>109</v>
      </c>
      <c r="C31" s="34" t="s">
        <v>110</v>
      </c>
      <c r="D31" s="36" t="s">
        <v>45</v>
      </c>
      <c r="E31" s="36" t="s">
        <v>46</v>
      </c>
      <c r="F31" s="37">
        <v>0.21</v>
      </c>
      <c r="G31" s="46" t="str">
        <f>IFERROR(VLOOKUP("E 835-S",STOCK!B2:Q3677,3,FALSE),"SIN STOCK")</f>
        <v>Mayor a 5</v>
      </c>
      <c r="H31" s="27"/>
      <c r="I31" s="27"/>
      <c r="J31" s="27"/>
      <c r="K31" s="27"/>
      <c r="L31" s="27"/>
      <c r="M31" s="27"/>
      <c r="N31" s="27"/>
      <c r="O31" s="27"/>
      <c r="P31" s="27"/>
      <c r="Q31" s="27"/>
      <c r="R31" s="27"/>
      <c r="S31" s="27"/>
    </row>
    <row r="32" ht="15.75" customHeight="1">
      <c r="A32" s="40" t="s">
        <v>31</v>
      </c>
      <c r="B32" s="41" t="s">
        <v>111</v>
      </c>
      <c r="C32" s="42" t="s">
        <v>112</v>
      </c>
      <c r="D32" s="43" t="s">
        <v>45</v>
      </c>
      <c r="E32" s="43" t="s">
        <v>46</v>
      </c>
      <c r="F32" s="44">
        <v>0.21</v>
      </c>
      <c r="G32" s="38" t="str">
        <f>IFERROR(VLOOKUP("E 845",STOCK!B2:Q3677,3,FALSE),"SIN STOCK")</f>
        <v>Menor a 5</v>
      </c>
      <c r="H32" s="27"/>
      <c r="I32" s="27"/>
      <c r="J32" s="27"/>
      <c r="K32" s="27"/>
      <c r="L32" s="27"/>
      <c r="M32" s="27"/>
      <c r="N32" s="27"/>
      <c r="O32" s="27"/>
      <c r="P32" s="27"/>
      <c r="Q32" s="27"/>
      <c r="R32" s="27"/>
      <c r="S32" s="27"/>
    </row>
    <row r="33" ht="15.75" customHeight="1">
      <c r="A33" s="33" t="s">
        <v>31</v>
      </c>
      <c r="B33" s="45" t="s">
        <v>113</v>
      </c>
      <c r="C33" s="34" t="s">
        <v>114</v>
      </c>
      <c r="D33" s="36" t="s">
        <v>45</v>
      </c>
      <c r="E33" s="36" t="s">
        <v>46</v>
      </c>
      <c r="F33" s="37">
        <v>0.21</v>
      </c>
      <c r="G33" s="38" t="str">
        <f>IFERROR(VLOOKUP("E 845-S",STOCK!B2:Q3677,3,FALSE),"SIN STOCK")</f>
        <v>Menor a 5</v>
      </c>
      <c r="H33" s="27"/>
      <c r="I33" s="27"/>
      <c r="J33" s="27"/>
      <c r="K33" s="27"/>
      <c r="L33" s="27"/>
      <c r="M33" s="27"/>
      <c r="N33" s="27"/>
      <c r="O33" s="27"/>
      <c r="P33" s="27"/>
      <c r="Q33" s="27"/>
      <c r="R33" s="27"/>
      <c r="S33" s="27"/>
    </row>
    <row r="34" ht="15.75" customHeight="1">
      <c r="A34" s="40" t="s">
        <v>31</v>
      </c>
      <c r="B34" s="52" t="s">
        <v>115</v>
      </c>
      <c r="C34" s="42" t="s">
        <v>116</v>
      </c>
      <c r="D34" s="43" t="s">
        <v>117</v>
      </c>
      <c r="E34" s="43" t="s">
        <v>118</v>
      </c>
      <c r="F34" s="44">
        <v>0.21</v>
      </c>
      <c r="G34" s="38" t="str">
        <f>IFERROR(VLOOKUP("E 865",STOCK!B2:Q3677,3,FALSE),"SIN STOCK")</f>
        <v>Mayor a 5</v>
      </c>
      <c r="H34" s="27"/>
      <c r="I34" s="27"/>
      <c r="J34" s="27"/>
      <c r="K34" s="27"/>
      <c r="L34" s="27"/>
      <c r="M34" s="27"/>
      <c r="N34" s="27"/>
      <c r="O34" s="27"/>
      <c r="P34" s="27"/>
      <c r="Q34" s="27"/>
      <c r="R34" s="27"/>
      <c r="S34" s="27"/>
    </row>
    <row r="35" ht="15.75" customHeight="1">
      <c r="A35" s="33" t="s">
        <v>31</v>
      </c>
      <c r="B35" s="45" t="s">
        <v>119</v>
      </c>
      <c r="C35" s="34" t="s">
        <v>120</v>
      </c>
      <c r="D35" s="36" t="s">
        <v>117</v>
      </c>
      <c r="E35" s="36" t="s">
        <v>118</v>
      </c>
      <c r="F35" s="37">
        <v>0.21</v>
      </c>
      <c r="G35" s="46" t="str">
        <f>IFERROR(VLOOKUP("E 865-S",STOCK!B2:Q3677,3,FALSE),"SIN STOCK")</f>
        <v>SIN STOCK</v>
      </c>
      <c r="H35" s="27"/>
      <c r="I35" s="27"/>
      <c r="J35" s="27"/>
      <c r="K35" s="27"/>
      <c r="L35" s="27"/>
      <c r="M35" s="27"/>
      <c r="N35" s="27"/>
      <c r="O35" s="27"/>
      <c r="P35" s="27"/>
      <c r="Q35" s="27"/>
      <c r="R35" s="27"/>
      <c r="S35" s="27"/>
    </row>
    <row r="36" ht="15.75" customHeight="1">
      <c r="A36" s="40" t="s">
        <v>31</v>
      </c>
      <c r="B36" s="41" t="s">
        <v>121</v>
      </c>
      <c r="C36" s="42" t="s">
        <v>122</v>
      </c>
      <c r="D36" s="43" t="s">
        <v>117</v>
      </c>
      <c r="E36" s="43" t="s">
        <v>118</v>
      </c>
      <c r="F36" s="44">
        <v>0.21</v>
      </c>
      <c r="G36" s="38" t="str">
        <f>IFERROR(VLOOKUP("E 901",STOCK!B2:Q3677,3,FALSE),"SIN STOCK")</f>
        <v>Mayor a 5</v>
      </c>
      <c r="H36" s="27"/>
      <c r="I36" s="27"/>
      <c r="J36" s="27"/>
      <c r="K36" s="27"/>
      <c r="L36" s="27"/>
      <c r="M36" s="27"/>
      <c r="N36" s="27"/>
      <c r="O36" s="27"/>
      <c r="P36" s="27"/>
      <c r="Q36" s="27"/>
      <c r="R36" s="27"/>
      <c r="S36" s="27"/>
    </row>
    <row r="37" ht="15.75" customHeight="1">
      <c r="A37" s="33" t="s">
        <v>31</v>
      </c>
      <c r="B37" s="53" t="s">
        <v>123</v>
      </c>
      <c r="C37" s="34" t="s">
        <v>124</v>
      </c>
      <c r="D37" s="36" t="s">
        <v>49</v>
      </c>
      <c r="E37" s="36" t="s">
        <v>50</v>
      </c>
      <c r="F37" s="37">
        <v>0.21</v>
      </c>
      <c r="G37" s="38" t="str">
        <f>IFERROR(VLOOKUP("E 902",STOCK!B2:Q3677,3,FALSE),"SIN STOCK")</f>
        <v>Mayor a 5</v>
      </c>
      <c r="H37" s="27"/>
      <c r="I37" s="27"/>
      <c r="J37" s="27"/>
      <c r="K37" s="27"/>
      <c r="L37" s="27"/>
      <c r="M37" s="27"/>
      <c r="N37" s="27"/>
      <c r="O37" s="27"/>
      <c r="P37" s="27"/>
      <c r="Q37" s="27"/>
      <c r="R37" s="27"/>
      <c r="S37" s="27"/>
    </row>
    <row r="38" ht="15.75" customHeight="1">
      <c r="A38" s="40" t="s">
        <v>31</v>
      </c>
      <c r="B38" s="41" t="s">
        <v>125</v>
      </c>
      <c r="C38" s="42" t="s">
        <v>126</v>
      </c>
      <c r="D38" s="43" t="s">
        <v>100</v>
      </c>
      <c r="E38" s="43" t="s">
        <v>101</v>
      </c>
      <c r="F38" s="44">
        <v>0.21</v>
      </c>
      <c r="G38" s="38" t="str">
        <f>IFERROR(VLOOKUP("E 904",STOCK!B2:Q3677,3,FALSE),"SIN STOCK")</f>
        <v>Mayor a 5</v>
      </c>
      <c r="H38" s="27"/>
      <c r="I38" s="27"/>
      <c r="J38" s="27"/>
      <c r="K38" s="27"/>
      <c r="L38" s="27"/>
      <c r="M38" s="27"/>
      <c r="N38" s="27"/>
      <c r="O38" s="27"/>
      <c r="P38" s="27"/>
      <c r="Q38" s="27"/>
      <c r="R38" s="27"/>
      <c r="S38" s="27"/>
    </row>
    <row r="39" ht="15.75" customHeight="1">
      <c r="A39" s="33" t="s">
        <v>31</v>
      </c>
      <c r="B39" s="45" t="s">
        <v>127</v>
      </c>
      <c r="C39" s="34" t="s">
        <v>128</v>
      </c>
      <c r="D39" s="36" t="s">
        <v>49</v>
      </c>
      <c r="E39" s="36" t="s">
        <v>50</v>
      </c>
      <c r="F39" s="37">
        <v>0.21</v>
      </c>
      <c r="G39" s="38" t="str">
        <f>IFERROR(VLOOKUP("E 906",STOCK!B2:Q3677,3,FALSE),"SIN STOCK")</f>
        <v>Mayor a 5</v>
      </c>
      <c r="H39" s="27"/>
      <c r="I39" s="27"/>
      <c r="J39" s="27"/>
      <c r="K39" s="27"/>
      <c r="L39" s="27"/>
      <c r="M39" s="27"/>
      <c r="N39" s="27"/>
      <c r="O39" s="27"/>
      <c r="P39" s="27"/>
      <c r="Q39" s="27"/>
      <c r="R39" s="27"/>
      <c r="S39" s="27"/>
    </row>
    <row r="40" ht="15.75" customHeight="1">
      <c r="A40" s="40" t="s">
        <v>31</v>
      </c>
      <c r="B40" s="41" t="s">
        <v>129</v>
      </c>
      <c r="C40" s="42" t="s">
        <v>130</v>
      </c>
      <c r="D40" s="43" t="s">
        <v>131</v>
      </c>
      <c r="E40" s="43" t="s">
        <v>132</v>
      </c>
      <c r="F40" s="44">
        <v>0.21</v>
      </c>
      <c r="G40" s="38" t="str">
        <f>IFERROR(VLOOKUP("E 908 B",STOCK!B2:Q3677,3,FALSE),"SIN STOCK")</f>
        <v>Menor a 5</v>
      </c>
      <c r="H40" s="27"/>
      <c r="I40" s="27"/>
      <c r="J40" s="27"/>
      <c r="K40" s="27"/>
      <c r="L40" s="27"/>
      <c r="M40" s="27"/>
      <c r="N40" s="27"/>
      <c r="O40" s="27"/>
      <c r="P40" s="27"/>
      <c r="Q40" s="27"/>
      <c r="R40" s="27"/>
      <c r="S40" s="27"/>
    </row>
    <row r="41" ht="15.75" customHeight="1">
      <c r="A41" s="33" t="s">
        <v>31</v>
      </c>
      <c r="B41" s="53" t="s">
        <v>133</v>
      </c>
      <c r="C41" s="34" t="s">
        <v>134</v>
      </c>
      <c r="D41" s="36" t="s">
        <v>100</v>
      </c>
      <c r="E41" s="36" t="s">
        <v>101</v>
      </c>
      <c r="F41" s="37">
        <v>0.21</v>
      </c>
      <c r="G41" s="38" t="str">
        <f>IFERROR(VLOOKUP("E 908 B-EW",STOCK!B2:Q3677,3,FALSE),"SIN STOCK")</f>
        <v>Menor a 5</v>
      </c>
      <c r="H41" s="27"/>
      <c r="I41" s="27"/>
      <c r="J41" s="27"/>
      <c r="K41" s="27"/>
      <c r="L41" s="27"/>
      <c r="M41" s="27"/>
      <c r="N41" s="27"/>
      <c r="O41" s="27"/>
      <c r="P41" s="27"/>
      <c r="Q41" s="27"/>
      <c r="R41" s="27"/>
      <c r="S41" s="27"/>
    </row>
    <row r="42" ht="15.75" customHeight="1">
      <c r="A42" s="40" t="s">
        <v>31</v>
      </c>
      <c r="B42" s="41" t="s">
        <v>135</v>
      </c>
      <c r="C42" s="42" t="s">
        <v>136</v>
      </c>
      <c r="D42" s="43" t="s">
        <v>77</v>
      </c>
      <c r="E42" s="43" t="s">
        <v>78</v>
      </c>
      <c r="F42" s="44">
        <v>0.21</v>
      </c>
      <c r="G42" s="38" t="str">
        <f>IFERROR(VLOOKUP("E 914",STOCK!B2:Q3677,3,FALSE),"SIN STOCK")</f>
        <v>Menor a 5</v>
      </c>
      <c r="H42" s="27"/>
      <c r="I42" s="27"/>
      <c r="J42" s="27"/>
      <c r="K42" s="27"/>
      <c r="L42" s="27"/>
      <c r="M42" s="27"/>
      <c r="N42" s="27"/>
      <c r="O42" s="27"/>
      <c r="P42" s="27"/>
      <c r="Q42" s="27"/>
      <c r="R42" s="27"/>
      <c r="S42" s="27"/>
    </row>
    <row r="43" ht="15.75" customHeight="1">
      <c r="A43" s="33" t="s">
        <v>31</v>
      </c>
      <c r="B43" s="45" t="s">
        <v>137</v>
      </c>
      <c r="C43" s="34" t="s">
        <v>108</v>
      </c>
      <c r="D43" s="36" t="s">
        <v>49</v>
      </c>
      <c r="E43" s="36" t="s">
        <v>50</v>
      </c>
      <c r="F43" s="37">
        <v>0.21</v>
      </c>
      <c r="G43" s="38" t="str">
        <f>IFERROR(VLOOKUP("E 935",STOCK!B2:Q3677,3,FALSE),"SIN STOCK")</f>
        <v>Mayor a 5</v>
      </c>
      <c r="H43" s="27"/>
      <c r="I43" s="27"/>
      <c r="J43" s="27"/>
      <c r="K43" s="27"/>
      <c r="L43" s="27"/>
      <c r="M43" s="27"/>
      <c r="N43" s="27"/>
      <c r="O43" s="27"/>
      <c r="P43" s="27"/>
      <c r="Q43" s="27"/>
      <c r="R43" s="27"/>
      <c r="S43" s="27"/>
    </row>
    <row r="44" ht="15.75" customHeight="1">
      <c r="A44" s="40" t="s">
        <v>31</v>
      </c>
      <c r="B44" s="41" t="s">
        <v>138</v>
      </c>
      <c r="C44" s="42" t="s">
        <v>139</v>
      </c>
      <c r="D44" s="43" t="s">
        <v>49</v>
      </c>
      <c r="E44" s="43" t="s">
        <v>50</v>
      </c>
      <c r="F44" s="44">
        <v>0.21</v>
      </c>
      <c r="G44" s="38" t="str">
        <f>IFERROR(VLOOKUP("E 945",STOCK!B2:Q3677,3,FALSE),"SIN STOCK")</f>
        <v>Menor a 5</v>
      </c>
      <c r="H44" s="27"/>
      <c r="I44" s="27"/>
      <c r="J44" s="27"/>
      <c r="K44" s="27"/>
      <c r="L44" s="27"/>
      <c r="M44" s="27"/>
      <c r="N44" s="27"/>
      <c r="O44" s="27"/>
      <c r="P44" s="27"/>
      <c r="Q44" s="27"/>
      <c r="R44" s="27"/>
      <c r="S44" s="27"/>
    </row>
    <row r="45" ht="15.75" customHeight="1">
      <c r="A45" s="33" t="s">
        <v>31</v>
      </c>
      <c r="B45" s="45" t="s">
        <v>140</v>
      </c>
      <c r="C45" s="34" t="s">
        <v>141</v>
      </c>
      <c r="D45" s="36" t="s">
        <v>142</v>
      </c>
      <c r="E45" s="36" t="s">
        <v>143</v>
      </c>
      <c r="F45" s="37">
        <v>0.21</v>
      </c>
      <c r="G45" s="46" t="str">
        <f>IFERROR(VLOOKUP("E 965",STOCK!B2:Q3677,3,FALSE),"SIN STOCK")</f>
        <v>Menor a 5</v>
      </c>
      <c r="H45" s="27"/>
      <c r="I45" s="27"/>
      <c r="J45" s="27"/>
      <c r="K45" s="27"/>
      <c r="L45" s="27"/>
      <c r="M45" s="27"/>
      <c r="N45" s="27"/>
      <c r="O45" s="27"/>
      <c r="P45" s="27"/>
      <c r="Q45" s="27"/>
      <c r="R45" s="27"/>
      <c r="S45" s="27"/>
    </row>
    <row r="46" ht="15.75" customHeight="1">
      <c r="A46" s="40" t="s">
        <v>31</v>
      </c>
      <c r="B46" s="41" t="s">
        <v>144</v>
      </c>
      <c r="C46" s="42" t="s">
        <v>145</v>
      </c>
      <c r="D46" s="43" t="s">
        <v>146</v>
      </c>
      <c r="E46" s="43" t="s">
        <v>147</v>
      </c>
      <c r="F46" s="44">
        <v>0.21</v>
      </c>
      <c r="G46" s="46" t="str">
        <f>IFERROR(VLOOKUP("MD 21 U",STOCK!B2:Q3677,3,FALSE),"SIN STOCK")</f>
        <v>SIN STOCK</v>
      </c>
      <c r="H46" s="27"/>
      <c r="I46" s="27"/>
      <c r="J46" s="27"/>
      <c r="K46" s="27"/>
      <c r="L46" s="27"/>
      <c r="M46" s="27"/>
      <c r="N46" s="27"/>
      <c r="O46" s="27"/>
      <c r="P46" s="27"/>
      <c r="Q46" s="27"/>
      <c r="R46" s="27"/>
      <c r="S46" s="27"/>
    </row>
    <row r="47" ht="15.75" customHeight="1">
      <c r="A47" s="33" t="s">
        <v>31</v>
      </c>
      <c r="B47" s="45" t="s">
        <v>148</v>
      </c>
      <c r="C47" s="34" t="s">
        <v>149</v>
      </c>
      <c r="D47" s="36" t="s">
        <v>150</v>
      </c>
      <c r="E47" s="36" t="s">
        <v>151</v>
      </c>
      <c r="F47" s="37">
        <v>0.21</v>
      </c>
      <c r="G47" s="38" t="str">
        <f>IFERROR(VLOOKUP("MD 421-II",STOCK!B2:Q3677,3,FALSE),"SIN STOCK")</f>
        <v>Mayor a 5</v>
      </c>
      <c r="H47" s="27"/>
      <c r="I47" s="27"/>
      <c r="J47" s="27"/>
      <c r="K47" s="27"/>
      <c r="L47" s="27"/>
      <c r="M47" s="27"/>
      <c r="N47" s="27"/>
      <c r="O47" s="27"/>
      <c r="P47" s="27"/>
      <c r="Q47" s="27"/>
      <c r="R47" s="27"/>
      <c r="S47" s="27"/>
    </row>
    <row r="48" ht="15.75" customHeight="1">
      <c r="A48" s="40" t="s">
        <v>31</v>
      </c>
      <c r="B48" s="41" t="s">
        <v>152</v>
      </c>
      <c r="C48" s="42" t="s">
        <v>153</v>
      </c>
      <c r="D48" s="43" t="s">
        <v>154</v>
      </c>
      <c r="E48" s="43" t="s">
        <v>155</v>
      </c>
      <c r="F48" s="44">
        <v>0.21</v>
      </c>
      <c r="G48" s="46" t="str">
        <f>IFERROR(VLOOKUP("MD 431-II",STOCK!B2:Q3677,3,FALSE),"SIN STOCK")</f>
        <v>SIN STOCK</v>
      </c>
      <c r="H48" s="27"/>
      <c r="I48" s="27"/>
      <c r="J48" s="27"/>
      <c r="K48" s="27"/>
      <c r="L48" s="27"/>
      <c r="M48" s="27"/>
      <c r="N48" s="27"/>
      <c r="O48" s="27"/>
      <c r="P48" s="27"/>
      <c r="Q48" s="27"/>
      <c r="R48" s="27"/>
      <c r="S48" s="27"/>
    </row>
    <row r="49" ht="15.75" customHeight="1">
      <c r="A49" s="33" t="s">
        <v>31</v>
      </c>
      <c r="B49" s="45" t="s">
        <v>156</v>
      </c>
      <c r="C49" s="34" t="s">
        <v>157</v>
      </c>
      <c r="D49" s="36" t="s">
        <v>92</v>
      </c>
      <c r="E49" s="36" t="s">
        <v>93</v>
      </c>
      <c r="F49" s="37">
        <v>0.21</v>
      </c>
      <c r="G49" s="46" t="str">
        <f>IFERROR(VLOOKUP("MD 441 U",STOCK!B2:Q3677,3,FALSE),"SIN STOCK")</f>
        <v>Menor a 5</v>
      </c>
      <c r="H49" s="27"/>
      <c r="I49" s="27"/>
      <c r="J49" s="27"/>
      <c r="K49" s="27"/>
      <c r="L49" s="27"/>
      <c r="M49" s="27"/>
      <c r="N49" s="27"/>
      <c r="O49" s="27"/>
      <c r="P49" s="27"/>
      <c r="Q49" s="27"/>
      <c r="R49" s="27"/>
      <c r="S49" s="27"/>
    </row>
    <row r="50" ht="15.75" customHeight="1">
      <c r="A50" s="54" t="s">
        <v>158</v>
      </c>
      <c r="B50" s="29"/>
      <c r="C50" s="29"/>
      <c r="D50" s="51"/>
      <c r="E50" s="31"/>
      <c r="F50" s="29"/>
      <c r="G50" s="29"/>
      <c r="H50" s="27"/>
      <c r="I50" s="27"/>
      <c r="J50" s="27"/>
      <c r="K50" s="27"/>
      <c r="L50" s="27"/>
      <c r="M50" s="27"/>
      <c r="N50" s="27"/>
      <c r="O50" s="27"/>
      <c r="P50" s="27"/>
      <c r="Q50" s="27"/>
      <c r="R50" s="27"/>
      <c r="S50" s="27"/>
    </row>
    <row r="51" ht="15.75" hidden="1" customHeight="1">
      <c r="A51" s="40" t="s">
        <v>31</v>
      </c>
      <c r="B51" s="41" t="s">
        <v>159</v>
      </c>
      <c r="C51" s="42" t="s">
        <v>160</v>
      </c>
      <c r="D51" s="43" t="s">
        <v>161</v>
      </c>
      <c r="E51" s="43" t="s">
        <v>162</v>
      </c>
      <c r="F51" s="44">
        <v>0.21</v>
      </c>
      <c r="G51" s="38" t="str">
        <f>IFERROR(VLOOKUP("MK 4",STOCK!B2:Q3677,3,FALSE),"SIN STOCK")</f>
        <v>Mayor a 5</v>
      </c>
      <c r="H51" s="27"/>
      <c r="I51" s="27"/>
      <c r="J51" s="27"/>
      <c r="K51" s="27"/>
      <c r="L51" s="27"/>
      <c r="M51" s="27"/>
      <c r="N51" s="27"/>
      <c r="O51" s="27"/>
      <c r="P51" s="27"/>
      <c r="Q51" s="27"/>
      <c r="R51" s="27"/>
      <c r="S51" s="27"/>
    </row>
    <row r="52" ht="15.75" hidden="1" customHeight="1">
      <c r="A52" s="33" t="s">
        <v>31</v>
      </c>
      <c r="B52" s="45" t="s">
        <v>163</v>
      </c>
      <c r="C52" s="34" t="s">
        <v>164</v>
      </c>
      <c r="D52" s="36" t="s">
        <v>165</v>
      </c>
      <c r="E52" s="36" t="s">
        <v>166</v>
      </c>
      <c r="F52" s="37">
        <v>0.21</v>
      </c>
      <c r="G52" s="38" t="str">
        <f>IFERROR(VLOOKUP("MK 8",STOCK!B2:Q3677,3,FALSE),"SIN STOCK")</f>
        <v>Menor a 5</v>
      </c>
      <c r="H52" s="27"/>
      <c r="I52" s="27"/>
      <c r="J52" s="27"/>
      <c r="K52" s="27"/>
      <c r="L52" s="27"/>
      <c r="M52" s="27"/>
      <c r="N52" s="27"/>
      <c r="O52" s="27"/>
      <c r="P52" s="27"/>
      <c r="Q52" s="27"/>
      <c r="R52" s="27"/>
      <c r="S52" s="27"/>
    </row>
    <row r="53" ht="15.75" hidden="1" customHeight="1">
      <c r="A53" s="40" t="s">
        <v>31</v>
      </c>
      <c r="B53" s="40" t="s">
        <v>167</v>
      </c>
      <c r="C53" s="42" t="s">
        <v>168</v>
      </c>
      <c r="D53" s="43" t="s">
        <v>169</v>
      </c>
      <c r="E53" s="43" t="s">
        <v>170</v>
      </c>
      <c r="F53" s="44">
        <v>0.21</v>
      </c>
      <c r="G53" s="49" t="str">
        <f>IFERROR(VLOOKUP("MK4 SET",STOCK!B2:Q3677,3,FALSE),"SIN STOCK")</f>
        <v>Menor a 5</v>
      </c>
      <c r="H53" s="27"/>
      <c r="I53" s="27"/>
      <c r="J53" s="27"/>
      <c r="K53" s="27"/>
      <c r="L53" s="27"/>
      <c r="M53" s="27"/>
      <c r="N53" s="27"/>
      <c r="O53" s="27"/>
      <c r="P53" s="27"/>
      <c r="Q53" s="27"/>
      <c r="R53" s="27"/>
      <c r="S53" s="27"/>
    </row>
    <row r="54" ht="15.75" customHeight="1">
      <c r="A54" s="33" t="s">
        <v>31</v>
      </c>
      <c r="B54" s="45" t="s">
        <v>171</v>
      </c>
      <c r="C54" s="34" t="s">
        <v>172</v>
      </c>
      <c r="D54" s="36" t="s">
        <v>45</v>
      </c>
      <c r="E54" s="36" t="s">
        <v>46</v>
      </c>
      <c r="F54" s="37">
        <v>0.21</v>
      </c>
      <c r="G54" s="38" t="str">
        <f>IFERROR(VLOOKUP("MKS 4",STOCK!B2:Q3677,3,FALSE),"SIN STOCK")</f>
        <v>Mayor a 5</v>
      </c>
      <c r="H54" s="27"/>
      <c r="I54" s="27"/>
      <c r="J54" s="27"/>
      <c r="K54" s="27"/>
      <c r="L54" s="27"/>
      <c r="M54" s="27"/>
      <c r="N54" s="27"/>
      <c r="O54" s="27"/>
      <c r="P54" s="27"/>
      <c r="Q54" s="27"/>
      <c r="R54" s="27"/>
      <c r="S54" s="27"/>
    </row>
    <row r="55" ht="15.75" customHeight="1">
      <c r="A55" s="40" t="s">
        <v>31</v>
      </c>
      <c r="B55" s="41" t="s">
        <v>173</v>
      </c>
      <c r="C55" s="42" t="s">
        <v>174</v>
      </c>
      <c r="D55" s="43" t="s">
        <v>175</v>
      </c>
      <c r="E55" s="43" t="s">
        <v>176</v>
      </c>
      <c r="F55" s="44">
        <v>0.21</v>
      </c>
      <c r="G55" s="46" t="str">
        <f>IFERROR(VLOOKUP("MKW 4",STOCK!B2:Q3677,3,FALSE),"SIN STOCK")</f>
        <v>SIN STOCK</v>
      </c>
      <c r="H55" s="27"/>
      <c r="I55" s="27"/>
      <c r="J55" s="27"/>
      <c r="K55" s="27"/>
      <c r="L55" s="27"/>
      <c r="M55" s="27"/>
      <c r="N55" s="27"/>
      <c r="O55" s="27"/>
      <c r="P55" s="27"/>
      <c r="Q55" s="27"/>
      <c r="R55" s="27"/>
      <c r="S55" s="27"/>
    </row>
    <row r="56" ht="15.75" customHeight="1">
      <c r="A56" s="33" t="s">
        <v>31</v>
      </c>
      <c r="B56" s="45" t="s">
        <v>177</v>
      </c>
      <c r="C56" s="34" t="s">
        <v>178</v>
      </c>
      <c r="D56" s="36" t="s">
        <v>179</v>
      </c>
      <c r="E56" s="36" t="s">
        <v>180</v>
      </c>
      <c r="F56" s="37">
        <v>0.21</v>
      </c>
      <c r="G56" s="49" t="str">
        <f>IFERROR(VLOOKUP("MZA 900 P",STOCK!B2:Q3677,3,FALSE),"SIN STOCK")</f>
        <v>Mayor a 5</v>
      </c>
      <c r="H56" s="27"/>
      <c r="I56" s="27"/>
      <c r="J56" s="27"/>
      <c r="K56" s="27"/>
      <c r="L56" s="27"/>
      <c r="M56" s="27"/>
      <c r="N56" s="27"/>
      <c r="O56" s="27"/>
      <c r="P56" s="27"/>
      <c r="Q56" s="27"/>
      <c r="R56" s="27"/>
      <c r="S56" s="27"/>
    </row>
    <row r="57" ht="15.75" customHeight="1">
      <c r="A57" s="40" t="s">
        <v>31</v>
      </c>
      <c r="B57" s="41" t="s">
        <v>181</v>
      </c>
      <c r="C57" s="42" t="s">
        <v>182</v>
      </c>
      <c r="D57" s="43" t="s">
        <v>179</v>
      </c>
      <c r="E57" s="43" t="s">
        <v>180</v>
      </c>
      <c r="F57" s="44">
        <v>0.21</v>
      </c>
      <c r="G57" s="46" t="str">
        <f>IFERROR(VLOOKUP("MZA 900 P-4",STOCK!B2:Q3677,3,FALSE),"SIN STOCK")</f>
        <v>Menor a 5</v>
      </c>
      <c r="H57" s="27"/>
      <c r="I57" s="27"/>
      <c r="J57" s="27"/>
      <c r="K57" s="27"/>
      <c r="L57" s="27"/>
      <c r="M57" s="27"/>
      <c r="N57" s="27"/>
      <c r="O57" s="27"/>
      <c r="P57" s="27"/>
      <c r="Q57" s="27"/>
      <c r="R57" s="27"/>
      <c r="S57" s="27"/>
    </row>
    <row r="58" ht="15.75" customHeight="1">
      <c r="A58" s="33" t="s">
        <v>31</v>
      </c>
      <c r="B58" s="45" t="s">
        <v>183</v>
      </c>
      <c r="C58" s="34" t="s">
        <v>184</v>
      </c>
      <c r="D58" s="36" t="s">
        <v>175</v>
      </c>
      <c r="E58" s="36" t="s">
        <v>176</v>
      </c>
      <c r="F58" s="37">
        <v>0.21</v>
      </c>
      <c r="G58" s="46" t="str">
        <f>IFERROR(VLOOKUP("MZH 604",STOCK!B2:Q3677,3,FALSE),"SIN STOCK")</f>
        <v>Menor a 5</v>
      </c>
      <c r="H58" s="27"/>
      <c r="I58" s="27"/>
      <c r="J58" s="27"/>
      <c r="K58" s="27"/>
      <c r="L58" s="27"/>
      <c r="M58" s="27"/>
      <c r="N58" s="27"/>
      <c r="O58" s="27"/>
      <c r="P58" s="27"/>
      <c r="Q58" s="27"/>
      <c r="R58" s="27"/>
      <c r="S58" s="27"/>
    </row>
    <row r="59" ht="15.75" customHeight="1">
      <c r="A59" s="40" t="s">
        <v>31</v>
      </c>
      <c r="B59" s="41" t="s">
        <v>185</v>
      </c>
      <c r="C59" s="42" t="s">
        <v>186</v>
      </c>
      <c r="D59" s="43" t="s">
        <v>175</v>
      </c>
      <c r="E59" s="43" t="s">
        <v>176</v>
      </c>
      <c r="F59" s="44">
        <v>0.21</v>
      </c>
      <c r="G59" s="46" t="str">
        <f>IFERROR(VLOOKUP("MZH 908 B",STOCK!B2:Q3677,3,FALSE),"SIN STOCK")</f>
        <v>SIN STOCK</v>
      </c>
      <c r="H59" s="27"/>
      <c r="I59" s="27"/>
      <c r="J59" s="27"/>
      <c r="K59" s="27"/>
      <c r="L59" s="27"/>
      <c r="M59" s="27"/>
      <c r="N59" s="27"/>
      <c r="O59" s="27"/>
      <c r="P59" s="27"/>
      <c r="Q59" s="27"/>
      <c r="R59" s="27"/>
      <c r="S59" s="27"/>
    </row>
    <row r="60" ht="15.75" customHeight="1">
      <c r="A60" s="33" t="s">
        <v>31</v>
      </c>
      <c r="B60" s="45" t="s">
        <v>187</v>
      </c>
      <c r="C60" s="34" t="s">
        <v>188</v>
      </c>
      <c r="D60" s="36" t="s">
        <v>175</v>
      </c>
      <c r="E60" s="36" t="s">
        <v>176</v>
      </c>
      <c r="F60" s="37">
        <v>0.21</v>
      </c>
      <c r="G60" s="38" t="str">
        <f>IFERROR(VLOOKUP("MZH 908 D",STOCK!B2:Q3677,3,FALSE),"SIN STOCK")</f>
        <v>Mayor a 5</v>
      </c>
      <c r="H60" s="27"/>
      <c r="I60" s="27"/>
      <c r="J60" s="27"/>
      <c r="K60" s="27"/>
      <c r="L60" s="27"/>
      <c r="M60" s="27"/>
      <c r="N60" s="27"/>
      <c r="O60" s="27"/>
      <c r="P60" s="27"/>
      <c r="Q60" s="27"/>
      <c r="R60" s="27"/>
      <c r="S60" s="27"/>
    </row>
    <row r="61" ht="15.75" customHeight="1">
      <c r="A61" s="40" t="s">
        <v>31</v>
      </c>
      <c r="B61" s="41" t="s">
        <v>189</v>
      </c>
      <c r="C61" s="42" t="s">
        <v>190</v>
      </c>
      <c r="D61" s="43" t="s">
        <v>88</v>
      </c>
      <c r="E61" s="43" t="s">
        <v>89</v>
      </c>
      <c r="F61" s="44">
        <v>0.21</v>
      </c>
      <c r="G61" s="46" t="str">
        <f>IFERROR(VLOOKUP("MZQ 441",STOCK!B2:Q3677,3,FALSE),"SIN STOCK")</f>
        <v>SIN STOCK</v>
      </c>
      <c r="H61" s="27"/>
      <c r="I61" s="27"/>
      <c r="J61" s="27"/>
      <c r="K61" s="27"/>
      <c r="L61" s="27"/>
      <c r="M61" s="27"/>
      <c r="N61" s="27"/>
      <c r="O61" s="27"/>
      <c r="P61" s="27"/>
      <c r="Q61" s="27"/>
      <c r="R61" s="27"/>
      <c r="S61" s="27"/>
    </row>
    <row r="62" ht="15.75" customHeight="1">
      <c r="A62" s="33" t="s">
        <v>31</v>
      </c>
      <c r="B62" s="45" t="s">
        <v>191</v>
      </c>
      <c r="C62" s="34" t="s">
        <v>192</v>
      </c>
      <c r="D62" s="36" t="s">
        <v>193</v>
      </c>
      <c r="E62" s="36" t="s">
        <v>194</v>
      </c>
      <c r="F62" s="37">
        <v>0.21</v>
      </c>
      <c r="G62" s="38" t="str">
        <f>IFERROR(VLOOKUP("MZQ 800",STOCK!B2:Q3677,3,FALSE),"SIN STOCK")</f>
        <v>Mayor a 5</v>
      </c>
      <c r="H62" s="27"/>
      <c r="I62" s="27"/>
      <c r="J62" s="27"/>
      <c r="K62" s="27"/>
      <c r="L62" s="27"/>
      <c r="M62" s="27"/>
      <c r="N62" s="27"/>
      <c r="O62" s="27"/>
      <c r="P62" s="27"/>
      <c r="Q62" s="27"/>
      <c r="R62" s="27"/>
      <c r="S62" s="27"/>
    </row>
    <row r="63" ht="15.75" customHeight="1">
      <c r="A63" s="40" t="s">
        <v>31</v>
      </c>
      <c r="B63" s="40" t="s">
        <v>195</v>
      </c>
      <c r="C63" s="42" t="s">
        <v>196</v>
      </c>
      <c r="D63" s="43" t="s">
        <v>197</v>
      </c>
      <c r="E63" s="43" t="s">
        <v>198</v>
      </c>
      <c r="F63" s="44">
        <v>0.21</v>
      </c>
      <c r="G63" s="46" t="str">
        <f>IFERROR(VLOOKUP("MZS421",STOCK!B2:Q3677,3,FALSE),"SIN STOCK")</f>
        <v>SIN STOCK</v>
      </c>
      <c r="H63" s="27"/>
      <c r="I63" s="27"/>
      <c r="J63" s="27"/>
      <c r="K63" s="27"/>
      <c r="L63" s="27"/>
      <c r="M63" s="27"/>
      <c r="N63" s="27"/>
      <c r="O63" s="27"/>
      <c r="P63" s="27"/>
      <c r="Q63" s="27"/>
      <c r="R63" s="27"/>
      <c r="S63" s="27"/>
    </row>
    <row r="64" ht="15.75" customHeight="1">
      <c r="A64" s="33" t="s">
        <v>31</v>
      </c>
      <c r="B64" s="45" t="s">
        <v>199</v>
      </c>
      <c r="C64" s="34" t="s">
        <v>200</v>
      </c>
      <c r="D64" s="36" t="s">
        <v>175</v>
      </c>
      <c r="E64" s="36" t="s">
        <v>176</v>
      </c>
      <c r="F64" s="37">
        <v>0.21</v>
      </c>
      <c r="G64" s="46" t="str">
        <f>IFERROR(VLOOKUP("MZW 4032 A",STOCK!B2:Q3677,3,FALSE),"SIN STOCK")</f>
        <v>SIN STOCK</v>
      </c>
      <c r="H64" s="27"/>
      <c r="I64" s="27"/>
      <c r="J64" s="27"/>
      <c r="K64" s="27"/>
      <c r="L64" s="27"/>
      <c r="M64" s="27"/>
      <c r="N64" s="27"/>
      <c r="O64" s="27"/>
      <c r="P64" s="27"/>
      <c r="Q64" s="27"/>
      <c r="R64" s="27"/>
      <c r="S64" s="27"/>
    </row>
    <row r="65" ht="15.75" customHeight="1">
      <c r="A65" s="40" t="s">
        <v>31</v>
      </c>
      <c r="B65" s="41" t="s">
        <v>201</v>
      </c>
      <c r="C65" s="42" t="s">
        <v>202</v>
      </c>
      <c r="D65" s="43" t="s">
        <v>175</v>
      </c>
      <c r="E65" s="43" t="s">
        <v>176</v>
      </c>
      <c r="F65" s="44">
        <v>0.21</v>
      </c>
      <c r="G65" s="46" t="str">
        <f>IFERROR(VLOOKUP("MZW 421 A",STOCK!B2:Q3677,3,FALSE),"SIN STOCK")</f>
        <v>SIN STOCK</v>
      </c>
      <c r="H65" s="27"/>
      <c r="I65" s="27"/>
      <c r="J65" s="27"/>
      <c r="K65" s="27"/>
      <c r="L65" s="27"/>
      <c r="M65" s="27"/>
      <c r="N65" s="27"/>
      <c r="O65" s="27"/>
      <c r="P65" s="27"/>
      <c r="Q65" s="27"/>
      <c r="R65" s="27"/>
      <c r="S65" s="27"/>
    </row>
    <row r="66" ht="15.75" customHeight="1">
      <c r="A66" s="33" t="s">
        <v>31</v>
      </c>
      <c r="B66" s="33" t="s">
        <v>203</v>
      </c>
      <c r="C66" s="34" t="s">
        <v>204</v>
      </c>
      <c r="D66" s="36" t="s">
        <v>175</v>
      </c>
      <c r="E66" s="36" t="s">
        <v>176</v>
      </c>
      <c r="F66" s="37">
        <v>0.21</v>
      </c>
      <c r="G66" s="46" t="str">
        <f>IFERROR(VLOOKUP("MZW 441 A",STOCK!B2:Q3677,3,FALSE),"SIN STOCK")</f>
        <v>SIN STOCK</v>
      </c>
      <c r="H66" s="27"/>
      <c r="I66" s="27"/>
      <c r="J66" s="27"/>
      <c r="K66" s="27"/>
      <c r="L66" s="27"/>
      <c r="M66" s="27"/>
      <c r="N66" s="27"/>
      <c r="O66" s="27"/>
      <c r="P66" s="27"/>
      <c r="Q66" s="27"/>
      <c r="R66" s="27"/>
      <c r="S66" s="27"/>
    </row>
    <row r="67" ht="15.75" customHeight="1">
      <c r="A67" s="54" t="s">
        <v>205</v>
      </c>
      <c r="B67" s="29"/>
      <c r="C67" s="29"/>
      <c r="D67" s="51"/>
      <c r="E67" s="31"/>
      <c r="F67" s="29"/>
      <c r="G67" s="29"/>
      <c r="H67" s="27"/>
      <c r="I67" s="27"/>
      <c r="J67" s="27"/>
      <c r="K67" s="27"/>
      <c r="L67" s="27"/>
      <c r="M67" s="27"/>
      <c r="N67" s="27"/>
      <c r="O67" s="27"/>
      <c r="P67" s="27"/>
      <c r="Q67" s="27"/>
      <c r="R67" s="27"/>
      <c r="S67" s="27"/>
    </row>
    <row r="68" ht="15.75" customHeight="1">
      <c r="A68" s="40" t="s">
        <v>31</v>
      </c>
      <c r="B68" s="55" t="s">
        <v>206</v>
      </c>
      <c r="C68" s="42" t="s">
        <v>207</v>
      </c>
      <c r="D68" s="43" t="s">
        <v>208</v>
      </c>
      <c r="E68" s="43" t="s">
        <v>209</v>
      </c>
      <c r="F68" s="44">
        <v>0.21</v>
      </c>
      <c r="G68" s="38" t="str">
        <f>IFERROR(VLOOKUP("EW-D 835-S SET (Q1-6)",STOCK!B2:Q3677,3,FALSE),"SIN STOCK")</f>
        <v>Mayor a 5</v>
      </c>
      <c r="H68" s="27"/>
      <c r="I68" s="27"/>
      <c r="J68" s="27"/>
      <c r="K68" s="27"/>
      <c r="L68" s="27"/>
      <c r="M68" s="27"/>
      <c r="N68" s="27"/>
      <c r="O68" s="27"/>
      <c r="P68" s="27"/>
      <c r="Q68" s="27"/>
      <c r="R68" s="27"/>
      <c r="S68" s="27"/>
    </row>
    <row r="69" ht="15.75" customHeight="1">
      <c r="A69" s="33" t="s">
        <v>31</v>
      </c>
      <c r="B69" s="45" t="s">
        <v>210</v>
      </c>
      <c r="C69" s="34" t="s">
        <v>211</v>
      </c>
      <c r="D69" s="36" t="s">
        <v>208</v>
      </c>
      <c r="E69" s="36" t="s">
        <v>209</v>
      </c>
      <c r="F69" s="37">
        <v>0.21</v>
      </c>
      <c r="G69" s="38" t="str">
        <f>IFERROR(VLOOKUP("EW-D ME2 SET (Q1-6)",STOCK!B2:Q3677,3,FALSE),"SIN STOCK")</f>
        <v>Mayor a 5</v>
      </c>
      <c r="H69" s="27"/>
      <c r="I69" s="27"/>
      <c r="J69" s="27"/>
      <c r="K69" s="27"/>
      <c r="L69" s="27"/>
      <c r="M69" s="27"/>
      <c r="N69" s="27"/>
      <c r="O69" s="27"/>
      <c r="P69" s="27"/>
      <c r="Q69" s="27"/>
      <c r="R69" s="27"/>
      <c r="S69" s="27"/>
    </row>
    <row r="70" ht="15.75" customHeight="1">
      <c r="A70" s="40" t="s">
        <v>31</v>
      </c>
      <c r="B70" s="41" t="s">
        <v>212</v>
      </c>
      <c r="C70" s="42" t="s">
        <v>213</v>
      </c>
      <c r="D70" s="43" t="s">
        <v>165</v>
      </c>
      <c r="E70" s="43" t="s">
        <v>166</v>
      </c>
      <c r="F70" s="44">
        <v>0.21</v>
      </c>
      <c r="G70" s="46" t="str">
        <f>IFERROR(VLOOKUP("EW-D ME3 SET (Q1-6)",STOCK!B2:Q3677,3,FALSE),"SIN STOCK")</f>
        <v>Menor a 5</v>
      </c>
      <c r="H70" s="27"/>
      <c r="I70" s="27"/>
      <c r="J70" s="27"/>
      <c r="K70" s="27"/>
      <c r="L70" s="27"/>
      <c r="M70" s="27"/>
      <c r="N70" s="27"/>
      <c r="O70" s="27"/>
      <c r="P70" s="27"/>
      <c r="Q70" s="27"/>
      <c r="R70" s="27"/>
      <c r="S70" s="27"/>
    </row>
    <row r="71" ht="15.75" customHeight="1">
      <c r="A71" s="33" t="s">
        <v>31</v>
      </c>
      <c r="B71" s="45" t="s">
        <v>214</v>
      </c>
      <c r="C71" s="34" t="s">
        <v>215</v>
      </c>
      <c r="D71" s="36" t="s">
        <v>208</v>
      </c>
      <c r="E71" s="36" t="s">
        <v>209</v>
      </c>
      <c r="F71" s="37">
        <v>0.21</v>
      </c>
      <c r="G71" s="46" t="str">
        <f>IFERROR(VLOOKUP("EW-D ME4 SET (Q1-6)",STOCK!B2:Q3677,3,FALSE),"SIN STOCK")</f>
        <v>Menor a 5</v>
      </c>
      <c r="H71" s="27"/>
      <c r="I71" s="27"/>
      <c r="J71" s="27"/>
      <c r="K71" s="27"/>
      <c r="L71" s="27"/>
      <c r="M71" s="27"/>
      <c r="N71" s="27"/>
      <c r="O71" s="27"/>
      <c r="P71" s="27"/>
      <c r="Q71" s="27"/>
      <c r="R71" s="27"/>
      <c r="S71" s="27"/>
    </row>
    <row r="72" ht="15.75" customHeight="1">
      <c r="A72" s="40" t="s">
        <v>31</v>
      </c>
      <c r="B72" s="41" t="s">
        <v>216</v>
      </c>
      <c r="C72" s="42" t="s">
        <v>217</v>
      </c>
      <c r="D72" s="43" t="s">
        <v>218</v>
      </c>
      <c r="E72" s="43" t="s">
        <v>219</v>
      </c>
      <c r="F72" s="44">
        <v>0.21</v>
      </c>
      <c r="G72" s="46" t="str">
        <f>IFERROR(VLOOKUP("EW-D CI1 SET (Q1-6)",STOCK!B2:Q3677,3,FALSE),"SIN STOCK")</f>
        <v>Menor a 5</v>
      </c>
      <c r="H72" s="27"/>
      <c r="I72" s="27"/>
      <c r="J72" s="27"/>
      <c r="K72" s="27"/>
      <c r="L72" s="27"/>
      <c r="M72" s="27"/>
      <c r="N72" s="27"/>
      <c r="O72" s="27"/>
      <c r="P72" s="27"/>
      <c r="Q72" s="27"/>
      <c r="R72" s="27"/>
      <c r="S72" s="27"/>
    </row>
    <row r="73" ht="15.75" customHeight="1">
      <c r="A73" s="33" t="s">
        <v>31</v>
      </c>
      <c r="B73" s="45" t="s">
        <v>220</v>
      </c>
      <c r="C73" s="34" t="s">
        <v>221</v>
      </c>
      <c r="D73" s="36" t="s">
        <v>222</v>
      </c>
      <c r="E73" s="36" t="s">
        <v>223</v>
      </c>
      <c r="F73" s="37">
        <v>0.21</v>
      </c>
      <c r="G73" s="46" t="str">
        <f>IFERROR(VLOOKUP("EW-D ME2/835-S SET (Q1-6)",STOCK!B2:Q3677,3,FALSE),"SIN STOCK")</f>
        <v>Mayor a 5</v>
      </c>
      <c r="H73" s="27"/>
      <c r="I73" s="27"/>
      <c r="J73" s="27"/>
      <c r="K73" s="27"/>
      <c r="L73" s="27"/>
      <c r="M73" s="27"/>
      <c r="N73" s="27"/>
      <c r="O73" s="27"/>
      <c r="P73" s="27"/>
      <c r="Q73" s="27"/>
      <c r="R73" s="27"/>
      <c r="S73" s="27"/>
    </row>
    <row r="74" ht="15.75" customHeight="1">
      <c r="A74" s="40" t="s">
        <v>31</v>
      </c>
      <c r="B74" s="52" t="s">
        <v>224</v>
      </c>
      <c r="C74" s="42" t="s">
        <v>225</v>
      </c>
      <c r="D74" s="43" t="s">
        <v>226</v>
      </c>
      <c r="E74" s="43" t="s">
        <v>227</v>
      </c>
      <c r="F74" s="44">
        <v>0.21</v>
      </c>
      <c r="G74" s="46" t="str">
        <f>IFERROR(VLOOKUP("EW-D SKM-S BASE SET (Q1-6)",STOCK!B2:Q3677,3,FALSE),"SIN STOCK")</f>
        <v>Menor a 5</v>
      </c>
      <c r="H74" s="27"/>
      <c r="I74" s="27"/>
      <c r="J74" s="27"/>
      <c r="K74" s="27"/>
      <c r="L74" s="27"/>
      <c r="M74" s="27"/>
      <c r="N74" s="27"/>
      <c r="O74" s="27"/>
      <c r="P74" s="27"/>
      <c r="Q74" s="27"/>
      <c r="R74" s="27"/>
      <c r="S74" s="27"/>
    </row>
    <row r="75" ht="15.75" customHeight="1">
      <c r="A75" s="33" t="s">
        <v>31</v>
      </c>
      <c r="B75" s="45" t="s">
        <v>228</v>
      </c>
      <c r="C75" s="34" t="s">
        <v>229</v>
      </c>
      <c r="D75" s="36" t="s">
        <v>226</v>
      </c>
      <c r="E75" s="36" t="s">
        <v>227</v>
      </c>
      <c r="F75" s="37">
        <v>0.21</v>
      </c>
      <c r="G75" s="46" t="str">
        <f>IFERROR(VLOOKUP("EW-D SK BASE SET (Q1-6)",STOCK!B2:Q3677,3,FALSE),"SIN STOCK")</f>
        <v>Menor a 5</v>
      </c>
      <c r="H75" s="27"/>
      <c r="I75" s="27"/>
      <c r="J75" s="27"/>
      <c r="K75" s="27"/>
      <c r="L75" s="27"/>
      <c r="M75" s="27"/>
      <c r="N75" s="27"/>
      <c r="O75" s="27"/>
      <c r="P75" s="27"/>
      <c r="Q75" s="27"/>
      <c r="R75" s="27"/>
      <c r="S75" s="27"/>
    </row>
    <row r="76" ht="15.75" customHeight="1">
      <c r="A76" s="54" t="s">
        <v>230</v>
      </c>
      <c r="B76" s="29"/>
      <c r="C76" s="29"/>
      <c r="D76" s="51"/>
      <c r="E76" s="31"/>
      <c r="F76" s="29"/>
      <c r="G76" s="29"/>
      <c r="H76" s="27"/>
      <c r="I76" s="27"/>
      <c r="J76" s="27"/>
      <c r="K76" s="27"/>
      <c r="L76" s="27"/>
      <c r="M76" s="27"/>
      <c r="N76" s="27"/>
      <c r="O76" s="27"/>
      <c r="P76" s="27"/>
      <c r="Q76" s="27"/>
      <c r="R76" s="27"/>
      <c r="S76" s="27"/>
    </row>
    <row r="77" ht="15.75" customHeight="1">
      <c r="A77" s="40" t="s">
        <v>31</v>
      </c>
      <c r="B77" s="52" t="s">
        <v>231</v>
      </c>
      <c r="C77" s="42" t="s">
        <v>232</v>
      </c>
      <c r="D77" s="43" t="s">
        <v>233</v>
      </c>
      <c r="E77" s="43" t="s">
        <v>234</v>
      </c>
      <c r="F77" s="44">
        <v>0.21</v>
      </c>
      <c r="G77" s="38" t="str">
        <f>IFERROR(VLOOKUP("EW-D SK (Q1-6)",STOCK!B2:Q3677,3,FALSE),"SIN STOCK")</f>
        <v>Mayor a 5</v>
      </c>
      <c r="H77" s="27"/>
      <c r="I77" s="27"/>
      <c r="J77" s="27"/>
      <c r="K77" s="27"/>
      <c r="L77" s="27"/>
      <c r="M77" s="27"/>
      <c r="N77" s="27"/>
      <c r="O77" s="27"/>
      <c r="P77" s="27"/>
      <c r="Q77" s="27"/>
      <c r="R77" s="27"/>
      <c r="S77" s="27"/>
    </row>
    <row r="78" ht="15.75" customHeight="1">
      <c r="A78" s="33" t="s">
        <v>31</v>
      </c>
      <c r="B78" s="45" t="s">
        <v>235</v>
      </c>
      <c r="C78" s="34" t="s">
        <v>236</v>
      </c>
      <c r="D78" s="36" t="s">
        <v>233</v>
      </c>
      <c r="E78" s="36" t="s">
        <v>234</v>
      </c>
      <c r="F78" s="37">
        <v>0.21</v>
      </c>
      <c r="G78" s="38" t="str">
        <f>IFERROR(VLOOKUP("EW-D SKM-S (Q1-6)",STOCK!B2:Q3677,3,FALSE),"SIN STOCK")</f>
        <v>Mayor a 5</v>
      </c>
      <c r="H78" s="27"/>
      <c r="I78" s="27"/>
      <c r="J78" s="27"/>
      <c r="K78" s="27"/>
      <c r="L78" s="27"/>
      <c r="M78" s="27"/>
      <c r="N78" s="27"/>
      <c r="O78" s="27"/>
      <c r="P78" s="27"/>
      <c r="Q78" s="27"/>
      <c r="R78" s="27"/>
      <c r="S78" s="27"/>
    </row>
    <row r="79" ht="15.75" customHeight="1">
      <c r="A79" s="40" t="s">
        <v>31</v>
      </c>
      <c r="B79" s="52" t="s">
        <v>237</v>
      </c>
      <c r="C79" s="42" t="s">
        <v>238</v>
      </c>
      <c r="D79" s="43" t="s">
        <v>233</v>
      </c>
      <c r="E79" s="43" t="s">
        <v>234</v>
      </c>
      <c r="F79" s="44">
        <v>0.21</v>
      </c>
      <c r="G79" s="46" t="str">
        <f>IFERROR(VLOOKUP("EW-D EM (Q1-6)",STOCK!B2:Q3677,3,FALSE),"SIN STOCK")</f>
        <v>Menor a 5</v>
      </c>
      <c r="H79" s="27"/>
      <c r="I79" s="27"/>
      <c r="J79" s="27"/>
      <c r="K79" s="27"/>
      <c r="L79" s="27"/>
      <c r="M79" s="27"/>
      <c r="N79" s="27"/>
      <c r="O79" s="27"/>
      <c r="P79" s="27"/>
      <c r="Q79" s="27"/>
      <c r="R79" s="27"/>
      <c r="S79" s="27"/>
    </row>
    <row r="80" ht="15.75" customHeight="1">
      <c r="A80" s="28" t="s">
        <v>239</v>
      </c>
      <c r="C80" s="29"/>
      <c r="D80" s="51"/>
      <c r="E80" s="31"/>
      <c r="F80" s="29"/>
      <c r="G80" s="29"/>
      <c r="H80" s="27"/>
      <c r="I80" s="27"/>
      <c r="J80" s="27"/>
      <c r="K80" s="27"/>
      <c r="L80" s="27"/>
      <c r="M80" s="27"/>
      <c r="N80" s="27"/>
      <c r="O80" s="27"/>
      <c r="P80" s="27"/>
      <c r="Q80" s="27"/>
      <c r="R80" s="27"/>
      <c r="S80" s="27"/>
    </row>
    <row r="81" ht="15.75" customHeight="1">
      <c r="A81" s="40" t="s">
        <v>31</v>
      </c>
      <c r="B81" s="41" t="s">
        <v>240</v>
      </c>
      <c r="C81" s="42" t="s">
        <v>241</v>
      </c>
      <c r="D81" s="43" t="s">
        <v>242</v>
      </c>
      <c r="E81" s="43" t="s">
        <v>243</v>
      </c>
      <c r="F81" s="44">
        <v>0.21</v>
      </c>
      <c r="G81" s="38" t="str">
        <f>IFERROR(VLOOKUP("EW-DX 835-S SET (Q1-9)",STOCK!B2:Q3677,3,FALSE),"SIN STOCK")</f>
        <v>Mayor a 5</v>
      </c>
      <c r="H81" s="27"/>
      <c r="I81" s="27"/>
      <c r="J81" s="27"/>
      <c r="K81" s="27"/>
      <c r="L81" s="27"/>
      <c r="M81" s="27"/>
      <c r="N81" s="27"/>
      <c r="O81" s="27"/>
      <c r="P81" s="27"/>
      <c r="Q81" s="27"/>
      <c r="R81" s="27"/>
      <c r="S81" s="27"/>
    </row>
    <row r="82" ht="15.75" customHeight="1">
      <c r="A82" s="33" t="s">
        <v>31</v>
      </c>
      <c r="B82" s="45" t="s">
        <v>244</v>
      </c>
      <c r="C82" s="34" t="s">
        <v>245</v>
      </c>
      <c r="D82" s="36" t="s">
        <v>246</v>
      </c>
      <c r="E82" s="36" t="s">
        <v>247</v>
      </c>
      <c r="F82" s="37">
        <v>0.21</v>
      </c>
      <c r="G82" s="38" t="str">
        <f>IFERROR(VLOOKUP("EW-DX MKE 2 SET (Q1-9)",STOCK!B2:Q3677,3,FALSE),"SIN STOCK")</f>
        <v>Mayor a 5</v>
      </c>
      <c r="H82" s="27"/>
      <c r="I82" s="27"/>
      <c r="J82" s="27"/>
      <c r="K82" s="27"/>
      <c r="L82" s="27"/>
      <c r="M82" s="27"/>
      <c r="N82" s="27"/>
      <c r="O82" s="27"/>
      <c r="P82" s="27"/>
      <c r="Q82" s="27"/>
      <c r="R82" s="27"/>
      <c r="S82" s="27"/>
    </row>
    <row r="83" ht="15.75" customHeight="1">
      <c r="A83" s="40" t="s">
        <v>31</v>
      </c>
      <c r="B83" s="41" t="s">
        <v>248</v>
      </c>
      <c r="C83" s="42" t="s">
        <v>249</v>
      </c>
      <c r="D83" s="43" t="s">
        <v>250</v>
      </c>
      <c r="E83" s="43" t="s">
        <v>251</v>
      </c>
      <c r="F83" s="44">
        <v>0.21</v>
      </c>
      <c r="G83" s="46" t="str">
        <f>IFERROR(VLOOKUP("EW-DX MKE 2-835-S SET (Q1-9)",STOCK!B2:Q3677,3,FALSE),"SIN STOCK")</f>
        <v>SIN STOCK</v>
      </c>
      <c r="H83" s="27"/>
      <c r="I83" s="27"/>
      <c r="J83" s="27"/>
      <c r="K83" s="27"/>
      <c r="L83" s="27"/>
      <c r="M83" s="27"/>
      <c r="N83" s="27"/>
      <c r="O83" s="27"/>
      <c r="P83" s="27"/>
      <c r="Q83" s="27"/>
      <c r="R83" s="27"/>
      <c r="S83" s="27"/>
    </row>
    <row r="84" ht="15.75" customHeight="1">
      <c r="A84" s="33" t="s">
        <v>31</v>
      </c>
      <c r="B84" s="56" t="s">
        <v>252</v>
      </c>
      <c r="C84" s="57"/>
      <c r="D84" s="58"/>
      <c r="E84" s="36" t="s">
        <v>251</v>
      </c>
      <c r="F84" s="37">
        <v>0.21</v>
      </c>
      <c r="G84" s="38" t="str">
        <f>IFERROR(VLOOKUP("EW-DX MKE 2 / 835-S SET (Q1-9)",STOCK!B2:Q3677,3,FALSE),"SIN STOCK")</f>
        <v>Mayor a 5</v>
      </c>
      <c r="H84" s="27"/>
      <c r="I84" s="27"/>
      <c r="J84" s="27"/>
      <c r="K84" s="27"/>
      <c r="L84" s="27"/>
      <c r="M84" s="27"/>
      <c r="N84" s="27"/>
      <c r="O84" s="27"/>
      <c r="P84" s="27"/>
      <c r="Q84" s="27"/>
      <c r="R84" s="27"/>
      <c r="S84" s="27"/>
    </row>
    <row r="85" ht="15.75" customHeight="1">
      <c r="A85" s="40" t="s">
        <v>31</v>
      </c>
      <c r="B85" s="41" t="s">
        <v>253</v>
      </c>
      <c r="C85" s="42" t="s">
        <v>254</v>
      </c>
      <c r="D85" s="43" t="s">
        <v>255</v>
      </c>
      <c r="E85" s="43" t="s">
        <v>256</v>
      </c>
      <c r="F85" s="44">
        <v>0.21</v>
      </c>
      <c r="G85" s="46" t="str">
        <f>IFERROR(VLOOKUP("EW-DX SK-SKM-S BASE SET (Q1-9)",STOCK!B2:Q3677,3,FALSE),"SIN STOCK")</f>
        <v>SIN STOCK</v>
      </c>
      <c r="H85" s="27"/>
      <c r="I85" s="27"/>
      <c r="J85" s="27"/>
      <c r="K85" s="27"/>
      <c r="L85" s="27"/>
      <c r="M85" s="27"/>
      <c r="N85" s="27"/>
      <c r="O85" s="27"/>
      <c r="P85" s="27"/>
      <c r="Q85" s="27"/>
      <c r="R85" s="27"/>
      <c r="S85" s="27"/>
    </row>
    <row r="86" ht="15.75" customHeight="1">
      <c r="A86" s="54" t="s">
        <v>257</v>
      </c>
      <c r="B86" s="29"/>
      <c r="C86" s="29"/>
      <c r="D86" s="51"/>
      <c r="E86" s="31"/>
      <c r="F86" s="29"/>
      <c r="G86" s="29"/>
      <c r="H86" s="27"/>
      <c r="I86" s="27"/>
      <c r="J86" s="27"/>
      <c r="K86" s="27"/>
      <c r="L86" s="27"/>
      <c r="M86" s="27"/>
      <c r="N86" s="27"/>
      <c r="O86" s="27"/>
      <c r="P86" s="27"/>
      <c r="Q86" s="27"/>
      <c r="R86" s="27"/>
      <c r="S86" s="27"/>
    </row>
    <row r="87" ht="15.75" customHeight="1">
      <c r="A87" s="33" t="s">
        <v>31</v>
      </c>
      <c r="B87" s="45" t="s">
        <v>258</v>
      </c>
      <c r="C87" s="34" t="s">
        <v>259</v>
      </c>
      <c r="D87" s="36" t="s">
        <v>165</v>
      </c>
      <c r="E87" s="36" t="s">
        <v>166</v>
      </c>
      <c r="F87" s="37">
        <v>0.21</v>
      </c>
      <c r="G87" s="46" t="str">
        <f>IFERROR(VLOOKUP("EW-DX SK 3-PIN",STOCK!B2:Q3677,3,FALSE),"SIN STOCK")</f>
        <v>SIN STOCK</v>
      </c>
      <c r="H87" s="27"/>
      <c r="I87" s="27"/>
      <c r="J87" s="27"/>
      <c r="K87" s="27"/>
      <c r="L87" s="27"/>
      <c r="M87" s="27"/>
      <c r="N87" s="27"/>
      <c r="O87" s="27"/>
      <c r="P87" s="27"/>
      <c r="Q87" s="27"/>
      <c r="R87" s="27"/>
      <c r="S87" s="27"/>
    </row>
    <row r="88" ht="15.75" customHeight="1">
      <c r="A88" s="40" t="s">
        <v>31</v>
      </c>
      <c r="B88" s="41" t="s">
        <v>260</v>
      </c>
      <c r="C88" s="42" t="s">
        <v>261</v>
      </c>
      <c r="D88" s="43" t="s">
        <v>262</v>
      </c>
      <c r="E88" s="43" t="s">
        <v>263</v>
      </c>
      <c r="F88" s="44">
        <v>0.21</v>
      </c>
      <c r="G88" s="46" t="str">
        <f>IFERROR(VLOOKUP("EW-DX SK (Q1-9)",STOCK!B2:Q3677,3,FALSE),"SIN STOCK")</f>
        <v>Mayor a 5</v>
      </c>
      <c r="H88" s="27"/>
      <c r="I88" s="27"/>
      <c r="J88" s="27"/>
      <c r="K88" s="27"/>
      <c r="L88" s="27"/>
      <c r="M88" s="27"/>
      <c r="N88" s="27"/>
      <c r="O88" s="27"/>
      <c r="P88" s="27"/>
      <c r="Q88" s="27"/>
      <c r="R88" s="27"/>
      <c r="S88" s="27"/>
    </row>
    <row r="89" ht="15.75" customHeight="1">
      <c r="A89" s="33" t="s">
        <v>31</v>
      </c>
      <c r="B89" s="45" t="s">
        <v>264</v>
      </c>
      <c r="C89" s="34" t="s">
        <v>265</v>
      </c>
      <c r="D89" s="36" t="s">
        <v>142</v>
      </c>
      <c r="E89" s="36" t="s">
        <v>143</v>
      </c>
      <c r="F89" s="37">
        <v>0.21</v>
      </c>
      <c r="G89" s="38" t="str">
        <f>IFERROR(VLOOKUP("EW-DX SK 3-PIN (Q1-9)",STOCK!B2:Q3677,3,FALSE),"SIN STOCK")</f>
        <v>Mayor a 5</v>
      </c>
      <c r="H89" s="27"/>
      <c r="I89" s="27"/>
      <c r="J89" s="27"/>
      <c r="K89" s="27"/>
      <c r="L89" s="27"/>
      <c r="M89" s="27"/>
      <c r="N89" s="27"/>
      <c r="O89" s="27"/>
      <c r="P89" s="27"/>
      <c r="Q89" s="27"/>
      <c r="R89" s="27"/>
      <c r="S89" s="27"/>
    </row>
    <row r="90" ht="15.75" customHeight="1">
      <c r="A90" s="40" t="s">
        <v>31</v>
      </c>
      <c r="B90" s="41" t="s">
        <v>266</v>
      </c>
      <c r="C90" s="42" t="s">
        <v>267</v>
      </c>
      <c r="D90" s="43" t="s">
        <v>262</v>
      </c>
      <c r="E90" s="43" t="s">
        <v>263</v>
      </c>
      <c r="F90" s="44">
        <v>0.21</v>
      </c>
      <c r="G90" s="46" t="str">
        <f>IFERROR(VLOOKUP("EW-DX SKM (Q1-9)",STOCK!B2:Q3677,3,FALSE),"SIN STOCK")</f>
        <v>Mayor a 5</v>
      </c>
      <c r="H90" s="27"/>
      <c r="I90" s="27"/>
      <c r="J90" s="27"/>
      <c r="K90" s="27"/>
      <c r="L90" s="27"/>
      <c r="M90" s="27"/>
      <c r="N90" s="27"/>
      <c r="O90" s="27"/>
      <c r="P90" s="27"/>
      <c r="Q90" s="27"/>
      <c r="R90" s="27"/>
      <c r="S90" s="27"/>
    </row>
    <row r="91" ht="15.75" customHeight="1">
      <c r="A91" s="33" t="s">
        <v>31</v>
      </c>
      <c r="B91" s="45" t="s">
        <v>268</v>
      </c>
      <c r="C91" s="34" t="s">
        <v>269</v>
      </c>
      <c r="D91" s="36" t="s">
        <v>262</v>
      </c>
      <c r="E91" s="36" t="s">
        <v>263</v>
      </c>
      <c r="F91" s="37">
        <v>0.21</v>
      </c>
      <c r="G91" s="46" t="str">
        <f>IFERROR(VLOOKUP("EW-DX SKM-S (Q1-9)",STOCK!B2:Q3677,3,FALSE),"SIN STOCK")</f>
        <v>SIN STOCK</v>
      </c>
      <c r="H91" s="27"/>
      <c r="I91" s="27"/>
      <c r="J91" s="27"/>
      <c r="K91" s="27"/>
      <c r="L91" s="27"/>
      <c r="M91" s="27"/>
      <c r="N91" s="27"/>
      <c r="O91" s="27"/>
      <c r="P91" s="27"/>
      <c r="Q91" s="27"/>
      <c r="R91" s="27"/>
      <c r="S91" s="27"/>
    </row>
    <row r="92" ht="15.75" customHeight="1">
      <c r="A92" s="40" t="s">
        <v>31</v>
      </c>
      <c r="B92" s="41" t="s">
        <v>270</v>
      </c>
      <c r="C92" s="42" t="s">
        <v>271</v>
      </c>
      <c r="D92" s="43" t="s">
        <v>272</v>
      </c>
      <c r="E92" s="43" t="s">
        <v>273</v>
      </c>
      <c r="F92" s="44">
        <v>0.21</v>
      </c>
      <c r="G92" s="46" t="str">
        <f>IFERROR(VLOOKUP("EW-DX EM 2 (Q1-9)",STOCK!B2:Q3677,3,FALSE),"SIN STOCK")</f>
        <v>SIN STOCK</v>
      </c>
      <c r="H92" s="27"/>
      <c r="I92" s="27"/>
      <c r="J92" s="27"/>
      <c r="K92" s="27"/>
      <c r="L92" s="27"/>
      <c r="M92" s="27"/>
      <c r="N92" s="27"/>
      <c r="O92" s="27"/>
      <c r="P92" s="27"/>
      <c r="Q92" s="27"/>
      <c r="R92" s="27"/>
      <c r="S92" s="27"/>
    </row>
    <row r="93" ht="15.75" customHeight="1">
      <c r="A93" s="33" t="s">
        <v>31</v>
      </c>
      <c r="B93" s="45" t="s">
        <v>274</v>
      </c>
      <c r="C93" s="34" t="s">
        <v>275</v>
      </c>
      <c r="D93" s="36" t="s">
        <v>276</v>
      </c>
      <c r="E93" s="36" t="s">
        <v>277</v>
      </c>
      <c r="F93" s="37">
        <v>0.21</v>
      </c>
      <c r="G93" s="46" t="str">
        <f>IFERROR(VLOOKUP("EW-DX EM 2 DANTE",STOCK!B2:Q3677,3,FALSE),"SIN STOCK")</f>
        <v>Mayor a 5</v>
      </c>
      <c r="H93" s="27"/>
      <c r="I93" s="27"/>
      <c r="J93" s="27"/>
      <c r="K93" s="27"/>
      <c r="L93" s="27"/>
      <c r="M93" s="27"/>
      <c r="N93" s="27"/>
      <c r="O93" s="27"/>
      <c r="P93" s="27"/>
      <c r="Q93" s="27"/>
      <c r="R93" s="27"/>
      <c r="S93" s="27"/>
    </row>
    <row r="94" ht="15.75" customHeight="1">
      <c r="A94" s="33" t="s">
        <v>31</v>
      </c>
      <c r="B94" s="45" t="s">
        <v>278</v>
      </c>
      <c r="C94" s="34" t="s">
        <v>279</v>
      </c>
      <c r="D94" s="36" t="s">
        <v>280</v>
      </c>
      <c r="E94" s="36" t="s">
        <v>281</v>
      </c>
      <c r="F94" s="37">
        <v>0.21</v>
      </c>
      <c r="G94" s="46" t="str">
        <f>IFERROR(VLOOKUP("EW-DX EM 4 DANTE",STOCK!B3:Q3678,3,FALSE),"SIN STOCK")</f>
        <v>Mayor a 5</v>
      </c>
      <c r="H94" s="27"/>
      <c r="I94" s="27"/>
      <c r="J94" s="27"/>
      <c r="K94" s="27"/>
      <c r="L94" s="27"/>
      <c r="M94" s="27"/>
      <c r="N94" s="27"/>
      <c r="O94" s="27"/>
      <c r="P94" s="27"/>
      <c r="Q94" s="27"/>
      <c r="R94" s="27"/>
      <c r="S94" s="27"/>
    </row>
    <row r="95" ht="15.75" customHeight="1">
      <c r="A95" s="54" t="s">
        <v>282</v>
      </c>
      <c r="B95" s="29"/>
      <c r="C95" s="29"/>
      <c r="D95" s="51"/>
      <c r="E95" s="31"/>
      <c r="F95" s="29"/>
      <c r="G95" s="29"/>
      <c r="H95" s="27"/>
      <c r="I95" s="27"/>
      <c r="J95" s="27"/>
      <c r="K95" s="27"/>
      <c r="L95" s="27"/>
      <c r="M95" s="27"/>
      <c r="N95" s="27"/>
      <c r="O95" s="27"/>
      <c r="P95" s="27"/>
      <c r="Q95" s="27"/>
      <c r="R95" s="27"/>
      <c r="S95" s="27"/>
    </row>
    <row r="96" ht="15.75" customHeight="1">
      <c r="A96" s="40" t="s">
        <v>31</v>
      </c>
      <c r="B96" s="40" t="s">
        <v>283</v>
      </c>
      <c r="C96" s="42" t="s">
        <v>284</v>
      </c>
      <c r="D96" s="43" t="s">
        <v>131</v>
      </c>
      <c r="E96" s="43" t="s">
        <v>132</v>
      </c>
      <c r="F96" s="44">
        <v>0.21</v>
      </c>
      <c r="G96" s="38" t="str">
        <f>IFERROR(VLOOKUP("CHG 70N",STOCK!B2:Q3677,3,FALSE),"SIN STOCK")</f>
        <v>Mayor a 5</v>
      </c>
      <c r="H96" s="27"/>
      <c r="I96" s="27"/>
      <c r="J96" s="27"/>
      <c r="K96" s="27"/>
      <c r="L96" s="27"/>
      <c r="M96" s="27"/>
      <c r="N96" s="27"/>
      <c r="O96" s="27"/>
      <c r="P96" s="27"/>
      <c r="Q96" s="27"/>
      <c r="R96" s="27"/>
      <c r="S96" s="27"/>
    </row>
    <row r="97" ht="15.75" customHeight="1">
      <c r="A97" s="33" t="s">
        <v>31</v>
      </c>
      <c r="B97" s="45" t="s">
        <v>285</v>
      </c>
      <c r="C97" s="57"/>
      <c r="D97" s="36" t="s">
        <v>77</v>
      </c>
      <c r="E97" s="36" t="s">
        <v>78</v>
      </c>
      <c r="F97" s="37">
        <v>0.21</v>
      </c>
      <c r="G97" s="46" t="str">
        <f>IFERROR(VLOOKUP("CHG 70N + PSU KIT",STOCK!B2:Q3677,3,FALSE),"SIN STOCK")</f>
        <v>SIN STOCK</v>
      </c>
      <c r="H97" s="27"/>
      <c r="I97" s="27"/>
      <c r="J97" s="27"/>
      <c r="K97" s="27"/>
      <c r="L97" s="27"/>
      <c r="M97" s="27"/>
      <c r="N97" s="27"/>
      <c r="O97" s="27"/>
      <c r="P97" s="27"/>
      <c r="Q97" s="27"/>
      <c r="R97" s="27"/>
      <c r="S97" s="27"/>
    </row>
    <row r="98" ht="15.75" customHeight="1">
      <c r="A98" s="40" t="s">
        <v>31</v>
      </c>
      <c r="B98" s="41" t="s">
        <v>286</v>
      </c>
      <c r="C98" s="42" t="s">
        <v>287</v>
      </c>
      <c r="D98" s="43" t="s">
        <v>41</v>
      </c>
      <c r="E98" s="43" t="s">
        <v>42</v>
      </c>
      <c r="F98" s="44">
        <v>0.21</v>
      </c>
      <c r="G98" s="46" t="str">
        <f>IFERROR(VLOOKUP("EW-D CHARGING SET",STOCK!B2:Q3677,3,FALSE),"SIN STOCK")</f>
        <v>Mayor a 5</v>
      </c>
      <c r="H98" s="27"/>
      <c r="I98" s="27"/>
      <c r="J98" s="27"/>
      <c r="K98" s="27"/>
      <c r="L98" s="27"/>
      <c r="M98" s="27"/>
      <c r="N98" s="27"/>
      <c r="O98" s="27"/>
      <c r="P98" s="27"/>
      <c r="Q98" s="27"/>
      <c r="R98" s="27"/>
      <c r="S98" s="27"/>
    </row>
    <row r="99" ht="15.75" customHeight="1">
      <c r="A99" s="33" t="s">
        <v>31</v>
      </c>
      <c r="B99" s="45" t="s">
        <v>288</v>
      </c>
      <c r="C99" s="34" t="s">
        <v>289</v>
      </c>
      <c r="D99" s="36" t="s">
        <v>197</v>
      </c>
      <c r="E99" s="36" t="s">
        <v>198</v>
      </c>
      <c r="F99" s="37">
        <v>0.21</v>
      </c>
      <c r="G99" s="49" t="str">
        <f>IFERROR(VLOOKUP("L 70 USB",STOCK!B2:Q3677,3,FALSE),"SIN STOCK")</f>
        <v>Menor a 5</v>
      </c>
      <c r="H99" s="27"/>
      <c r="I99" s="27"/>
      <c r="J99" s="27"/>
      <c r="K99" s="27"/>
      <c r="L99" s="27"/>
      <c r="M99" s="27"/>
      <c r="N99" s="27"/>
      <c r="O99" s="27"/>
      <c r="P99" s="27"/>
      <c r="Q99" s="27"/>
      <c r="R99" s="27"/>
      <c r="S99" s="27"/>
    </row>
    <row r="100" ht="15.75" customHeight="1">
      <c r="A100" s="40" t="s">
        <v>31</v>
      </c>
      <c r="B100" s="41" t="s">
        <v>290</v>
      </c>
      <c r="C100" s="42" t="s">
        <v>291</v>
      </c>
      <c r="D100" s="43" t="s">
        <v>88</v>
      </c>
      <c r="E100" s="43" t="s">
        <v>89</v>
      </c>
      <c r="F100" s="44">
        <v>0.21</v>
      </c>
      <c r="G100" s="46" t="str">
        <f>IFERROR(VLOOKUP("BA 70",STOCK!B2:Q3677,3,FALSE),"SIN STOCK")</f>
        <v>Mayor a 5</v>
      </c>
      <c r="H100" s="27"/>
      <c r="I100" s="27"/>
      <c r="J100" s="27"/>
      <c r="K100" s="27"/>
      <c r="L100" s="27"/>
      <c r="M100" s="27"/>
      <c r="N100" s="27"/>
      <c r="O100" s="27"/>
      <c r="P100" s="27"/>
      <c r="Q100" s="27"/>
      <c r="R100" s="27"/>
      <c r="S100" s="27"/>
    </row>
    <row r="101" ht="15.75" customHeight="1">
      <c r="A101" s="33" t="s">
        <v>31</v>
      </c>
      <c r="B101" s="45" t="s">
        <v>292</v>
      </c>
      <c r="C101" s="34" t="s">
        <v>293</v>
      </c>
      <c r="D101" s="36" t="s">
        <v>294</v>
      </c>
      <c r="E101" s="36" t="s">
        <v>295</v>
      </c>
      <c r="F101" s="37">
        <v>0.21</v>
      </c>
      <c r="G101" s="46" t="str">
        <f>IFERROR(VLOOKUP("NT 5-20 UCW",STOCK!B2:Q3677,3,FALSE),"SIN STOCK")</f>
        <v>SIN STOCK</v>
      </c>
      <c r="H101" s="27"/>
      <c r="I101" s="27"/>
      <c r="J101" s="27"/>
      <c r="K101" s="27"/>
      <c r="L101" s="27"/>
      <c r="M101" s="27"/>
      <c r="N101" s="27"/>
      <c r="O101" s="27"/>
      <c r="P101" s="27"/>
      <c r="Q101" s="27"/>
      <c r="R101" s="27"/>
      <c r="S101" s="27"/>
    </row>
    <row r="102" ht="15.75" customHeight="1">
      <c r="A102" s="40" t="s">
        <v>31</v>
      </c>
      <c r="B102" s="41" t="s">
        <v>296</v>
      </c>
      <c r="C102" s="42" t="s">
        <v>297</v>
      </c>
      <c r="D102" s="43" t="s">
        <v>88</v>
      </c>
      <c r="E102" s="43" t="s">
        <v>89</v>
      </c>
      <c r="F102" s="44">
        <v>0.21</v>
      </c>
      <c r="G102" s="46" t="str">
        <f>IFERROR(VLOOKUP("NT 12-35 CS",STOCK!B2:Q3677,3,FALSE),"SIN STOCK")</f>
        <v>SIN STOCK</v>
      </c>
      <c r="H102" s="27"/>
      <c r="I102" s="27"/>
      <c r="J102" s="27"/>
      <c r="K102" s="27"/>
      <c r="L102" s="27"/>
      <c r="M102" s="27"/>
      <c r="N102" s="27"/>
      <c r="O102" s="27"/>
      <c r="P102" s="27"/>
      <c r="Q102" s="27"/>
      <c r="R102" s="27"/>
      <c r="S102" s="27"/>
    </row>
    <row r="103" ht="15.75" customHeight="1">
      <c r="A103" s="33" t="s">
        <v>31</v>
      </c>
      <c r="B103" s="45" t="s">
        <v>298</v>
      </c>
      <c r="C103" s="34" t="s">
        <v>299</v>
      </c>
      <c r="D103" s="36" t="s">
        <v>294</v>
      </c>
      <c r="E103" s="36" t="s">
        <v>295</v>
      </c>
      <c r="F103" s="37">
        <v>0.21</v>
      </c>
      <c r="G103" s="46" t="str">
        <f>IFERROR(VLOOKUP("EW-D POWER SUPPLY",STOCK!B2:Q3677,3,FALSE),"SIN STOCK")</f>
        <v>SIN STOCK</v>
      </c>
      <c r="H103" s="27"/>
      <c r="I103" s="27"/>
      <c r="J103" s="27"/>
      <c r="K103" s="27"/>
      <c r="L103" s="27"/>
      <c r="M103" s="27"/>
      <c r="N103" s="27"/>
      <c r="O103" s="27"/>
      <c r="P103" s="27"/>
      <c r="Q103" s="27"/>
      <c r="R103" s="27"/>
      <c r="S103" s="27"/>
    </row>
    <row r="104" ht="15.75" customHeight="1">
      <c r="A104" s="40" t="s">
        <v>31</v>
      </c>
      <c r="B104" s="41" t="s">
        <v>300</v>
      </c>
      <c r="C104" s="42" t="s">
        <v>301</v>
      </c>
      <c r="D104" s="43" t="s">
        <v>294</v>
      </c>
      <c r="E104" s="43" t="s">
        <v>295</v>
      </c>
      <c r="F104" s="44">
        <v>0.21</v>
      </c>
      <c r="G104" s="46" t="str">
        <f>IFERROR(VLOOKUP("EW-D POWER DISTRIBUTION CABLE",STOCK!B2:Q3677,3,FALSE),"SIN STOCK")</f>
        <v>Mayor a 5</v>
      </c>
      <c r="H104" s="27"/>
      <c r="I104" s="27"/>
      <c r="J104" s="27"/>
      <c r="K104" s="27"/>
      <c r="L104" s="27"/>
      <c r="M104" s="27"/>
      <c r="N104" s="27"/>
      <c r="O104" s="27"/>
      <c r="P104" s="27"/>
      <c r="Q104" s="27"/>
      <c r="R104" s="27"/>
      <c r="S104" s="27"/>
    </row>
    <row r="105" ht="15.75" customHeight="1">
      <c r="A105" s="54" t="s">
        <v>302</v>
      </c>
      <c r="B105" s="29"/>
      <c r="C105" s="29"/>
      <c r="D105" s="51"/>
      <c r="E105" s="31"/>
      <c r="F105" s="29"/>
      <c r="G105" s="29"/>
      <c r="H105" s="27"/>
      <c r="I105" s="27"/>
      <c r="J105" s="27"/>
      <c r="K105" s="27"/>
      <c r="L105" s="27"/>
      <c r="M105" s="27"/>
      <c r="N105" s="27"/>
      <c r="O105" s="27"/>
      <c r="P105" s="27"/>
      <c r="Q105" s="27"/>
      <c r="R105" s="27"/>
      <c r="S105" s="27"/>
    </row>
    <row r="106" ht="15.75" customHeight="1">
      <c r="A106" s="40" t="s">
        <v>31</v>
      </c>
      <c r="B106" s="41" t="s">
        <v>303</v>
      </c>
      <c r="C106" s="42" t="s">
        <v>304</v>
      </c>
      <c r="D106" s="43" t="s">
        <v>208</v>
      </c>
      <c r="E106" s="43" t="s">
        <v>209</v>
      </c>
      <c r="F106" s="44">
        <v>0.21</v>
      </c>
      <c r="G106" s="38" t="str">
        <f>IFERROR(VLOOKUP("EW-DP 835 SET (Q1-6)",STOCK!B2:Q3677,3,FALSE),"SIN STOCK")</f>
        <v>Mayor a 5</v>
      </c>
      <c r="H106" s="27"/>
      <c r="I106" s="27"/>
      <c r="J106" s="27"/>
      <c r="K106" s="27"/>
      <c r="L106" s="27"/>
      <c r="M106" s="27"/>
      <c r="N106" s="27"/>
      <c r="O106" s="27"/>
      <c r="P106" s="27"/>
      <c r="Q106" s="27"/>
      <c r="R106" s="27"/>
      <c r="S106" s="27"/>
    </row>
    <row r="107" ht="15.75" customHeight="1">
      <c r="A107" s="33" t="s">
        <v>31</v>
      </c>
      <c r="B107" s="45" t="s">
        <v>305</v>
      </c>
      <c r="C107" s="34" t="s">
        <v>306</v>
      </c>
      <c r="D107" s="36" t="s">
        <v>208</v>
      </c>
      <c r="E107" s="36" t="s">
        <v>209</v>
      </c>
      <c r="F107" s="37">
        <v>0.21</v>
      </c>
      <c r="G107" s="38" t="str">
        <f>IFERROR(VLOOKUP("EW-DP ME2 SET (Q1-6)",STOCK!B2:Q3677,3,FALSE),"SIN STOCK")</f>
        <v>Mayor a 5</v>
      </c>
      <c r="H107" s="27"/>
      <c r="I107" s="27"/>
      <c r="J107" s="27"/>
      <c r="K107" s="27"/>
      <c r="L107" s="27"/>
      <c r="M107" s="27"/>
      <c r="N107" s="27"/>
      <c r="O107" s="27"/>
      <c r="P107" s="27"/>
      <c r="Q107" s="27"/>
      <c r="R107" s="27"/>
      <c r="S107" s="27"/>
    </row>
    <row r="108" ht="15.75" customHeight="1">
      <c r="A108" s="40" t="s">
        <v>31</v>
      </c>
      <c r="B108" s="41" t="s">
        <v>307</v>
      </c>
      <c r="C108" s="42" t="s">
        <v>308</v>
      </c>
      <c r="D108" s="43" t="s">
        <v>208</v>
      </c>
      <c r="E108" s="43" t="s">
        <v>209</v>
      </c>
      <c r="F108" s="44">
        <v>0.21</v>
      </c>
      <c r="G108" s="46" t="str">
        <f>IFERROR(VLOOKUP("EW-DP ME4 SET (Q1-6)",STOCK!B2:Q3677,3,FALSE),"SIN STOCK")</f>
        <v>SIN STOCK</v>
      </c>
      <c r="H108" s="27"/>
      <c r="I108" s="27"/>
      <c r="J108" s="27"/>
      <c r="K108" s="27"/>
      <c r="L108" s="27"/>
      <c r="M108" s="27"/>
      <c r="N108" s="27"/>
      <c r="O108" s="27"/>
      <c r="P108" s="27"/>
      <c r="Q108" s="27"/>
      <c r="R108" s="27"/>
      <c r="S108" s="27"/>
    </row>
    <row r="109" ht="15.75" customHeight="1">
      <c r="A109" s="33" t="s">
        <v>31</v>
      </c>
      <c r="B109" s="45" t="s">
        <v>309</v>
      </c>
      <c r="C109" s="34" t="s">
        <v>310</v>
      </c>
      <c r="D109" s="36" t="s">
        <v>311</v>
      </c>
      <c r="E109" s="36" t="s">
        <v>312</v>
      </c>
      <c r="F109" s="37">
        <v>0.21</v>
      </c>
      <c r="G109" s="38" t="str">
        <f>IFERROR(VLOOKUP("EW-DP ENG SET (Q1-6)",STOCK!B2:Q3677,3,FALSE),"SIN STOCK")</f>
        <v>Mayor a 5</v>
      </c>
      <c r="H109" s="27"/>
      <c r="I109" s="27"/>
      <c r="J109" s="27"/>
      <c r="K109" s="27"/>
      <c r="L109" s="27"/>
      <c r="M109" s="27"/>
      <c r="N109" s="27"/>
      <c r="O109" s="27"/>
      <c r="P109" s="27"/>
      <c r="Q109" s="27"/>
      <c r="R109" s="27"/>
      <c r="S109" s="27"/>
    </row>
    <row r="110" ht="15.75" customHeight="1">
      <c r="A110" s="40" t="s">
        <v>31</v>
      </c>
      <c r="B110" s="41" t="s">
        <v>313</v>
      </c>
      <c r="C110" s="42" t="s">
        <v>314</v>
      </c>
      <c r="D110" s="43" t="s">
        <v>315</v>
      </c>
      <c r="E110" s="43" t="s">
        <v>316</v>
      </c>
      <c r="F110" s="44">
        <v>0.21</v>
      </c>
      <c r="G110" s="46" t="str">
        <f>IFERROR(VLOOKUP("EW-DP MOUNTING PLATE",STOCK!B2:Q3677,3,FALSE),"SIN STOCK")</f>
        <v>SIN STOCK</v>
      </c>
      <c r="H110" s="27"/>
      <c r="I110" s="27"/>
      <c r="J110" s="27"/>
      <c r="K110" s="27"/>
      <c r="L110" s="27"/>
      <c r="M110" s="27"/>
      <c r="N110" s="27"/>
      <c r="O110" s="27"/>
      <c r="P110" s="27"/>
      <c r="Q110" s="27"/>
      <c r="R110" s="27"/>
      <c r="S110" s="27"/>
    </row>
    <row r="111" ht="15.75" customHeight="1">
      <c r="A111" s="33" t="s">
        <v>31</v>
      </c>
      <c r="B111" s="45" t="s">
        <v>317</v>
      </c>
      <c r="C111" s="34" t="s">
        <v>318</v>
      </c>
      <c r="D111" s="36" t="s">
        <v>161</v>
      </c>
      <c r="E111" s="36" t="s">
        <v>162</v>
      </c>
      <c r="F111" s="37">
        <v>0.21</v>
      </c>
      <c r="G111" s="46" t="str">
        <f>IFERROR(VLOOKUP("EW-DP SKP (Q1-6)",STOCK!B2:Q3677,3,FALSE),"SIN STOCK")</f>
        <v>SIN STOCK</v>
      </c>
      <c r="H111" s="27"/>
      <c r="I111" s="27"/>
      <c r="J111" s="27"/>
      <c r="K111" s="27"/>
      <c r="L111" s="27"/>
      <c r="M111" s="27"/>
      <c r="N111" s="27"/>
      <c r="O111" s="27"/>
      <c r="P111" s="27"/>
      <c r="Q111" s="27"/>
      <c r="R111" s="27"/>
      <c r="S111" s="27"/>
    </row>
    <row r="112" ht="15.75" customHeight="1">
      <c r="A112" s="40" t="s">
        <v>31</v>
      </c>
      <c r="B112" s="41" t="s">
        <v>319</v>
      </c>
      <c r="C112" s="42" t="s">
        <v>320</v>
      </c>
      <c r="D112" s="43" t="s">
        <v>161</v>
      </c>
      <c r="E112" s="43" t="s">
        <v>162</v>
      </c>
      <c r="F112" s="44">
        <v>0.21</v>
      </c>
      <c r="G112" s="46" t="str">
        <f>IFERROR(VLOOKUP("EW-DP EK (Q1-6)",STOCK!B2:Q3677,3,FALSE),"SIN STOCK")</f>
        <v>SIN STOCK</v>
      </c>
      <c r="H112" s="27"/>
      <c r="I112" s="27"/>
      <c r="J112" s="27"/>
      <c r="K112" s="27"/>
      <c r="L112" s="27"/>
      <c r="M112" s="27"/>
      <c r="N112" s="27"/>
      <c r="O112" s="27"/>
      <c r="P112" s="27"/>
      <c r="Q112" s="27"/>
      <c r="R112" s="27"/>
      <c r="S112" s="27"/>
    </row>
    <row r="113" ht="15.75" customHeight="1">
      <c r="A113" s="33" t="s">
        <v>31</v>
      </c>
      <c r="B113" s="45" t="s">
        <v>321</v>
      </c>
      <c r="C113" s="34" t="s">
        <v>322</v>
      </c>
      <c r="D113" s="36" t="s">
        <v>315</v>
      </c>
      <c r="E113" s="36" t="s">
        <v>316</v>
      </c>
      <c r="F113" s="37">
        <v>0.21</v>
      </c>
      <c r="G113" s="46" t="str">
        <f>IFERROR(VLOOKUP("CL35-Y",STOCK!B2:Q3677,3,FALSE),"SIN STOCK")</f>
        <v>SIN STOCK</v>
      </c>
      <c r="H113" s="27"/>
      <c r="I113" s="27"/>
      <c r="J113" s="27"/>
      <c r="K113" s="27"/>
      <c r="L113" s="27"/>
      <c r="M113" s="27"/>
      <c r="N113" s="27"/>
      <c r="O113" s="27"/>
      <c r="P113" s="27"/>
      <c r="Q113" s="27"/>
      <c r="R113" s="27"/>
      <c r="S113" s="27"/>
    </row>
    <row r="114" ht="15.75" customHeight="1">
      <c r="A114" s="54" t="s">
        <v>323</v>
      </c>
      <c r="B114" s="29"/>
      <c r="C114" s="29"/>
      <c r="D114" s="51"/>
      <c r="E114" s="31"/>
      <c r="F114" s="29"/>
      <c r="G114" s="29"/>
      <c r="H114" s="27"/>
      <c r="I114" s="27"/>
      <c r="J114" s="27"/>
      <c r="K114" s="27"/>
      <c r="L114" s="27"/>
      <c r="M114" s="27"/>
      <c r="N114" s="27"/>
      <c r="O114" s="27"/>
      <c r="P114" s="27"/>
      <c r="Q114" s="27"/>
      <c r="R114" s="27"/>
      <c r="S114" s="27"/>
    </row>
    <row r="115" ht="15.75" customHeight="1">
      <c r="A115" s="40" t="s">
        <v>31</v>
      </c>
      <c r="B115" s="41" t="s">
        <v>324</v>
      </c>
      <c r="C115" s="42" t="s">
        <v>325</v>
      </c>
      <c r="D115" s="43" t="s">
        <v>165</v>
      </c>
      <c r="E115" s="43" t="s">
        <v>166</v>
      </c>
      <c r="F115" s="44">
        <v>0.21</v>
      </c>
      <c r="G115" s="38" t="str">
        <f>IFERROR(VLOOKUP("ew 100 G4-835-S-A1",STOCK!B2:Q3677,3,FALSE),"SIN STOCK")</f>
        <v>Menor a 5</v>
      </c>
      <c r="H115" s="27"/>
      <c r="I115" s="27"/>
      <c r="J115" s="27"/>
      <c r="K115" s="27"/>
      <c r="L115" s="27"/>
      <c r="M115" s="27"/>
      <c r="N115" s="27"/>
      <c r="O115" s="27"/>
      <c r="P115" s="27"/>
      <c r="Q115" s="27"/>
      <c r="R115" s="27"/>
      <c r="S115" s="27"/>
    </row>
    <row r="116" ht="15.75" customHeight="1">
      <c r="A116" s="33" t="s">
        <v>31</v>
      </c>
      <c r="B116" s="45" t="s">
        <v>326</v>
      </c>
      <c r="C116" s="34" t="s">
        <v>327</v>
      </c>
      <c r="D116" s="36" t="s">
        <v>165</v>
      </c>
      <c r="E116" s="36" t="s">
        <v>166</v>
      </c>
      <c r="F116" s="37">
        <v>0.21</v>
      </c>
      <c r="G116" s="38" t="str">
        <f>IFERROR(VLOOKUP("ew 100 G4-835-S-B",STOCK!B2:Q3677,3,FALSE),"SIN STOCK")</f>
        <v>Menor a 5</v>
      </c>
      <c r="H116" s="27"/>
      <c r="I116" s="27"/>
      <c r="J116" s="27"/>
      <c r="K116" s="27"/>
      <c r="L116" s="27"/>
      <c r="M116" s="27"/>
      <c r="N116" s="27"/>
      <c r="O116" s="27"/>
      <c r="P116" s="27"/>
      <c r="Q116" s="27"/>
      <c r="R116" s="27"/>
      <c r="S116" s="27"/>
    </row>
    <row r="117" ht="15.75" customHeight="1">
      <c r="A117" s="40" t="s">
        <v>31</v>
      </c>
      <c r="B117" s="41" t="s">
        <v>328</v>
      </c>
      <c r="C117" s="42" t="s">
        <v>329</v>
      </c>
      <c r="D117" s="43" t="s">
        <v>165</v>
      </c>
      <c r="E117" s="43" t="s">
        <v>166</v>
      </c>
      <c r="F117" s="44">
        <v>0.21</v>
      </c>
      <c r="G117" s="38" t="str">
        <f>IFERROR(VLOOKUP("ew 100 G4-835-S-G",STOCK!B2:Q3677,3,FALSE),"SIN STOCK")</f>
        <v>Menor a 5</v>
      </c>
      <c r="H117" s="27"/>
      <c r="I117" s="27"/>
      <c r="J117" s="27"/>
      <c r="K117" s="27"/>
      <c r="L117" s="27"/>
      <c r="M117" s="27"/>
      <c r="N117" s="27"/>
      <c r="O117" s="27"/>
      <c r="P117" s="27"/>
      <c r="Q117" s="27"/>
      <c r="R117" s="27"/>
      <c r="S117" s="27"/>
    </row>
    <row r="118" ht="15.75" customHeight="1">
      <c r="A118" s="33" t="s">
        <v>31</v>
      </c>
      <c r="B118" s="45" t="s">
        <v>330</v>
      </c>
      <c r="C118" s="34" t="s">
        <v>331</v>
      </c>
      <c r="D118" s="36" t="s">
        <v>165</v>
      </c>
      <c r="E118" s="36" t="s">
        <v>166</v>
      </c>
      <c r="F118" s="37">
        <v>0.21</v>
      </c>
      <c r="G118" s="46" t="str">
        <f>IFERROR(VLOOKUP("EW 100 G4-845-S-A1",STOCK!B2:Q3677,3,FALSE),"SIN STOCK")</f>
        <v>SIN STOCK</v>
      </c>
      <c r="H118" s="27"/>
      <c r="I118" s="27"/>
      <c r="J118" s="27"/>
      <c r="K118" s="27"/>
      <c r="L118" s="27"/>
      <c r="M118" s="27"/>
      <c r="N118" s="27"/>
      <c r="O118" s="27"/>
      <c r="P118" s="27"/>
      <c r="Q118" s="27"/>
      <c r="R118" s="27"/>
      <c r="S118" s="27"/>
    </row>
    <row r="119" ht="15.75" customHeight="1">
      <c r="A119" s="40" t="s">
        <v>31</v>
      </c>
      <c r="B119" s="41" t="s">
        <v>332</v>
      </c>
      <c r="C119" s="42" t="s">
        <v>327</v>
      </c>
      <c r="D119" s="43" t="s">
        <v>165</v>
      </c>
      <c r="E119" s="43" t="s">
        <v>166</v>
      </c>
      <c r="F119" s="44">
        <v>0.21</v>
      </c>
      <c r="G119" s="46" t="str">
        <f>IFERROR(VLOOKUP("EW 100 G4-845-S-B",STOCK!B2:Q3677,3,FALSE),"SIN STOCK")</f>
        <v>SIN STOCK</v>
      </c>
      <c r="H119" s="27"/>
      <c r="I119" s="27"/>
      <c r="J119" s="27"/>
      <c r="K119" s="27"/>
      <c r="L119" s="27"/>
      <c r="M119" s="27"/>
      <c r="N119" s="27"/>
      <c r="O119" s="27"/>
      <c r="P119" s="27"/>
      <c r="Q119" s="27"/>
      <c r="R119" s="27"/>
      <c r="S119" s="27"/>
    </row>
    <row r="120" ht="15.75" customHeight="1">
      <c r="A120" s="33" t="s">
        <v>31</v>
      </c>
      <c r="B120" s="45" t="s">
        <v>333</v>
      </c>
      <c r="C120" s="34" t="s">
        <v>334</v>
      </c>
      <c r="D120" s="36" t="s">
        <v>311</v>
      </c>
      <c r="E120" s="36" t="s">
        <v>312</v>
      </c>
      <c r="F120" s="37">
        <v>0.21</v>
      </c>
      <c r="G120" s="46" t="str">
        <f>IFERROR(VLOOKUP("EW 100 G4-865-S-A1",STOCK!B2:Q3677,3,FALSE),"SIN STOCK")</f>
        <v>SIN STOCK</v>
      </c>
      <c r="H120" s="27"/>
      <c r="I120" s="27"/>
      <c r="J120" s="27"/>
      <c r="K120" s="27"/>
      <c r="L120" s="27"/>
      <c r="M120" s="27"/>
      <c r="N120" s="27"/>
      <c r="O120" s="27"/>
      <c r="P120" s="27"/>
      <c r="Q120" s="27"/>
      <c r="R120" s="27"/>
      <c r="S120" s="27"/>
    </row>
    <row r="121" ht="15.75" customHeight="1">
      <c r="A121" s="40" t="s">
        <v>31</v>
      </c>
      <c r="B121" s="41" t="s">
        <v>335</v>
      </c>
      <c r="C121" s="42" t="s">
        <v>327</v>
      </c>
      <c r="D121" s="43" t="s">
        <v>311</v>
      </c>
      <c r="E121" s="43" t="s">
        <v>312</v>
      </c>
      <c r="F121" s="44">
        <v>0.21</v>
      </c>
      <c r="G121" s="46" t="str">
        <f>IFERROR(VLOOKUP("EW 100 G4-865-S-B",STOCK!B2:Q3677,3,FALSE),"SIN STOCK")</f>
        <v>SIN STOCK</v>
      </c>
      <c r="H121" s="27"/>
      <c r="I121" s="27"/>
      <c r="J121" s="27"/>
      <c r="K121" s="27"/>
      <c r="L121" s="27"/>
      <c r="M121" s="27"/>
      <c r="N121" s="27"/>
      <c r="O121" s="27"/>
      <c r="P121" s="27"/>
      <c r="Q121" s="27"/>
      <c r="R121" s="27"/>
      <c r="S121" s="27"/>
    </row>
    <row r="122" ht="15.75" customHeight="1">
      <c r="A122" s="33" t="s">
        <v>31</v>
      </c>
      <c r="B122" s="45" t="s">
        <v>336</v>
      </c>
      <c r="C122" s="34" t="s">
        <v>337</v>
      </c>
      <c r="D122" s="36" t="s">
        <v>338</v>
      </c>
      <c r="E122" s="36" t="s">
        <v>339</v>
      </c>
      <c r="F122" s="37">
        <v>0.21</v>
      </c>
      <c r="G122" s="46" t="str">
        <f>IFERROR(VLOOKUP("EW 100 G4-935-S-A1",STOCK!B2:Q3677,3,FALSE),"SIN STOCK")</f>
        <v>SIN STOCK</v>
      </c>
      <c r="H122" s="27"/>
      <c r="I122" s="27"/>
      <c r="J122" s="27"/>
      <c r="K122" s="27"/>
      <c r="L122" s="27"/>
      <c r="M122" s="27"/>
      <c r="N122" s="27"/>
      <c r="O122" s="27"/>
      <c r="P122" s="27"/>
      <c r="Q122" s="27"/>
      <c r="R122" s="27"/>
      <c r="S122" s="27"/>
    </row>
    <row r="123" ht="15.75" customHeight="1">
      <c r="A123" s="40" t="s">
        <v>31</v>
      </c>
      <c r="B123" s="41" t="s">
        <v>340</v>
      </c>
      <c r="C123" s="42" t="s">
        <v>327</v>
      </c>
      <c r="D123" s="43" t="s">
        <v>338</v>
      </c>
      <c r="E123" s="43" t="s">
        <v>339</v>
      </c>
      <c r="F123" s="44">
        <v>0.21</v>
      </c>
      <c r="G123" s="46" t="str">
        <f>IFERROR(VLOOKUP("EW 100 G4-935-S-B",STOCK!B2:Q3677,3,FALSE),"SIN STOCK")</f>
        <v>SIN STOCK</v>
      </c>
      <c r="H123" s="27"/>
      <c r="I123" s="27"/>
      <c r="J123" s="27"/>
      <c r="K123" s="27"/>
      <c r="L123" s="27"/>
      <c r="M123" s="27"/>
      <c r="N123" s="27"/>
      <c r="O123" s="27"/>
      <c r="P123" s="27"/>
      <c r="Q123" s="27"/>
      <c r="R123" s="27"/>
      <c r="S123" s="27"/>
    </row>
    <row r="124" ht="15.75" customHeight="1">
      <c r="A124" s="33" t="s">
        <v>31</v>
      </c>
      <c r="B124" s="45" t="s">
        <v>341</v>
      </c>
      <c r="C124" s="34" t="s">
        <v>342</v>
      </c>
      <c r="D124" s="36" t="s">
        <v>338</v>
      </c>
      <c r="E124" s="36" t="s">
        <v>339</v>
      </c>
      <c r="F124" s="37">
        <v>0.21</v>
      </c>
      <c r="G124" s="46" t="str">
        <f>IFERROR(VLOOKUP("EW 100 G4-945-S-A1",STOCK!B2:Q3677,3,FALSE),"SIN STOCK")</f>
        <v>SIN STOCK</v>
      </c>
      <c r="H124" s="27"/>
      <c r="I124" s="27"/>
      <c r="J124" s="27"/>
      <c r="K124" s="27"/>
      <c r="L124" s="27"/>
      <c r="M124" s="27"/>
      <c r="N124" s="27"/>
      <c r="O124" s="27"/>
      <c r="P124" s="27"/>
      <c r="Q124" s="27"/>
      <c r="R124" s="27"/>
      <c r="S124" s="27"/>
    </row>
    <row r="125" ht="15.75" customHeight="1">
      <c r="A125" s="40" t="s">
        <v>31</v>
      </c>
      <c r="B125" s="41" t="s">
        <v>343</v>
      </c>
      <c r="C125" s="42" t="s">
        <v>327</v>
      </c>
      <c r="D125" s="43" t="s">
        <v>338</v>
      </c>
      <c r="E125" s="43" t="s">
        <v>339</v>
      </c>
      <c r="F125" s="44">
        <v>0.21</v>
      </c>
      <c r="G125" s="46" t="str">
        <f>IFERROR(VLOOKUP("EW 100 G4-945-S-B",STOCK!B2:Q3677,3,FALSE),"SIN STOCK")</f>
        <v>SIN STOCK</v>
      </c>
      <c r="H125" s="27"/>
      <c r="I125" s="27"/>
      <c r="J125" s="27"/>
      <c r="K125" s="27"/>
      <c r="L125" s="27"/>
      <c r="M125" s="27"/>
      <c r="N125" s="27"/>
      <c r="O125" s="27"/>
      <c r="P125" s="27"/>
      <c r="Q125" s="27"/>
      <c r="R125" s="27"/>
      <c r="S125" s="27"/>
    </row>
    <row r="126" ht="15.75" customHeight="1">
      <c r="A126" s="33" t="s">
        <v>31</v>
      </c>
      <c r="B126" s="45" t="s">
        <v>344</v>
      </c>
      <c r="C126" s="34" t="s">
        <v>345</v>
      </c>
      <c r="D126" s="36" t="s">
        <v>346</v>
      </c>
      <c r="E126" s="36" t="s">
        <v>347</v>
      </c>
      <c r="F126" s="37">
        <v>0.21</v>
      </c>
      <c r="G126" s="46" t="str">
        <f>IFERROR(VLOOKUP("EW 100 G4-CI1-A1",STOCK!B2:Q3677,3,FALSE),"SIN STOCK")</f>
        <v>SIN STOCK</v>
      </c>
      <c r="H126" s="27"/>
      <c r="I126" s="27"/>
      <c r="J126" s="27"/>
      <c r="K126" s="27"/>
      <c r="L126" s="27"/>
      <c r="M126" s="27"/>
      <c r="N126" s="27"/>
      <c r="O126" s="27"/>
      <c r="P126" s="27"/>
      <c r="Q126" s="27"/>
      <c r="R126" s="27"/>
      <c r="S126" s="27"/>
    </row>
    <row r="127" ht="15.75" customHeight="1">
      <c r="A127" s="40" t="s">
        <v>31</v>
      </c>
      <c r="B127" s="41" t="s">
        <v>348</v>
      </c>
      <c r="C127" s="42" t="s">
        <v>327</v>
      </c>
      <c r="D127" s="43" t="s">
        <v>346</v>
      </c>
      <c r="E127" s="43" t="s">
        <v>347</v>
      </c>
      <c r="F127" s="44">
        <v>0.21</v>
      </c>
      <c r="G127" s="46" t="str">
        <f>IFERROR(VLOOKUP("EW 100 G4-CI1-B",STOCK!B2:Q3677,3,FALSE),"SIN STOCK")</f>
        <v>SIN STOCK</v>
      </c>
      <c r="H127" s="27"/>
      <c r="I127" s="27"/>
      <c r="J127" s="27"/>
      <c r="K127" s="27"/>
      <c r="L127" s="27"/>
      <c r="M127" s="27"/>
      <c r="N127" s="27"/>
      <c r="O127" s="27"/>
      <c r="P127" s="27"/>
      <c r="Q127" s="27"/>
      <c r="R127" s="27"/>
      <c r="S127" s="27"/>
    </row>
    <row r="128" ht="15.75" customHeight="1">
      <c r="A128" s="33" t="s">
        <v>31</v>
      </c>
      <c r="B128" s="45" t="s">
        <v>349</v>
      </c>
      <c r="C128" s="34" t="s">
        <v>350</v>
      </c>
      <c r="D128" s="36" t="s">
        <v>272</v>
      </c>
      <c r="E128" s="36" t="s">
        <v>273</v>
      </c>
      <c r="F128" s="37">
        <v>0.21</v>
      </c>
      <c r="G128" s="38" t="str">
        <f>IFERROR(VLOOKUP("EW 100 G4-ME2/835-S-A1",STOCK!B2:Q3677,3,FALSE),"SIN STOCK")</f>
        <v>Menor a 5</v>
      </c>
      <c r="H128" s="27"/>
      <c r="I128" s="27"/>
      <c r="J128" s="27"/>
      <c r="K128" s="27"/>
      <c r="L128" s="27"/>
      <c r="M128" s="27"/>
      <c r="N128" s="27"/>
      <c r="O128" s="27"/>
      <c r="P128" s="27"/>
      <c r="Q128" s="27"/>
      <c r="R128" s="27"/>
      <c r="S128" s="27"/>
    </row>
    <row r="129" ht="15.75" customHeight="1">
      <c r="A129" s="40" t="s">
        <v>31</v>
      </c>
      <c r="B129" s="41" t="s">
        <v>351</v>
      </c>
      <c r="C129" s="42" t="s">
        <v>327</v>
      </c>
      <c r="D129" s="43" t="s">
        <v>272</v>
      </c>
      <c r="E129" s="43" t="s">
        <v>273</v>
      </c>
      <c r="F129" s="44">
        <v>0.21</v>
      </c>
      <c r="G129" s="49" t="str">
        <f>IFERROR(VLOOKUP("EW 100 G4-ME2/835-S-B",STOCK!B2:Q3677,3,FALSE),"SIN STOCK")</f>
        <v>Menor a 5</v>
      </c>
      <c r="H129" s="27"/>
      <c r="I129" s="27"/>
      <c r="J129" s="27"/>
      <c r="K129" s="27"/>
      <c r="L129" s="27"/>
      <c r="M129" s="27"/>
      <c r="N129" s="27"/>
      <c r="O129" s="27"/>
      <c r="P129" s="27"/>
      <c r="Q129" s="27"/>
      <c r="R129" s="27"/>
      <c r="S129" s="27"/>
    </row>
    <row r="130" ht="15.75" customHeight="1">
      <c r="A130" s="33" t="s">
        <v>31</v>
      </c>
      <c r="B130" s="45" t="s">
        <v>352</v>
      </c>
      <c r="C130" s="34" t="s">
        <v>353</v>
      </c>
      <c r="D130" s="36" t="s">
        <v>165</v>
      </c>
      <c r="E130" s="36" t="s">
        <v>166</v>
      </c>
      <c r="F130" s="37">
        <v>0.21</v>
      </c>
      <c r="G130" s="46" t="str">
        <f>IFERROR(VLOOKUP("EW 100 G4-ME2-A1",STOCK!B2:Q3677,3,FALSE),"SIN STOCK")</f>
        <v>Menor a 5</v>
      </c>
      <c r="H130" s="27"/>
      <c r="I130" s="27"/>
      <c r="J130" s="27"/>
      <c r="K130" s="27"/>
      <c r="L130" s="27"/>
      <c r="M130" s="27"/>
      <c r="N130" s="27"/>
      <c r="O130" s="27"/>
      <c r="P130" s="27"/>
      <c r="Q130" s="27"/>
      <c r="R130" s="27"/>
      <c r="S130" s="27"/>
    </row>
    <row r="131" ht="15.75" customHeight="1">
      <c r="A131" s="40" t="s">
        <v>31</v>
      </c>
      <c r="B131" s="41" t="s">
        <v>354</v>
      </c>
      <c r="C131" s="42" t="s">
        <v>327</v>
      </c>
      <c r="D131" s="43" t="s">
        <v>165</v>
      </c>
      <c r="E131" s="43" t="s">
        <v>166</v>
      </c>
      <c r="F131" s="44">
        <v>0.21</v>
      </c>
      <c r="G131" s="46" t="str">
        <f>IFERROR(VLOOKUP("EW 100 G4-ME2-B",STOCK!B2:Q3677,3,FALSE),"SIN STOCK")</f>
        <v>Menor a 5</v>
      </c>
      <c r="H131" s="27"/>
      <c r="I131" s="27"/>
      <c r="J131" s="27"/>
      <c r="K131" s="27"/>
      <c r="L131" s="27"/>
      <c r="M131" s="27"/>
      <c r="N131" s="27"/>
      <c r="O131" s="27"/>
      <c r="P131" s="27"/>
      <c r="Q131" s="27"/>
      <c r="R131" s="27"/>
      <c r="S131" s="27"/>
    </row>
    <row r="132" ht="15.75" customHeight="1">
      <c r="A132" s="33" t="s">
        <v>31</v>
      </c>
      <c r="B132" s="45" t="s">
        <v>355</v>
      </c>
      <c r="C132" s="34" t="s">
        <v>356</v>
      </c>
      <c r="D132" s="36" t="s">
        <v>357</v>
      </c>
      <c r="E132" s="36" t="s">
        <v>358</v>
      </c>
      <c r="F132" s="37">
        <v>0.21</v>
      </c>
      <c r="G132" s="46" t="str">
        <f>IFERROR(VLOOKUP("EW 100 G4-ME3-A1",STOCK!B2:Q3677,3,FALSE),"SIN STOCK")</f>
        <v>Menor a 5</v>
      </c>
      <c r="H132" s="27"/>
      <c r="I132" s="27"/>
      <c r="J132" s="27"/>
      <c r="K132" s="27"/>
      <c r="L132" s="27"/>
      <c r="M132" s="27"/>
      <c r="N132" s="27"/>
      <c r="O132" s="27"/>
      <c r="P132" s="27"/>
      <c r="Q132" s="27"/>
      <c r="R132" s="27"/>
      <c r="S132" s="27"/>
    </row>
    <row r="133" ht="15.75" customHeight="1">
      <c r="A133" s="40" t="s">
        <v>31</v>
      </c>
      <c r="B133" s="41" t="s">
        <v>359</v>
      </c>
      <c r="C133" s="42" t="s">
        <v>327</v>
      </c>
      <c r="D133" s="43" t="s">
        <v>357</v>
      </c>
      <c r="E133" s="43" t="s">
        <v>358</v>
      </c>
      <c r="F133" s="44">
        <v>0.21</v>
      </c>
      <c r="G133" s="46" t="str">
        <f>IFERROR(VLOOKUP("EW 100 G4-ME3-B",STOCK!B2:Q3677,3,FALSE),"SIN STOCK")</f>
        <v>Menor a 5</v>
      </c>
      <c r="H133" s="27"/>
      <c r="I133" s="27"/>
      <c r="J133" s="27"/>
      <c r="K133" s="27"/>
      <c r="L133" s="27"/>
      <c r="M133" s="27"/>
      <c r="N133" s="27"/>
      <c r="O133" s="27"/>
      <c r="P133" s="27"/>
      <c r="Q133" s="27"/>
      <c r="R133" s="27"/>
      <c r="S133" s="27"/>
    </row>
    <row r="134" ht="15.75" customHeight="1">
      <c r="A134" s="33" t="s">
        <v>31</v>
      </c>
      <c r="B134" s="45" t="s">
        <v>360</v>
      </c>
      <c r="C134" s="34" t="s">
        <v>361</v>
      </c>
      <c r="D134" s="36" t="s">
        <v>165</v>
      </c>
      <c r="E134" s="36" t="s">
        <v>166</v>
      </c>
      <c r="F134" s="37">
        <v>0.21</v>
      </c>
      <c r="G134" s="46" t="str">
        <f>IFERROR(VLOOKUP("EW 100 G4-ME4-A1",STOCK!B2:Q3677,3,FALSE),"SIN STOCK")</f>
        <v>SIN STOCK</v>
      </c>
      <c r="H134" s="27"/>
      <c r="I134" s="27"/>
      <c r="J134" s="27"/>
      <c r="K134" s="27"/>
      <c r="L134" s="27"/>
      <c r="M134" s="27"/>
      <c r="N134" s="27"/>
      <c r="O134" s="27"/>
      <c r="P134" s="27"/>
      <c r="Q134" s="27"/>
      <c r="R134" s="27"/>
      <c r="S134" s="27"/>
    </row>
    <row r="135" ht="15.75" customHeight="1">
      <c r="A135" s="40" t="s">
        <v>31</v>
      </c>
      <c r="B135" s="41" t="s">
        <v>362</v>
      </c>
      <c r="C135" s="42" t="s">
        <v>327</v>
      </c>
      <c r="D135" s="43" t="s">
        <v>165</v>
      </c>
      <c r="E135" s="43" t="s">
        <v>166</v>
      </c>
      <c r="F135" s="44">
        <v>0.21</v>
      </c>
      <c r="G135" s="46" t="str">
        <f>IFERROR(VLOOKUP("EW 100 G4-ME4-B",STOCK!B2:Q3677,3,FALSE),"SIN STOCK")</f>
        <v>SIN STOCK</v>
      </c>
      <c r="H135" s="27"/>
      <c r="I135" s="27"/>
      <c r="J135" s="27"/>
      <c r="K135" s="27"/>
      <c r="L135" s="27"/>
      <c r="M135" s="27"/>
      <c r="N135" s="27"/>
      <c r="O135" s="27"/>
      <c r="P135" s="27"/>
      <c r="Q135" s="27"/>
      <c r="R135" s="27"/>
      <c r="S135" s="27"/>
    </row>
    <row r="136" ht="15.75" customHeight="1">
      <c r="A136" s="28" t="s">
        <v>363</v>
      </c>
      <c r="C136" s="29"/>
      <c r="D136" s="51"/>
      <c r="E136" s="31"/>
      <c r="F136" s="29"/>
      <c r="G136" s="29"/>
      <c r="H136" s="27"/>
      <c r="I136" s="27"/>
      <c r="J136" s="27"/>
      <c r="K136" s="27"/>
      <c r="L136" s="27"/>
      <c r="M136" s="27"/>
      <c r="N136" s="27"/>
      <c r="O136" s="27"/>
      <c r="P136" s="27"/>
      <c r="Q136" s="27"/>
      <c r="R136" s="27"/>
      <c r="S136" s="27"/>
    </row>
    <row r="137" ht="15.75" customHeight="1">
      <c r="A137" s="40" t="s">
        <v>31</v>
      </c>
      <c r="B137" s="41" t="s">
        <v>364</v>
      </c>
      <c r="C137" s="42" t="s">
        <v>365</v>
      </c>
      <c r="D137" s="43" t="s">
        <v>222</v>
      </c>
      <c r="E137" s="43" t="s">
        <v>223</v>
      </c>
      <c r="F137" s="44">
        <v>0.21</v>
      </c>
      <c r="G137" s="38" t="str">
        <f>IFERROR(VLOOKUP("ew 500 G4-935-Aw+",STOCK!B2:Q3677,3,FALSE),"SIN STOCK")</f>
        <v>Menor a 5</v>
      </c>
      <c r="H137" s="27"/>
      <c r="I137" s="27"/>
      <c r="J137" s="27"/>
      <c r="K137" s="27"/>
      <c r="L137" s="27"/>
      <c r="M137" s="27"/>
      <c r="N137" s="27"/>
      <c r="O137" s="27"/>
      <c r="P137" s="27"/>
      <c r="Q137" s="27"/>
      <c r="R137" s="27"/>
      <c r="S137" s="27"/>
    </row>
    <row r="138" ht="15.75" customHeight="1">
      <c r="A138" s="33" t="s">
        <v>31</v>
      </c>
      <c r="B138" s="45" t="s">
        <v>366</v>
      </c>
      <c r="C138" s="34" t="s">
        <v>327</v>
      </c>
      <c r="D138" s="36" t="s">
        <v>222</v>
      </c>
      <c r="E138" s="36" t="s">
        <v>223</v>
      </c>
      <c r="F138" s="37">
        <v>0.21</v>
      </c>
      <c r="G138" s="46" t="str">
        <f>IFERROR(VLOOKUP("EW 500 G4-935-BW",STOCK!B2:Q3677,3,FALSE),"SIN STOCK")</f>
        <v>Menor a 5</v>
      </c>
      <c r="H138" s="27"/>
      <c r="I138" s="27"/>
      <c r="J138" s="27"/>
      <c r="K138" s="27"/>
      <c r="L138" s="27"/>
      <c r="M138" s="27"/>
      <c r="N138" s="27"/>
      <c r="O138" s="27"/>
      <c r="P138" s="27"/>
      <c r="Q138" s="27"/>
      <c r="R138" s="27"/>
      <c r="S138" s="27"/>
    </row>
    <row r="139" ht="15.75" customHeight="1">
      <c r="A139" s="40" t="s">
        <v>31</v>
      </c>
      <c r="B139" s="41" t="s">
        <v>367</v>
      </c>
      <c r="C139" s="42" t="s">
        <v>368</v>
      </c>
      <c r="D139" s="43" t="s">
        <v>92</v>
      </c>
      <c r="E139" s="43" t="s">
        <v>93</v>
      </c>
      <c r="F139" s="44">
        <v>0.21</v>
      </c>
      <c r="G139" s="46" t="str">
        <f>IFERROR(VLOOKUP("EW 500 G4-945-AW+",STOCK!B2:Q3677,3,FALSE),"SIN STOCK")</f>
        <v>SIN STOCK</v>
      </c>
      <c r="H139" s="27"/>
      <c r="I139" s="27"/>
      <c r="J139" s="27"/>
      <c r="K139" s="27"/>
      <c r="L139" s="27"/>
      <c r="M139" s="27"/>
      <c r="N139" s="27"/>
      <c r="O139" s="27"/>
      <c r="P139" s="27"/>
      <c r="Q139" s="27"/>
      <c r="R139" s="27"/>
      <c r="S139" s="27"/>
    </row>
    <row r="140" ht="15.75" customHeight="1">
      <c r="A140" s="33" t="s">
        <v>31</v>
      </c>
      <c r="B140" s="45" t="s">
        <v>369</v>
      </c>
      <c r="C140" s="34" t="s">
        <v>327</v>
      </c>
      <c r="D140" s="36" t="s">
        <v>92</v>
      </c>
      <c r="E140" s="36" t="s">
        <v>93</v>
      </c>
      <c r="F140" s="37">
        <v>0.21</v>
      </c>
      <c r="G140" s="46" t="str">
        <f>IFERROR(VLOOKUP("EW 500 G4-945-BW",STOCK!B2:Q3677,3,FALSE),"SIN STOCK")</f>
        <v>SIN STOCK</v>
      </c>
      <c r="H140" s="27"/>
      <c r="I140" s="27"/>
      <c r="J140" s="27"/>
      <c r="K140" s="27"/>
      <c r="L140" s="27"/>
      <c r="M140" s="27"/>
      <c r="N140" s="27"/>
      <c r="O140" s="27"/>
      <c r="P140" s="27"/>
      <c r="Q140" s="27"/>
      <c r="R140" s="27"/>
      <c r="S140" s="27"/>
    </row>
    <row r="141" ht="15.75" customHeight="1">
      <c r="A141" s="40" t="s">
        <v>31</v>
      </c>
      <c r="B141" s="41" t="s">
        <v>370</v>
      </c>
      <c r="C141" s="42" t="s">
        <v>371</v>
      </c>
      <c r="D141" s="43" t="s">
        <v>276</v>
      </c>
      <c r="E141" s="43" t="s">
        <v>277</v>
      </c>
      <c r="F141" s="44">
        <v>0.21</v>
      </c>
      <c r="G141" s="46" t="str">
        <f>IFERROR(VLOOKUP("EW 500 G4-965-AW+",STOCK!B2:Q3677,3,FALSE),"SIN STOCK")</f>
        <v>Menor a 5</v>
      </c>
      <c r="H141" s="27"/>
      <c r="I141" s="27"/>
      <c r="J141" s="27"/>
      <c r="K141" s="27"/>
      <c r="L141" s="27"/>
      <c r="M141" s="27"/>
      <c r="N141" s="27"/>
      <c r="O141" s="27"/>
      <c r="P141" s="27"/>
      <c r="Q141" s="27"/>
      <c r="R141" s="27"/>
      <c r="S141" s="27"/>
    </row>
    <row r="142" ht="15.75" customHeight="1">
      <c r="A142" s="33" t="s">
        <v>31</v>
      </c>
      <c r="B142" s="45" t="s">
        <v>372</v>
      </c>
      <c r="C142" s="34" t="s">
        <v>373</v>
      </c>
      <c r="D142" s="36" t="s">
        <v>311</v>
      </c>
      <c r="E142" s="36" t="s">
        <v>312</v>
      </c>
      <c r="F142" s="37">
        <v>0.21</v>
      </c>
      <c r="G142" s="46" t="str">
        <f>IFERROR(VLOOKUP("EW 500 G4-CI1-AW+",STOCK!B2:Q3677,3,FALSE),"SIN STOCK")</f>
        <v>SIN STOCK</v>
      </c>
      <c r="H142" s="27"/>
      <c r="I142" s="27"/>
      <c r="J142" s="27"/>
      <c r="K142" s="27"/>
      <c r="L142" s="27"/>
      <c r="M142" s="27"/>
      <c r="N142" s="27"/>
      <c r="O142" s="27"/>
      <c r="P142" s="27"/>
      <c r="Q142" s="27"/>
      <c r="R142" s="27"/>
      <c r="S142" s="27"/>
    </row>
    <row r="143" ht="15.75" customHeight="1">
      <c r="A143" s="40" t="s">
        <v>31</v>
      </c>
      <c r="B143" s="41" t="s">
        <v>374</v>
      </c>
      <c r="C143" s="42" t="s">
        <v>327</v>
      </c>
      <c r="D143" s="43" t="s">
        <v>311</v>
      </c>
      <c r="E143" s="43" t="s">
        <v>312</v>
      </c>
      <c r="F143" s="44">
        <v>0.21</v>
      </c>
      <c r="G143" s="46" t="str">
        <f>IFERROR(VLOOKUP("EW 500 G4-CI1-BW",STOCK!B2:Q3677,3,FALSE),"SIN STOCK")</f>
        <v>SIN STOCK</v>
      </c>
      <c r="H143" s="27"/>
      <c r="I143" s="27"/>
      <c r="J143" s="27"/>
      <c r="K143" s="27"/>
      <c r="L143" s="27"/>
      <c r="M143" s="27"/>
      <c r="N143" s="27"/>
      <c r="O143" s="27"/>
      <c r="P143" s="27"/>
      <c r="Q143" s="27"/>
      <c r="R143" s="27"/>
      <c r="S143" s="27"/>
    </row>
    <row r="144" ht="15.75" customHeight="1">
      <c r="A144" s="33" t="s">
        <v>31</v>
      </c>
      <c r="B144" s="45" t="s">
        <v>375</v>
      </c>
      <c r="C144" s="34" t="s">
        <v>376</v>
      </c>
      <c r="D144" s="36" t="s">
        <v>377</v>
      </c>
      <c r="E144" s="36" t="s">
        <v>378</v>
      </c>
      <c r="F144" s="37">
        <v>0.21</v>
      </c>
      <c r="G144" s="38" t="str">
        <f>IFERROR(VLOOKUP("ew 500 G4-935-Aw+",STOCK!B2:Q3677,3,FALSE),"SIN STOCK")</f>
        <v>Menor a 5</v>
      </c>
      <c r="H144" s="27"/>
      <c r="I144" s="27"/>
      <c r="J144" s="27"/>
      <c r="K144" s="27"/>
      <c r="L144" s="27"/>
      <c r="M144" s="27"/>
      <c r="N144" s="27"/>
      <c r="O144" s="27"/>
      <c r="P144" s="27"/>
      <c r="Q144" s="27"/>
      <c r="R144" s="27"/>
      <c r="S144" s="27"/>
    </row>
    <row r="145" ht="15.75" customHeight="1">
      <c r="A145" s="40" t="s">
        <v>31</v>
      </c>
      <c r="B145" s="41" t="s">
        <v>379</v>
      </c>
      <c r="C145" s="42" t="s">
        <v>327</v>
      </c>
      <c r="D145" s="43" t="s">
        <v>272</v>
      </c>
      <c r="E145" s="43" t="s">
        <v>273</v>
      </c>
      <c r="F145" s="44">
        <v>0.21</v>
      </c>
      <c r="G145" s="49" t="str">
        <f>IFERROR(VLOOKUP("ew 500 G4-MKE2-BW",STOCK!B2:Q3677,3,FALSE),"SIN STOCK")</f>
        <v>Menor a 5</v>
      </c>
      <c r="H145" s="27"/>
      <c r="I145" s="27"/>
      <c r="J145" s="27"/>
      <c r="K145" s="27"/>
      <c r="L145" s="27"/>
      <c r="M145" s="27"/>
      <c r="N145" s="27"/>
      <c r="O145" s="27"/>
      <c r="P145" s="27"/>
      <c r="Q145" s="27"/>
      <c r="R145" s="27"/>
      <c r="S145" s="27"/>
    </row>
    <row r="146" ht="15.75" customHeight="1">
      <c r="A146" s="33" t="s">
        <v>31</v>
      </c>
      <c r="B146" s="45" t="s">
        <v>380</v>
      </c>
      <c r="C146" s="34" t="s">
        <v>327</v>
      </c>
      <c r="D146" s="36" t="s">
        <v>272</v>
      </c>
      <c r="E146" s="36" t="s">
        <v>273</v>
      </c>
      <c r="F146" s="37">
        <v>0.21</v>
      </c>
      <c r="G146" s="49" t="str">
        <f>IFERROR(VLOOKUP("ew 500 G4-MKE2-CW",STOCK!B2:Q3677,3,FALSE),"SIN STOCK")</f>
        <v>Menor a 5</v>
      </c>
      <c r="H146" s="27"/>
      <c r="I146" s="27"/>
      <c r="J146" s="27"/>
      <c r="K146" s="27"/>
      <c r="L146" s="27"/>
      <c r="M146" s="27"/>
      <c r="N146" s="27"/>
      <c r="O146" s="27"/>
      <c r="P146" s="27"/>
      <c r="Q146" s="27"/>
      <c r="R146" s="27"/>
      <c r="S146" s="27"/>
    </row>
    <row r="147" ht="15.75" customHeight="1">
      <c r="A147" s="54" t="s">
        <v>381</v>
      </c>
      <c r="B147" s="29"/>
      <c r="C147" s="29"/>
      <c r="D147" s="51"/>
      <c r="E147" s="31"/>
      <c r="F147" s="29"/>
      <c r="G147" s="29"/>
      <c r="H147" s="27"/>
      <c r="I147" s="27"/>
      <c r="J147" s="27"/>
      <c r="K147" s="27"/>
      <c r="L147" s="27"/>
      <c r="M147" s="27"/>
      <c r="N147" s="27"/>
      <c r="O147" s="27"/>
      <c r="P147" s="27"/>
      <c r="Q147" s="27"/>
      <c r="R147" s="27"/>
      <c r="S147" s="27"/>
    </row>
    <row r="148" ht="15.75" hidden="1" customHeight="1">
      <c r="A148" s="40" t="s">
        <v>31</v>
      </c>
      <c r="B148" s="41" t="s">
        <v>382</v>
      </c>
      <c r="C148" s="42" t="s">
        <v>383</v>
      </c>
      <c r="D148" s="43" t="s">
        <v>311</v>
      </c>
      <c r="E148" s="43" t="s">
        <v>312</v>
      </c>
      <c r="F148" s="44">
        <v>0.21</v>
      </c>
      <c r="G148" s="38" t="str">
        <f>IFERROR(VLOOKUP("ew 100 ENG G4-A1",STOCK!B2:Q3677,3,FALSE),"SIN STOCK")</f>
        <v>Menor a 5</v>
      </c>
      <c r="H148" s="27"/>
      <c r="I148" s="27"/>
      <c r="J148" s="27"/>
      <c r="K148" s="27"/>
      <c r="L148" s="27"/>
      <c r="M148" s="27"/>
      <c r="N148" s="27"/>
      <c r="O148" s="27"/>
      <c r="P148" s="27"/>
      <c r="Q148" s="27"/>
      <c r="R148" s="27"/>
      <c r="S148" s="27"/>
    </row>
    <row r="149" ht="15.75" hidden="1" customHeight="1">
      <c r="A149" s="33" t="s">
        <v>31</v>
      </c>
      <c r="B149" s="45" t="s">
        <v>384</v>
      </c>
      <c r="C149" s="34" t="s">
        <v>327</v>
      </c>
      <c r="D149" s="36" t="s">
        <v>311</v>
      </c>
      <c r="E149" s="36" t="s">
        <v>312</v>
      </c>
      <c r="F149" s="37">
        <v>0.21</v>
      </c>
      <c r="G149" s="49" t="str">
        <f>IFERROR(VLOOKUP("ew 100 ENG G4-B",STOCK!B2:Q3677,3,FALSE),"SIN STOCK")</f>
        <v>Menor a 5</v>
      </c>
      <c r="H149" s="27"/>
      <c r="I149" s="27"/>
      <c r="J149" s="27"/>
      <c r="K149" s="27"/>
      <c r="L149" s="27"/>
      <c r="M149" s="27"/>
      <c r="N149" s="27"/>
      <c r="O149" s="27"/>
      <c r="P149" s="27"/>
      <c r="Q149" s="27"/>
      <c r="R149" s="27"/>
      <c r="S149" s="27"/>
    </row>
    <row r="150" ht="15.75" hidden="1" customHeight="1">
      <c r="A150" s="40" t="s">
        <v>31</v>
      </c>
      <c r="B150" s="41" t="s">
        <v>385</v>
      </c>
      <c r="C150" s="42" t="s">
        <v>386</v>
      </c>
      <c r="D150" s="43" t="s">
        <v>387</v>
      </c>
      <c r="E150" s="43" t="s">
        <v>388</v>
      </c>
      <c r="F150" s="44">
        <v>0.21</v>
      </c>
      <c r="G150" s="38" t="str">
        <f>IFERROR(VLOOKUP("ew 112P G4-A1",STOCK!B2:Q3677,3,FALSE),"SIN STOCK")</f>
        <v>Menor a 5</v>
      </c>
      <c r="H150" s="27"/>
      <c r="I150" s="27"/>
      <c r="J150" s="27"/>
      <c r="K150" s="27"/>
      <c r="L150" s="27"/>
      <c r="M150" s="27"/>
      <c r="N150" s="27"/>
      <c r="O150" s="27"/>
      <c r="P150" s="27"/>
      <c r="Q150" s="27"/>
      <c r="R150" s="27"/>
      <c r="S150" s="27"/>
    </row>
    <row r="151" ht="15.75" hidden="1" customHeight="1">
      <c r="A151" s="33" t="s">
        <v>31</v>
      </c>
      <c r="B151" s="45" t="s">
        <v>389</v>
      </c>
      <c r="C151" s="34" t="s">
        <v>327</v>
      </c>
      <c r="D151" s="36" t="s">
        <v>387</v>
      </c>
      <c r="E151" s="36" t="s">
        <v>388</v>
      </c>
      <c r="F151" s="37">
        <v>0.21</v>
      </c>
      <c r="G151" s="38" t="str">
        <f>IFERROR(VLOOKUP("ew 112P G4-B",STOCK!B2:Q3677,3,FALSE),"SIN STOCK")</f>
        <v>Mayor a 5</v>
      </c>
      <c r="H151" s="27"/>
      <c r="I151" s="27"/>
      <c r="J151" s="27"/>
      <c r="K151" s="27"/>
      <c r="L151" s="27"/>
      <c r="M151" s="27"/>
      <c r="N151" s="27"/>
      <c r="O151" s="27"/>
      <c r="P151" s="27"/>
      <c r="Q151" s="27"/>
      <c r="R151" s="27"/>
      <c r="S151" s="27"/>
    </row>
    <row r="152" ht="15.75" hidden="1" customHeight="1">
      <c r="A152" s="40" t="s">
        <v>31</v>
      </c>
      <c r="B152" s="52" t="s">
        <v>390</v>
      </c>
      <c r="C152" s="42" t="s">
        <v>391</v>
      </c>
      <c r="D152" s="43" t="s">
        <v>208</v>
      </c>
      <c r="E152" s="43" t="s">
        <v>209</v>
      </c>
      <c r="F152" s="44">
        <v>0.21</v>
      </c>
      <c r="G152" s="46" t="str">
        <f>IFERROR(VLOOKUP("EW 122P G4-A1",STOCK!B2:Q3677,3,FALSE),"SIN STOCK")</f>
        <v>SIN STOCK</v>
      </c>
      <c r="H152" s="27"/>
      <c r="I152" s="27"/>
      <c r="J152" s="27"/>
      <c r="K152" s="27"/>
      <c r="L152" s="27"/>
      <c r="M152" s="27"/>
      <c r="N152" s="27"/>
      <c r="O152" s="27"/>
      <c r="P152" s="27"/>
      <c r="Q152" s="27"/>
      <c r="R152" s="27"/>
      <c r="S152" s="27"/>
    </row>
    <row r="153" ht="15.75" hidden="1" customHeight="1">
      <c r="A153" s="33" t="s">
        <v>31</v>
      </c>
      <c r="B153" s="45" t="s">
        <v>392</v>
      </c>
      <c r="C153" s="34" t="s">
        <v>327</v>
      </c>
      <c r="D153" s="36" t="s">
        <v>208</v>
      </c>
      <c r="E153" s="36" t="s">
        <v>209</v>
      </c>
      <c r="F153" s="37">
        <v>0.21</v>
      </c>
      <c r="G153" s="46" t="str">
        <f>IFERROR(VLOOKUP("EW 122P G4-B",STOCK!B2:Q3677,3,FALSE),"SIN STOCK")</f>
        <v>SIN STOCK</v>
      </c>
      <c r="H153" s="27"/>
      <c r="I153" s="27"/>
      <c r="J153" s="27"/>
      <c r="K153" s="27"/>
      <c r="L153" s="27"/>
      <c r="M153" s="27"/>
      <c r="N153" s="27"/>
      <c r="O153" s="27"/>
      <c r="P153" s="27"/>
      <c r="Q153" s="27"/>
      <c r="R153" s="27"/>
      <c r="S153" s="27"/>
    </row>
    <row r="154" ht="15.75" hidden="1" customHeight="1">
      <c r="A154" s="40" t="s">
        <v>31</v>
      </c>
      <c r="B154" s="41" t="s">
        <v>393</v>
      </c>
      <c r="C154" s="42" t="s">
        <v>394</v>
      </c>
      <c r="D154" s="43" t="s">
        <v>208</v>
      </c>
      <c r="E154" s="43" t="s">
        <v>209</v>
      </c>
      <c r="F154" s="44">
        <v>0.21</v>
      </c>
      <c r="G154" s="38" t="str">
        <f>IFERROR(VLOOKUP("ew 135P G4-A1",STOCK!B2:Q3677,3,FALSE),"SIN STOCK")</f>
        <v>Mayor a 5</v>
      </c>
      <c r="H154" s="27"/>
      <c r="I154" s="27"/>
      <c r="J154" s="27"/>
      <c r="K154" s="27"/>
      <c r="L154" s="27"/>
      <c r="M154" s="27"/>
      <c r="N154" s="27"/>
      <c r="O154" s="27"/>
      <c r="P154" s="27"/>
      <c r="Q154" s="27"/>
      <c r="R154" s="27"/>
      <c r="S154" s="27"/>
    </row>
    <row r="155" ht="15.75" hidden="1" customHeight="1">
      <c r="A155" s="33" t="s">
        <v>31</v>
      </c>
      <c r="B155" s="45" t="s">
        <v>395</v>
      </c>
      <c r="C155" s="34" t="s">
        <v>327</v>
      </c>
      <c r="D155" s="36" t="s">
        <v>208</v>
      </c>
      <c r="E155" s="36" t="s">
        <v>209</v>
      </c>
      <c r="F155" s="37">
        <v>0.21</v>
      </c>
      <c r="G155" s="49" t="str">
        <f>IFERROR(VLOOKUP("EW 135P G4-B",STOCK!B2:Q3677,3,FALSE),"SIN STOCK")</f>
        <v>Menor a 5</v>
      </c>
      <c r="H155" s="27"/>
      <c r="I155" s="27"/>
      <c r="J155" s="27"/>
      <c r="K155" s="27"/>
      <c r="L155" s="27"/>
      <c r="M155" s="27"/>
      <c r="N155" s="27"/>
      <c r="O155" s="27"/>
      <c r="P155" s="27"/>
      <c r="Q155" s="27"/>
      <c r="R155" s="27"/>
      <c r="S155" s="27"/>
    </row>
    <row r="156" ht="15.75" hidden="1" customHeight="1">
      <c r="A156" s="40" t="s">
        <v>31</v>
      </c>
      <c r="B156" s="41" t="s">
        <v>396</v>
      </c>
      <c r="C156" s="42" t="s">
        <v>397</v>
      </c>
      <c r="D156" s="43" t="s">
        <v>398</v>
      </c>
      <c r="E156" s="43" t="s">
        <v>399</v>
      </c>
      <c r="F156" s="44">
        <v>0.21</v>
      </c>
      <c r="G156" s="49" t="str">
        <f>IFERROR(VLOOKUP("EW500FILMG4AW",STOCK!B2:Q3677,3,FALSE),"SIN STOCK")</f>
        <v>Menor a 5</v>
      </c>
      <c r="H156" s="27"/>
      <c r="I156" s="27"/>
      <c r="J156" s="27"/>
      <c r="K156" s="27"/>
      <c r="L156" s="27"/>
      <c r="M156" s="27"/>
      <c r="N156" s="27"/>
      <c r="O156" s="27"/>
      <c r="P156" s="27"/>
      <c r="Q156" s="27"/>
      <c r="R156" s="27"/>
      <c r="S156" s="27"/>
    </row>
    <row r="157" ht="15.75" hidden="1" customHeight="1">
      <c r="A157" s="33" t="s">
        <v>31</v>
      </c>
      <c r="B157" s="45" t="s">
        <v>400</v>
      </c>
      <c r="C157" s="34" t="s">
        <v>327</v>
      </c>
      <c r="D157" s="36" t="s">
        <v>398</v>
      </c>
      <c r="E157" s="36" t="s">
        <v>399</v>
      </c>
      <c r="F157" s="37">
        <v>0.21</v>
      </c>
      <c r="G157" s="46" t="str">
        <f>IFERROR(VLOOKUP("EW 500 FILM G4-BW",STOCK!B2:Q3677,3,FALSE),"SIN STOCK")</f>
        <v>SIN STOCK</v>
      </c>
      <c r="H157" s="27"/>
      <c r="I157" s="27"/>
      <c r="J157" s="27"/>
      <c r="K157" s="27"/>
      <c r="L157" s="27"/>
      <c r="M157" s="27"/>
      <c r="N157" s="27"/>
      <c r="O157" s="27"/>
      <c r="P157" s="27"/>
      <c r="Q157" s="27"/>
      <c r="R157" s="27"/>
      <c r="S157" s="27"/>
    </row>
    <row r="158" ht="15.75" hidden="1" customHeight="1">
      <c r="A158" s="40" t="s">
        <v>31</v>
      </c>
      <c r="B158" s="41" t="s">
        <v>401</v>
      </c>
      <c r="C158" s="42" t="s">
        <v>402</v>
      </c>
      <c r="D158" s="43" t="s">
        <v>222</v>
      </c>
      <c r="E158" s="43" t="s">
        <v>223</v>
      </c>
      <c r="F158" s="44">
        <v>0.21</v>
      </c>
      <c r="G158" s="38" t="str">
        <f>IFERROR(VLOOKUP("ew 512P G4-Aw+",STOCK!B2:Q3677,3,FALSE),"SIN STOCK")</f>
        <v>Mayor a 5</v>
      </c>
      <c r="H158" s="27"/>
      <c r="I158" s="27"/>
      <c r="J158" s="27"/>
      <c r="K158" s="27"/>
      <c r="L158" s="27"/>
      <c r="M158" s="27"/>
      <c r="N158" s="27"/>
      <c r="O158" s="27"/>
      <c r="P158" s="27"/>
      <c r="Q158" s="27"/>
      <c r="R158" s="27"/>
      <c r="S158" s="27"/>
    </row>
    <row r="159" ht="15.75" hidden="1" customHeight="1">
      <c r="A159" s="33" t="s">
        <v>31</v>
      </c>
      <c r="B159" s="45" t="s">
        <v>403</v>
      </c>
      <c r="C159" s="34" t="s">
        <v>327</v>
      </c>
      <c r="D159" s="36" t="s">
        <v>222</v>
      </c>
      <c r="E159" s="36" t="s">
        <v>223</v>
      </c>
      <c r="F159" s="37">
        <v>0.21</v>
      </c>
      <c r="G159" s="38" t="str">
        <f>IFERROR(VLOOKUP("ew 512P G4-BW",STOCK!B2:Q3677,3,FALSE),"SIN STOCK")</f>
        <v>Mayor a 5</v>
      </c>
      <c r="H159" s="27"/>
      <c r="I159" s="27"/>
      <c r="J159" s="27"/>
      <c r="K159" s="27"/>
      <c r="L159" s="27"/>
      <c r="M159" s="27"/>
      <c r="N159" s="27"/>
      <c r="O159" s="27"/>
      <c r="P159" s="27"/>
      <c r="Q159" s="27"/>
      <c r="R159" s="27"/>
      <c r="S159" s="27"/>
    </row>
    <row r="160" ht="15.75" customHeight="1">
      <c r="A160" s="54" t="s">
        <v>404</v>
      </c>
      <c r="B160" s="29"/>
      <c r="C160" s="29"/>
      <c r="D160" s="51"/>
      <c r="E160" s="31"/>
      <c r="F160" s="29"/>
      <c r="G160" s="29"/>
      <c r="H160" s="27"/>
      <c r="I160" s="27"/>
      <c r="J160" s="27"/>
      <c r="K160" s="27"/>
      <c r="L160" s="27"/>
      <c r="M160" s="27"/>
      <c r="N160" s="27"/>
      <c r="O160" s="27"/>
      <c r="P160" s="27"/>
      <c r="Q160" s="27"/>
      <c r="R160" s="27"/>
      <c r="S160" s="27"/>
    </row>
    <row r="161" ht="15.75" customHeight="1">
      <c r="A161" s="40" t="s">
        <v>31</v>
      </c>
      <c r="B161" s="41" t="s">
        <v>405</v>
      </c>
      <c r="C161" s="42" t="s">
        <v>406</v>
      </c>
      <c r="D161" s="43" t="s">
        <v>233</v>
      </c>
      <c r="E161" s="43" t="s">
        <v>234</v>
      </c>
      <c r="F161" s="44">
        <v>0.21</v>
      </c>
      <c r="G161" s="38" t="str">
        <f>IFERROR(VLOOKUP("SK 100 G4-A1",STOCK!B2:Q3677,3,FALSE),"SIN STOCK")</f>
        <v>Mayor a 5</v>
      </c>
      <c r="H161" s="27"/>
      <c r="I161" s="27"/>
      <c r="J161" s="27"/>
      <c r="K161" s="27"/>
      <c r="L161" s="27"/>
      <c r="M161" s="27"/>
      <c r="N161" s="27"/>
      <c r="O161" s="27"/>
      <c r="P161" s="27"/>
      <c r="Q161" s="27"/>
      <c r="R161" s="27"/>
      <c r="S161" s="27"/>
    </row>
    <row r="162" ht="15.75" customHeight="1">
      <c r="A162" s="33" t="s">
        <v>31</v>
      </c>
      <c r="B162" s="45" t="s">
        <v>407</v>
      </c>
      <c r="C162" s="34" t="s">
        <v>327</v>
      </c>
      <c r="D162" s="36" t="s">
        <v>233</v>
      </c>
      <c r="E162" s="36" t="s">
        <v>234</v>
      </c>
      <c r="F162" s="37">
        <v>0.21</v>
      </c>
      <c r="G162" s="38" t="str">
        <f>IFERROR(VLOOKUP("SK 100 G4-B",STOCK!B2:Q3677,3,FALSE),"SIN STOCK")</f>
        <v>Mayor a 5</v>
      </c>
      <c r="H162" s="27"/>
      <c r="I162" s="27"/>
      <c r="J162" s="27"/>
      <c r="K162" s="27"/>
      <c r="L162" s="27"/>
      <c r="M162" s="27"/>
      <c r="N162" s="27"/>
      <c r="O162" s="27"/>
      <c r="P162" s="27"/>
      <c r="Q162" s="27"/>
      <c r="R162" s="27"/>
      <c r="S162" s="27"/>
    </row>
    <row r="163" ht="15.75" customHeight="1">
      <c r="A163" s="40" t="s">
        <v>31</v>
      </c>
      <c r="B163" s="41" t="s">
        <v>408</v>
      </c>
      <c r="C163" s="42" t="s">
        <v>409</v>
      </c>
      <c r="D163" s="43" t="s">
        <v>410</v>
      </c>
      <c r="E163" s="43" t="s">
        <v>411</v>
      </c>
      <c r="F163" s="44">
        <v>0.21</v>
      </c>
      <c r="G163" s="38" t="str">
        <f>IFERROR(VLOOKUP("SK 500 G4-Aw+",STOCK!B2:Q3677,3,FALSE),"SIN STOCK")</f>
        <v>Mayor a 5</v>
      </c>
      <c r="H163" s="27"/>
      <c r="I163" s="27"/>
      <c r="J163" s="27"/>
      <c r="K163" s="27"/>
      <c r="L163" s="27"/>
      <c r="M163" s="27"/>
      <c r="N163" s="27"/>
      <c r="O163" s="27"/>
      <c r="P163" s="27"/>
      <c r="Q163" s="27"/>
      <c r="R163" s="27"/>
      <c r="S163" s="27"/>
    </row>
    <row r="164" ht="15.75" customHeight="1">
      <c r="A164" s="33" t="s">
        <v>31</v>
      </c>
      <c r="B164" s="45" t="s">
        <v>412</v>
      </c>
      <c r="C164" s="34" t="s">
        <v>327</v>
      </c>
      <c r="D164" s="36" t="s">
        <v>410</v>
      </c>
      <c r="E164" s="36" t="s">
        <v>411</v>
      </c>
      <c r="F164" s="37">
        <v>0.21</v>
      </c>
      <c r="G164" s="49" t="str">
        <f>IFERROR(VLOOKUP("SK 500 G4-Bw",STOCK!B2:Q3677,3,FALSE),"SIN STOCK")</f>
        <v>Menor a 5</v>
      </c>
      <c r="H164" s="27"/>
      <c r="I164" s="27"/>
      <c r="J164" s="27"/>
      <c r="K164" s="27"/>
      <c r="L164" s="27"/>
      <c r="M164" s="27"/>
      <c r="N164" s="27"/>
      <c r="O164" s="27"/>
      <c r="P164" s="27"/>
      <c r="Q164" s="27"/>
      <c r="R164" s="27"/>
      <c r="S164" s="27"/>
    </row>
    <row r="165" ht="15.75" customHeight="1">
      <c r="A165" s="40" t="s">
        <v>31</v>
      </c>
      <c r="B165" s="41" t="s">
        <v>413</v>
      </c>
      <c r="C165" s="42" t="s">
        <v>414</v>
      </c>
      <c r="D165" s="43" t="s">
        <v>233</v>
      </c>
      <c r="E165" s="43" t="s">
        <v>234</v>
      </c>
      <c r="F165" s="44">
        <v>0.21</v>
      </c>
      <c r="G165" s="46" t="str">
        <f>IFERROR(VLOOKUP("SKM 100 G4-A1",STOCK!B2:Q3677,3,FALSE),"SIN STOCK")</f>
        <v>Menor a 5</v>
      </c>
      <c r="H165" s="27"/>
      <c r="I165" s="27"/>
      <c r="J165" s="27"/>
      <c r="K165" s="27"/>
      <c r="L165" s="27"/>
      <c r="M165" s="27"/>
      <c r="N165" s="27"/>
      <c r="O165" s="27"/>
      <c r="P165" s="27"/>
      <c r="Q165" s="27"/>
      <c r="R165" s="27"/>
      <c r="S165" s="27"/>
    </row>
    <row r="166" ht="15.75" customHeight="1">
      <c r="A166" s="33" t="s">
        <v>31</v>
      </c>
      <c r="B166" s="45" t="s">
        <v>415</v>
      </c>
      <c r="C166" s="34" t="s">
        <v>327</v>
      </c>
      <c r="D166" s="36" t="s">
        <v>233</v>
      </c>
      <c r="E166" s="36" t="s">
        <v>234</v>
      </c>
      <c r="F166" s="37">
        <v>0.21</v>
      </c>
      <c r="G166" s="49" t="str">
        <f>IFERROR(VLOOKUP("SKM 100 G4-B",STOCK!B2:Q3677,3,FALSE),"SIN STOCK")</f>
        <v>Menor a 5</v>
      </c>
      <c r="H166" s="27"/>
      <c r="I166" s="27"/>
      <c r="J166" s="27"/>
      <c r="K166" s="27"/>
      <c r="L166" s="27"/>
      <c r="M166" s="27"/>
      <c r="N166" s="27"/>
      <c r="O166" s="27"/>
      <c r="P166" s="27"/>
      <c r="Q166" s="27"/>
      <c r="R166" s="27"/>
      <c r="S166" s="27"/>
    </row>
    <row r="167" ht="15.75" customHeight="1">
      <c r="A167" s="40" t="s">
        <v>31</v>
      </c>
      <c r="B167" s="41" t="s">
        <v>416</v>
      </c>
      <c r="C167" s="42" t="s">
        <v>417</v>
      </c>
      <c r="D167" s="43" t="s">
        <v>233</v>
      </c>
      <c r="E167" s="43" t="s">
        <v>234</v>
      </c>
      <c r="F167" s="44">
        <v>0.21</v>
      </c>
      <c r="G167" s="46" t="str">
        <f>IFERROR(VLOOKUP("SKM 100 G4-S-A1",STOCK!B2:Q3677,3,FALSE),"SIN STOCK")</f>
        <v>Menor a 5</v>
      </c>
      <c r="H167" s="27"/>
      <c r="I167" s="27"/>
      <c r="J167" s="27"/>
      <c r="K167" s="27"/>
      <c r="L167" s="27"/>
      <c r="M167" s="27"/>
      <c r="N167" s="27"/>
      <c r="O167" s="27"/>
      <c r="P167" s="27"/>
      <c r="Q167" s="27"/>
      <c r="R167" s="27"/>
      <c r="S167" s="27"/>
    </row>
    <row r="168" ht="15.75" customHeight="1">
      <c r="A168" s="33" t="s">
        <v>31</v>
      </c>
      <c r="B168" s="45" t="s">
        <v>418</v>
      </c>
      <c r="C168" s="34" t="s">
        <v>327</v>
      </c>
      <c r="D168" s="36" t="s">
        <v>233</v>
      </c>
      <c r="E168" s="36" t="s">
        <v>234</v>
      </c>
      <c r="F168" s="37">
        <v>0.21</v>
      </c>
      <c r="G168" s="38" t="str">
        <f>IFERROR(VLOOKUP("SKM 100 G4-S-B",STOCK!B2:Q3677,3,FALSE),"SIN STOCK")</f>
        <v>Menor a 5</v>
      </c>
      <c r="H168" s="27"/>
      <c r="I168" s="27"/>
      <c r="J168" s="27"/>
      <c r="K168" s="27"/>
      <c r="L168" s="27"/>
      <c r="M168" s="27"/>
      <c r="N168" s="27"/>
      <c r="O168" s="27"/>
      <c r="P168" s="27"/>
      <c r="Q168" s="27"/>
      <c r="R168" s="27"/>
      <c r="S168" s="27"/>
    </row>
    <row r="169" ht="15.75" customHeight="1">
      <c r="A169" s="40" t="s">
        <v>31</v>
      </c>
      <c r="B169" s="41" t="s">
        <v>419</v>
      </c>
      <c r="C169" s="42" t="s">
        <v>420</v>
      </c>
      <c r="D169" s="43" t="s">
        <v>410</v>
      </c>
      <c r="E169" s="43" t="s">
        <v>411</v>
      </c>
      <c r="F169" s="44">
        <v>0.21</v>
      </c>
      <c r="G169" s="38" t="str">
        <f>IFERROR(VLOOKUP("SKM 500 G4-Aw+",STOCK!B2:Q3677,3,FALSE),"SIN STOCK")</f>
        <v>Mayor a 5</v>
      </c>
      <c r="H169" s="27"/>
      <c r="I169" s="27"/>
      <c r="J169" s="27"/>
      <c r="K169" s="27"/>
      <c r="L169" s="27"/>
      <c r="M169" s="27"/>
      <c r="N169" s="27"/>
      <c r="O169" s="27"/>
      <c r="P169" s="27"/>
      <c r="Q169" s="27"/>
      <c r="R169" s="27"/>
      <c r="S169" s="27"/>
    </row>
    <row r="170" ht="15.75" customHeight="1">
      <c r="A170" s="33" t="s">
        <v>31</v>
      </c>
      <c r="B170" s="45" t="s">
        <v>421</v>
      </c>
      <c r="C170" s="34" t="s">
        <v>327</v>
      </c>
      <c r="D170" s="36" t="s">
        <v>410</v>
      </c>
      <c r="E170" s="36" t="s">
        <v>411</v>
      </c>
      <c r="F170" s="37">
        <v>0.21</v>
      </c>
      <c r="G170" s="46" t="str">
        <f>IFERROR(VLOOKUP("SKM 500 G4-BW",STOCK!B2:Q3677,3,FALSE),"SIN STOCK")</f>
        <v>Menor a 5</v>
      </c>
      <c r="H170" s="27"/>
      <c r="I170" s="27"/>
      <c r="J170" s="27"/>
      <c r="K170" s="27"/>
      <c r="L170" s="27"/>
      <c r="M170" s="27"/>
      <c r="N170" s="27"/>
      <c r="O170" s="27"/>
      <c r="P170" s="27"/>
      <c r="Q170" s="27"/>
      <c r="R170" s="27"/>
      <c r="S170" s="27"/>
    </row>
    <row r="171" ht="15.75" customHeight="1">
      <c r="A171" s="40" t="s">
        <v>31</v>
      </c>
      <c r="B171" s="41" t="s">
        <v>422</v>
      </c>
      <c r="C171" s="42" t="s">
        <v>327</v>
      </c>
      <c r="D171" s="43" t="s">
        <v>410</v>
      </c>
      <c r="E171" s="43" t="s">
        <v>411</v>
      </c>
      <c r="F171" s="44">
        <v>0.21</v>
      </c>
      <c r="G171" s="46" t="str">
        <f>IFERROR(VLOOKUP("SKM 500 G4-GW1",STOCK!B2:Q3677,3,FALSE),"SIN STOCK")</f>
        <v>SIN STOCK</v>
      </c>
      <c r="H171" s="27"/>
      <c r="I171" s="27"/>
      <c r="J171" s="27"/>
      <c r="K171" s="27"/>
      <c r="L171" s="27"/>
      <c r="M171" s="27"/>
      <c r="N171" s="27"/>
      <c r="O171" s="27"/>
      <c r="P171" s="27"/>
      <c r="Q171" s="27"/>
      <c r="R171" s="27"/>
      <c r="S171" s="27"/>
    </row>
    <row r="172" ht="15.75" customHeight="1">
      <c r="A172" s="33" t="s">
        <v>31</v>
      </c>
      <c r="B172" s="45" t="s">
        <v>423</v>
      </c>
      <c r="C172" s="34" t="s">
        <v>424</v>
      </c>
      <c r="D172" s="36" t="s">
        <v>233</v>
      </c>
      <c r="E172" s="36" t="s">
        <v>234</v>
      </c>
      <c r="F172" s="37">
        <v>0.21</v>
      </c>
      <c r="G172" s="49" t="str">
        <f>IFERROR(VLOOKUP("SKP 100 G4-A1",STOCK!B2:Q3677,3,FALSE),"SIN STOCK")</f>
        <v>Menor a 5</v>
      </c>
      <c r="H172" s="27"/>
      <c r="I172" s="27"/>
      <c r="J172" s="27"/>
      <c r="K172" s="27"/>
      <c r="L172" s="27"/>
      <c r="M172" s="27"/>
      <c r="N172" s="27"/>
      <c r="O172" s="27"/>
      <c r="P172" s="27"/>
      <c r="Q172" s="27"/>
      <c r="R172" s="27"/>
      <c r="S172" s="27"/>
    </row>
    <row r="173" ht="15.75" customHeight="1">
      <c r="A173" s="40" t="s">
        <v>31</v>
      </c>
      <c r="B173" s="41" t="s">
        <v>425</v>
      </c>
      <c r="C173" s="42" t="s">
        <v>327</v>
      </c>
      <c r="D173" s="43" t="s">
        <v>233</v>
      </c>
      <c r="E173" s="43" t="s">
        <v>234</v>
      </c>
      <c r="F173" s="44">
        <v>0.21</v>
      </c>
      <c r="G173" s="49" t="str">
        <f>IFERROR(VLOOKUP("SKP 100 G4-B",STOCK!B2:Q3677,3,FALSE),"SIN STOCK")</f>
        <v>Menor a 5</v>
      </c>
      <c r="H173" s="27"/>
      <c r="I173" s="27"/>
      <c r="J173" s="27"/>
      <c r="K173" s="27"/>
      <c r="L173" s="27"/>
      <c r="M173" s="27"/>
      <c r="N173" s="27"/>
      <c r="O173" s="27"/>
      <c r="P173" s="27"/>
      <c r="Q173" s="27"/>
      <c r="R173" s="27"/>
      <c r="S173" s="27"/>
    </row>
    <row r="174" ht="15.75" customHeight="1">
      <c r="A174" s="33" t="s">
        <v>31</v>
      </c>
      <c r="B174" s="45" t="s">
        <v>426</v>
      </c>
      <c r="C174" s="34" t="s">
        <v>427</v>
      </c>
      <c r="D174" s="36" t="s">
        <v>428</v>
      </c>
      <c r="E174" s="36" t="s">
        <v>429</v>
      </c>
      <c r="F174" s="37">
        <v>0.21</v>
      </c>
      <c r="G174" s="46" t="str">
        <f>IFERROR(VLOOKUP("SKP 500 G4-Aw+",STOCK!B2:Q3677,3,FALSE),"SIN STOCK")</f>
        <v>Menor a 5</v>
      </c>
      <c r="H174" s="27"/>
      <c r="I174" s="27"/>
      <c r="J174" s="27"/>
      <c r="K174" s="27"/>
      <c r="L174" s="27"/>
      <c r="M174" s="27"/>
      <c r="N174" s="27"/>
      <c r="O174" s="27"/>
      <c r="P174" s="27"/>
      <c r="Q174" s="27"/>
      <c r="R174" s="27"/>
      <c r="S174" s="27"/>
    </row>
    <row r="175" ht="15.75" customHeight="1">
      <c r="A175" s="40" t="s">
        <v>31</v>
      </c>
      <c r="B175" s="41" t="s">
        <v>430</v>
      </c>
      <c r="C175" s="42" t="s">
        <v>327</v>
      </c>
      <c r="D175" s="43" t="s">
        <v>428</v>
      </c>
      <c r="E175" s="43" t="s">
        <v>429</v>
      </c>
      <c r="F175" s="44">
        <v>0.21</v>
      </c>
      <c r="G175" s="46" t="str">
        <f>IFERROR(VLOOKUP("SKP 500 G4-BW",STOCK!B2:Q3677,3,FALSE),"SIN STOCK")</f>
        <v>SIN STOCK</v>
      </c>
      <c r="H175" s="27"/>
      <c r="I175" s="27"/>
      <c r="J175" s="27"/>
      <c r="K175" s="27"/>
      <c r="L175" s="27"/>
      <c r="M175" s="27"/>
      <c r="N175" s="27"/>
      <c r="O175" s="27"/>
      <c r="P175" s="27"/>
      <c r="Q175" s="27"/>
      <c r="R175" s="27"/>
      <c r="S175" s="27"/>
    </row>
    <row r="176" ht="15.75" customHeight="1">
      <c r="A176" s="33" t="s">
        <v>31</v>
      </c>
      <c r="B176" s="45" t="s">
        <v>431</v>
      </c>
      <c r="C176" s="34" t="s">
        <v>432</v>
      </c>
      <c r="D176" s="36" t="s">
        <v>433</v>
      </c>
      <c r="E176" s="36" t="s">
        <v>434</v>
      </c>
      <c r="F176" s="37">
        <v>0.21</v>
      </c>
      <c r="G176" s="38" t="str">
        <f>IFERROR(VLOOKUP("EK 100 G4-A1",STOCK!B2:Q3677,3,FALSE),"SIN STOCK")</f>
        <v>Mayor a 5</v>
      </c>
      <c r="H176" s="27"/>
      <c r="I176" s="27"/>
      <c r="J176" s="27"/>
      <c r="K176" s="27"/>
      <c r="L176" s="27"/>
      <c r="M176" s="27"/>
      <c r="N176" s="27"/>
      <c r="O176" s="27"/>
      <c r="P176" s="27"/>
      <c r="Q176" s="27"/>
      <c r="R176" s="27"/>
      <c r="S176" s="27"/>
    </row>
    <row r="177" ht="15.75" customHeight="1">
      <c r="A177" s="40" t="s">
        <v>31</v>
      </c>
      <c r="B177" s="41" t="s">
        <v>435</v>
      </c>
      <c r="C177" s="42" t="s">
        <v>327</v>
      </c>
      <c r="D177" s="43" t="s">
        <v>433</v>
      </c>
      <c r="E177" s="43" t="s">
        <v>434</v>
      </c>
      <c r="F177" s="44">
        <v>0.21</v>
      </c>
      <c r="G177" s="46" t="str">
        <f>IFERROR(VLOOKUP("EK 100 G4-B",STOCK!B2:Q3677,3,FALSE),"SIN STOCK")</f>
        <v>SIN STOCK</v>
      </c>
      <c r="H177" s="27"/>
      <c r="I177" s="27"/>
      <c r="J177" s="27"/>
      <c r="K177" s="27"/>
      <c r="L177" s="27"/>
      <c r="M177" s="27"/>
      <c r="N177" s="27"/>
      <c r="O177" s="27"/>
      <c r="P177" s="27"/>
      <c r="Q177" s="27"/>
      <c r="R177" s="27"/>
      <c r="S177" s="27"/>
    </row>
    <row r="178" ht="15.75" customHeight="1">
      <c r="A178" s="33" t="s">
        <v>31</v>
      </c>
      <c r="B178" s="45" t="s">
        <v>436</v>
      </c>
      <c r="C178" s="34" t="s">
        <v>437</v>
      </c>
      <c r="D178" s="36" t="s">
        <v>438</v>
      </c>
      <c r="E178" s="36" t="s">
        <v>439</v>
      </c>
      <c r="F178" s="37">
        <v>0.21</v>
      </c>
      <c r="G178" s="46" t="str">
        <f>IFERROR(VLOOKUP("EK 500 G4-Aw+",STOCK!B2:Q3677,3,FALSE),"SIN STOCK")</f>
        <v>Menor a 5</v>
      </c>
      <c r="H178" s="27"/>
      <c r="I178" s="27"/>
      <c r="J178" s="27"/>
      <c r="K178" s="27"/>
      <c r="L178" s="27"/>
      <c r="M178" s="27"/>
      <c r="N178" s="27"/>
      <c r="O178" s="27"/>
      <c r="P178" s="27"/>
      <c r="Q178" s="27"/>
      <c r="R178" s="27"/>
      <c r="S178" s="27"/>
    </row>
    <row r="179" ht="15.75" customHeight="1">
      <c r="A179" s="40" t="s">
        <v>31</v>
      </c>
      <c r="B179" s="41" t="s">
        <v>440</v>
      </c>
      <c r="C179" s="42" t="s">
        <v>327</v>
      </c>
      <c r="D179" s="43" t="s">
        <v>438</v>
      </c>
      <c r="E179" s="43" t="s">
        <v>439</v>
      </c>
      <c r="F179" s="44">
        <v>0.21</v>
      </c>
      <c r="G179" s="38" t="str">
        <f>IFERROR(VLOOKUP("EK 500 G4-Bw",STOCK!B2:Q3677,3,FALSE),"SIN STOCK")</f>
        <v>Mayor a 5</v>
      </c>
      <c r="H179" s="27"/>
      <c r="I179" s="27"/>
      <c r="J179" s="27"/>
      <c r="K179" s="27"/>
      <c r="L179" s="27"/>
      <c r="M179" s="27"/>
      <c r="N179" s="27"/>
      <c r="O179" s="27"/>
      <c r="P179" s="27"/>
      <c r="Q179" s="27"/>
      <c r="R179" s="27"/>
      <c r="S179" s="27"/>
    </row>
    <row r="180" ht="15.75" customHeight="1">
      <c r="A180" s="33" t="s">
        <v>31</v>
      </c>
      <c r="B180" s="45" t="s">
        <v>441</v>
      </c>
      <c r="C180" s="34" t="s">
        <v>442</v>
      </c>
      <c r="D180" s="36" t="s">
        <v>169</v>
      </c>
      <c r="E180" s="36" t="s">
        <v>170</v>
      </c>
      <c r="F180" s="37">
        <v>0.21</v>
      </c>
      <c r="G180" s="46" t="str">
        <f>IFERROR(VLOOKUP("EM 100 G4-A1",STOCK!B2:Q3677,3,FALSE),"SIN STOCK")</f>
        <v>SIN STOCK</v>
      </c>
      <c r="H180" s="27"/>
      <c r="I180" s="27"/>
      <c r="J180" s="27"/>
      <c r="K180" s="27"/>
      <c r="L180" s="27"/>
      <c r="M180" s="27"/>
      <c r="N180" s="27"/>
      <c r="O180" s="27"/>
      <c r="P180" s="27"/>
      <c r="Q180" s="27"/>
      <c r="R180" s="27"/>
      <c r="S180" s="27"/>
    </row>
    <row r="181" ht="15.75" customHeight="1">
      <c r="A181" s="40" t="s">
        <v>31</v>
      </c>
      <c r="B181" s="41" t="s">
        <v>443</v>
      </c>
      <c r="C181" s="42" t="s">
        <v>327</v>
      </c>
      <c r="D181" s="43" t="s">
        <v>169</v>
      </c>
      <c r="E181" s="43" t="s">
        <v>170</v>
      </c>
      <c r="F181" s="44">
        <v>0.21</v>
      </c>
      <c r="G181" s="38" t="str">
        <f>IFERROR(VLOOKUP("EM 100 G4-B",STOCK!B2:Q3677,3,FALSE),"SIN STOCK")</f>
        <v>Mayor a 5</v>
      </c>
      <c r="H181" s="27"/>
      <c r="I181" s="27"/>
      <c r="J181" s="27"/>
      <c r="K181" s="27"/>
      <c r="L181" s="27"/>
      <c r="M181" s="27"/>
      <c r="N181" s="27"/>
      <c r="O181" s="27"/>
      <c r="P181" s="27"/>
      <c r="Q181" s="27"/>
      <c r="R181" s="27"/>
      <c r="S181" s="27"/>
    </row>
    <row r="182" ht="15.75" customHeight="1">
      <c r="A182" s="33" t="s">
        <v>31</v>
      </c>
      <c r="B182" s="45" t="s">
        <v>444</v>
      </c>
      <c r="C182" s="34" t="s">
        <v>445</v>
      </c>
      <c r="D182" s="36" t="s">
        <v>226</v>
      </c>
      <c r="E182" s="36" t="s">
        <v>227</v>
      </c>
      <c r="F182" s="37">
        <v>0.21</v>
      </c>
      <c r="G182" s="38" t="str">
        <f>IFERROR(VLOOKUP("EM 300-500 G4-AW+",STOCK!B2:Q3677,3,FALSE),"SIN STOCK")</f>
        <v>Mayor a 5</v>
      </c>
      <c r="H182" s="27"/>
      <c r="I182" s="27"/>
      <c r="J182" s="27"/>
      <c r="K182" s="27"/>
      <c r="L182" s="27"/>
      <c r="M182" s="27"/>
      <c r="N182" s="27"/>
      <c r="O182" s="27"/>
      <c r="P182" s="27"/>
      <c r="Q182" s="27"/>
      <c r="R182" s="27"/>
      <c r="S182" s="27"/>
    </row>
    <row r="183" ht="15.75" customHeight="1">
      <c r="A183" s="40" t="s">
        <v>31</v>
      </c>
      <c r="B183" s="41" t="s">
        <v>446</v>
      </c>
      <c r="C183" s="42" t="s">
        <v>327</v>
      </c>
      <c r="D183" s="43" t="s">
        <v>447</v>
      </c>
      <c r="E183" s="43" t="s">
        <v>448</v>
      </c>
      <c r="F183" s="44">
        <v>0.21</v>
      </c>
      <c r="G183" s="49" t="str">
        <f>IFERROR(VLOOKUP("EM 300-500 G4-BW",STOCK!B2:Q3677,3,FALSE),"SIN STOCK")</f>
        <v>Menor a 5</v>
      </c>
      <c r="H183" s="27"/>
      <c r="I183" s="27"/>
      <c r="J183" s="27"/>
      <c r="K183" s="27"/>
      <c r="L183" s="27"/>
      <c r="M183" s="27"/>
      <c r="N183" s="27"/>
      <c r="O183" s="27"/>
      <c r="P183" s="27"/>
      <c r="Q183" s="27"/>
      <c r="R183" s="27"/>
      <c r="S183" s="27"/>
    </row>
    <row r="184" ht="15.75" customHeight="1">
      <c r="A184" s="28" t="s">
        <v>449</v>
      </c>
      <c r="C184" s="29"/>
      <c r="D184" s="51"/>
      <c r="E184" s="31"/>
      <c r="F184" s="29"/>
      <c r="G184" s="29"/>
      <c r="H184" s="27"/>
      <c r="I184" s="27"/>
      <c r="J184" s="27"/>
      <c r="K184" s="27"/>
      <c r="L184" s="27"/>
      <c r="M184" s="27"/>
      <c r="N184" s="27"/>
      <c r="O184" s="27"/>
      <c r="P184" s="27"/>
      <c r="Q184" s="27"/>
      <c r="R184" s="27"/>
      <c r="S184" s="27"/>
    </row>
    <row r="185" ht="15.75" customHeight="1">
      <c r="A185" s="40" t="s">
        <v>31</v>
      </c>
      <c r="B185" s="41" t="s">
        <v>450</v>
      </c>
      <c r="C185" s="42" t="s">
        <v>451</v>
      </c>
      <c r="D185" s="43" t="s">
        <v>272</v>
      </c>
      <c r="E185" s="43" t="s">
        <v>273</v>
      </c>
      <c r="F185" s="44">
        <v>0.21</v>
      </c>
      <c r="G185" s="46" t="str">
        <f>IFERROR(VLOOKUP("EW IEM G4-A1",STOCK!B2:Q3677,3,FALSE),"SIN STOCK")</f>
        <v>Mayor a 5</v>
      </c>
      <c r="H185" s="27"/>
      <c r="I185" s="27"/>
      <c r="J185" s="27"/>
      <c r="K185" s="27"/>
      <c r="L185" s="27"/>
      <c r="M185" s="27"/>
      <c r="N185" s="27"/>
      <c r="O185" s="27"/>
      <c r="P185" s="27"/>
      <c r="Q185" s="27"/>
      <c r="R185" s="27"/>
      <c r="S185" s="27"/>
    </row>
    <row r="186" ht="15.75" customHeight="1">
      <c r="A186" s="33" t="s">
        <v>31</v>
      </c>
      <c r="B186" s="59" t="s">
        <v>452</v>
      </c>
      <c r="C186" s="34" t="s">
        <v>327</v>
      </c>
      <c r="D186" s="36" t="s">
        <v>272</v>
      </c>
      <c r="E186" s="36" t="s">
        <v>273</v>
      </c>
      <c r="F186" s="37">
        <v>0.21</v>
      </c>
      <c r="G186" s="46" t="str">
        <f>IFERROR(VLOOKUP("EW IEM G4-B",STOCK!B2:Q3677,3,FALSE),"SIN STOCK")</f>
        <v>Menor a 5</v>
      </c>
      <c r="H186" s="27"/>
      <c r="I186" s="27"/>
      <c r="J186" s="27"/>
      <c r="K186" s="27"/>
      <c r="L186" s="27"/>
      <c r="M186" s="27"/>
      <c r="N186" s="27"/>
      <c r="O186" s="27"/>
      <c r="P186" s="27"/>
      <c r="Q186" s="27"/>
      <c r="R186" s="27"/>
      <c r="S186" s="27"/>
    </row>
    <row r="187" ht="15.75" customHeight="1">
      <c r="A187" s="40" t="s">
        <v>31</v>
      </c>
      <c r="B187" s="41" t="s">
        <v>453</v>
      </c>
      <c r="C187" s="42" t="s">
        <v>454</v>
      </c>
      <c r="D187" s="43" t="s">
        <v>455</v>
      </c>
      <c r="E187" s="43" t="s">
        <v>456</v>
      </c>
      <c r="F187" s="44">
        <v>0.21</v>
      </c>
      <c r="G187" s="38" t="str">
        <f>IFERROR(VLOOKUP("EW IEM G4-TWIN-A1",STOCK!B2:Q3677,3,FALSE),"SIN STOCK")</f>
        <v>Mayor a 5</v>
      </c>
      <c r="H187" s="27"/>
      <c r="I187" s="27"/>
      <c r="J187" s="27"/>
      <c r="K187" s="27"/>
      <c r="L187" s="27"/>
      <c r="M187" s="27"/>
      <c r="N187" s="27"/>
      <c r="O187" s="27"/>
      <c r="P187" s="27"/>
      <c r="Q187" s="27"/>
      <c r="R187" s="27"/>
      <c r="S187" s="27"/>
    </row>
    <row r="188" ht="15.75" customHeight="1">
      <c r="A188" s="33" t="s">
        <v>31</v>
      </c>
      <c r="B188" s="59" t="s">
        <v>457</v>
      </c>
      <c r="C188" s="34" t="s">
        <v>327</v>
      </c>
      <c r="D188" s="36" t="s">
        <v>455</v>
      </c>
      <c r="E188" s="36" t="s">
        <v>456</v>
      </c>
      <c r="F188" s="37">
        <v>0.21</v>
      </c>
      <c r="G188" s="46" t="str">
        <f>IFERROR(VLOOKUP("EW IEM G4-TWIN-B",STOCK!B2:Q3677,3,FALSE),"SIN STOCK")</f>
        <v>Menor a 5</v>
      </c>
      <c r="H188" s="27"/>
      <c r="I188" s="27"/>
      <c r="J188" s="27"/>
      <c r="K188" s="27"/>
      <c r="L188" s="27"/>
      <c r="M188" s="27"/>
      <c r="N188" s="27"/>
      <c r="O188" s="27"/>
      <c r="P188" s="27"/>
      <c r="Q188" s="27"/>
      <c r="R188" s="27"/>
      <c r="S188" s="27"/>
    </row>
    <row r="189" ht="15.75" customHeight="1">
      <c r="A189" s="54" t="s">
        <v>458</v>
      </c>
      <c r="B189" s="29"/>
      <c r="C189" s="29"/>
      <c r="D189" s="51"/>
      <c r="E189" s="31"/>
      <c r="F189" s="29"/>
      <c r="G189" s="29"/>
      <c r="H189" s="27"/>
      <c r="I189" s="27"/>
      <c r="J189" s="27"/>
      <c r="K189" s="27"/>
      <c r="L189" s="27"/>
      <c r="M189" s="27"/>
      <c r="N189" s="27"/>
      <c r="O189" s="27"/>
      <c r="P189" s="27"/>
      <c r="Q189" s="27"/>
      <c r="R189" s="27"/>
      <c r="S189" s="27"/>
    </row>
    <row r="190" ht="15.75" customHeight="1">
      <c r="A190" s="40" t="s">
        <v>31</v>
      </c>
      <c r="B190" s="41" t="s">
        <v>459</v>
      </c>
      <c r="C190" s="42" t="s">
        <v>460</v>
      </c>
      <c r="D190" s="43" t="s">
        <v>428</v>
      </c>
      <c r="E190" s="43" t="s">
        <v>429</v>
      </c>
      <c r="F190" s="44">
        <v>0.21</v>
      </c>
      <c r="G190" s="38" t="str">
        <f>IFERROR(VLOOKUP("EK IEM G4-A1",STOCK!B2:Q3677,3,FALSE),"SIN STOCK")</f>
        <v>Menor a 5</v>
      </c>
      <c r="H190" s="27"/>
      <c r="I190" s="27"/>
      <c r="J190" s="27"/>
      <c r="K190" s="27"/>
      <c r="L190" s="27"/>
      <c r="M190" s="27"/>
      <c r="N190" s="27"/>
      <c r="O190" s="27"/>
      <c r="P190" s="27"/>
      <c r="Q190" s="27"/>
      <c r="R190" s="27"/>
      <c r="S190" s="27"/>
    </row>
    <row r="191" ht="15.75" customHeight="1">
      <c r="A191" s="33" t="s">
        <v>31</v>
      </c>
      <c r="B191" s="45" t="s">
        <v>461</v>
      </c>
      <c r="C191" s="34" t="s">
        <v>327</v>
      </c>
      <c r="D191" s="36" t="s">
        <v>428</v>
      </c>
      <c r="E191" s="36" t="s">
        <v>429</v>
      </c>
      <c r="F191" s="37">
        <v>0.21</v>
      </c>
      <c r="G191" s="38" t="str">
        <f>IFERROR(VLOOKUP("EK IEM G4-B",STOCK!B2:Q3677,3,FALSE),"SIN STOCK")</f>
        <v>Menor a 5</v>
      </c>
      <c r="H191" s="27"/>
      <c r="I191" s="27"/>
      <c r="J191" s="27"/>
      <c r="K191" s="27"/>
      <c r="L191" s="27"/>
      <c r="M191" s="27"/>
      <c r="N191" s="27"/>
      <c r="O191" s="27"/>
      <c r="P191" s="27"/>
      <c r="Q191" s="27"/>
      <c r="R191" s="27"/>
      <c r="S191" s="27"/>
    </row>
    <row r="192" ht="15.75" customHeight="1">
      <c r="A192" s="40" t="s">
        <v>31</v>
      </c>
      <c r="B192" s="41" t="s">
        <v>462</v>
      </c>
      <c r="C192" s="42" t="s">
        <v>463</v>
      </c>
      <c r="D192" s="43" t="s">
        <v>226</v>
      </c>
      <c r="E192" s="43" t="s">
        <v>227</v>
      </c>
      <c r="F192" s="44">
        <v>0.21</v>
      </c>
      <c r="G192" s="46" t="str">
        <f>IFERROR(VLOOKUP("SR IEM G4-A1",STOCK!B2:Q3677,3,FALSE),"SIN STOCK")</f>
        <v>SIN STOCK</v>
      </c>
      <c r="H192" s="27"/>
      <c r="I192" s="27"/>
      <c r="J192" s="27"/>
      <c r="K192" s="27"/>
      <c r="L192" s="27"/>
      <c r="M192" s="27"/>
      <c r="N192" s="27"/>
      <c r="O192" s="27"/>
      <c r="P192" s="27"/>
      <c r="Q192" s="27"/>
      <c r="R192" s="27"/>
      <c r="S192" s="27"/>
    </row>
    <row r="193" ht="15.75" customHeight="1">
      <c r="A193" s="33" t="s">
        <v>31</v>
      </c>
      <c r="B193" s="45" t="s">
        <v>464</v>
      </c>
      <c r="C193" s="34" t="s">
        <v>327</v>
      </c>
      <c r="D193" s="36" t="s">
        <v>226</v>
      </c>
      <c r="E193" s="36" t="s">
        <v>227</v>
      </c>
      <c r="F193" s="37">
        <v>0.21</v>
      </c>
      <c r="G193" s="49" t="str">
        <f>IFERROR(VLOOKUP("SR IEM G4-B",STOCK!B2:Q3677,3,FALSE),"SIN STOCK")</f>
        <v>Menor a 5</v>
      </c>
      <c r="H193" s="27"/>
      <c r="I193" s="27"/>
      <c r="J193" s="27"/>
      <c r="K193" s="27"/>
      <c r="L193" s="27"/>
      <c r="M193" s="27"/>
      <c r="N193" s="27"/>
      <c r="O193" s="27"/>
      <c r="P193" s="27"/>
      <c r="Q193" s="27"/>
      <c r="R193" s="27"/>
      <c r="S193" s="27"/>
    </row>
    <row r="194" ht="15.75" customHeight="1">
      <c r="A194" s="54" t="s">
        <v>465</v>
      </c>
      <c r="B194" s="29"/>
      <c r="C194" s="29"/>
      <c r="D194" s="51"/>
      <c r="E194" s="31"/>
      <c r="F194" s="29"/>
      <c r="G194" s="29"/>
      <c r="H194" s="27"/>
      <c r="I194" s="27"/>
      <c r="J194" s="27"/>
      <c r="K194" s="27"/>
      <c r="L194" s="27"/>
      <c r="M194" s="27"/>
      <c r="N194" s="27"/>
      <c r="O194" s="27"/>
      <c r="P194" s="27"/>
      <c r="Q194" s="27"/>
      <c r="R194" s="27"/>
      <c r="S194" s="27"/>
    </row>
    <row r="195" ht="15.75" customHeight="1">
      <c r="A195" s="40" t="s">
        <v>31</v>
      </c>
      <c r="B195" s="41" t="s">
        <v>466</v>
      </c>
      <c r="C195" s="42" t="s">
        <v>467</v>
      </c>
      <c r="D195" s="43" t="s">
        <v>468</v>
      </c>
      <c r="E195" s="43" t="s">
        <v>469</v>
      </c>
      <c r="F195" s="44">
        <v>0.21</v>
      </c>
      <c r="G195" s="46" t="str">
        <f>IFERROR(VLOOKUP("A 1031-U",STOCK!B2:Q3677,3,FALSE),"SIN STOCK")</f>
        <v>Mayor a 5</v>
      </c>
      <c r="H195" s="27"/>
      <c r="I195" s="27"/>
      <c r="J195" s="27"/>
      <c r="K195" s="27"/>
      <c r="L195" s="27"/>
      <c r="M195" s="27"/>
      <c r="N195" s="27"/>
      <c r="O195" s="27"/>
      <c r="P195" s="27"/>
      <c r="Q195" s="27"/>
      <c r="R195" s="27"/>
      <c r="S195" s="27"/>
    </row>
    <row r="196" ht="15.75" customHeight="1">
      <c r="A196" s="33" t="s">
        <v>31</v>
      </c>
      <c r="B196" s="45" t="s">
        <v>470</v>
      </c>
      <c r="C196" s="34" t="s">
        <v>471</v>
      </c>
      <c r="D196" s="36" t="s">
        <v>161</v>
      </c>
      <c r="E196" s="36" t="s">
        <v>162</v>
      </c>
      <c r="F196" s="37">
        <v>0.21</v>
      </c>
      <c r="G196" s="38" t="str">
        <f>IFERROR(VLOOKUP("ADP UHF (470 - 1075 MHZ)",STOCK!B2:Q3677,3,FALSE),"SIN STOCK")</f>
        <v>Mayor a 5</v>
      </c>
      <c r="H196" s="27"/>
      <c r="I196" s="27"/>
      <c r="J196" s="27"/>
      <c r="K196" s="27"/>
      <c r="L196" s="27"/>
      <c r="M196" s="27"/>
      <c r="N196" s="27"/>
      <c r="O196" s="27"/>
      <c r="P196" s="27"/>
      <c r="Q196" s="27"/>
      <c r="R196" s="27"/>
      <c r="S196" s="27"/>
    </row>
    <row r="197" ht="15.75" customHeight="1">
      <c r="A197" s="40" t="s">
        <v>31</v>
      </c>
      <c r="B197" s="41" t="s">
        <v>472</v>
      </c>
      <c r="C197" s="42" t="s">
        <v>473</v>
      </c>
      <c r="D197" s="43" t="s">
        <v>474</v>
      </c>
      <c r="E197" s="43" t="s">
        <v>475</v>
      </c>
      <c r="F197" s="44">
        <v>0.21</v>
      </c>
      <c r="G197" s="38" t="str">
        <f>IFERROR(VLOOKUP("A 3700",STOCK!B2:Q3677,3,FALSE),"SIN STOCK")</f>
        <v>Mayor a 5</v>
      </c>
      <c r="H197" s="27"/>
      <c r="I197" s="27"/>
      <c r="J197" s="27"/>
      <c r="K197" s="27"/>
      <c r="L197" s="27"/>
      <c r="M197" s="27"/>
      <c r="N197" s="27"/>
      <c r="O197" s="27"/>
      <c r="P197" s="27"/>
      <c r="Q197" s="27"/>
      <c r="R197" s="27"/>
      <c r="S197" s="27"/>
    </row>
    <row r="198" ht="15.75" customHeight="1">
      <c r="A198" s="33" t="s">
        <v>31</v>
      </c>
      <c r="B198" s="45" t="s">
        <v>476</v>
      </c>
      <c r="C198" s="34" t="s">
        <v>477</v>
      </c>
      <c r="D198" s="36" t="s">
        <v>222</v>
      </c>
      <c r="E198" s="36" t="s">
        <v>223</v>
      </c>
      <c r="F198" s="37">
        <v>0.21</v>
      </c>
      <c r="G198" s="38" t="str">
        <f>IFERROR(VLOOKUP("AD 3700",STOCK!B2:Q3677,3,FALSE),"SIN STOCK")</f>
        <v>Mayor a 5</v>
      </c>
      <c r="H198" s="27"/>
      <c r="I198" s="27"/>
      <c r="J198" s="27"/>
      <c r="K198" s="27"/>
      <c r="L198" s="27"/>
      <c r="M198" s="27"/>
      <c r="N198" s="27"/>
      <c r="O198" s="27"/>
      <c r="P198" s="27"/>
      <c r="Q198" s="27"/>
      <c r="R198" s="27"/>
      <c r="S198" s="27"/>
    </row>
    <row r="199" ht="15.75" customHeight="1">
      <c r="A199" s="40" t="s">
        <v>31</v>
      </c>
      <c r="B199" s="41" t="s">
        <v>478</v>
      </c>
      <c r="C199" s="42" t="s">
        <v>479</v>
      </c>
      <c r="D199" s="43" t="s">
        <v>222</v>
      </c>
      <c r="E199" s="43" t="s">
        <v>223</v>
      </c>
      <c r="F199" s="44">
        <v>0.21</v>
      </c>
      <c r="G199" s="49" t="str">
        <f>IFERROR(VLOOKUP("A 5000 CP",STOCK!B2:Q3677,3,FALSE),"SIN STOCK")</f>
        <v>Menor a 5</v>
      </c>
      <c r="H199" s="27"/>
      <c r="I199" s="27"/>
      <c r="J199" s="27"/>
      <c r="K199" s="27"/>
      <c r="L199" s="27"/>
      <c r="M199" s="27"/>
      <c r="N199" s="27"/>
      <c r="O199" s="27"/>
      <c r="P199" s="27"/>
      <c r="Q199" s="27"/>
      <c r="R199" s="27"/>
      <c r="S199" s="27"/>
    </row>
    <row r="200" ht="15.75" customHeight="1">
      <c r="A200" s="33" t="s">
        <v>31</v>
      </c>
      <c r="B200" s="45" t="s">
        <v>480</v>
      </c>
      <c r="C200" s="34" t="s">
        <v>481</v>
      </c>
      <c r="D200" s="36" t="s">
        <v>482</v>
      </c>
      <c r="E200" s="36" t="s">
        <v>483</v>
      </c>
      <c r="F200" s="37">
        <v>0.21</v>
      </c>
      <c r="G200" s="38" t="str">
        <f>IFERROR(VLOOKUP("EW-D AB (Q)",STOCK!B2:Q3677,3,FALSE),"SIN STOCK")</f>
        <v>Mayor a 5</v>
      </c>
      <c r="H200" s="27"/>
      <c r="I200" s="27"/>
      <c r="J200" s="27"/>
      <c r="K200" s="27"/>
      <c r="L200" s="27"/>
      <c r="M200" s="27"/>
      <c r="N200" s="27"/>
      <c r="O200" s="27"/>
      <c r="P200" s="27"/>
      <c r="Q200" s="27"/>
      <c r="R200" s="27"/>
      <c r="S200" s="27"/>
    </row>
    <row r="201" ht="15.75" customHeight="1">
      <c r="A201" s="40" t="s">
        <v>31</v>
      </c>
      <c r="B201" s="41" t="s">
        <v>484</v>
      </c>
      <c r="C201" s="42" t="s">
        <v>485</v>
      </c>
      <c r="D201" s="43" t="s">
        <v>482</v>
      </c>
      <c r="E201" s="43" t="s">
        <v>483</v>
      </c>
      <c r="F201" s="44">
        <v>0.21</v>
      </c>
      <c r="G201" s="38" t="str">
        <f>IFERROR(VLOOKUP("AB 4-AW+",STOCK!B2:Q3677,3,FALSE),"SIN STOCK")</f>
        <v>Menor a 5</v>
      </c>
      <c r="H201" s="27"/>
      <c r="I201" s="27"/>
      <c r="J201" s="27"/>
      <c r="K201" s="27"/>
      <c r="L201" s="27"/>
      <c r="M201" s="27"/>
      <c r="N201" s="27"/>
      <c r="O201" s="27"/>
      <c r="P201" s="27"/>
      <c r="Q201" s="27"/>
      <c r="R201" s="27"/>
      <c r="S201" s="27"/>
    </row>
    <row r="202" ht="15.75" customHeight="1">
      <c r="A202" s="33" t="s">
        <v>31</v>
      </c>
      <c r="B202" s="45" t="s">
        <v>486</v>
      </c>
      <c r="C202" s="34" t="s">
        <v>327</v>
      </c>
      <c r="D202" s="36" t="s">
        <v>482</v>
      </c>
      <c r="E202" s="36" t="s">
        <v>483</v>
      </c>
      <c r="F202" s="37">
        <v>0.21</v>
      </c>
      <c r="G202" s="49" t="str">
        <f>IFERROR(VLOOKUP("AB 4-BW",STOCK!B2:Q3677,3,FALSE),"SIN STOCK")</f>
        <v>Menor a 5</v>
      </c>
      <c r="H202" s="27"/>
      <c r="I202" s="27"/>
      <c r="J202" s="27"/>
      <c r="K202" s="27"/>
      <c r="L202" s="27"/>
      <c r="M202" s="27"/>
      <c r="N202" s="27"/>
      <c r="O202" s="27"/>
      <c r="P202" s="27"/>
      <c r="Q202" s="27"/>
      <c r="R202" s="27"/>
      <c r="S202" s="27"/>
    </row>
    <row r="203" ht="15.75" customHeight="1">
      <c r="A203" s="40" t="s">
        <v>31</v>
      </c>
      <c r="B203" s="41" t="s">
        <v>487</v>
      </c>
      <c r="C203" s="42" t="s">
        <v>488</v>
      </c>
      <c r="D203" s="43" t="s">
        <v>447</v>
      </c>
      <c r="E203" s="43" t="s">
        <v>448</v>
      </c>
      <c r="F203" s="44">
        <v>0.21</v>
      </c>
      <c r="G203" s="49" t="str">
        <f>IFERROR(VLOOKUP("AB 3700",STOCK!B2:Q3677,3,FALSE),"SIN STOCK")</f>
        <v>Menor a 5</v>
      </c>
      <c r="H203" s="27"/>
      <c r="I203" s="27"/>
      <c r="J203" s="27"/>
      <c r="K203" s="27"/>
      <c r="L203" s="27"/>
      <c r="M203" s="27"/>
      <c r="N203" s="27"/>
      <c r="O203" s="27"/>
      <c r="P203" s="27"/>
      <c r="Q203" s="27"/>
      <c r="R203" s="27"/>
      <c r="S203" s="27"/>
    </row>
    <row r="204" ht="15.75" customHeight="1">
      <c r="A204" s="33" t="s">
        <v>31</v>
      </c>
      <c r="B204" s="45" t="s">
        <v>489</v>
      </c>
      <c r="C204" s="34" t="s">
        <v>490</v>
      </c>
      <c r="D204" s="36" t="s">
        <v>491</v>
      </c>
      <c r="E204" s="36" t="s">
        <v>492</v>
      </c>
      <c r="F204" s="37">
        <v>0.21</v>
      </c>
      <c r="G204" s="46" t="str">
        <f>IFERROR(VLOOKUP("AC 3200-II",STOCK!B2:Q3677,3,FALSE),"SIN STOCK")</f>
        <v>Menor a 5</v>
      </c>
      <c r="H204" s="27"/>
      <c r="I204" s="27"/>
      <c r="J204" s="27"/>
      <c r="K204" s="27"/>
      <c r="L204" s="27"/>
      <c r="M204" s="27"/>
      <c r="N204" s="27"/>
      <c r="O204" s="27"/>
      <c r="P204" s="27"/>
      <c r="Q204" s="27"/>
      <c r="R204" s="27"/>
      <c r="S204" s="27"/>
    </row>
    <row r="205" ht="15.75" customHeight="1">
      <c r="A205" s="40" t="s">
        <v>31</v>
      </c>
      <c r="B205" s="41" t="s">
        <v>493</v>
      </c>
      <c r="C205" s="42" t="s">
        <v>494</v>
      </c>
      <c r="D205" s="43" t="s">
        <v>491</v>
      </c>
      <c r="E205" s="43" t="s">
        <v>492</v>
      </c>
      <c r="F205" s="44">
        <v>0.21</v>
      </c>
      <c r="G205" s="46" t="str">
        <f>IFERROR(VLOOKUP("ACA 3",STOCK!B2:Q3677,3,FALSE),"SIN STOCK")</f>
        <v>Menor a 5</v>
      </c>
      <c r="H205" s="27"/>
      <c r="I205" s="27"/>
      <c r="J205" s="27"/>
      <c r="K205" s="27"/>
      <c r="L205" s="27"/>
      <c r="M205" s="27"/>
      <c r="N205" s="27"/>
      <c r="O205" s="27"/>
      <c r="P205" s="27"/>
      <c r="Q205" s="27"/>
      <c r="R205" s="27"/>
      <c r="S205" s="27"/>
    </row>
    <row r="206" ht="15.75" customHeight="1">
      <c r="A206" s="33" t="s">
        <v>31</v>
      </c>
      <c r="B206" s="45" t="s">
        <v>495</v>
      </c>
      <c r="C206" s="34" t="s">
        <v>496</v>
      </c>
      <c r="D206" s="36" t="s">
        <v>233</v>
      </c>
      <c r="E206" s="36" t="s">
        <v>234</v>
      </c>
      <c r="F206" s="37">
        <v>0.21</v>
      </c>
      <c r="G206" s="49" t="str">
        <f>IFERROR(VLOOKUP("ASP 113",STOCK!B2:Q3677,3,FALSE),"SIN STOCK")</f>
        <v>Menor a 5</v>
      </c>
      <c r="H206" s="27"/>
      <c r="I206" s="27"/>
      <c r="J206" s="27"/>
      <c r="K206" s="27"/>
      <c r="L206" s="27"/>
      <c r="M206" s="27"/>
      <c r="N206" s="27"/>
      <c r="O206" s="27"/>
      <c r="P206" s="27"/>
      <c r="Q206" s="27"/>
      <c r="R206" s="27"/>
      <c r="S206" s="27"/>
    </row>
    <row r="207" ht="15.75" customHeight="1">
      <c r="A207" s="40" t="s">
        <v>31</v>
      </c>
      <c r="B207" s="41" t="s">
        <v>497</v>
      </c>
      <c r="C207" s="42" t="s">
        <v>498</v>
      </c>
      <c r="D207" s="43" t="s">
        <v>233</v>
      </c>
      <c r="E207" s="43" t="s">
        <v>234</v>
      </c>
      <c r="F207" s="44">
        <v>0.21</v>
      </c>
      <c r="G207" s="38" t="str">
        <f>IFERROR(VLOOKUP("ASP 114",STOCK!B2:Q3677,3,FALSE),"SIN STOCK")</f>
        <v>Mayor a 5</v>
      </c>
      <c r="H207" s="27"/>
      <c r="I207" s="27"/>
      <c r="J207" s="27"/>
      <c r="K207" s="27"/>
      <c r="L207" s="27"/>
      <c r="M207" s="27"/>
      <c r="N207" s="27"/>
      <c r="O207" s="27"/>
      <c r="P207" s="27"/>
      <c r="Q207" s="27"/>
      <c r="R207" s="27"/>
      <c r="S207" s="27"/>
    </row>
    <row r="208" ht="15.75" customHeight="1">
      <c r="A208" s="33" t="s">
        <v>31</v>
      </c>
      <c r="B208" s="45" t="s">
        <v>499</v>
      </c>
      <c r="C208" s="34" t="s">
        <v>500</v>
      </c>
      <c r="D208" s="36" t="s">
        <v>233</v>
      </c>
      <c r="E208" s="36" t="s">
        <v>234</v>
      </c>
      <c r="F208" s="37">
        <v>0.21</v>
      </c>
      <c r="G208" s="38" t="str">
        <f>IFERROR(VLOOKUP("ASP 212",STOCK!B2:Q3677,3,FALSE),"SIN STOCK")</f>
        <v>Mayor a 5</v>
      </c>
      <c r="H208" s="27"/>
      <c r="I208" s="27"/>
      <c r="J208" s="27"/>
      <c r="K208" s="27"/>
      <c r="L208" s="27"/>
      <c r="M208" s="27"/>
      <c r="N208" s="27"/>
      <c r="O208" s="27"/>
      <c r="P208" s="27"/>
      <c r="Q208" s="27"/>
      <c r="R208" s="27"/>
      <c r="S208" s="27"/>
    </row>
    <row r="209" ht="15.75" customHeight="1">
      <c r="A209" s="40" t="s">
        <v>31</v>
      </c>
      <c r="B209" s="41" t="s">
        <v>501</v>
      </c>
      <c r="C209" s="34" t="s">
        <v>502</v>
      </c>
      <c r="D209" s="43" t="s">
        <v>357</v>
      </c>
      <c r="E209" s="43" t="s">
        <v>358</v>
      </c>
      <c r="F209" s="44">
        <v>0.21</v>
      </c>
      <c r="G209" s="38" t="str">
        <f>IFERROR(VLOOKUP("AC 41-US",STOCK!B2:Q3677,3,FALSE),"SIN STOCK")</f>
        <v>Mayor a 5</v>
      </c>
      <c r="H209" s="27"/>
      <c r="I209" s="27"/>
      <c r="J209" s="27"/>
      <c r="K209" s="27"/>
      <c r="L209" s="27"/>
      <c r="M209" s="27"/>
      <c r="N209" s="27"/>
      <c r="O209" s="27"/>
      <c r="P209" s="27"/>
      <c r="Q209" s="27"/>
      <c r="R209" s="27"/>
      <c r="S209" s="27"/>
    </row>
    <row r="210" ht="15.75" customHeight="1">
      <c r="A210" s="33" t="s">
        <v>31</v>
      </c>
      <c r="B210" s="45" t="s">
        <v>503</v>
      </c>
      <c r="D210" s="36" t="s">
        <v>504</v>
      </c>
      <c r="E210" s="36" t="s">
        <v>505</v>
      </c>
      <c r="F210" s="37">
        <v>0.21</v>
      </c>
      <c r="G210" s="46" t="str">
        <f>IFERROR(VLOOKUP("ASA 3000-US",STOCK!B2:Q3677,3,FALSE),"SIN STOCK")</f>
        <v>Menor a 5</v>
      </c>
      <c r="H210" s="27"/>
      <c r="I210" s="27"/>
      <c r="J210" s="27"/>
      <c r="K210" s="27"/>
      <c r="L210" s="27"/>
      <c r="M210" s="27"/>
      <c r="N210" s="27"/>
      <c r="O210" s="27"/>
      <c r="P210" s="27"/>
      <c r="Q210" s="27"/>
      <c r="R210" s="27"/>
      <c r="S210" s="27"/>
    </row>
    <row r="211" ht="15.75" customHeight="1">
      <c r="A211" s="40" t="s">
        <v>31</v>
      </c>
      <c r="B211" s="52" t="s">
        <v>506</v>
      </c>
      <c r="C211" s="42" t="s">
        <v>507</v>
      </c>
      <c r="D211" s="43" t="s">
        <v>508</v>
      </c>
      <c r="E211" s="43" t="s">
        <v>509</v>
      </c>
      <c r="F211" s="44">
        <v>0.21</v>
      </c>
      <c r="G211" s="38" t="str">
        <f>IFERROR(VLOOKUP("EW-D ASA (Q-R-S)",STOCK!B2:Q3677,3,FALSE),"SIN STOCK")</f>
        <v>Mayor a 5</v>
      </c>
      <c r="H211" s="27"/>
      <c r="I211" s="27"/>
      <c r="J211" s="27"/>
      <c r="K211" s="27"/>
      <c r="L211" s="27"/>
      <c r="M211" s="27"/>
      <c r="N211" s="27"/>
      <c r="O211" s="27"/>
      <c r="P211" s="27"/>
      <c r="Q211" s="27"/>
      <c r="R211" s="27"/>
      <c r="S211" s="27"/>
    </row>
    <row r="212" ht="15.75" customHeight="1">
      <c r="A212" s="33" t="s">
        <v>31</v>
      </c>
      <c r="B212" s="45" t="s">
        <v>510</v>
      </c>
      <c r="C212" s="34" t="s">
        <v>511</v>
      </c>
      <c r="D212" s="36" t="s">
        <v>88</v>
      </c>
      <c r="E212" s="36" t="s">
        <v>89</v>
      </c>
      <c r="F212" s="37">
        <v>0.21</v>
      </c>
      <c r="G212" s="38" t="str">
        <f>IFERROR(VLOOKUP("AM 2",STOCK!B2:Q3677,3,FALSE),"SIN STOCK")</f>
        <v>Mayor a 5</v>
      </c>
      <c r="H212" s="27"/>
      <c r="I212" s="27"/>
      <c r="J212" s="27"/>
      <c r="K212" s="27"/>
      <c r="L212" s="27"/>
      <c r="M212" s="27"/>
      <c r="N212" s="27"/>
      <c r="O212" s="27"/>
      <c r="P212" s="27"/>
      <c r="Q212" s="27"/>
      <c r="R212" s="27"/>
      <c r="S212" s="27"/>
    </row>
    <row r="213" ht="15.75" customHeight="1">
      <c r="A213" s="40" t="s">
        <v>31</v>
      </c>
      <c r="B213" s="41" t="s">
        <v>512</v>
      </c>
      <c r="C213" s="42" t="s">
        <v>513</v>
      </c>
      <c r="D213" s="43" t="s">
        <v>514</v>
      </c>
      <c r="E213" s="43" t="s">
        <v>515</v>
      </c>
      <c r="F213" s="44">
        <v>0.21</v>
      </c>
      <c r="G213" s="60" t="s">
        <v>516</v>
      </c>
      <c r="H213" s="27"/>
      <c r="I213" s="27"/>
      <c r="J213" s="27"/>
      <c r="K213" s="27"/>
      <c r="L213" s="27"/>
      <c r="M213" s="27"/>
      <c r="N213" s="27"/>
      <c r="O213" s="27"/>
      <c r="P213" s="27"/>
      <c r="Q213" s="27"/>
      <c r="R213" s="27"/>
      <c r="S213" s="27"/>
    </row>
    <row r="214" ht="15.75" customHeight="1">
      <c r="A214" s="33" t="s">
        <v>31</v>
      </c>
      <c r="B214" s="45" t="s">
        <v>517</v>
      </c>
      <c r="C214" s="34" t="s">
        <v>518</v>
      </c>
      <c r="D214" s="36" t="s">
        <v>519</v>
      </c>
      <c r="E214" s="36" t="s">
        <v>520</v>
      </c>
      <c r="F214" s="37">
        <v>0.21</v>
      </c>
      <c r="G214" s="38" t="str">
        <f>IFERROR(VLOOKUP("BB1",STOCK!B2:Q3677,3,FALSE),"SIN STOCK")</f>
        <v>Mayor a 5</v>
      </c>
      <c r="H214" s="27"/>
      <c r="I214" s="27"/>
      <c r="J214" s="27"/>
      <c r="K214" s="27"/>
      <c r="L214" s="27"/>
      <c r="M214" s="27"/>
      <c r="N214" s="27"/>
      <c r="O214" s="27"/>
      <c r="P214" s="27"/>
      <c r="Q214" s="27"/>
      <c r="R214" s="27"/>
      <c r="S214" s="27"/>
    </row>
    <row r="215" ht="15.75" customHeight="1">
      <c r="A215" s="40" t="s">
        <v>31</v>
      </c>
      <c r="B215" s="52" t="s">
        <v>521</v>
      </c>
      <c r="C215" s="42" t="s">
        <v>522</v>
      </c>
      <c r="D215" s="43" t="s">
        <v>523</v>
      </c>
      <c r="E215" s="43" t="s">
        <v>524</v>
      </c>
      <c r="F215" s="44">
        <v>0.21</v>
      </c>
      <c r="G215" s="38" t="str">
        <f>IFERROR(VLOOKUP("BB100",STOCK!B2:Q3677,3,FALSE),"SIN STOCK")</f>
        <v>Mayor a 5</v>
      </c>
      <c r="H215" s="27"/>
      <c r="I215" s="27"/>
      <c r="J215" s="27"/>
      <c r="K215" s="27"/>
      <c r="L215" s="27"/>
      <c r="M215" s="27"/>
      <c r="N215" s="27"/>
      <c r="O215" s="27"/>
      <c r="P215" s="27"/>
      <c r="Q215" s="27"/>
      <c r="R215" s="27"/>
      <c r="S215" s="27"/>
    </row>
    <row r="216" ht="15.75" customHeight="1">
      <c r="A216" s="33" t="s">
        <v>31</v>
      </c>
      <c r="B216" s="45" t="s">
        <v>525</v>
      </c>
      <c r="C216" s="34" t="s">
        <v>526</v>
      </c>
      <c r="D216" s="36" t="s">
        <v>527</v>
      </c>
      <c r="E216" s="36" t="s">
        <v>528</v>
      </c>
      <c r="F216" s="37">
        <v>0.21</v>
      </c>
      <c r="G216" s="38" t="str">
        <f>IFERROR(VLOOKUP("BB25",STOCK!B2:Q3677,3,FALSE),"SIN STOCK")</f>
        <v>Mayor a 5</v>
      </c>
      <c r="H216" s="27"/>
      <c r="I216" s="27"/>
      <c r="J216" s="27"/>
      <c r="K216" s="27"/>
      <c r="L216" s="27"/>
      <c r="M216" s="27"/>
      <c r="N216" s="27"/>
      <c r="O216" s="27"/>
      <c r="P216" s="27"/>
      <c r="Q216" s="27"/>
      <c r="R216" s="27"/>
      <c r="S216" s="27"/>
    </row>
    <row r="217" ht="15.75" customHeight="1">
      <c r="A217" s="40" t="s">
        <v>31</v>
      </c>
      <c r="B217" s="41" t="s">
        <v>529</v>
      </c>
      <c r="C217" s="42" t="s">
        <v>530</v>
      </c>
      <c r="D217" s="43" t="s">
        <v>531</v>
      </c>
      <c r="E217" s="43" t="s">
        <v>532</v>
      </c>
      <c r="F217" s="44">
        <v>0.21</v>
      </c>
      <c r="G217" s="46" t="str">
        <f>IFERROR(VLOOKUP("BB25KIT",STOCK!B2:Q3677,3,FALSE),"SIN STOCK")</f>
        <v>SIN STOCK</v>
      </c>
      <c r="H217" s="27"/>
      <c r="I217" s="27"/>
      <c r="J217" s="27"/>
      <c r="K217" s="27"/>
      <c r="L217" s="27"/>
      <c r="M217" s="27"/>
      <c r="N217" s="27"/>
      <c r="O217" s="27"/>
      <c r="P217" s="27"/>
      <c r="Q217" s="27"/>
      <c r="R217" s="27"/>
      <c r="S217" s="27"/>
    </row>
    <row r="218" ht="15.75" customHeight="1">
      <c r="A218" s="33" t="s">
        <v>31</v>
      </c>
      <c r="B218" s="45" t="s">
        <v>533</v>
      </c>
      <c r="C218" s="34" t="s">
        <v>534</v>
      </c>
      <c r="D218" s="36" t="s">
        <v>535</v>
      </c>
      <c r="E218" s="36" t="s">
        <v>536</v>
      </c>
      <c r="F218" s="37">
        <v>0.21</v>
      </c>
      <c r="G218" s="38" t="str">
        <f>IFERROR(VLOOKUP("BB3",STOCK!B2:Q3677,3,FALSE),"SIN STOCK")</f>
        <v>Mayor a 5</v>
      </c>
      <c r="H218" s="27"/>
      <c r="I218" s="27"/>
      <c r="J218" s="27"/>
      <c r="K218" s="27"/>
      <c r="L218" s="27"/>
      <c r="M218" s="27"/>
      <c r="N218" s="27"/>
      <c r="O218" s="27"/>
      <c r="P218" s="27"/>
      <c r="Q218" s="27"/>
      <c r="R218" s="27"/>
      <c r="S218" s="27"/>
    </row>
    <row r="219" ht="15.75" customHeight="1">
      <c r="A219" s="40" t="s">
        <v>31</v>
      </c>
      <c r="B219" s="40" t="s">
        <v>537</v>
      </c>
      <c r="C219" s="42" t="s">
        <v>538</v>
      </c>
      <c r="D219" s="43" t="s">
        <v>539</v>
      </c>
      <c r="E219" s="43" t="s">
        <v>540</v>
      </c>
      <c r="F219" s="44">
        <v>0.21</v>
      </c>
      <c r="G219" s="46" t="str">
        <f>IFERROR(VLOOKUP("BB3 KIT",STOCK!B2:Q3677,3,FALSE),"SIN STOCK")</f>
        <v>SIN STOCK</v>
      </c>
      <c r="H219" s="27"/>
      <c r="I219" s="27"/>
      <c r="J219" s="27"/>
      <c r="K219" s="27"/>
      <c r="L219" s="27"/>
      <c r="M219" s="27"/>
      <c r="N219" s="27"/>
      <c r="O219" s="27"/>
      <c r="P219" s="27"/>
      <c r="Q219" s="27"/>
      <c r="R219" s="27"/>
      <c r="S219" s="27"/>
    </row>
    <row r="220" ht="15.75" customHeight="1">
      <c r="A220" s="33" t="s">
        <v>31</v>
      </c>
      <c r="B220" s="33" t="s">
        <v>541</v>
      </c>
      <c r="C220" s="34" t="s">
        <v>542</v>
      </c>
      <c r="D220" s="36" t="s">
        <v>543</v>
      </c>
      <c r="E220" s="36" t="s">
        <v>544</v>
      </c>
      <c r="F220" s="37">
        <v>0.21</v>
      </c>
      <c r="G220" s="38" t="str">
        <f>IFERROR(VLOOKUP("BB6",STOCK!B2:Q3677,3,FALSE),"SIN STOCK")</f>
        <v>Mayor a 5</v>
      </c>
      <c r="H220" s="27"/>
      <c r="I220" s="27"/>
      <c r="J220" s="27"/>
      <c r="K220" s="27"/>
      <c r="L220" s="27"/>
      <c r="M220" s="27"/>
      <c r="N220" s="27"/>
      <c r="O220" s="27"/>
      <c r="P220" s="27"/>
      <c r="Q220" s="27"/>
      <c r="R220" s="27"/>
      <c r="S220" s="27"/>
    </row>
    <row r="221" ht="15.75" customHeight="1">
      <c r="A221" s="40" t="s">
        <v>31</v>
      </c>
      <c r="B221" s="40" t="s">
        <v>545</v>
      </c>
      <c r="C221" s="42" t="s">
        <v>546</v>
      </c>
      <c r="D221" s="43" t="s">
        <v>547</v>
      </c>
      <c r="E221" s="43" t="s">
        <v>548</v>
      </c>
      <c r="F221" s="44">
        <v>0.21</v>
      </c>
      <c r="G221" s="46" t="str">
        <f>IFERROR(VLOOKUP("BFBF",STOCK!B2:Q3677,3,FALSE),"SIN STOCK")</f>
        <v>SIN STOCK</v>
      </c>
      <c r="H221" s="27"/>
      <c r="I221" s="27"/>
      <c r="J221" s="27"/>
      <c r="K221" s="27"/>
      <c r="L221" s="27"/>
      <c r="M221" s="27"/>
      <c r="N221" s="27"/>
      <c r="O221" s="27"/>
      <c r="P221" s="27"/>
      <c r="Q221" s="27"/>
      <c r="R221" s="27"/>
      <c r="S221" s="27"/>
    </row>
    <row r="222" ht="15.75" customHeight="1">
      <c r="A222" s="33" t="s">
        <v>31</v>
      </c>
      <c r="B222" s="45" t="s">
        <v>549</v>
      </c>
      <c r="C222" s="34" t="s">
        <v>550</v>
      </c>
      <c r="D222" s="36" t="s">
        <v>294</v>
      </c>
      <c r="E222" s="36" t="s">
        <v>295</v>
      </c>
      <c r="F222" s="37">
        <v>0.21</v>
      </c>
      <c r="G222" s="46" t="str">
        <f>IFERROR(VLOOKUP("GZL RG 58 - 0.25M",STOCK!B2:Q3677,3,FALSE),"SIN STOCK")</f>
        <v>SIN STOCK</v>
      </c>
      <c r="H222" s="27"/>
      <c r="I222" s="27"/>
      <c r="J222" s="27"/>
      <c r="K222" s="27"/>
      <c r="L222" s="27"/>
      <c r="M222" s="27"/>
      <c r="N222" s="27"/>
      <c r="O222" s="27"/>
      <c r="P222" s="27"/>
      <c r="Q222" s="27"/>
      <c r="R222" s="27"/>
      <c r="S222" s="27"/>
    </row>
    <row r="223" ht="15.75" customHeight="1">
      <c r="A223" s="40" t="s">
        <v>31</v>
      </c>
      <c r="B223" s="41" t="s">
        <v>551</v>
      </c>
      <c r="C223" s="42" t="s">
        <v>552</v>
      </c>
      <c r="D223" s="43" t="s">
        <v>553</v>
      </c>
      <c r="E223" s="43" t="s">
        <v>554</v>
      </c>
      <c r="F223" s="44">
        <v>0.21</v>
      </c>
      <c r="G223" s="46" t="str">
        <f>IFERROR(VLOOKUP("GZL RG 58 - 0.5M",STOCK!B2:Q3677,3,FALSE),"SIN STOCK")</f>
        <v>SIN STOCK</v>
      </c>
      <c r="H223" s="27"/>
      <c r="I223" s="27"/>
      <c r="J223" s="27"/>
      <c r="K223" s="27"/>
      <c r="L223" s="27"/>
      <c r="M223" s="27"/>
      <c r="N223" s="27"/>
      <c r="O223" s="27"/>
      <c r="P223" s="27"/>
      <c r="Q223" s="27"/>
      <c r="R223" s="27"/>
      <c r="S223" s="27"/>
    </row>
    <row r="224" ht="15.75" customHeight="1">
      <c r="A224" s="33" t="s">
        <v>31</v>
      </c>
      <c r="B224" s="45" t="s">
        <v>555</v>
      </c>
      <c r="C224" s="34" t="s">
        <v>556</v>
      </c>
      <c r="D224" s="36" t="s">
        <v>88</v>
      </c>
      <c r="E224" s="36" t="s">
        <v>89</v>
      </c>
      <c r="F224" s="37">
        <v>0.21</v>
      </c>
      <c r="G224" s="46" t="str">
        <f>IFERROR(VLOOKUP("GZL RG 58 - 10M",STOCK!B2:Q3677,3,FALSE),"SIN STOCK")</f>
        <v>Menor a 5</v>
      </c>
      <c r="H224" s="27"/>
      <c r="I224" s="27"/>
      <c r="J224" s="27"/>
      <c r="K224" s="27"/>
      <c r="L224" s="27"/>
      <c r="M224" s="27"/>
      <c r="N224" s="27"/>
      <c r="O224" s="27"/>
      <c r="P224" s="27"/>
      <c r="Q224" s="27"/>
      <c r="R224" s="27"/>
      <c r="S224" s="27"/>
    </row>
    <row r="225" ht="15.75" customHeight="1">
      <c r="A225" s="40" t="s">
        <v>31</v>
      </c>
      <c r="B225" s="41" t="s">
        <v>557</v>
      </c>
      <c r="C225" s="42" t="s">
        <v>558</v>
      </c>
      <c r="D225" s="43" t="s">
        <v>514</v>
      </c>
      <c r="E225" s="43" t="s">
        <v>515</v>
      </c>
      <c r="F225" s="44">
        <v>0.21</v>
      </c>
      <c r="G225" s="46" t="str">
        <f>IFERROR(VLOOKUP("GZL RG 58 - 1M",STOCK!B2:Q3677,3,FALSE),"SIN STOCK")</f>
        <v>SIN STOCK</v>
      </c>
      <c r="H225" s="27"/>
      <c r="I225" s="27"/>
      <c r="J225" s="27"/>
      <c r="K225" s="27"/>
      <c r="L225" s="27"/>
      <c r="M225" s="27"/>
      <c r="N225" s="27"/>
      <c r="O225" s="27"/>
      <c r="P225" s="27"/>
      <c r="Q225" s="27"/>
      <c r="R225" s="27"/>
      <c r="S225" s="27"/>
    </row>
    <row r="226" ht="15.75" customHeight="1">
      <c r="A226" s="33" t="s">
        <v>31</v>
      </c>
      <c r="B226" s="45" t="s">
        <v>559</v>
      </c>
      <c r="C226" s="34" t="s">
        <v>560</v>
      </c>
      <c r="D226" s="36" t="s">
        <v>175</v>
      </c>
      <c r="E226" s="36" t="s">
        <v>176</v>
      </c>
      <c r="F226" s="37">
        <v>0.21</v>
      </c>
      <c r="G226" s="46" t="str">
        <f>IFERROR(VLOOKUP("GZL RG 58 - 5M",STOCK!B2:Q3677,3,FALSE),"SIN STOCK")</f>
        <v>Mayor a 5</v>
      </c>
      <c r="H226" s="27"/>
      <c r="I226" s="27"/>
      <c r="J226" s="27"/>
      <c r="K226" s="27"/>
      <c r="L226" s="27"/>
      <c r="M226" s="27"/>
      <c r="N226" s="27"/>
      <c r="O226" s="27"/>
      <c r="P226" s="27"/>
      <c r="Q226" s="27"/>
      <c r="R226" s="27"/>
      <c r="S226" s="27"/>
    </row>
    <row r="227" ht="15.75" customHeight="1">
      <c r="A227" s="40" t="s">
        <v>31</v>
      </c>
      <c r="B227" s="41" t="s">
        <v>561</v>
      </c>
      <c r="C227" s="42" t="s">
        <v>562</v>
      </c>
      <c r="D227" s="43" t="s">
        <v>563</v>
      </c>
      <c r="E227" s="43" t="s">
        <v>564</v>
      </c>
      <c r="F227" s="44">
        <v>0.21</v>
      </c>
      <c r="G227" s="46" t="str">
        <f>IFERROR(VLOOKUP("GZL RG 8X - 10M",STOCK!B2:Q3677,3,FALSE),"SIN STOCK")</f>
        <v>Menor a 5</v>
      </c>
      <c r="H227" s="27"/>
      <c r="I227" s="27"/>
      <c r="J227" s="27"/>
      <c r="K227" s="27"/>
      <c r="L227" s="27"/>
      <c r="M227" s="27"/>
      <c r="N227" s="27"/>
      <c r="O227" s="27"/>
      <c r="P227" s="27"/>
      <c r="Q227" s="27"/>
      <c r="R227" s="27"/>
      <c r="S227" s="27"/>
    </row>
    <row r="228" ht="15.75" customHeight="1">
      <c r="A228" s="33" t="s">
        <v>31</v>
      </c>
      <c r="B228" s="45" t="s">
        <v>565</v>
      </c>
      <c r="C228" s="34" t="s">
        <v>566</v>
      </c>
      <c r="D228" s="36" t="s">
        <v>45</v>
      </c>
      <c r="E228" s="36" t="s">
        <v>46</v>
      </c>
      <c r="F228" s="37">
        <v>0.21</v>
      </c>
      <c r="G228" s="46" t="str">
        <f>IFERROR(VLOOKUP("GZL RG 8X - 20M",STOCK!B2:Q3677,3,FALSE),"SIN STOCK")</f>
        <v>Menor a 5</v>
      </c>
      <c r="H228" s="27"/>
      <c r="I228" s="27"/>
      <c r="J228" s="27"/>
      <c r="K228" s="27"/>
      <c r="L228" s="27"/>
      <c r="M228" s="27"/>
      <c r="N228" s="27"/>
      <c r="O228" s="27"/>
      <c r="P228" s="27"/>
      <c r="Q228" s="27"/>
      <c r="R228" s="27"/>
      <c r="S228" s="27"/>
    </row>
    <row r="229" ht="15.75" customHeight="1">
      <c r="A229" s="40" t="s">
        <v>31</v>
      </c>
      <c r="B229" s="41" t="s">
        <v>567</v>
      </c>
      <c r="C229" s="42" t="s">
        <v>568</v>
      </c>
      <c r="D229" s="43" t="s">
        <v>88</v>
      </c>
      <c r="E229" s="43" t="s">
        <v>89</v>
      </c>
      <c r="F229" s="44">
        <v>0.21</v>
      </c>
      <c r="G229" s="46" t="str">
        <f>IFERROR(VLOOKUP("GZL RG 8X - 5M",STOCK!B2:Q3677,3,FALSE),"SIN STOCK")</f>
        <v>Menor a 5</v>
      </c>
      <c r="H229" s="27"/>
      <c r="I229" s="27"/>
      <c r="J229" s="27"/>
      <c r="K229" s="27"/>
      <c r="L229" s="27"/>
      <c r="M229" s="27"/>
      <c r="N229" s="27"/>
      <c r="O229" s="27"/>
      <c r="P229" s="27"/>
      <c r="Q229" s="27"/>
      <c r="R229" s="27"/>
      <c r="S229" s="27"/>
    </row>
    <row r="230" ht="15.75" customHeight="1">
      <c r="A230" s="33" t="s">
        <v>31</v>
      </c>
      <c r="B230" s="45" t="s">
        <v>569</v>
      </c>
      <c r="C230" s="34" t="s">
        <v>570</v>
      </c>
      <c r="D230" s="36" t="s">
        <v>433</v>
      </c>
      <c r="E230" s="36" t="s">
        <v>434</v>
      </c>
      <c r="F230" s="37">
        <v>0.21</v>
      </c>
      <c r="G230" s="46" t="str">
        <f>IFERROR(VLOOKUP("RG213100",STOCK!B2:Q3677,3,FALSE),"SIN STOCK")</f>
        <v>SIN STOCK</v>
      </c>
      <c r="H230" s="27"/>
      <c r="I230" s="27"/>
      <c r="J230" s="27"/>
      <c r="K230" s="27"/>
      <c r="L230" s="27"/>
      <c r="M230" s="27"/>
      <c r="N230" s="27"/>
      <c r="O230" s="27"/>
      <c r="P230" s="27"/>
      <c r="Q230" s="27"/>
      <c r="R230" s="27"/>
      <c r="S230" s="27"/>
    </row>
    <row r="231" ht="15.75" customHeight="1">
      <c r="A231" s="40" t="s">
        <v>31</v>
      </c>
      <c r="B231" s="41" t="s">
        <v>571</v>
      </c>
      <c r="C231" s="42" t="s">
        <v>572</v>
      </c>
      <c r="D231" s="43" t="s">
        <v>539</v>
      </c>
      <c r="E231" s="43" t="s">
        <v>540</v>
      </c>
      <c r="F231" s="44">
        <v>0.21</v>
      </c>
      <c r="G231" s="46" t="str">
        <f>IFERROR(VLOOKUP("RG21325",STOCK!B2:Q3677,3,FALSE),"SIN STOCK")</f>
        <v>SIN STOCK</v>
      </c>
      <c r="H231" s="27"/>
      <c r="I231" s="27"/>
      <c r="J231" s="27"/>
      <c r="K231" s="27"/>
      <c r="L231" s="27"/>
      <c r="M231" s="27"/>
      <c r="N231" s="27"/>
      <c r="O231" s="27"/>
      <c r="P231" s="27"/>
      <c r="Q231" s="27"/>
      <c r="R231" s="27"/>
      <c r="S231" s="27"/>
    </row>
    <row r="232" ht="15.75" customHeight="1">
      <c r="A232" s="33" t="s">
        <v>31</v>
      </c>
      <c r="B232" s="45" t="s">
        <v>573</v>
      </c>
      <c r="C232" s="34" t="s">
        <v>574</v>
      </c>
      <c r="D232" s="36" t="s">
        <v>49</v>
      </c>
      <c r="E232" s="36" t="s">
        <v>50</v>
      </c>
      <c r="F232" s="37">
        <v>0.21</v>
      </c>
      <c r="G232" s="46" t="str">
        <f>IFERROR(VLOOKUP("RG21350",STOCK!B2:Q3677,3,FALSE),"SIN STOCK")</f>
        <v>SIN STOCK</v>
      </c>
      <c r="H232" s="27"/>
      <c r="I232" s="27"/>
      <c r="J232" s="27"/>
      <c r="K232" s="27"/>
      <c r="L232" s="27"/>
      <c r="M232" s="27"/>
      <c r="N232" s="27"/>
      <c r="O232" s="27"/>
      <c r="P232" s="27"/>
      <c r="Q232" s="27"/>
      <c r="R232" s="27"/>
      <c r="S232" s="27"/>
    </row>
    <row r="233" ht="15.75" customHeight="1">
      <c r="A233" s="40" t="s">
        <v>31</v>
      </c>
      <c r="B233" s="41" t="s">
        <v>575</v>
      </c>
      <c r="C233" s="42" t="s">
        <v>576</v>
      </c>
      <c r="D233" s="43" t="s">
        <v>577</v>
      </c>
      <c r="E233" s="43" t="s">
        <v>578</v>
      </c>
      <c r="F233" s="44">
        <v>0.21</v>
      </c>
      <c r="G233" s="49" t="str">
        <f>IFERROR(VLOOKUP("RG9913F100",STOCK!B2:Q3677,3,FALSE),"SIN STOCK")</f>
        <v>Menor a 5</v>
      </c>
      <c r="H233" s="27"/>
      <c r="I233" s="27"/>
      <c r="J233" s="27"/>
      <c r="K233" s="27"/>
      <c r="L233" s="27"/>
      <c r="M233" s="27"/>
      <c r="N233" s="27"/>
      <c r="O233" s="27"/>
      <c r="P233" s="27"/>
      <c r="Q233" s="27"/>
      <c r="R233" s="27"/>
      <c r="S233" s="27"/>
    </row>
    <row r="234" ht="15.75" customHeight="1">
      <c r="A234" s="33" t="s">
        <v>31</v>
      </c>
      <c r="B234" s="45" t="s">
        <v>579</v>
      </c>
      <c r="C234" s="34" t="s">
        <v>580</v>
      </c>
      <c r="D234" s="36" t="s">
        <v>581</v>
      </c>
      <c r="E234" s="36" t="s">
        <v>582</v>
      </c>
      <c r="F234" s="37">
        <v>0.21</v>
      </c>
      <c r="G234" s="46" t="str">
        <f>IFERROR(VLOOKUP("RG9913F25",STOCK!B2:Q3677,3,FALSE),"SIN STOCK")</f>
        <v>SIN STOCK</v>
      </c>
      <c r="H234" s="27"/>
      <c r="I234" s="27"/>
      <c r="J234" s="27"/>
      <c r="K234" s="27"/>
      <c r="L234" s="27"/>
      <c r="M234" s="27"/>
      <c r="N234" s="27"/>
      <c r="O234" s="27"/>
      <c r="P234" s="27"/>
      <c r="Q234" s="27"/>
      <c r="R234" s="27"/>
      <c r="S234" s="27"/>
    </row>
    <row r="235" ht="15.75" customHeight="1">
      <c r="A235" s="40" t="s">
        <v>31</v>
      </c>
      <c r="B235" s="41" t="s">
        <v>583</v>
      </c>
      <c r="C235" s="42" t="s">
        <v>584</v>
      </c>
      <c r="D235" s="43" t="s">
        <v>585</v>
      </c>
      <c r="E235" s="43" t="s">
        <v>586</v>
      </c>
      <c r="F235" s="44">
        <v>0.21</v>
      </c>
      <c r="G235" s="49" t="str">
        <f>IFERROR(VLOOKUP("RG9913F50",STOCK!B2:Q3677,3,FALSE),"SIN STOCK")</f>
        <v>Menor a 5</v>
      </c>
      <c r="H235" s="27"/>
      <c r="I235" s="27"/>
      <c r="J235" s="27"/>
      <c r="K235" s="27"/>
      <c r="L235" s="27"/>
      <c r="M235" s="27"/>
      <c r="N235" s="27"/>
      <c r="O235" s="27"/>
      <c r="P235" s="27"/>
      <c r="Q235" s="27"/>
      <c r="R235" s="27"/>
      <c r="S235" s="27"/>
    </row>
    <row r="236" ht="15.75" customHeight="1">
      <c r="A236" s="33" t="s">
        <v>31</v>
      </c>
      <c r="B236" s="59" t="s">
        <v>587</v>
      </c>
      <c r="C236" s="61" t="s">
        <v>580</v>
      </c>
      <c r="D236" s="36" t="s">
        <v>588</v>
      </c>
      <c r="E236" s="36" t="s">
        <v>589</v>
      </c>
      <c r="F236" s="37">
        <v>0.21</v>
      </c>
      <c r="G236" s="46" t="str">
        <f>IFERROR(VLOOKUP("CL 1-N",STOCK!B4:Q3679,3,FALSE),"SIN STOCK")</f>
        <v>SIN STOCK</v>
      </c>
      <c r="H236" s="27"/>
      <c r="I236" s="27"/>
      <c r="J236" s="27"/>
      <c r="K236" s="27"/>
      <c r="L236" s="27"/>
      <c r="M236" s="27"/>
      <c r="N236" s="27"/>
      <c r="O236" s="27"/>
      <c r="P236" s="27"/>
      <c r="Q236" s="27"/>
      <c r="R236" s="27"/>
      <c r="S236" s="27"/>
    </row>
    <row r="237" ht="15.75" customHeight="1">
      <c r="A237" s="28" t="s">
        <v>590</v>
      </c>
      <c r="C237" s="29"/>
      <c r="D237" s="51"/>
      <c r="E237" s="31"/>
      <c r="F237" s="29"/>
      <c r="G237" s="29"/>
      <c r="H237" s="27"/>
      <c r="I237" s="27"/>
      <c r="J237" s="27"/>
      <c r="K237" s="27"/>
      <c r="L237" s="27"/>
      <c r="M237" s="27"/>
      <c r="N237" s="27"/>
      <c r="O237" s="27"/>
      <c r="P237" s="27"/>
      <c r="Q237" s="27"/>
      <c r="R237" s="27"/>
      <c r="S237" s="27"/>
    </row>
    <row r="238" ht="15.75" customHeight="1">
      <c r="A238" s="40" t="s">
        <v>31</v>
      </c>
      <c r="B238" s="41" t="s">
        <v>591</v>
      </c>
      <c r="C238" s="42" t="s">
        <v>592</v>
      </c>
      <c r="D238" s="43" t="s">
        <v>226</v>
      </c>
      <c r="E238" s="43" t="s">
        <v>227</v>
      </c>
      <c r="F238" s="44">
        <v>0.21</v>
      </c>
      <c r="G238" s="38" t="str">
        <f>IFERROR(VLOOKUP("XSW 1-825 DUAL-A",STOCK!B2:Q3677,3,FALSE),"SIN STOCK")</f>
        <v>Menor a 5</v>
      </c>
      <c r="H238" s="27"/>
      <c r="I238" s="27"/>
      <c r="J238" s="27"/>
      <c r="K238" s="27"/>
      <c r="L238" s="27"/>
      <c r="M238" s="27"/>
      <c r="N238" s="27"/>
      <c r="O238" s="27"/>
      <c r="P238" s="27"/>
      <c r="Q238" s="27"/>
      <c r="R238" s="27"/>
      <c r="S238" s="27"/>
    </row>
    <row r="239" ht="15.75" customHeight="1">
      <c r="A239" s="33" t="s">
        <v>31</v>
      </c>
      <c r="B239" s="45" t="s">
        <v>593</v>
      </c>
      <c r="C239" s="34" t="s">
        <v>327</v>
      </c>
      <c r="D239" s="36" t="s">
        <v>226</v>
      </c>
      <c r="E239" s="36" t="s">
        <v>227</v>
      </c>
      <c r="F239" s="37">
        <v>0.21</v>
      </c>
      <c r="G239" s="46" t="str">
        <f>IFERROR(VLOOKUP("XSW 1-825 DUAL-B",STOCK!B2:Q3677,3,FALSE),"SIN STOCK")</f>
        <v>SIN STOCK</v>
      </c>
      <c r="H239" s="27"/>
      <c r="I239" s="27"/>
      <c r="J239" s="27"/>
      <c r="K239" s="27"/>
      <c r="L239" s="27"/>
      <c r="M239" s="27"/>
      <c r="N239" s="27"/>
      <c r="O239" s="27"/>
      <c r="P239" s="27"/>
      <c r="Q239" s="27"/>
      <c r="R239" s="27"/>
      <c r="S239" s="27"/>
    </row>
    <row r="240" ht="15.75" customHeight="1">
      <c r="A240" s="40" t="s">
        <v>31</v>
      </c>
      <c r="B240" s="52" t="s">
        <v>594</v>
      </c>
      <c r="C240" s="42" t="s">
        <v>595</v>
      </c>
      <c r="D240" s="43" t="s">
        <v>131</v>
      </c>
      <c r="E240" s="43" t="s">
        <v>132</v>
      </c>
      <c r="F240" s="44">
        <v>0.21</v>
      </c>
      <c r="G240" s="38" t="str">
        <f>IFERROR(VLOOKUP("XSW 1-825-A",STOCK!B2:Q3677,3,FALSE),"SIN STOCK")</f>
        <v>Menor a 5</v>
      </c>
      <c r="H240" s="27"/>
      <c r="I240" s="27"/>
      <c r="J240" s="27"/>
      <c r="K240" s="27"/>
      <c r="L240" s="27"/>
      <c r="M240" s="27"/>
      <c r="N240" s="27"/>
      <c r="O240" s="27"/>
      <c r="P240" s="27"/>
      <c r="Q240" s="27"/>
      <c r="R240" s="27"/>
      <c r="S240" s="27"/>
    </row>
    <row r="241" ht="15.75" customHeight="1">
      <c r="A241" s="33" t="s">
        <v>31</v>
      </c>
      <c r="B241" s="45" t="s">
        <v>596</v>
      </c>
      <c r="C241" s="34" t="s">
        <v>327</v>
      </c>
      <c r="D241" s="36" t="s">
        <v>131</v>
      </c>
      <c r="E241" s="36" t="s">
        <v>132</v>
      </c>
      <c r="F241" s="37">
        <v>0.21</v>
      </c>
      <c r="G241" s="46" t="str">
        <f>IFERROR(VLOOKUP("XSW 1-825-B",STOCK!B2:Q3677,3,FALSE),"SIN STOCK")</f>
        <v>Menor a 5</v>
      </c>
      <c r="H241" s="27"/>
      <c r="I241" s="27"/>
      <c r="J241" s="27"/>
      <c r="K241" s="27"/>
      <c r="L241" s="27"/>
      <c r="M241" s="27"/>
      <c r="N241" s="27"/>
      <c r="O241" s="27"/>
      <c r="P241" s="27"/>
      <c r="Q241" s="27"/>
      <c r="R241" s="27"/>
      <c r="S241" s="27"/>
    </row>
    <row r="242" ht="15.75" customHeight="1">
      <c r="A242" s="40" t="s">
        <v>31</v>
      </c>
      <c r="B242" s="52" t="s">
        <v>597</v>
      </c>
      <c r="C242" s="42" t="s">
        <v>598</v>
      </c>
      <c r="D242" s="43" t="s">
        <v>208</v>
      </c>
      <c r="E242" s="43" t="s">
        <v>209</v>
      </c>
      <c r="F242" s="44">
        <v>0.21</v>
      </c>
      <c r="G242" s="38" t="str">
        <f>IFERROR(VLOOKUP("XSW 1-835 DUAL-A",STOCK!B2:Q3677,3,FALSE),"SIN STOCK")</f>
        <v>Menor a 5</v>
      </c>
      <c r="H242" s="27"/>
      <c r="I242" s="27"/>
      <c r="J242" s="27"/>
      <c r="K242" s="27"/>
      <c r="L242" s="27"/>
      <c r="M242" s="27"/>
      <c r="N242" s="27"/>
      <c r="O242" s="27"/>
      <c r="P242" s="27"/>
      <c r="Q242" s="27"/>
      <c r="R242" s="27"/>
      <c r="S242" s="27"/>
    </row>
    <row r="243" ht="15.75" customHeight="1">
      <c r="A243" s="33" t="s">
        <v>31</v>
      </c>
      <c r="B243" s="45" t="s">
        <v>599</v>
      </c>
      <c r="C243" s="34" t="s">
        <v>327</v>
      </c>
      <c r="D243" s="36" t="s">
        <v>208</v>
      </c>
      <c r="E243" s="36" t="s">
        <v>209</v>
      </c>
      <c r="F243" s="37">
        <v>0.21</v>
      </c>
      <c r="G243" s="46" t="str">
        <f>IFERROR(VLOOKUP("XSW 1-835 DUAL-B",STOCK!B2:Q3677,3,FALSE),"SIN STOCK")</f>
        <v>SIN STOCK</v>
      </c>
      <c r="H243" s="27"/>
      <c r="I243" s="27"/>
      <c r="J243" s="27"/>
      <c r="K243" s="27"/>
      <c r="L243" s="27"/>
      <c r="M243" s="27"/>
      <c r="N243" s="27"/>
      <c r="O243" s="27"/>
      <c r="P243" s="27"/>
      <c r="Q243" s="27"/>
      <c r="R243" s="27"/>
      <c r="S243" s="27"/>
    </row>
    <row r="244" ht="15.75" customHeight="1">
      <c r="A244" s="40" t="s">
        <v>31</v>
      </c>
      <c r="B244" s="41" t="s">
        <v>600</v>
      </c>
      <c r="C244" s="42" t="s">
        <v>601</v>
      </c>
      <c r="D244" s="43" t="s">
        <v>161</v>
      </c>
      <c r="E244" s="43" t="s">
        <v>162</v>
      </c>
      <c r="F244" s="44">
        <v>0.21</v>
      </c>
      <c r="G244" s="38" t="str">
        <f>IFERROR(VLOOKUP("XSW 1-835-A",STOCK!B2:Q3677,3,FALSE),"SIN STOCK")</f>
        <v>Mayor a 5</v>
      </c>
      <c r="H244" s="27"/>
      <c r="I244" s="27"/>
      <c r="J244" s="27"/>
      <c r="K244" s="27"/>
      <c r="L244" s="27"/>
      <c r="M244" s="27"/>
      <c r="N244" s="27"/>
      <c r="O244" s="27"/>
      <c r="P244" s="27"/>
      <c r="Q244" s="27"/>
      <c r="R244" s="27"/>
      <c r="S244" s="27"/>
    </row>
    <row r="245" ht="15.75" customHeight="1">
      <c r="A245" s="33" t="s">
        <v>31</v>
      </c>
      <c r="B245" s="45" t="s">
        <v>602</v>
      </c>
      <c r="C245" s="34" t="s">
        <v>327</v>
      </c>
      <c r="D245" s="36" t="s">
        <v>161</v>
      </c>
      <c r="E245" s="36" t="s">
        <v>162</v>
      </c>
      <c r="F245" s="37">
        <v>0.21</v>
      </c>
      <c r="G245" s="46" t="str">
        <f>IFERROR(VLOOKUP("XSW 1-835-B",STOCK!B2:Q3677,3,FALSE),"SIN STOCK")</f>
        <v>Menor a 5</v>
      </c>
      <c r="H245" s="27"/>
      <c r="I245" s="27"/>
      <c r="J245" s="27"/>
      <c r="K245" s="27"/>
      <c r="L245" s="27"/>
      <c r="M245" s="27"/>
      <c r="N245" s="27"/>
      <c r="O245" s="27"/>
      <c r="P245" s="27"/>
      <c r="Q245" s="27"/>
      <c r="R245" s="27"/>
      <c r="S245" s="27"/>
    </row>
    <row r="246" ht="15.75" customHeight="1">
      <c r="A246" s="40" t="s">
        <v>31</v>
      </c>
      <c r="B246" s="41" t="s">
        <v>603</v>
      </c>
      <c r="C246" s="42" t="s">
        <v>327</v>
      </c>
      <c r="D246" s="43" t="s">
        <v>604</v>
      </c>
      <c r="E246" s="43" t="s">
        <v>605</v>
      </c>
      <c r="F246" s="44">
        <v>0.21</v>
      </c>
      <c r="G246" s="60" t="s">
        <v>516</v>
      </c>
      <c r="H246" s="27"/>
      <c r="I246" s="27"/>
      <c r="J246" s="27"/>
      <c r="K246" s="27"/>
      <c r="L246" s="27"/>
      <c r="M246" s="27"/>
      <c r="N246" s="27"/>
      <c r="O246" s="27"/>
      <c r="P246" s="27"/>
      <c r="Q246" s="27"/>
      <c r="R246" s="27"/>
      <c r="S246" s="27"/>
    </row>
    <row r="247" ht="15.75" customHeight="1">
      <c r="A247" s="33" t="s">
        <v>31</v>
      </c>
      <c r="B247" s="45" t="s">
        <v>606</v>
      </c>
      <c r="C247" s="34" t="s">
        <v>327</v>
      </c>
      <c r="D247" s="36" t="s">
        <v>604</v>
      </c>
      <c r="E247" s="36" t="s">
        <v>605</v>
      </c>
      <c r="F247" s="37">
        <v>0.21</v>
      </c>
      <c r="G247" s="60" t="s">
        <v>516</v>
      </c>
      <c r="H247" s="27"/>
      <c r="I247" s="27"/>
      <c r="J247" s="27"/>
      <c r="K247" s="27"/>
      <c r="L247" s="27"/>
      <c r="M247" s="27"/>
      <c r="N247" s="27"/>
      <c r="O247" s="27"/>
      <c r="P247" s="27"/>
      <c r="Q247" s="27"/>
      <c r="R247" s="27"/>
      <c r="S247" s="27"/>
    </row>
    <row r="248" ht="15.75" customHeight="1">
      <c r="A248" s="40" t="s">
        <v>31</v>
      </c>
      <c r="B248" s="41" t="s">
        <v>607</v>
      </c>
      <c r="C248" s="42" t="s">
        <v>608</v>
      </c>
      <c r="D248" s="43" t="s">
        <v>604</v>
      </c>
      <c r="E248" s="43" t="s">
        <v>605</v>
      </c>
      <c r="F248" s="44">
        <v>0.21</v>
      </c>
      <c r="G248" s="38" t="str">
        <f>IFERROR(VLOOKUP("XSW 1-ME2-A",STOCK!B2:Q3677,3,FALSE),"SIN STOCK")</f>
        <v>Mayor a 5</v>
      </c>
      <c r="H248" s="27"/>
      <c r="I248" s="27"/>
      <c r="J248" s="27"/>
      <c r="K248" s="27"/>
      <c r="L248" s="27"/>
      <c r="M248" s="27"/>
      <c r="N248" s="27"/>
      <c r="O248" s="27"/>
      <c r="P248" s="27"/>
      <c r="Q248" s="27"/>
      <c r="R248" s="27"/>
      <c r="S248" s="27"/>
    </row>
    <row r="249" ht="15.75" customHeight="1">
      <c r="A249" s="33" t="s">
        <v>31</v>
      </c>
      <c r="B249" s="45" t="s">
        <v>609</v>
      </c>
      <c r="C249" s="34" t="s">
        <v>327</v>
      </c>
      <c r="D249" s="36" t="s">
        <v>604</v>
      </c>
      <c r="E249" s="36" t="s">
        <v>605</v>
      </c>
      <c r="F249" s="37">
        <v>0.21</v>
      </c>
      <c r="G249" s="46" t="str">
        <f>IFERROR(VLOOKUP("XSW 1-ME2-B",STOCK!B2:Q3677,3,FALSE),"SIN STOCK")</f>
        <v>Menor a 5</v>
      </c>
      <c r="H249" s="27"/>
      <c r="I249" s="27"/>
      <c r="J249" s="27"/>
      <c r="K249" s="27"/>
      <c r="L249" s="27"/>
      <c r="M249" s="27"/>
      <c r="N249" s="27"/>
      <c r="O249" s="27"/>
      <c r="P249" s="27"/>
      <c r="Q249" s="27"/>
      <c r="R249" s="27"/>
      <c r="S249" s="27"/>
    </row>
    <row r="250" ht="15.75" customHeight="1">
      <c r="A250" s="40" t="s">
        <v>31</v>
      </c>
      <c r="B250" s="52" t="s">
        <v>610</v>
      </c>
      <c r="C250" s="42" t="s">
        <v>611</v>
      </c>
      <c r="D250" s="43" t="s">
        <v>77</v>
      </c>
      <c r="E250" s="43" t="s">
        <v>78</v>
      </c>
      <c r="F250" s="44">
        <v>0.21</v>
      </c>
      <c r="G250" s="60" t="s">
        <v>516</v>
      </c>
      <c r="H250" s="27"/>
      <c r="I250" s="27"/>
      <c r="J250" s="27"/>
      <c r="K250" s="27"/>
      <c r="L250" s="27"/>
      <c r="M250" s="27"/>
      <c r="N250" s="27"/>
      <c r="O250" s="27"/>
      <c r="P250" s="27"/>
      <c r="Q250" s="27"/>
      <c r="R250" s="27"/>
      <c r="S250" s="27"/>
    </row>
    <row r="251" ht="15.75" customHeight="1">
      <c r="A251" s="33" t="s">
        <v>31</v>
      </c>
      <c r="B251" s="45" t="s">
        <v>612</v>
      </c>
      <c r="C251" s="34" t="s">
        <v>327</v>
      </c>
      <c r="D251" s="36" t="s">
        <v>77</v>
      </c>
      <c r="E251" s="36" t="s">
        <v>78</v>
      </c>
      <c r="F251" s="37">
        <v>0.21</v>
      </c>
      <c r="G251" s="60" t="s">
        <v>516</v>
      </c>
      <c r="H251" s="27"/>
      <c r="I251" s="27"/>
      <c r="J251" s="27"/>
      <c r="K251" s="27"/>
      <c r="L251" s="27"/>
      <c r="M251" s="27"/>
      <c r="N251" s="27"/>
      <c r="O251" s="27"/>
      <c r="P251" s="27"/>
      <c r="Q251" s="27"/>
      <c r="R251" s="27"/>
      <c r="S251" s="27"/>
    </row>
    <row r="252" ht="15.75" customHeight="1">
      <c r="A252" s="54" t="s">
        <v>613</v>
      </c>
      <c r="B252" s="29"/>
      <c r="C252" s="29"/>
      <c r="D252" s="51"/>
      <c r="E252" s="31"/>
      <c r="F252" s="29"/>
      <c r="G252" s="29"/>
      <c r="H252" s="27"/>
      <c r="I252" s="27"/>
      <c r="J252" s="27"/>
      <c r="K252" s="27"/>
      <c r="L252" s="27"/>
      <c r="M252" s="27"/>
      <c r="N252" s="27"/>
      <c r="O252" s="27"/>
      <c r="P252" s="27"/>
      <c r="Q252" s="27"/>
      <c r="R252" s="27"/>
      <c r="S252" s="27"/>
    </row>
    <row r="253" ht="15.75" customHeight="1">
      <c r="A253" s="40" t="s">
        <v>31</v>
      </c>
      <c r="B253" s="41" t="s">
        <v>614</v>
      </c>
      <c r="C253" s="42" t="s">
        <v>615</v>
      </c>
      <c r="D253" s="43" t="s">
        <v>410</v>
      </c>
      <c r="E253" s="43" t="s">
        <v>411</v>
      </c>
      <c r="F253" s="44">
        <v>0.21</v>
      </c>
      <c r="G253" s="38" t="str">
        <f>IFERROR(VLOOKUP("XSW 2-835-A",STOCK!B2:Q3677,3,FALSE),"SIN STOCK")</f>
        <v>Mayor a 5</v>
      </c>
      <c r="H253" s="27"/>
      <c r="I253" s="27"/>
      <c r="J253" s="27"/>
      <c r="K253" s="27"/>
      <c r="L253" s="27"/>
      <c r="M253" s="27"/>
      <c r="N253" s="27"/>
      <c r="O253" s="27"/>
      <c r="P253" s="27"/>
      <c r="Q253" s="27"/>
      <c r="R253" s="27"/>
      <c r="S253" s="27"/>
    </row>
    <row r="254" ht="15.75" customHeight="1">
      <c r="A254" s="33" t="s">
        <v>31</v>
      </c>
      <c r="B254" s="45" t="s">
        <v>616</v>
      </c>
      <c r="C254" s="34" t="s">
        <v>327</v>
      </c>
      <c r="D254" s="36" t="s">
        <v>410</v>
      </c>
      <c r="E254" s="36" t="s">
        <v>411</v>
      </c>
      <c r="F254" s="37">
        <v>0.21</v>
      </c>
      <c r="G254" s="38" t="str">
        <f>IFERROR(VLOOKUP("XSW 2-835-B",STOCK!B2:Q3677,3,FALSE),"SIN STOCK")</f>
        <v>Menor a 5</v>
      </c>
      <c r="H254" s="27"/>
      <c r="I254" s="27"/>
      <c r="J254" s="27"/>
      <c r="K254" s="27"/>
      <c r="L254" s="27"/>
      <c r="M254" s="27"/>
      <c r="N254" s="27"/>
      <c r="O254" s="27"/>
      <c r="P254" s="27"/>
      <c r="Q254" s="27"/>
      <c r="R254" s="27"/>
      <c r="S254" s="27"/>
    </row>
    <row r="255" ht="15.75" customHeight="1">
      <c r="A255" s="40" t="s">
        <v>31</v>
      </c>
      <c r="B255" s="41" t="s">
        <v>617</v>
      </c>
      <c r="C255" s="42" t="s">
        <v>618</v>
      </c>
      <c r="D255" s="43" t="s">
        <v>77</v>
      </c>
      <c r="E255" s="43" t="s">
        <v>78</v>
      </c>
      <c r="F255" s="44">
        <v>0.21</v>
      </c>
      <c r="G255" s="60" t="s">
        <v>516</v>
      </c>
      <c r="H255" s="27"/>
      <c r="I255" s="27"/>
      <c r="J255" s="27"/>
      <c r="K255" s="27"/>
      <c r="L255" s="27"/>
      <c r="M255" s="27"/>
      <c r="N255" s="27"/>
      <c r="O255" s="27"/>
      <c r="P255" s="27"/>
      <c r="Q255" s="27"/>
      <c r="R255" s="27"/>
      <c r="S255" s="27"/>
    </row>
    <row r="256" ht="15.75" customHeight="1">
      <c r="A256" s="33" t="s">
        <v>31</v>
      </c>
      <c r="B256" s="45" t="s">
        <v>619</v>
      </c>
      <c r="C256" s="34" t="s">
        <v>327</v>
      </c>
      <c r="D256" s="36" t="s">
        <v>77</v>
      </c>
      <c r="E256" s="36" t="s">
        <v>78</v>
      </c>
      <c r="F256" s="37">
        <v>0.21</v>
      </c>
      <c r="G256" s="60" t="s">
        <v>516</v>
      </c>
      <c r="H256" s="27"/>
      <c r="I256" s="27"/>
      <c r="J256" s="27"/>
      <c r="K256" s="27"/>
      <c r="L256" s="27"/>
      <c r="M256" s="27"/>
      <c r="N256" s="27"/>
      <c r="O256" s="27"/>
      <c r="P256" s="27"/>
      <c r="Q256" s="27"/>
      <c r="R256" s="27"/>
      <c r="S256" s="27"/>
    </row>
    <row r="257" ht="15.75" customHeight="1">
      <c r="A257" s="40" t="s">
        <v>31</v>
      </c>
      <c r="B257" s="52" t="s">
        <v>620</v>
      </c>
      <c r="C257" s="42" t="s">
        <v>621</v>
      </c>
      <c r="D257" s="43" t="s">
        <v>622</v>
      </c>
      <c r="E257" s="43" t="s">
        <v>623</v>
      </c>
      <c r="F257" s="44">
        <v>0.21</v>
      </c>
      <c r="G257" s="38" t="str">
        <f>IFERROR(VLOOKUP("XSW 2-ME2-A",STOCK!B2:Q3677,3,FALSE),"SIN STOCK")</f>
        <v>Mayor a 5</v>
      </c>
      <c r="H257" s="27"/>
      <c r="I257" s="27"/>
      <c r="J257" s="27"/>
      <c r="K257" s="27"/>
      <c r="L257" s="27"/>
      <c r="M257" s="27"/>
      <c r="N257" s="27"/>
      <c r="O257" s="27"/>
      <c r="P257" s="27"/>
      <c r="Q257" s="27"/>
      <c r="R257" s="27"/>
      <c r="S257" s="27"/>
    </row>
    <row r="258" ht="15.75" customHeight="1">
      <c r="A258" s="33" t="s">
        <v>31</v>
      </c>
      <c r="B258" s="45" t="s">
        <v>624</v>
      </c>
      <c r="C258" s="34" t="s">
        <v>327</v>
      </c>
      <c r="D258" s="36" t="s">
        <v>622</v>
      </c>
      <c r="E258" s="36" t="s">
        <v>623</v>
      </c>
      <c r="F258" s="37">
        <v>0.21</v>
      </c>
      <c r="G258" s="46" t="str">
        <f>IFERROR(VLOOKUP("XSW 2-ME2-B",STOCK!B2:Q3677,3,FALSE),"SIN STOCK")</f>
        <v>Menor a 5</v>
      </c>
      <c r="H258" s="27"/>
      <c r="I258" s="27"/>
      <c r="J258" s="27"/>
      <c r="K258" s="27"/>
      <c r="L258" s="27"/>
      <c r="M258" s="27"/>
      <c r="N258" s="27"/>
      <c r="O258" s="27"/>
      <c r="P258" s="27"/>
      <c r="Q258" s="27"/>
      <c r="R258" s="27"/>
      <c r="S258" s="27"/>
    </row>
    <row r="259" ht="15.75" customHeight="1">
      <c r="A259" s="40" t="s">
        <v>31</v>
      </c>
      <c r="B259" s="41" t="s">
        <v>625</v>
      </c>
      <c r="C259" s="42" t="s">
        <v>626</v>
      </c>
      <c r="D259" s="43" t="s">
        <v>142</v>
      </c>
      <c r="E259" s="43" t="s">
        <v>143</v>
      </c>
      <c r="F259" s="44">
        <v>0.21</v>
      </c>
      <c r="G259" s="46" t="str">
        <f>IFERROR(VLOOKUP("XSW 2-ME3-A",STOCK!B2:Q3677,3,FALSE),"SIN STOCK")</f>
        <v>Mayor a 5</v>
      </c>
      <c r="H259" s="27"/>
      <c r="I259" s="27"/>
      <c r="J259" s="27"/>
      <c r="K259" s="27"/>
      <c r="L259" s="27"/>
      <c r="M259" s="27"/>
      <c r="N259" s="27"/>
      <c r="O259" s="27"/>
      <c r="P259" s="27"/>
      <c r="Q259" s="27"/>
      <c r="R259" s="27"/>
      <c r="S259" s="27"/>
    </row>
    <row r="260" ht="15.75" customHeight="1">
      <c r="A260" s="33" t="s">
        <v>31</v>
      </c>
      <c r="B260" s="45" t="s">
        <v>627</v>
      </c>
      <c r="C260" s="34" t="s">
        <v>327</v>
      </c>
      <c r="D260" s="36" t="s">
        <v>142</v>
      </c>
      <c r="E260" s="36" t="s">
        <v>143</v>
      </c>
      <c r="F260" s="37">
        <v>0.21</v>
      </c>
      <c r="G260" s="46" t="str">
        <f>IFERROR(VLOOKUP("XSW 2-ME3-B",STOCK!B2:Q3677,3,FALSE),"SIN STOCK")</f>
        <v>Menor a 5</v>
      </c>
      <c r="H260" s="27"/>
      <c r="I260" s="27"/>
      <c r="J260" s="27"/>
      <c r="K260" s="27"/>
      <c r="L260" s="27"/>
      <c r="M260" s="27"/>
      <c r="N260" s="27"/>
      <c r="O260" s="27"/>
      <c r="P260" s="27"/>
      <c r="Q260" s="27"/>
      <c r="R260" s="27"/>
      <c r="S260" s="27"/>
    </row>
    <row r="261" ht="15.75" customHeight="1">
      <c r="A261" s="54" t="s">
        <v>628</v>
      </c>
      <c r="B261" s="29"/>
      <c r="C261" s="29"/>
      <c r="D261" s="51"/>
      <c r="E261" s="31"/>
      <c r="F261" s="29"/>
      <c r="G261" s="29"/>
      <c r="H261" s="27"/>
      <c r="I261" s="27"/>
      <c r="J261" s="27"/>
      <c r="K261" s="27"/>
      <c r="L261" s="27"/>
      <c r="M261" s="27"/>
      <c r="N261" s="27"/>
      <c r="O261" s="27"/>
      <c r="P261" s="27"/>
      <c r="Q261" s="27"/>
      <c r="R261" s="27"/>
      <c r="S261" s="27"/>
    </row>
    <row r="262" ht="15.75" customHeight="1">
      <c r="A262" s="40" t="s">
        <v>31</v>
      </c>
      <c r="B262" s="41" t="s">
        <v>629</v>
      </c>
      <c r="C262" s="42" t="s">
        <v>630</v>
      </c>
      <c r="D262" s="43" t="s">
        <v>514</v>
      </c>
      <c r="E262" s="43" t="s">
        <v>515</v>
      </c>
      <c r="F262" s="44">
        <v>0.21</v>
      </c>
      <c r="G262" s="46" t="str">
        <f>IFERROR(VLOOKUP("XSW FRONT ANTENNA CABLES",STOCK!B2:Q3677,3,FALSE),"SIN STOCK")</f>
        <v>SIN STOCK</v>
      </c>
      <c r="H262" s="27"/>
      <c r="I262" s="27"/>
      <c r="J262" s="27"/>
      <c r="K262" s="27"/>
      <c r="L262" s="27"/>
      <c r="M262" s="27"/>
      <c r="N262" s="27"/>
      <c r="O262" s="27"/>
      <c r="P262" s="27"/>
      <c r="Q262" s="27"/>
      <c r="R262" s="27"/>
      <c r="S262" s="27"/>
    </row>
    <row r="263" ht="15.75" customHeight="1">
      <c r="A263" s="33" t="s">
        <v>31</v>
      </c>
      <c r="B263" s="45" t="s">
        <v>631</v>
      </c>
      <c r="C263" s="34" t="s">
        <v>632</v>
      </c>
      <c r="D263" s="36" t="s">
        <v>88</v>
      </c>
      <c r="E263" s="36" t="s">
        <v>89</v>
      </c>
      <c r="F263" s="37">
        <v>0.21</v>
      </c>
      <c r="G263" s="38" t="str">
        <f>IFERROR(VLOOKUP("XSW RACK MOUNT KIT",STOCK!B2:Q3677,3,FALSE),"SIN STOCK")</f>
        <v>Mayor a 5</v>
      </c>
      <c r="H263" s="27"/>
      <c r="I263" s="27"/>
      <c r="J263" s="27"/>
      <c r="K263" s="27"/>
      <c r="L263" s="27"/>
      <c r="M263" s="27"/>
      <c r="N263" s="27"/>
      <c r="O263" s="27"/>
      <c r="P263" s="27"/>
      <c r="Q263" s="27"/>
      <c r="R263" s="27"/>
      <c r="S263" s="27"/>
    </row>
    <row r="264" ht="15.75" customHeight="1">
      <c r="A264" s="54" t="s">
        <v>633</v>
      </c>
      <c r="B264" s="29"/>
      <c r="C264" s="29"/>
      <c r="D264" s="51"/>
      <c r="E264" s="31"/>
      <c r="F264" s="29"/>
      <c r="G264" s="29"/>
      <c r="H264" s="27"/>
      <c r="I264" s="27"/>
      <c r="J264" s="27"/>
      <c r="K264" s="27"/>
      <c r="L264" s="27"/>
      <c r="M264" s="27"/>
      <c r="N264" s="27"/>
      <c r="O264" s="27"/>
      <c r="P264" s="27"/>
      <c r="Q264" s="27"/>
      <c r="R264" s="27"/>
      <c r="S264" s="27"/>
    </row>
    <row r="265" ht="15.75" customHeight="1">
      <c r="A265" s="40" t="s">
        <v>31</v>
      </c>
      <c r="B265" s="41" t="s">
        <v>634</v>
      </c>
      <c r="C265" s="42" t="s">
        <v>635</v>
      </c>
      <c r="D265" s="43" t="s">
        <v>161</v>
      </c>
      <c r="E265" s="43" t="s">
        <v>162</v>
      </c>
      <c r="F265" s="44">
        <v>0.21</v>
      </c>
      <c r="G265" s="60" t="s">
        <v>516</v>
      </c>
      <c r="H265" s="27"/>
      <c r="I265" s="27"/>
      <c r="J265" s="27"/>
      <c r="K265" s="27"/>
      <c r="L265" s="27"/>
      <c r="M265" s="27"/>
      <c r="N265" s="27"/>
      <c r="O265" s="27"/>
      <c r="P265" s="27"/>
      <c r="Q265" s="27"/>
      <c r="R265" s="27"/>
      <c r="S265" s="27"/>
    </row>
    <row r="266" ht="15.75" customHeight="1">
      <c r="A266" s="33" t="s">
        <v>31</v>
      </c>
      <c r="B266" s="45" t="s">
        <v>636</v>
      </c>
      <c r="C266" s="34" t="s">
        <v>327</v>
      </c>
      <c r="D266" s="36" t="s">
        <v>161</v>
      </c>
      <c r="E266" s="36" t="s">
        <v>162</v>
      </c>
      <c r="F266" s="37">
        <v>0.21</v>
      </c>
      <c r="G266" s="60" t="s">
        <v>516</v>
      </c>
      <c r="H266" s="27"/>
      <c r="I266" s="27"/>
      <c r="J266" s="27"/>
      <c r="K266" s="27"/>
      <c r="L266" s="27"/>
      <c r="M266" s="27"/>
      <c r="N266" s="27"/>
      <c r="O266" s="27"/>
      <c r="P266" s="27"/>
      <c r="Q266" s="27"/>
      <c r="R266" s="27"/>
      <c r="S266" s="27"/>
    </row>
    <row r="267" ht="15.75" customHeight="1">
      <c r="A267" s="40" t="s">
        <v>31</v>
      </c>
      <c r="B267" s="41" t="s">
        <v>637</v>
      </c>
      <c r="C267" s="42" t="s">
        <v>638</v>
      </c>
      <c r="D267" s="43" t="s">
        <v>468</v>
      </c>
      <c r="E267" s="43" t="s">
        <v>469</v>
      </c>
      <c r="F267" s="44">
        <v>0.21</v>
      </c>
      <c r="G267" s="60" t="s">
        <v>516</v>
      </c>
      <c r="H267" s="27"/>
      <c r="I267" s="27"/>
      <c r="J267" s="27"/>
      <c r="K267" s="27"/>
      <c r="L267" s="27"/>
      <c r="M267" s="27"/>
      <c r="N267" s="27"/>
      <c r="O267" s="27"/>
      <c r="P267" s="27"/>
      <c r="Q267" s="27"/>
      <c r="R267" s="27"/>
      <c r="S267" s="27"/>
    </row>
    <row r="268" ht="15.75" customHeight="1">
      <c r="A268" s="33" t="s">
        <v>31</v>
      </c>
      <c r="B268" s="45" t="s">
        <v>639</v>
      </c>
      <c r="C268" s="34" t="s">
        <v>327</v>
      </c>
      <c r="D268" s="36" t="s">
        <v>468</v>
      </c>
      <c r="E268" s="36" t="s">
        <v>469</v>
      </c>
      <c r="F268" s="37">
        <v>0.21</v>
      </c>
      <c r="G268" s="60" t="s">
        <v>516</v>
      </c>
      <c r="H268" s="27"/>
      <c r="I268" s="27"/>
      <c r="J268" s="27"/>
      <c r="K268" s="27"/>
      <c r="L268" s="27"/>
      <c r="M268" s="27"/>
      <c r="N268" s="27"/>
      <c r="O268" s="27"/>
      <c r="P268" s="27"/>
      <c r="Q268" s="27"/>
      <c r="R268" s="27"/>
      <c r="S268" s="27"/>
    </row>
    <row r="269" ht="15.75" customHeight="1">
      <c r="A269" s="40" t="s">
        <v>31</v>
      </c>
      <c r="B269" s="41" t="s">
        <v>640</v>
      </c>
      <c r="C269" s="42" t="s">
        <v>641</v>
      </c>
      <c r="D269" s="43" t="s">
        <v>131</v>
      </c>
      <c r="E269" s="43" t="s">
        <v>132</v>
      </c>
      <c r="F269" s="44">
        <v>0.21</v>
      </c>
      <c r="G269" s="60" t="s">
        <v>516</v>
      </c>
      <c r="H269" s="27"/>
      <c r="I269" s="27"/>
      <c r="J269" s="27"/>
      <c r="K269" s="27"/>
      <c r="L269" s="27"/>
      <c r="M269" s="27"/>
      <c r="N269" s="27"/>
      <c r="O269" s="27"/>
      <c r="P269" s="27"/>
      <c r="Q269" s="27"/>
      <c r="R269" s="27"/>
      <c r="S269" s="27"/>
    </row>
    <row r="270" ht="15.75" customHeight="1">
      <c r="A270" s="33" t="s">
        <v>31</v>
      </c>
      <c r="B270" s="45" t="s">
        <v>642</v>
      </c>
      <c r="C270" s="34" t="s">
        <v>641</v>
      </c>
      <c r="D270" s="36" t="s">
        <v>131</v>
      </c>
      <c r="E270" s="36" t="s">
        <v>132</v>
      </c>
      <c r="F270" s="37">
        <v>0.21</v>
      </c>
      <c r="G270" s="60" t="s">
        <v>516</v>
      </c>
      <c r="H270" s="27"/>
      <c r="I270" s="27"/>
      <c r="J270" s="27"/>
      <c r="K270" s="27"/>
      <c r="L270" s="27"/>
      <c r="M270" s="27"/>
      <c r="N270" s="27"/>
      <c r="O270" s="27"/>
      <c r="P270" s="27"/>
      <c r="Q270" s="27"/>
      <c r="R270" s="27"/>
      <c r="S270" s="27"/>
    </row>
    <row r="271" ht="15.75" customHeight="1">
      <c r="A271" s="40" t="s">
        <v>31</v>
      </c>
      <c r="B271" s="41" t="s">
        <v>643</v>
      </c>
      <c r="C271" s="42" t="s">
        <v>644</v>
      </c>
      <c r="D271" s="43" t="s">
        <v>468</v>
      </c>
      <c r="E271" s="43" t="s">
        <v>469</v>
      </c>
      <c r="F271" s="44">
        <v>0.21</v>
      </c>
      <c r="G271" s="60" t="s">
        <v>516</v>
      </c>
      <c r="H271" s="27"/>
      <c r="I271" s="27"/>
      <c r="J271" s="27"/>
      <c r="K271" s="27"/>
      <c r="L271" s="27"/>
      <c r="M271" s="27"/>
      <c r="N271" s="27"/>
      <c r="O271" s="27"/>
      <c r="P271" s="27"/>
      <c r="Q271" s="27"/>
      <c r="R271" s="27"/>
      <c r="S271" s="27"/>
    </row>
    <row r="272" ht="15.75" customHeight="1">
      <c r="A272" s="33" t="s">
        <v>31</v>
      </c>
      <c r="B272" s="45" t="s">
        <v>645</v>
      </c>
      <c r="C272" s="34" t="s">
        <v>327</v>
      </c>
      <c r="D272" s="36" t="s">
        <v>468</v>
      </c>
      <c r="E272" s="36" t="s">
        <v>469</v>
      </c>
      <c r="F272" s="37">
        <v>0.21</v>
      </c>
      <c r="G272" s="60" t="s">
        <v>516</v>
      </c>
      <c r="H272" s="27"/>
      <c r="I272" s="27"/>
      <c r="J272" s="27"/>
      <c r="K272" s="27"/>
      <c r="L272" s="27"/>
      <c r="M272" s="27"/>
      <c r="N272" s="27"/>
      <c r="O272" s="27"/>
      <c r="P272" s="27"/>
      <c r="Q272" s="27"/>
      <c r="R272" s="27"/>
      <c r="S272" s="27"/>
    </row>
    <row r="273" ht="15.75" customHeight="1">
      <c r="A273" s="40" t="s">
        <v>31</v>
      </c>
      <c r="B273" s="41" t="s">
        <v>646</v>
      </c>
      <c r="C273" s="42" t="s">
        <v>647</v>
      </c>
      <c r="D273" s="43" t="s">
        <v>482</v>
      </c>
      <c r="E273" s="43" t="s">
        <v>483</v>
      </c>
      <c r="F273" s="44">
        <v>0.21</v>
      </c>
      <c r="G273" s="60" t="s">
        <v>516</v>
      </c>
      <c r="H273" s="27"/>
      <c r="I273" s="27"/>
      <c r="J273" s="27"/>
      <c r="K273" s="27"/>
      <c r="L273" s="27"/>
      <c r="M273" s="27"/>
      <c r="N273" s="27"/>
      <c r="O273" s="27"/>
      <c r="P273" s="27"/>
      <c r="Q273" s="27"/>
      <c r="R273" s="27"/>
      <c r="S273" s="27"/>
    </row>
    <row r="274" ht="15.75" customHeight="1">
      <c r="A274" s="33" t="s">
        <v>31</v>
      </c>
      <c r="B274" s="45" t="s">
        <v>648</v>
      </c>
      <c r="C274" s="34" t="s">
        <v>327</v>
      </c>
      <c r="D274" s="36" t="s">
        <v>482</v>
      </c>
      <c r="E274" s="36" t="s">
        <v>483</v>
      </c>
      <c r="F274" s="37">
        <v>0.21</v>
      </c>
      <c r="G274" s="60" t="s">
        <v>516</v>
      </c>
      <c r="H274" s="27"/>
      <c r="I274" s="27"/>
      <c r="J274" s="27"/>
      <c r="K274" s="27"/>
      <c r="L274" s="27"/>
      <c r="M274" s="27"/>
      <c r="N274" s="27"/>
      <c r="O274" s="27"/>
      <c r="P274" s="27"/>
      <c r="Q274" s="27"/>
      <c r="R274" s="27"/>
      <c r="S274" s="27"/>
    </row>
    <row r="275" ht="15.75" customHeight="1">
      <c r="A275" s="54" t="s">
        <v>649</v>
      </c>
      <c r="B275" s="29"/>
      <c r="C275" s="29"/>
      <c r="D275" s="51"/>
      <c r="E275" s="31"/>
      <c r="F275" s="29"/>
      <c r="G275" s="29"/>
      <c r="H275" s="27"/>
      <c r="I275" s="27"/>
      <c r="J275" s="27"/>
      <c r="K275" s="27"/>
      <c r="L275" s="27"/>
      <c r="M275" s="27"/>
      <c r="N275" s="27"/>
      <c r="O275" s="27"/>
      <c r="P275" s="27"/>
      <c r="Q275" s="27"/>
      <c r="R275" s="27"/>
      <c r="S275" s="27"/>
    </row>
    <row r="276" ht="15.75" customHeight="1">
      <c r="A276" s="40" t="s">
        <v>31</v>
      </c>
      <c r="B276" s="41" t="s">
        <v>650</v>
      </c>
      <c r="C276" s="42" t="s">
        <v>651</v>
      </c>
      <c r="D276" s="43" t="s">
        <v>652</v>
      </c>
      <c r="E276" s="43" t="s">
        <v>653</v>
      </c>
      <c r="F276" s="44">
        <v>0.21</v>
      </c>
      <c r="G276" s="38" t="str">
        <f>IFERROR(VLOOKUP("XSW-D INSTRUMENT BASE SET",STOCK!B2:Q3677,3,FALSE),"SIN STOCK")</f>
        <v>Menor a 5</v>
      </c>
      <c r="H276" s="27"/>
      <c r="I276" s="27"/>
      <c r="J276" s="27"/>
      <c r="K276" s="27"/>
      <c r="L276" s="27"/>
      <c r="M276" s="27"/>
      <c r="N276" s="27"/>
      <c r="O276" s="27"/>
      <c r="P276" s="27"/>
      <c r="Q276" s="27"/>
      <c r="R276" s="27"/>
      <c r="S276" s="27"/>
    </row>
    <row r="277" ht="15.75" customHeight="1">
      <c r="A277" s="33" t="s">
        <v>31</v>
      </c>
      <c r="B277" s="45" t="s">
        <v>654</v>
      </c>
      <c r="C277" s="34" t="s">
        <v>655</v>
      </c>
      <c r="D277" s="36" t="s">
        <v>604</v>
      </c>
      <c r="E277" s="36" t="s">
        <v>605</v>
      </c>
      <c r="F277" s="37">
        <v>0.21</v>
      </c>
      <c r="G277" s="49" t="str">
        <f>IFERROR(VLOOKUP("XSW-D LAVALIER SET",STOCK!B2:Q3677,3,FALSE),"SIN STOCK")</f>
        <v>Menor a 5</v>
      </c>
      <c r="H277" s="27"/>
      <c r="I277" s="27"/>
      <c r="J277" s="27"/>
      <c r="K277" s="27"/>
      <c r="L277" s="27"/>
      <c r="M277" s="27"/>
      <c r="N277" s="27"/>
      <c r="O277" s="27"/>
      <c r="P277" s="27"/>
      <c r="Q277" s="27"/>
      <c r="R277" s="27"/>
      <c r="S277" s="27"/>
    </row>
    <row r="278" ht="15.75" customHeight="1">
      <c r="A278" s="40" t="s">
        <v>31</v>
      </c>
      <c r="B278" s="41" t="s">
        <v>656</v>
      </c>
      <c r="C278" s="42" t="s">
        <v>657</v>
      </c>
      <c r="D278" s="43" t="s">
        <v>658</v>
      </c>
      <c r="E278" s="43" t="s">
        <v>659</v>
      </c>
      <c r="F278" s="44">
        <v>0.21</v>
      </c>
      <c r="G278" s="38" t="str">
        <f>IFERROR(VLOOKUP("XSW-D PORTABLE BASE SET",STOCK!B2:Q3677,3,FALSE),"SIN STOCK")</f>
        <v>Mayor a 5</v>
      </c>
      <c r="H278" s="27"/>
      <c r="I278" s="27"/>
      <c r="J278" s="27"/>
      <c r="K278" s="27"/>
      <c r="L278" s="27"/>
      <c r="M278" s="27"/>
      <c r="N278" s="27"/>
      <c r="O278" s="27"/>
      <c r="P278" s="27"/>
      <c r="Q278" s="27"/>
      <c r="R278" s="27"/>
      <c r="S278" s="27"/>
    </row>
    <row r="279" ht="15.75" customHeight="1">
      <c r="A279" s="33" t="s">
        <v>31</v>
      </c>
      <c r="B279" s="45" t="s">
        <v>660</v>
      </c>
      <c r="C279" s="34" t="s">
        <v>661</v>
      </c>
      <c r="D279" s="36" t="s">
        <v>150</v>
      </c>
      <c r="E279" s="36" t="s">
        <v>151</v>
      </c>
      <c r="F279" s="37">
        <v>0.21</v>
      </c>
      <c r="G279" s="49" t="str">
        <f>IFERROR(VLOOKUP("XSW-D PORTABLE ENG SET",STOCK!B2:Q3677,3,FALSE),"SIN STOCK")</f>
        <v>Menor a 5</v>
      </c>
      <c r="H279" s="27"/>
      <c r="I279" s="27"/>
      <c r="J279" s="27"/>
      <c r="K279" s="27"/>
      <c r="L279" s="27"/>
      <c r="M279" s="27"/>
      <c r="N279" s="27"/>
      <c r="O279" s="27"/>
      <c r="P279" s="27"/>
      <c r="Q279" s="27"/>
      <c r="R279" s="27"/>
      <c r="S279" s="27"/>
    </row>
    <row r="280" ht="15.75" customHeight="1">
      <c r="A280" s="40" t="s">
        <v>31</v>
      </c>
      <c r="B280" s="41" t="s">
        <v>662</v>
      </c>
      <c r="C280" s="42" t="s">
        <v>663</v>
      </c>
      <c r="D280" s="43" t="s">
        <v>658</v>
      </c>
      <c r="E280" s="43" t="s">
        <v>659</v>
      </c>
      <c r="F280" s="44">
        <v>0.21</v>
      </c>
      <c r="G280" s="49" t="str">
        <f>IFERROR(VLOOKUP("XSW-D PORTABLE INTERVIEW SET",STOCK!B2:Q3677,3,FALSE),"SIN STOCK")</f>
        <v>Menor a 5</v>
      </c>
      <c r="H280" s="27"/>
      <c r="I280" s="27"/>
      <c r="J280" s="27"/>
      <c r="K280" s="27"/>
      <c r="L280" s="27"/>
      <c r="M280" s="27"/>
      <c r="N280" s="27"/>
      <c r="O280" s="27"/>
      <c r="P280" s="27"/>
      <c r="Q280" s="27"/>
      <c r="R280" s="27"/>
      <c r="S280" s="27"/>
    </row>
    <row r="281" ht="15.75" customHeight="1">
      <c r="A281" s="33" t="s">
        <v>31</v>
      </c>
      <c r="B281" s="45" t="s">
        <v>664</v>
      </c>
      <c r="C281" s="34" t="s">
        <v>665</v>
      </c>
      <c r="D281" s="36" t="s">
        <v>161</v>
      </c>
      <c r="E281" s="36" t="s">
        <v>162</v>
      </c>
      <c r="F281" s="37">
        <v>0.21</v>
      </c>
      <c r="G281" s="46" t="str">
        <f>IFERROR(VLOOKUP("XSW-D PORTABLE LAV MOBILE KIT",STOCK!B2:Q3677,3,FALSE),"SIN STOCK")</f>
        <v>SIN STOCK</v>
      </c>
      <c r="H281" s="27"/>
      <c r="I281" s="27"/>
      <c r="J281" s="27"/>
      <c r="K281" s="27"/>
      <c r="L281" s="27"/>
      <c r="M281" s="27"/>
      <c r="N281" s="27"/>
      <c r="O281" s="27"/>
      <c r="P281" s="27"/>
      <c r="Q281" s="27"/>
      <c r="R281" s="27"/>
      <c r="S281" s="27"/>
    </row>
    <row r="282" ht="15.75" customHeight="1">
      <c r="A282" s="40" t="s">
        <v>31</v>
      </c>
      <c r="B282" s="41" t="s">
        <v>666</v>
      </c>
      <c r="C282" s="42" t="s">
        <v>667</v>
      </c>
      <c r="D282" s="43" t="s">
        <v>652</v>
      </c>
      <c r="E282" s="43" t="s">
        <v>653</v>
      </c>
      <c r="F282" s="44">
        <v>0.21</v>
      </c>
      <c r="G282" s="38" t="str">
        <f>IFERROR(VLOOKUP("XSW-D PORTABLE LAVALIER SET",STOCK!B2:Q3677,3,FALSE),"SIN STOCK")</f>
        <v>Mayor a 5</v>
      </c>
      <c r="H282" s="27"/>
      <c r="I282" s="27"/>
      <c r="J282" s="27"/>
      <c r="K282" s="27"/>
      <c r="L282" s="27"/>
      <c r="M282" s="27"/>
      <c r="N282" s="27"/>
      <c r="O282" s="27"/>
      <c r="P282" s="27"/>
      <c r="Q282" s="27"/>
      <c r="R282" s="27"/>
      <c r="S282" s="27"/>
    </row>
    <row r="283" ht="15.75" customHeight="1">
      <c r="A283" s="33" t="s">
        <v>31</v>
      </c>
      <c r="B283" s="45" t="s">
        <v>668</v>
      </c>
      <c r="C283" s="34" t="s">
        <v>669</v>
      </c>
      <c r="D283" s="36" t="s">
        <v>652</v>
      </c>
      <c r="E283" s="36" t="s">
        <v>653</v>
      </c>
      <c r="F283" s="37">
        <v>0.21</v>
      </c>
      <c r="G283" s="38" t="str">
        <f>IFERROR(VLOOKUP("XSW-D PRESENTATION BASE SET",STOCK!B2:Q3677,3,FALSE),"SIN STOCK")</f>
        <v>Menor a 5</v>
      </c>
      <c r="H283" s="27"/>
      <c r="I283" s="27"/>
      <c r="J283" s="27"/>
      <c r="K283" s="27"/>
      <c r="L283" s="27"/>
      <c r="M283" s="27"/>
      <c r="N283" s="27"/>
      <c r="O283" s="27"/>
      <c r="P283" s="27"/>
      <c r="Q283" s="27"/>
      <c r="R283" s="27"/>
      <c r="S283" s="27"/>
    </row>
    <row r="284" ht="15.75" customHeight="1">
      <c r="A284" s="40" t="s">
        <v>31</v>
      </c>
      <c r="B284" s="41" t="s">
        <v>670</v>
      </c>
      <c r="C284" s="42" t="s">
        <v>671</v>
      </c>
      <c r="D284" s="43" t="s">
        <v>604</v>
      </c>
      <c r="E284" s="43" t="s">
        <v>605</v>
      </c>
      <c r="F284" s="44">
        <v>0.21</v>
      </c>
      <c r="G284" s="38" t="str">
        <f>IFERROR(VLOOKUP("XSW-D VOCAL SET",STOCK!B2:Q3677,3,FALSE),"SIN STOCK")</f>
        <v>Mayor a 5</v>
      </c>
      <c r="H284" s="27"/>
      <c r="I284" s="27"/>
      <c r="J284" s="27"/>
      <c r="K284" s="27"/>
      <c r="L284" s="27"/>
      <c r="M284" s="27"/>
      <c r="N284" s="27"/>
      <c r="O284" s="27"/>
      <c r="P284" s="27"/>
      <c r="Q284" s="27"/>
      <c r="R284" s="27"/>
      <c r="S284" s="27"/>
    </row>
    <row r="285" ht="15.75" customHeight="1">
      <c r="A285" s="33" t="s">
        <v>31</v>
      </c>
      <c r="B285" s="45" t="s">
        <v>672</v>
      </c>
      <c r="C285" s="34" t="s">
        <v>673</v>
      </c>
      <c r="D285" s="36" t="s">
        <v>652</v>
      </c>
      <c r="E285" s="36" t="s">
        <v>653</v>
      </c>
      <c r="F285" s="37">
        <v>0.21</v>
      </c>
      <c r="G285" s="49" t="str">
        <f>IFERROR(VLOOKUP("XSW-D XLR BASE SET",STOCK!B2:Q3677,3,FALSE),"SIN STOCK")</f>
        <v>Menor a 5</v>
      </c>
      <c r="H285" s="27"/>
      <c r="I285" s="27"/>
      <c r="J285" s="27"/>
      <c r="K285" s="27"/>
      <c r="L285" s="27"/>
      <c r="M285" s="27"/>
      <c r="N285" s="27"/>
      <c r="O285" s="27"/>
      <c r="P285" s="27"/>
      <c r="Q285" s="27"/>
      <c r="R285" s="27"/>
      <c r="S285" s="27"/>
    </row>
    <row r="286" ht="15.75" customHeight="1">
      <c r="A286" s="40" t="s">
        <v>31</v>
      </c>
      <c r="B286" s="41" t="s">
        <v>674</v>
      </c>
      <c r="C286" s="42" t="s">
        <v>675</v>
      </c>
      <c r="D286" s="43" t="s">
        <v>604</v>
      </c>
      <c r="E286" s="43" t="s">
        <v>605</v>
      </c>
      <c r="F286" s="44">
        <v>0.21</v>
      </c>
      <c r="G286" s="38" t="str">
        <f>IFERROR(VLOOKUP("XSW-D PEDALBOARD SET",STOCK!B2:Q3677,3,FALSE),"SIN STOCK")</f>
        <v>Menor a 5</v>
      </c>
      <c r="H286" s="27"/>
      <c r="I286" s="27"/>
      <c r="J286" s="27"/>
      <c r="K286" s="27"/>
      <c r="L286" s="27"/>
      <c r="M286" s="27"/>
      <c r="N286" s="27"/>
      <c r="O286" s="27"/>
      <c r="P286" s="27"/>
      <c r="Q286" s="27"/>
      <c r="R286" s="27"/>
      <c r="S286" s="27"/>
    </row>
    <row r="287" ht="15.75" customHeight="1">
      <c r="A287" s="54" t="s">
        <v>676</v>
      </c>
      <c r="B287" s="29"/>
      <c r="C287" s="29"/>
      <c r="D287" s="51"/>
      <c r="E287" s="31"/>
      <c r="F287" s="29"/>
      <c r="G287" s="29"/>
      <c r="H287" s="27"/>
      <c r="I287" s="27"/>
      <c r="J287" s="27"/>
      <c r="K287" s="27"/>
      <c r="L287" s="27"/>
      <c r="M287" s="27"/>
      <c r="N287" s="27"/>
      <c r="O287" s="27"/>
      <c r="P287" s="27"/>
      <c r="Q287" s="27"/>
      <c r="R287" s="27"/>
      <c r="S287" s="27"/>
    </row>
    <row r="288" ht="15.75" customHeight="1">
      <c r="A288" s="40" t="s">
        <v>31</v>
      </c>
      <c r="B288" s="41" t="s">
        <v>677</v>
      </c>
      <c r="C288" s="42" t="s">
        <v>678</v>
      </c>
      <c r="D288" s="43" t="s">
        <v>179</v>
      </c>
      <c r="E288" s="43" t="s">
        <v>180</v>
      </c>
      <c r="F288" s="44">
        <v>0.21</v>
      </c>
      <c r="G288" s="46" t="str">
        <f>IFERROR(VLOOKUP("XSW-D MINI JACK RX",STOCK!B2:Q3677,3,FALSE),"SIN STOCK")</f>
        <v>SIN STOCK</v>
      </c>
      <c r="H288" s="27"/>
      <c r="I288" s="27"/>
      <c r="J288" s="27"/>
      <c r="K288" s="27"/>
      <c r="L288" s="27"/>
      <c r="M288" s="27"/>
      <c r="N288" s="27"/>
      <c r="O288" s="27"/>
      <c r="P288" s="27"/>
      <c r="Q288" s="27"/>
      <c r="R288" s="27"/>
      <c r="S288" s="27"/>
    </row>
    <row r="289" ht="15.75" customHeight="1">
      <c r="A289" s="33" t="s">
        <v>31</v>
      </c>
      <c r="B289" s="45" t="s">
        <v>679</v>
      </c>
      <c r="C289" s="34" t="s">
        <v>680</v>
      </c>
      <c r="D289" s="36" t="s">
        <v>179</v>
      </c>
      <c r="E289" s="36" t="s">
        <v>180</v>
      </c>
      <c r="F289" s="37">
        <v>0.21</v>
      </c>
      <c r="G289" s="46" t="str">
        <f>IFERROR(VLOOKUP("XSW-D MINI JACK TX",STOCK!B2:Q3677,3,FALSE),"SIN STOCK")</f>
        <v>SIN STOCK</v>
      </c>
      <c r="H289" s="27"/>
      <c r="I289" s="27"/>
      <c r="J289" s="27"/>
      <c r="K289" s="27"/>
      <c r="L289" s="27"/>
      <c r="M289" s="27"/>
      <c r="N289" s="27"/>
      <c r="O289" s="27"/>
      <c r="P289" s="27"/>
      <c r="Q289" s="27"/>
      <c r="R289" s="27"/>
      <c r="S289" s="27"/>
    </row>
    <row r="290" ht="15.75" customHeight="1">
      <c r="A290" s="40" t="s">
        <v>31</v>
      </c>
      <c r="B290" s="41" t="s">
        <v>681</v>
      </c>
      <c r="C290" s="42" t="s">
        <v>682</v>
      </c>
      <c r="D290" s="43" t="s">
        <v>179</v>
      </c>
      <c r="E290" s="43" t="s">
        <v>180</v>
      </c>
      <c r="F290" s="44">
        <v>0.21</v>
      </c>
      <c r="G290" s="46" t="str">
        <f>IFERROR(VLOOKUP("XSW-D INSTRUMENT RX",STOCK!B2:Q3677,3,FALSE),"SIN STOCK")</f>
        <v>SIN STOCK</v>
      </c>
      <c r="H290" s="27"/>
      <c r="I290" s="27"/>
      <c r="J290" s="27"/>
      <c r="K290" s="27"/>
      <c r="L290" s="27"/>
      <c r="M290" s="27"/>
      <c r="N290" s="27"/>
      <c r="O290" s="27"/>
      <c r="P290" s="27"/>
      <c r="Q290" s="27"/>
      <c r="R290" s="27"/>
      <c r="S290" s="27"/>
    </row>
    <row r="291" ht="15.75" customHeight="1">
      <c r="A291" s="33" t="s">
        <v>31</v>
      </c>
      <c r="B291" s="45" t="s">
        <v>683</v>
      </c>
      <c r="C291" s="34" t="s">
        <v>684</v>
      </c>
      <c r="D291" s="36" t="s">
        <v>179</v>
      </c>
      <c r="E291" s="36" t="s">
        <v>180</v>
      </c>
      <c r="F291" s="37">
        <v>0.21</v>
      </c>
      <c r="G291" s="46" t="str">
        <f>IFERROR(VLOOKUP("XSW-D INSTRUMENT TX",STOCK!B2:Q3677,3,FALSE),"SIN STOCK")</f>
        <v>SIN STOCK</v>
      </c>
      <c r="H291" s="27"/>
      <c r="I291" s="27"/>
      <c r="J291" s="27"/>
      <c r="K291" s="27"/>
      <c r="L291" s="27"/>
      <c r="M291" s="27"/>
      <c r="N291" s="27"/>
      <c r="O291" s="27"/>
      <c r="P291" s="27"/>
      <c r="Q291" s="27"/>
      <c r="R291" s="27"/>
      <c r="S291" s="27"/>
    </row>
    <row r="292" ht="15.75" customHeight="1">
      <c r="A292" s="40" t="s">
        <v>31</v>
      </c>
      <c r="B292" s="41" t="s">
        <v>685</v>
      </c>
      <c r="C292" s="42" t="s">
        <v>686</v>
      </c>
      <c r="D292" s="43" t="s">
        <v>179</v>
      </c>
      <c r="E292" s="43" t="s">
        <v>180</v>
      </c>
      <c r="F292" s="44">
        <v>0.21</v>
      </c>
      <c r="G292" s="46" t="str">
        <f>IFERROR(VLOOKUP("XSW-D XLR FEMALE",STOCK!B2:Q3677,3,FALSE),"SIN STOCK")</f>
        <v>SIN STOCK</v>
      </c>
      <c r="H292" s="27"/>
      <c r="I292" s="27"/>
      <c r="J292" s="27"/>
      <c r="K292" s="27"/>
      <c r="L292" s="27"/>
      <c r="M292" s="27"/>
      <c r="N292" s="27"/>
      <c r="O292" s="27"/>
      <c r="P292" s="27"/>
      <c r="Q292" s="27"/>
      <c r="R292" s="27"/>
      <c r="S292" s="27"/>
    </row>
    <row r="293" ht="15.75" customHeight="1">
      <c r="A293" s="33" t="s">
        <v>31</v>
      </c>
      <c r="B293" s="45" t="s">
        <v>687</v>
      </c>
      <c r="C293" s="34" t="s">
        <v>688</v>
      </c>
      <c r="D293" s="36" t="s">
        <v>179</v>
      </c>
      <c r="E293" s="36" t="s">
        <v>180</v>
      </c>
      <c r="F293" s="37">
        <v>0.21</v>
      </c>
      <c r="G293" s="46" t="str">
        <f>IFERROR(VLOOKUP("XSW-D XLR MALE",STOCK!B2:Q3677,3,FALSE),"SIN STOCK")</f>
        <v>SIN STOCK</v>
      </c>
      <c r="H293" s="27"/>
      <c r="I293" s="27"/>
      <c r="J293" s="27"/>
      <c r="K293" s="27"/>
      <c r="L293" s="27"/>
      <c r="M293" s="27"/>
      <c r="N293" s="27"/>
      <c r="O293" s="27"/>
      <c r="P293" s="27"/>
      <c r="Q293" s="27"/>
      <c r="R293" s="27"/>
      <c r="S293" s="27"/>
    </row>
    <row r="294" ht="15.75" customHeight="1">
      <c r="A294" s="40" t="s">
        <v>31</v>
      </c>
      <c r="B294" s="41" t="s">
        <v>689</v>
      </c>
      <c r="C294" s="42" t="s">
        <v>690</v>
      </c>
      <c r="D294" s="43" t="s">
        <v>691</v>
      </c>
      <c r="E294" s="43" t="s">
        <v>692</v>
      </c>
      <c r="F294" s="44">
        <v>0.21</v>
      </c>
      <c r="G294" s="46" t="str">
        <f>IFERROR(VLOOKUP("XSW-D PEDALBOARD RECEIVER",STOCK!B2:Q3677,3,FALSE),"SIN STOCK")</f>
        <v>SIN STOCK</v>
      </c>
      <c r="H294" s="27"/>
      <c r="I294" s="27"/>
      <c r="J294" s="27"/>
      <c r="K294" s="27"/>
      <c r="L294" s="27"/>
      <c r="M294" s="27"/>
      <c r="N294" s="27"/>
      <c r="O294" s="27"/>
      <c r="P294" s="27"/>
      <c r="Q294" s="27"/>
      <c r="R294" s="27"/>
      <c r="S294" s="27"/>
    </row>
    <row r="295" ht="15.75" customHeight="1">
      <c r="A295" s="54" t="s">
        <v>693</v>
      </c>
      <c r="B295" s="29"/>
      <c r="C295" s="29"/>
      <c r="D295" s="51"/>
      <c r="E295" s="31"/>
      <c r="F295" s="29"/>
      <c r="G295" s="29"/>
      <c r="H295" s="27"/>
      <c r="I295" s="27"/>
      <c r="J295" s="27"/>
      <c r="K295" s="27"/>
      <c r="L295" s="27"/>
      <c r="M295" s="27"/>
      <c r="N295" s="27"/>
      <c r="O295" s="27"/>
      <c r="P295" s="27"/>
      <c r="Q295" s="27"/>
      <c r="R295" s="27"/>
      <c r="S295" s="27"/>
    </row>
    <row r="296" ht="15.75" customHeight="1">
      <c r="A296" s="40" t="s">
        <v>31</v>
      </c>
      <c r="B296" s="41" t="s">
        <v>694</v>
      </c>
      <c r="C296" s="42" t="s">
        <v>327</v>
      </c>
      <c r="D296" s="43" t="s">
        <v>695</v>
      </c>
      <c r="E296" s="43" t="s">
        <v>696</v>
      </c>
      <c r="F296" s="44">
        <v>0.21</v>
      </c>
      <c r="G296" s="46" t="str">
        <f>IFERROR(VLOOKUP("XSWD BELTPACK CLIP",STOCK!B2:Q3677,3,FALSE),"SIN STOCK")</f>
        <v>SIN STOCK</v>
      </c>
      <c r="H296" s="27"/>
      <c r="I296" s="27"/>
      <c r="J296" s="27"/>
      <c r="K296" s="27"/>
      <c r="L296" s="27"/>
      <c r="M296" s="27"/>
      <c r="N296" s="27"/>
      <c r="O296" s="27"/>
      <c r="P296" s="27"/>
      <c r="Q296" s="27"/>
      <c r="R296" s="27"/>
      <c r="S296" s="27"/>
    </row>
    <row r="297" ht="15.75" customHeight="1">
      <c r="A297" s="33" t="s">
        <v>31</v>
      </c>
      <c r="B297" s="45" t="s">
        <v>697</v>
      </c>
      <c r="C297" s="34" t="s">
        <v>327</v>
      </c>
      <c r="D297" s="36" t="s">
        <v>294</v>
      </c>
      <c r="E297" s="36" t="s">
        <v>295</v>
      </c>
      <c r="F297" s="37">
        <v>0.21</v>
      </c>
      <c r="G297" s="46" t="str">
        <f>IFERROR(VLOOKUP("XSWD HOTSHOE MOUNT",STOCK!B2:Q3677,3,FALSE),"SIN STOCK")</f>
        <v>SIN STOCK</v>
      </c>
      <c r="H297" s="27"/>
      <c r="I297" s="27"/>
      <c r="J297" s="27"/>
      <c r="K297" s="27"/>
      <c r="L297" s="27"/>
      <c r="M297" s="27"/>
      <c r="N297" s="27"/>
      <c r="O297" s="27"/>
      <c r="P297" s="27"/>
      <c r="Q297" s="27"/>
      <c r="R297" s="27"/>
      <c r="S297" s="27"/>
    </row>
    <row r="298" ht="15.75" customHeight="1">
      <c r="A298" s="40" t="s">
        <v>31</v>
      </c>
      <c r="B298" s="40" t="s">
        <v>698</v>
      </c>
      <c r="C298" s="42" t="s">
        <v>699</v>
      </c>
      <c r="D298" s="43" t="s">
        <v>294</v>
      </c>
      <c r="E298" s="43" t="s">
        <v>295</v>
      </c>
      <c r="F298" s="44">
        <v>0.21</v>
      </c>
      <c r="G298" s="46" t="str">
        <f>IFERROR(VLOOKUP("XSW-D MOBILE CABLE",STOCK!B2:Q3677,3,FALSE),"SIN STOCK")</f>
        <v>SIN STOCK</v>
      </c>
      <c r="H298" s="27"/>
      <c r="I298" s="27"/>
      <c r="J298" s="27"/>
      <c r="K298" s="27"/>
      <c r="L298" s="27"/>
      <c r="M298" s="27"/>
      <c r="N298" s="27"/>
      <c r="O298" s="27"/>
      <c r="P298" s="27"/>
      <c r="Q298" s="27"/>
      <c r="R298" s="27"/>
      <c r="S298" s="27"/>
    </row>
    <row r="299" ht="15.75" customHeight="1">
      <c r="A299" s="33" t="s">
        <v>31</v>
      </c>
      <c r="B299" s="33" t="s">
        <v>700</v>
      </c>
      <c r="C299" s="34" t="s">
        <v>701</v>
      </c>
      <c r="D299" s="36" t="s">
        <v>294</v>
      </c>
      <c r="E299" s="36" t="s">
        <v>295</v>
      </c>
      <c r="F299" s="37">
        <v>0.21</v>
      </c>
      <c r="G299" s="46" t="str">
        <f>IFERROR(VLOOKUP("CI 63",STOCK!B2:Q3677,3,FALSE),"SIN STOCK")</f>
        <v>SIN STOCK</v>
      </c>
      <c r="H299" s="27"/>
      <c r="I299" s="27"/>
      <c r="J299" s="27"/>
      <c r="K299" s="27"/>
      <c r="L299" s="27"/>
      <c r="M299" s="27"/>
      <c r="N299" s="27"/>
      <c r="O299" s="27"/>
      <c r="P299" s="27"/>
      <c r="Q299" s="27"/>
      <c r="R299" s="27"/>
      <c r="S299" s="27"/>
    </row>
    <row r="300" ht="15.75" customHeight="1">
      <c r="A300" s="28" t="s">
        <v>702</v>
      </c>
      <c r="B300" s="29"/>
      <c r="C300" s="29"/>
      <c r="D300" s="51"/>
      <c r="E300" s="31"/>
      <c r="F300" s="29"/>
      <c r="G300" s="29"/>
      <c r="H300" s="27"/>
      <c r="I300" s="27"/>
      <c r="J300" s="27"/>
      <c r="K300" s="27"/>
      <c r="L300" s="27"/>
      <c r="M300" s="27"/>
      <c r="N300" s="27"/>
      <c r="O300" s="27"/>
      <c r="P300" s="27"/>
      <c r="Q300" s="27"/>
      <c r="R300" s="27"/>
      <c r="S300" s="27"/>
    </row>
    <row r="301" ht="15.75" customHeight="1">
      <c r="A301" s="40" t="s">
        <v>31</v>
      </c>
      <c r="B301" s="41" t="s">
        <v>703</v>
      </c>
      <c r="C301" s="42" t="s">
        <v>704</v>
      </c>
      <c r="D301" s="43" t="s">
        <v>226</v>
      </c>
      <c r="E301" s="43" t="s">
        <v>227</v>
      </c>
      <c r="F301" s="44">
        <v>0.21</v>
      </c>
      <c r="G301" s="38" t="str">
        <f>IFERROR(VLOOKUP("XSW IEM SET (A)",STOCK!B2:Q3677,3,FALSE),"SIN STOCK")</f>
        <v>Mayor a 5</v>
      </c>
      <c r="H301" s="27"/>
      <c r="I301" s="27"/>
      <c r="J301" s="27"/>
      <c r="K301" s="27"/>
      <c r="L301" s="27"/>
      <c r="M301" s="27"/>
      <c r="N301" s="27"/>
      <c r="O301" s="27"/>
      <c r="P301" s="27"/>
      <c r="Q301" s="27"/>
      <c r="R301" s="27"/>
      <c r="S301" s="27"/>
    </row>
    <row r="302" ht="15.75" hidden="1" customHeight="1">
      <c r="A302" s="33" t="s">
        <v>31</v>
      </c>
      <c r="B302" s="45" t="s">
        <v>705</v>
      </c>
      <c r="C302" s="34" t="s">
        <v>706</v>
      </c>
      <c r="D302" s="36" t="s">
        <v>226</v>
      </c>
      <c r="E302" s="36" t="s">
        <v>227</v>
      </c>
      <c r="F302" s="37">
        <v>0.21</v>
      </c>
      <c r="G302" s="38" t="str">
        <f>IFERROR(VLOOKUP("XSW IEM SET (C)",STOCK!B2:Q3677,3,FALSE),"SIN STOCK")</f>
        <v>Mayor a 5</v>
      </c>
      <c r="H302" s="27"/>
      <c r="I302" s="27"/>
      <c r="J302" s="27"/>
      <c r="K302" s="27"/>
      <c r="L302" s="27"/>
      <c r="M302" s="27"/>
      <c r="N302" s="27"/>
      <c r="O302" s="27"/>
      <c r="P302" s="27"/>
      <c r="Q302" s="27"/>
      <c r="R302" s="27"/>
      <c r="S302" s="27"/>
    </row>
    <row r="303" ht="15.75" customHeight="1">
      <c r="A303" s="54" t="s">
        <v>707</v>
      </c>
      <c r="B303" s="29"/>
      <c r="C303" s="29"/>
      <c r="D303" s="51"/>
      <c r="E303" s="31"/>
      <c r="F303" s="29"/>
      <c r="G303" s="29"/>
      <c r="H303" s="27"/>
      <c r="I303" s="27"/>
      <c r="J303" s="27"/>
      <c r="K303" s="27"/>
      <c r="L303" s="27"/>
      <c r="M303" s="27"/>
      <c r="N303" s="27"/>
      <c r="O303" s="27"/>
      <c r="P303" s="27"/>
      <c r="Q303" s="27"/>
      <c r="R303" s="27"/>
      <c r="S303" s="27"/>
    </row>
    <row r="304" ht="15.75" customHeight="1">
      <c r="A304" s="40" t="s">
        <v>31</v>
      </c>
      <c r="B304" s="41" t="s">
        <v>708</v>
      </c>
      <c r="C304" s="42" t="s">
        <v>709</v>
      </c>
      <c r="D304" s="43" t="s">
        <v>161</v>
      </c>
      <c r="E304" s="43" t="s">
        <v>162</v>
      </c>
      <c r="F304" s="44">
        <v>0.21</v>
      </c>
      <c r="G304" s="38" t="str">
        <f>IFERROR(VLOOKUP("XSW IEM EK (A)",STOCK!B2:Q3677,3,FALSE),"SIN STOCK")</f>
        <v>Menor a 5</v>
      </c>
      <c r="H304" s="27"/>
      <c r="I304" s="27"/>
      <c r="J304" s="27"/>
      <c r="K304" s="27"/>
      <c r="L304" s="27"/>
      <c r="M304" s="27"/>
      <c r="N304" s="27"/>
      <c r="O304" s="27"/>
      <c r="P304" s="27"/>
      <c r="Q304" s="27"/>
      <c r="R304" s="27"/>
      <c r="S304" s="27"/>
    </row>
    <row r="305" ht="15.75" customHeight="1">
      <c r="A305" s="33" t="s">
        <v>31</v>
      </c>
      <c r="B305" s="45" t="s">
        <v>710</v>
      </c>
      <c r="C305" s="34" t="s">
        <v>711</v>
      </c>
      <c r="D305" s="36" t="s">
        <v>161</v>
      </c>
      <c r="E305" s="36" t="s">
        <v>162</v>
      </c>
      <c r="F305" s="37">
        <v>0.21</v>
      </c>
      <c r="G305" s="46" t="str">
        <f>IFERROR(VLOOKUP("XSW IEM SR (A)",STOCK!B2:Q3677,3,FALSE),"SIN STOCK")</f>
        <v>SIN STOCK</v>
      </c>
      <c r="H305" s="27"/>
      <c r="I305" s="27"/>
      <c r="J305" s="27"/>
      <c r="K305" s="27"/>
      <c r="L305" s="27"/>
      <c r="M305" s="27"/>
      <c r="N305" s="27"/>
      <c r="O305" s="27"/>
      <c r="P305" s="27"/>
      <c r="Q305" s="27"/>
      <c r="R305" s="27"/>
      <c r="S305" s="27"/>
    </row>
    <row r="306" ht="15.75" customHeight="1">
      <c r="A306" s="54" t="s">
        <v>712</v>
      </c>
      <c r="B306" s="29"/>
      <c r="C306" s="29"/>
      <c r="D306" s="51"/>
      <c r="E306" s="31"/>
      <c r="F306" s="29"/>
      <c r="G306" s="29"/>
      <c r="H306" s="27"/>
      <c r="I306" s="27"/>
      <c r="J306" s="27"/>
      <c r="K306" s="27"/>
      <c r="L306" s="27"/>
      <c r="M306" s="27"/>
      <c r="N306" s="27"/>
      <c r="O306" s="27"/>
      <c r="P306" s="27"/>
      <c r="Q306" s="27"/>
      <c r="R306" s="27"/>
      <c r="S306" s="27"/>
    </row>
    <row r="307" ht="15.75" customHeight="1">
      <c r="A307" s="40" t="s">
        <v>31</v>
      </c>
      <c r="B307" s="41" t="s">
        <v>713</v>
      </c>
      <c r="C307" s="42" t="s">
        <v>714</v>
      </c>
      <c r="D307" s="43" t="s">
        <v>695</v>
      </c>
      <c r="E307" s="43" t="s">
        <v>696</v>
      </c>
      <c r="F307" s="44">
        <v>0.21</v>
      </c>
      <c r="G307" s="46" t="str">
        <f>IFERROR(VLOOKUP("XSW IEM EK BATTERY COVER",STOCK!B2:Q3677,3,FALSE),"SIN STOCK")</f>
        <v>SIN STOCK</v>
      </c>
      <c r="H307" s="27"/>
      <c r="I307" s="27"/>
      <c r="J307" s="27"/>
      <c r="K307" s="27"/>
      <c r="L307" s="27"/>
      <c r="M307" s="27"/>
      <c r="N307" s="27"/>
      <c r="O307" s="27"/>
      <c r="P307" s="27"/>
      <c r="Q307" s="27"/>
      <c r="R307" s="27"/>
      <c r="S307" s="27"/>
    </row>
    <row r="308" ht="15.75" customHeight="1">
      <c r="A308" s="33" t="s">
        <v>31</v>
      </c>
      <c r="B308" s="45" t="s">
        <v>715</v>
      </c>
      <c r="C308" s="34" t="s">
        <v>716</v>
      </c>
      <c r="D308" s="36" t="s">
        <v>695</v>
      </c>
      <c r="E308" s="36" t="s">
        <v>696</v>
      </c>
      <c r="F308" s="37">
        <v>0.21</v>
      </c>
      <c r="G308" s="46" t="str">
        <f>IFERROR(VLOOKUP("XSW IEM EK BELT CLIP",STOCK!B2:Q3677,3,FALSE),"SIN STOCK")</f>
        <v>SIN STOCK</v>
      </c>
      <c r="H308" s="27"/>
      <c r="I308" s="27"/>
      <c r="J308" s="27"/>
      <c r="K308" s="27"/>
      <c r="L308" s="27"/>
      <c r="M308" s="27"/>
      <c r="N308" s="27"/>
      <c r="O308" s="27"/>
      <c r="P308" s="27"/>
      <c r="Q308" s="27"/>
      <c r="R308" s="27"/>
      <c r="S308" s="27"/>
    </row>
    <row r="309" ht="15.75" customHeight="1">
      <c r="A309" s="28" t="s">
        <v>717</v>
      </c>
      <c r="B309" s="29"/>
      <c r="C309" s="29"/>
      <c r="D309" s="51"/>
      <c r="E309" s="31"/>
      <c r="F309" s="29"/>
      <c r="G309" s="29"/>
      <c r="H309" s="27"/>
      <c r="I309" s="27"/>
      <c r="J309" s="27"/>
      <c r="K309" s="27"/>
      <c r="L309" s="27"/>
      <c r="M309" s="27"/>
      <c r="N309" s="27"/>
      <c r="O309" s="27"/>
      <c r="P309" s="27"/>
      <c r="Q309" s="27"/>
      <c r="R309" s="27"/>
      <c r="S309" s="27"/>
    </row>
    <row r="310" ht="15.75" customHeight="1">
      <c r="A310" s="40" t="s">
        <v>31</v>
      </c>
      <c r="B310" s="41" t="s">
        <v>718</v>
      </c>
      <c r="C310" s="42" t="s">
        <v>719</v>
      </c>
      <c r="D310" s="43" t="s">
        <v>720</v>
      </c>
      <c r="E310" s="43" t="s">
        <v>721</v>
      </c>
      <c r="F310" s="44">
        <v>0.21</v>
      </c>
      <c r="G310" s="38" t="str">
        <f>IFERROR(VLOOKUP("PROFILE",STOCK!B2:Q3677,3,FALSE),"SIN STOCK")</f>
        <v>Menor a 5</v>
      </c>
      <c r="H310" s="27"/>
      <c r="I310" s="27"/>
      <c r="J310" s="27"/>
      <c r="K310" s="27"/>
      <c r="L310" s="27"/>
      <c r="M310" s="27"/>
      <c r="N310" s="27"/>
      <c r="O310" s="27"/>
      <c r="P310" s="27"/>
      <c r="Q310" s="27"/>
      <c r="R310" s="27"/>
      <c r="S310" s="27"/>
    </row>
    <row r="311" ht="15.75" customHeight="1">
      <c r="A311" s="33" t="s">
        <v>31</v>
      </c>
      <c r="B311" s="53" t="s">
        <v>722</v>
      </c>
      <c r="C311" s="34" t="s">
        <v>723</v>
      </c>
      <c r="D311" s="36" t="s">
        <v>100</v>
      </c>
      <c r="E311" s="36" t="s">
        <v>101</v>
      </c>
      <c r="F311" s="37">
        <v>0.21</v>
      </c>
      <c r="G311" s="38" t="str">
        <f>IFERROR(VLOOKUP("PROFILE STREAMING SET",STOCK!B2:Q3677,3,FALSE),"SIN STOCK")</f>
        <v>Menor a 5</v>
      </c>
      <c r="H311" s="27"/>
      <c r="I311" s="27"/>
      <c r="J311" s="27"/>
      <c r="K311" s="27"/>
      <c r="L311" s="27"/>
      <c r="M311" s="27"/>
      <c r="N311" s="27"/>
      <c r="O311" s="27"/>
      <c r="P311" s="27"/>
      <c r="Q311" s="27"/>
      <c r="R311" s="27"/>
      <c r="S311" s="27"/>
    </row>
    <row r="312" ht="15.75" customHeight="1">
      <c r="A312" s="40" t="s">
        <v>31</v>
      </c>
      <c r="B312" s="41" t="s">
        <v>724</v>
      </c>
      <c r="C312" s="42" t="s">
        <v>725</v>
      </c>
      <c r="D312" s="43" t="s">
        <v>726</v>
      </c>
      <c r="E312" s="43" t="s">
        <v>727</v>
      </c>
      <c r="F312" s="44">
        <v>0.21</v>
      </c>
      <c r="G312" s="38" t="str">
        <f>IFERROR(VLOOKUP("PROFILE WIRELESS 2-CHANNEL SET",STOCK!B2:Q3677,3,FALSE),"SIN STOCK")</f>
        <v>Mayor a 5</v>
      </c>
      <c r="H312" s="27"/>
      <c r="I312" s="27"/>
      <c r="J312" s="27"/>
      <c r="K312" s="27"/>
      <c r="L312" s="27"/>
      <c r="M312" s="27"/>
      <c r="N312" s="27"/>
      <c r="O312" s="27"/>
      <c r="P312" s="27"/>
      <c r="Q312" s="27"/>
      <c r="R312" s="27"/>
      <c r="S312" s="27"/>
    </row>
    <row r="313" ht="15.75" customHeight="1">
      <c r="A313" s="54" t="s">
        <v>728</v>
      </c>
      <c r="B313" s="29"/>
      <c r="C313" s="29"/>
      <c r="D313" s="51"/>
      <c r="E313" s="31"/>
      <c r="F313" s="29"/>
      <c r="G313" s="29"/>
      <c r="H313" s="27"/>
      <c r="I313" s="27"/>
      <c r="J313" s="27"/>
      <c r="K313" s="27"/>
      <c r="L313" s="27"/>
      <c r="M313" s="27"/>
      <c r="N313" s="27"/>
      <c r="O313" s="27"/>
      <c r="P313" s="27"/>
      <c r="Q313" s="27"/>
      <c r="R313" s="27"/>
      <c r="S313" s="27"/>
    </row>
    <row r="314" ht="15.75" customHeight="1">
      <c r="A314" s="40" t="s">
        <v>31</v>
      </c>
      <c r="B314" s="41" t="s">
        <v>729</v>
      </c>
      <c r="C314" s="42" t="s">
        <v>730</v>
      </c>
      <c r="D314" s="43" t="s">
        <v>731</v>
      </c>
      <c r="E314" s="43" t="s">
        <v>732</v>
      </c>
      <c r="F314" s="44">
        <v>0.21</v>
      </c>
      <c r="G314" s="46" t="str">
        <f>IFERROR(VLOOKUP("BOOM ARM",STOCK!B2:Q3677,3,FALSE),"SIN STOCK")</f>
        <v>SIN STOCK</v>
      </c>
      <c r="H314" s="27"/>
      <c r="I314" s="27"/>
      <c r="J314" s="27"/>
      <c r="K314" s="27"/>
      <c r="L314" s="27"/>
      <c r="M314" s="27"/>
      <c r="N314" s="27"/>
      <c r="O314" s="27"/>
      <c r="P314" s="27"/>
      <c r="Q314" s="27"/>
      <c r="R314" s="27"/>
      <c r="S314" s="27"/>
    </row>
    <row r="315" ht="15.75" customHeight="1">
      <c r="A315" s="33" t="s">
        <v>31</v>
      </c>
      <c r="B315" s="45" t="s">
        <v>733</v>
      </c>
      <c r="C315" s="34" t="s">
        <v>734</v>
      </c>
      <c r="D315" s="36" t="s">
        <v>735</v>
      </c>
      <c r="E315" s="36" t="s">
        <v>736</v>
      </c>
      <c r="F315" s="37">
        <v>0.21</v>
      </c>
      <c r="G315" s="46" t="str">
        <f>IFERROR(VLOOKUP("PROFILE TABLE STAND",STOCK!B2:Q3677,3,FALSE),"SIN STOCK")</f>
        <v>SIN STOCK</v>
      </c>
      <c r="H315" s="27"/>
      <c r="I315" s="27"/>
      <c r="J315" s="27"/>
      <c r="K315" s="27"/>
      <c r="L315" s="27"/>
      <c r="M315" s="27"/>
      <c r="N315" s="27"/>
      <c r="O315" s="27"/>
      <c r="P315" s="27"/>
      <c r="Q315" s="27"/>
      <c r="R315" s="27"/>
      <c r="S315" s="27"/>
    </row>
    <row r="316" ht="15.75" customHeight="1">
      <c r="A316" s="40" t="s">
        <v>31</v>
      </c>
      <c r="B316" s="41" t="s">
        <v>737</v>
      </c>
      <c r="C316" s="42" t="s">
        <v>327</v>
      </c>
      <c r="D316" s="43" t="s">
        <v>738</v>
      </c>
      <c r="E316" s="43" t="s">
        <v>739</v>
      </c>
      <c r="F316" s="44">
        <v>0.21</v>
      </c>
      <c r="G316" s="46" t="str">
        <f>IFERROR(VLOOKUP("USB-C CABLE (3M)",STOCK!B2:Q3677,3,FALSE),"SIN STOCK")</f>
        <v>SIN STOCK</v>
      </c>
      <c r="H316" s="27"/>
      <c r="I316" s="27"/>
      <c r="J316" s="27"/>
      <c r="K316" s="27"/>
      <c r="L316" s="27"/>
      <c r="M316" s="27"/>
      <c r="N316" s="27"/>
      <c r="O316" s="27"/>
      <c r="P316" s="27"/>
      <c r="Q316" s="27"/>
      <c r="R316" s="27"/>
      <c r="S316" s="27"/>
    </row>
    <row r="317" ht="15.75" customHeight="1">
      <c r="A317" s="54" t="s">
        <v>740</v>
      </c>
      <c r="B317" s="29"/>
      <c r="C317" s="29"/>
      <c r="D317" s="51"/>
      <c r="E317" s="31"/>
      <c r="F317" s="29"/>
      <c r="G317" s="29"/>
      <c r="H317" s="27"/>
      <c r="I317" s="27"/>
      <c r="J317" s="27"/>
      <c r="K317" s="27"/>
      <c r="L317" s="27"/>
      <c r="M317" s="27"/>
      <c r="N317" s="27"/>
      <c r="O317" s="27"/>
      <c r="P317" s="27"/>
      <c r="Q317" s="27"/>
      <c r="R317" s="27"/>
      <c r="S317" s="27"/>
    </row>
    <row r="318" ht="15.75" customHeight="1">
      <c r="A318" s="40" t="s">
        <v>31</v>
      </c>
      <c r="B318" s="40" t="s">
        <v>741</v>
      </c>
      <c r="C318" s="42" t="s">
        <v>742</v>
      </c>
      <c r="D318" s="43" t="s">
        <v>743</v>
      </c>
      <c r="E318" s="43" t="s">
        <v>744</v>
      </c>
      <c r="F318" s="44">
        <v>0.21</v>
      </c>
      <c r="G318" s="60" t="s">
        <v>516</v>
      </c>
      <c r="H318" s="27"/>
      <c r="I318" s="27"/>
      <c r="J318" s="27"/>
      <c r="K318" s="27"/>
      <c r="L318" s="27"/>
      <c r="M318" s="27"/>
      <c r="N318" s="27"/>
      <c r="O318" s="27"/>
      <c r="P318" s="27"/>
      <c r="Q318" s="27"/>
      <c r="R318" s="27"/>
      <c r="S318" s="27"/>
    </row>
    <row r="319" ht="15.75" customHeight="1">
      <c r="A319" s="33" t="s">
        <v>31</v>
      </c>
      <c r="B319" s="33" t="s">
        <v>745</v>
      </c>
      <c r="C319" s="34" t="s">
        <v>746</v>
      </c>
      <c r="D319" s="36" t="s">
        <v>747</v>
      </c>
      <c r="E319" s="36" t="s">
        <v>748</v>
      </c>
      <c r="F319" s="37">
        <v>0.21</v>
      </c>
      <c r="G319" s="60" t="s">
        <v>516</v>
      </c>
      <c r="H319" s="27"/>
      <c r="I319" s="27"/>
      <c r="J319" s="27"/>
      <c r="K319" s="27"/>
      <c r="L319" s="27"/>
      <c r="M319" s="27"/>
      <c r="N319" s="27"/>
      <c r="O319" s="27"/>
      <c r="P319" s="27"/>
      <c r="Q319" s="27"/>
      <c r="R319" s="27"/>
      <c r="S319" s="27"/>
    </row>
    <row r="320" ht="15.75" customHeight="1">
      <c r="A320" s="54" t="s">
        <v>749</v>
      </c>
      <c r="B320" s="29"/>
      <c r="C320" s="29"/>
      <c r="D320" s="51"/>
      <c r="E320" s="31"/>
      <c r="F320" s="29"/>
      <c r="G320" s="29"/>
      <c r="H320" s="27"/>
      <c r="I320" s="27"/>
      <c r="J320" s="27"/>
      <c r="K320" s="27"/>
      <c r="L320" s="27"/>
      <c r="M320" s="27"/>
      <c r="N320" s="27"/>
      <c r="O320" s="27"/>
      <c r="P320" s="27"/>
      <c r="Q320" s="27"/>
      <c r="R320" s="27"/>
      <c r="S320" s="27"/>
    </row>
    <row r="321" ht="15.75" customHeight="1">
      <c r="A321" s="40" t="s">
        <v>31</v>
      </c>
      <c r="B321" s="40" t="s">
        <v>750</v>
      </c>
      <c r="C321" s="42" t="s">
        <v>751</v>
      </c>
      <c r="D321" s="43" t="s">
        <v>752</v>
      </c>
      <c r="E321" s="43" t="s">
        <v>753</v>
      </c>
      <c r="F321" s="44">
        <v>0.21</v>
      </c>
      <c r="G321" s="49" t="str">
        <f>IFERROR(VLOOKUP("SR 2020-D-US",STOCK!B4:Q3679,3,FALSE),"SIN STOCK")</f>
        <v>Menor a 5</v>
      </c>
      <c r="H321" s="27"/>
      <c r="I321" s="27"/>
      <c r="J321" s="27"/>
      <c r="K321" s="27"/>
      <c r="L321" s="27"/>
      <c r="M321" s="27"/>
      <c r="N321" s="27"/>
      <c r="O321" s="27"/>
      <c r="P321" s="27"/>
      <c r="Q321" s="27"/>
      <c r="R321" s="27"/>
      <c r="S321" s="27"/>
    </row>
    <row r="322" ht="15.75" customHeight="1">
      <c r="A322" s="33" t="s">
        <v>31</v>
      </c>
      <c r="B322" s="33" t="s">
        <v>754</v>
      </c>
      <c r="C322" s="34" t="s">
        <v>755</v>
      </c>
      <c r="D322" s="36" t="s">
        <v>756</v>
      </c>
      <c r="E322" s="36" t="s">
        <v>757</v>
      </c>
      <c r="F322" s="37">
        <v>0.21</v>
      </c>
      <c r="G322" s="46" t="str">
        <f>IFERROR(VLOOKUP("SR2020-D-US DUAL",STOCK!B5:Q3680,3,FALSE),"SIN STOCK")</f>
        <v>SIN STOCK</v>
      </c>
      <c r="H322" s="27"/>
      <c r="I322" s="27"/>
      <c r="J322" s="27"/>
      <c r="K322" s="27"/>
      <c r="L322" s="27"/>
      <c r="M322" s="27"/>
      <c r="N322" s="27"/>
      <c r="O322" s="27"/>
      <c r="P322" s="27"/>
      <c r="Q322" s="27"/>
      <c r="R322" s="27"/>
      <c r="S322" s="27"/>
    </row>
    <row r="323" ht="15.75" customHeight="1">
      <c r="A323" s="40" t="s">
        <v>31</v>
      </c>
      <c r="B323" s="40" t="s">
        <v>758</v>
      </c>
      <c r="C323" s="42" t="s">
        <v>759</v>
      </c>
      <c r="D323" s="43" t="s">
        <v>760</v>
      </c>
      <c r="E323" s="43" t="s">
        <v>761</v>
      </c>
      <c r="F323" s="44">
        <v>0.21</v>
      </c>
      <c r="G323" s="46" t="str">
        <f>IFERROR(VLOOKUP("SR2020-D-USSINGLE",STOCK!B2:Q3677,3,FALSE),"SIN STOCK")</f>
        <v>SIN STOCK</v>
      </c>
      <c r="H323" s="27"/>
      <c r="I323" s="27"/>
      <c r="J323" s="27"/>
      <c r="K323" s="27"/>
      <c r="L323" s="27"/>
      <c r="M323" s="27"/>
      <c r="N323" s="27"/>
      <c r="O323" s="27"/>
      <c r="P323" s="27"/>
      <c r="Q323" s="27"/>
      <c r="R323" s="27"/>
      <c r="S323" s="27"/>
    </row>
    <row r="324" ht="15.75" customHeight="1">
      <c r="A324" s="33" t="s">
        <v>31</v>
      </c>
      <c r="B324" s="33" t="s">
        <v>762</v>
      </c>
      <c r="C324" s="34" t="s">
        <v>763</v>
      </c>
      <c r="D324" s="36" t="s">
        <v>764</v>
      </c>
      <c r="E324" s="36" t="s">
        <v>765</v>
      </c>
      <c r="F324" s="37">
        <v>0.21</v>
      </c>
      <c r="G324" s="49" t="str">
        <f>IFERROR(VLOOKUP("HDE 2020-D-II US",STOCK!B2:Q3677,3,FALSE),"SIN STOCK")</f>
        <v>Menor a 5</v>
      </c>
      <c r="H324" s="27"/>
      <c r="I324" s="27"/>
      <c r="J324" s="27"/>
      <c r="K324" s="27"/>
      <c r="L324" s="27"/>
      <c r="M324" s="27"/>
      <c r="N324" s="27"/>
      <c r="O324" s="27"/>
      <c r="P324" s="27"/>
      <c r="Q324" s="27"/>
      <c r="R324" s="27"/>
      <c r="S324" s="27"/>
    </row>
    <row r="325" ht="15.75" customHeight="1">
      <c r="A325" s="40" t="s">
        <v>31</v>
      </c>
      <c r="B325" s="40" t="s">
        <v>766</v>
      </c>
      <c r="C325" s="42" t="s">
        <v>767</v>
      </c>
      <c r="D325" s="43" t="s">
        <v>768</v>
      </c>
      <c r="E325" s="43" t="s">
        <v>769</v>
      </c>
      <c r="F325" s="44">
        <v>0.21</v>
      </c>
      <c r="G325" s="49" t="str">
        <f>IFERROR(VLOOKUP("SK 2020-D-US",STOCK!B2:Q3677,3,FALSE),"SIN STOCK")</f>
        <v>Menor a 5</v>
      </c>
      <c r="H325" s="27"/>
      <c r="I325" s="27"/>
      <c r="J325" s="27"/>
      <c r="K325" s="27"/>
      <c r="L325" s="27"/>
      <c r="M325" s="27"/>
      <c r="N325" s="27"/>
      <c r="O325" s="27"/>
      <c r="P325" s="27"/>
      <c r="Q325" s="27"/>
      <c r="R325" s="27"/>
      <c r="S325" s="27"/>
    </row>
    <row r="326" ht="15.75" customHeight="1">
      <c r="A326" s="33" t="s">
        <v>31</v>
      </c>
      <c r="B326" s="33" t="s">
        <v>770</v>
      </c>
      <c r="C326" s="34" t="s">
        <v>771</v>
      </c>
      <c r="D326" s="36" t="s">
        <v>92</v>
      </c>
      <c r="E326" s="36" t="s">
        <v>93</v>
      </c>
      <c r="F326" s="37">
        <v>0.21</v>
      </c>
      <c r="G326" s="46" t="str">
        <f>IFERROR(VLOOKUP("SKM 2020-D-US",STOCK!B2:Q3677,3,FALSE),"SIN STOCK")</f>
        <v>Menor a 5</v>
      </c>
      <c r="H326" s="27"/>
      <c r="I326" s="27"/>
      <c r="J326" s="27"/>
      <c r="K326" s="27"/>
      <c r="L326" s="27"/>
      <c r="M326" s="27"/>
      <c r="N326" s="27"/>
      <c r="O326" s="27"/>
      <c r="P326" s="27"/>
      <c r="Q326" s="27"/>
      <c r="R326" s="27"/>
      <c r="S326" s="27"/>
    </row>
    <row r="327" ht="15.75" customHeight="1">
      <c r="A327" s="40" t="s">
        <v>31</v>
      </c>
      <c r="B327" s="40" t="s">
        <v>772</v>
      </c>
      <c r="C327" s="42" t="s">
        <v>773</v>
      </c>
      <c r="D327" s="43" t="s">
        <v>764</v>
      </c>
      <c r="E327" s="43" t="s">
        <v>765</v>
      </c>
      <c r="F327" s="44">
        <v>0.21</v>
      </c>
      <c r="G327" s="49" t="str">
        <f>IFERROR(VLOOKUP("EK 2020-D II US",STOCK!B2:Q3677,3,FALSE),"SIN STOCK")</f>
        <v>Menor a 5</v>
      </c>
      <c r="H327" s="27"/>
      <c r="I327" s="27"/>
      <c r="J327" s="27"/>
      <c r="K327" s="27"/>
      <c r="L327" s="27"/>
      <c r="M327" s="27"/>
      <c r="N327" s="27"/>
      <c r="O327" s="27"/>
      <c r="P327" s="27"/>
      <c r="Q327" s="27"/>
      <c r="R327" s="27"/>
      <c r="S327" s="27"/>
    </row>
    <row r="328" ht="15.75" customHeight="1">
      <c r="A328" s="54" t="s">
        <v>774</v>
      </c>
      <c r="B328" s="29"/>
      <c r="C328" s="29"/>
      <c r="D328" s="51"/>
      <c r="E328" s="31"/>
      <c r="F328" s="29"/>
      <c r="G328" s="29"/>
      <c r="H328" s="27"/>
      <c r="I328" s="27"/>
      <c r="J328" s="27"/>
      <c r="K328" s="27"/>
      <c r="L328" s="27"/>
      <c r="M328" s="27"/>
      <c r="N328" s="27"/>
      <c r="O328" s="27"/>
      <c r="P328" s="27"/>
      <c r="Q328" s="27"/>
      <c r="R328" s="27"/>
      <c r="S328" s="27"/>
    </row>
    <row r="329" ht="15.75" customHeight="1">
      <c r="A329" s="40" t="s">
        <v>31</v>
      </c>
      <c r="B329" s="40" t="s">
        <v>775</v>
      </c>
      <c r="C329" s="42" t="s">
        <v>776</v>
      </c>
      <c r="D329" s="43" t="s">
        <v>777</v>
      </c>
      <c r="E329" s="43" t="s">
        <v>778</v>
      </c>
      <c r="F329" s="44">
        <v>0.21</v>
      </c>
      <c r="G329" s="46" t="str">
        <f>IFERROR(VLOOKUP("GZR 2020",STOCK!B2:Q3677,3,FALSE),"SIN STOCK")</f>
        <v>SIN STOCK</v>
      </c>
      <c r="H329" s="27"/>
      <c r="I329" s="27"/>
      <c r="J329" s="27"/>
      <c r="K329" s="27"/>
      <c r="L329" s="27"/>
      <c r="M329" s="27"/>
      <c r="N329" s="27"/>
      <c r="O329" s="27"/>
      <c r="P329" s="27"/>
      <c r="Q329" s="27"/>
      <c r="R329" s="27"/>
      <c r="S329" s="27"/>
    </row>
    <row r="330" ht="15.75" customHeight="1">
      <c r="A330" s="33" t="s">
        <v>31</v>
      </c>
      <c r="B330" s="33" t="s">
        <v>779</v>
      </c>
      <c r="C330" s="34" t="s">
        <v>780</v>
      </c>
      <c r="D330" s="36" t="s">
        <v>781</v>
      </c>
      <c r="E330" s="36" t="s">
        <v>782</v>
      </c>
      <c r="F330" s="37">
        <v>0.21</v>
      </c>
      <c r="G330" s="46" t="str">
        <f>IFERROR(VLOOKUP("L 2021-40",STOCK!B2:Q3677,3,FALSE),"SIN STOCK")</f>
        <v>SIN STOCK</v>
      </c>
      <c r="H330" s="27"/>
      <c r="I330" s="27"/>
      <c r="J330" s="27"/>
      <c r="K330" s="27"/>
      <c r="L330" s="27"/>
      <c r="M330" s="27"/>
      <c r="N330" s="27"/>
      <c r="O330" s="27"/>
      <c r="P330" s="27"/>
      <c r="Q330" s="27"/>
      <c r="R330" s="27"/>
      <c r="S330" s="27"/>
    </row>
    <row r="331" ht="15.75" customHeight="1">
      <c r="A331" s="40" t="s">
        <v>31</v>
      </c>
      <c r="B331" s="40" t="s">
        <v>783</v>
      </c>
      <c r="C331" s="42" t="s">
        <v>784</v>
      </c>
      <c r="D331" s="43" t="s">
        <v>785</v>
      </c>
      <c r="E331" s="43" t="s">
        <v>786</v>
      </c>
      <c r="F331" s="44">
        <v>0.21</v>
      </c>
      <c r="G331" s="46" t="str">
        <f>IFERROR(VLOOKUP("EZL 2020-20L",STOCK!B2:Q3677,3,FALSE),"SIN STOCK")</f>
        <v>SIN STOCK</v>
      </c>
      <c r="H331" s="27"/>
      <c r="I331" s="27"/>
      <c r="J331" s="27"/>
      <c r="K331" s="27"/>
      <c r="L331" s="27"/>
      <c r="M331" s="27"/>
      <c r="N331" s="27"/>
      <c r="O331" s="27"/>
      <c r="P331" s="27"/>
      <c r="Q331" s="27"/>
      <c r="R331" s="27"/>
      <c r="S331" s="27"/>
    </row>
    <row r="332" ht="15.75" customHeight="1">
      <c r="A332" s="54" t="s">
        <v>787</v>
      </c>
      <c r="B332" s="29"/>
      <c r="C332" s="29"/>
      <c r="D332" s="51"/>
      <c r="E332" s="31"/>
      <c r="F332" s="29"/>
      <c r="G332" s="29"/>
      <c r="H332" s="27"/>
      <c r="I332" s="27"/>
      <c r="J332" s="27"/>
      <c r="K332" s="27"/>
      <c r="L332" s="27"/>
      <c r="M332" s="27"/>
      <c r="N332" s="27"/>
      <c r="O332" s="27"/>
      <c r="P332" s="27"/>
      <c r="Q332" s="27"/>
      <c r="R332" s="27"/>
      <c r="S332" s="27"/>
    </row>
    <row r="333" ht="15.75" customHeight="1">
      <c r="A333" s="40" t="s">
        <v>31</v>
      </c>
      <c r="B333" s="41" t="s">
        <v>788</v>
      </c>
      <c r="C333" s="42" t="s">
        <v>789</v>
      </c>
      <c r="D333" s="43" t="s">
        <v>790</v>
      </c>
      <c r="E333" s="43" t="s">
        <v>791</v>
      </c>
      <c r="F333" s="44">
        <v>0.21</v>
      </c>
      <c r="G333" s="46" t="str">
        <f>IFERROR(VLOOKUP("Team Connect Ceiling 2 With Extension Brackets",STOCK!B2:Q3677,3,FALSE),"SIN STOCK")</f>
        <v>SIN STOCK</v>
      </c>
      <c r="H333" s="27"/>
      <c r="I333" s="27"/>
      <c r="J333" s="27"/>
      <c r="K333" s="27"/>
      <c r="L333" s="27"/>
      <c r="M333" s="27"/>
      <c r="N333" s="27"/>
      <c r="O333" s="27"/>
      <c r="P333" s="27"/>
      <c r="Q333" s="27"/>
      <c r="R333" s="27"/>
      <c r="S333" s="27"/>
    </row>
    <row r="334" ht="15.75" customHeight="1">
      <c r="A334" s="33" t="s">
        <v>31</v>
      </c>
      <c r="B334" s="53" t="s">
        <v>792</v>
      </c>
      <c r="C334" s="34" t="s">
        <v>793</v>
      </c>
      <c r="D334" s="36" t="s">
        <v>790</v>
      </c>
      <c r="E334" s="36" t="s">
        <v>791</v>
      </c>
      <c r="F334" s="37">
        <v>0.21</v>
      </c>
      <c r="G334" s="38" t="str">
        <f>IFERROR(VLOOKUP("TeamConnect Ceiling 2",STOCK!B2:Q3677,3,FALSE),"SIN STOCK")</f>
        <v>Menor a 5</v>
      </c>
      <c r="H334" s="27"/>
      <c r="I334" s="27"/>
      <c r="J334" s="27"/>
      <c r="K334" s="27"/>
      <c r="L334" s="27"/>
      <c r="M334" s="27"/>
      <c r="N334" s="27"/>
      <c r="O334" s="27"/>
      <c r="P334" s="27"/>
      <c r="Q334" s="27"/>
      <c r="R334" s="27"/>
      <c r="S334" s="27"/>
    </row>
    <row r="335" ht="15.75" customHeight="1">
      <c r="A335" s="40" t="s">
        <v>31</v>
      </c>
      <c r="B335" s="41" t="s">
        <v>794</v>
      </c>
      <c r="C335" s="42" t="s">
        <v>795</v>
      </c>
      <c r="D335" s="43" t="s">
        <v>790</v>
      </c>
      <c r="E335" s="43" t="s">
        <v>791</v>
      </c>
      <c r="F335" s="44">
        <v>0.21</v>
      </c>
      <c r="G335" s="46" t="str">
        <f>IFERROR(VLOOKUP("TeamConnect Ceiling 2 Black",STOCK!B2:Q3677,3,FALSE),"SIN STOCK")</f>
        <v>SIN STOCK</v>
      </c>
      <c r="H335" s="27"/>
      <c r="I335" s="27"/>
      <c r="J335" s="27"/>
      <c r="K335" s="27"/>
      <c r="L335" s="27"/>
      <c r="M335" s="27"/>
      <c r="N335" s="27"/>
      <c r="O335" s="27"/>
      <c r="P335" s="27"/>
      <c r="Q335" s="27"/>
      <c r="R335" s="27"/>
      <c r="S335" s="27"/>
    </row>
    <row r="336" ht="15.75" customHeight="1">
      <c r="A336" s="54" t="s">
        <v>796</v>
      </c>
      <c r="B336" s="29"/>
      <c r="C336" s="29"/>
      <c r="D336" s="62"/>
      <c r="E336" s="62"/>
      <c r="F336" s="63"/>
      <c r="G336" s="29"/>
      <c r="H336" s="27"/>
      <c r="I336" s="27"/>
      <c r="J336" s="27"/>
      <c r="K336" s="27"/>
      <c r="L336" s="27"/>
      <c r="M336" s="27"/>
      <c r="N336" s="27"/>
      <c r="O336" s="27"/>
      <c r="P336" s="27"/>
      <c r="Q336" s="27"/>
      <c r="R336" s="27"/>
      <c r="S336" s="27"/>
    </row>
    <row r="337" ht="15.75" customHeight="1">
      <c r="A337" s="40" t="s">
        <v>31</v>
      </c>
      <c r="B337" s="64" t="s">
        <v>797</v>
      </c>
      <c r="C337" s="42" t="s">
        <v>798</v>
      </c>
      <c r="D337" s="43" t="s">
        <v>57</v>
      </c>
      <c r="E337" s="43" t="s">
        <v>58</v>
      </c>
      <c r="F337" s="44">
        <v>0.21</v>
      </c>
      <c r="G337" s="46" t="str">
        <f>IFERROR(VLOOKUP("TCC M H-B",STOCK!B4:Q3679,3,FALSE),"SIN STOCK")</f>
        <v>Mayor a 5</v>
      </c>
      <c r="H337" s="27"/>
      <c r="I337" s="27"/>
      <c r="J337" s="27"/>
      <c r="K337" s="27"/>
      <c r="L337" s="27"/>
      <c r="M337" s="27"/>
      <c r="N337" s="27"/>
      <c r="O337" s="27"/>
      <c r="P337" s="27"/>
      <c r="Q337" s="27"/>
      <c r="R337" s="27"/>
      <c r="S337" s="27"/>
    </row>
    <row r="338" ht="15.75" customHeight="1">
      <c r="A338" s="33" t="s">
        <v>31</v>
      </c>
      <c r="B338" s="65" t="s">
        <v>799</v>
      </c>
      <c r="C338" s="34" t="s">
        <v>800</v>
      </c>
      <c r="D338" s="36" t="s">
        <v>57</v>
      </c>
      <c r="E338" s="36" t="s">
        <v>58</v>
      </c>
      <c r="F338" s="37">
        <v>0.21</v>
      </c>
      <c r="G338" s="46" t="str">
        <f>IFERROR(VLOOKUP("TCC M H-W",STOCK!B5:Q3680,3,FALSE),"SIN STOCK")</f>
        <v>Mayor a 5</v>
      </c>
      <c r="H338" s="27"/>
      <c r="I338" s="27"/>
      <c r="J338" s="27"/>
      <c r="K338" s="27"/>
      <c r="L338" s="27"/>
      <c r="M338" s="27"/>
      <c r="N338" s="27"/>
      <c r="O338" s="27"/>
      <c r="P338" s="27"/>
      <c r="Q338" s="27"/>
      <c r="R338" s="27"/>
      <c r="S338" s="27"/>
    </row>
    <row r="339" ht="15.75" customHeight="1">
      <c r="A339" s="40" t="s">
        <v>31</v>
      </c>
      <c r="B339" s="64" t="s">
        <v>801</v>
      </c>
      <c r="C339" s="42" t="s">
        <v>802</v>
      </c>
      <c r="D339" s="43" t="s">
        <v>720</v>
      </c>
      <c r="E339" s="43" t="s">
        <v>721</v>
      </c>
      <c r="F339" s="44">
        <v>0.21</v>
      </c>
      <c r="G339" s="46" t="str">
        <f>IFERROR(VLOOKUP("TCC M SFP-B",STOCK!B6:Q3681,3,FALSE),"SIN STOCK")</f>
        <v>Menor a 5</v>
      </c>
      <c r="H339" s="27"/>
      <c r="I339" s="27"/>
      <c r="J339" s="27"/>
      <c r="K339" s="27"/>
      <c r="L339" s="27"/>
      <c r="M339" s="27"/>
      <c r="N339" s="27"/>
      <c r="O339" s="27"/>
      <c r="P339" s="27"/>
      <c r="Q339" s="27"/>
      <c r="R339" s="27"/>
      <c r="S339" s="27"/>
    </row>
    <row r="340" ht="15.75" customHeight="1">
      <c r="A340" s="33" t="s">
        <v>31</v>
      </c>
      <c r="B340" s="65" t="s">
        <v>803</v>
      </c>
      <c r="C340" s="34" t="s">
        <v>804</v>
      </c>
      <c r="D340" s="36" t="s">
        <v>720</v>
      </c>
      <c r="E340" s="36" t="s">
        <v>721</v>
      </c>
      <c r="F340" s="37">
        <v>0.21</v>
      </c>
      <c r="G340" s="46" t="str">
        <f>IFERROR(VLOOKUP("TCC M SFP-W",STOCK!B7:Q3682,3,FALSE),"SIN STOCK")</f>
        <v>SIN STOCK</v>
      </c>
      <c r="H340" s="27"/>
      <c r="I340" s="27"/>
      <c r="J340" s="27"/>
      <c r="K340" s="27"/>
      <c r="L340" s="27"/>
      <c r="M340" s="27"/>
      <c r="N340" s="27"/>
      <c r="O340" s="27"/>
      <c r="P340" s="27"/>
      <c r="Q340" s="27"/>
      <c r="R340" s="27"/>
      <c r="S340" s="27"/>
    </row>
    <row r="341" ht="15.75" customHeight="1">
      <c r="A341" s="40" t="s">
        <v>31</v>
      </c>
      <c r="B341" s="64" t="s">
        <v>805</v>
      </c>
      <c r="C341" s="42" t="s">
        <v>806</v>
      </c>
      <c r="D341" s="43" t="s">
        <v>807</v>
      </c>
      <c r="E341" s="43" t="s">
        <v>808</v>
      </c>
      <c r="F341" s="44">
        <v>2.12</v>
      </c>
      <c r="G341" s="46" t="str">
        <f>IFERROR(VLOOKUP("TCC M SK",STOCK!B8:Q3683,3,FALSE),"SIN STOCK")</f>
        <v>Menor a 5</v>
      </c>
      <c r="H341" s="27"/>
      <c r="I341" s="27"/>
      <c r="J341" s="27"/>
      <c r="K341" s="27"/>
      <c r="L341" s="27"/>
      <c r="M341" s="27"/>
      <c r="N341" s="27"/>
      <c r="O341" s="27"/>
      <c r="P341" s="27"/>
      <c r="Q341" s="27"/>
      <c r="R341" s="27"/>
      <c r="S341" s="27"/>
    </row>
    <row r="342" ht="15.75" customHeight="1">
      <c r="A342" s="33" t="s">
        <v>31</v>
      </c>
      <c r="B342" s="33" t="s">
        <v>809</v>
      </c>
      <c r="C342" s="34" t="s">
        <v>810</v>
      </c>
      <c r="D342" s="36" t="s">
        <v>811</v>
      </c>
      <c r="E342" s="36" t="s">
        <v>812</v>
      </c>
      <c r="F342" s="37">
        <v>0.21</v>
      </c>
      <c r="G342" s="46" t="str">
        <f>IFERROR(VLOOKUP("TCC M-F-B",STOCK!B9:Q3684,3,FALSE),"SIN STOCK")</f>
        <v>SIN STOCK</v>
      </c>
      <c r="H342" s="27"/>
      <c r="I342" s="27"/>
      <c r="J342" s="27"/>
      <c r="K342" s="27"/>
      <c r="L342" s="27"/>
      <c r="M342" s="27"/>
      <c r="N342" s="27"/>
      <c r="O342" s="27"/>
      <c r="P342" s="27"/>
      <c r="Q342" s="27"/>
      <c r="R342" s="27"/>
      <c r="S342" s="27"/>
    </row>
    <row r="343" ht="15.75" customHeight="1">
      <c r="A343" s="40" t="s">
        <v>31</v>
      </c>
      <c r="B343" s="66" t="s">
        <v>813</v>
      </c>
      <c r="C343" s="42" t="s">
        <v>810</v>
      </c>
      <c r="D343" s="43" t="s">
        <v>811</v>
      </c>
      <c r="E343" s="43" t="s">
        <v>812</v>
      </c>
      <c r="F343" s="44">
        <v>0.21</v>
      </c>
      <c r="G343" s="46" t="str">
        <f>IFERROR(VLOOKUP("TCC M-F-W",STOCK!B10:Q3685,3,FALSE),"SIN STOCK")</f>
        <v>Mayor a 5</v>
      </c>
      <c r="H343" s="27"/>
      <c r="I343" s="27"/>
      <c r="J343" s="27"/>
      <c r="K343" s="27"/>
      <c r="L343" s="27"/>
      <c r="M343" s="27"/>
      <c r="N343" s="27"/>
      <c r="O343" s="27"/>
      <c r="P343" s="27"/>
      <c r="Q343" s="27"/>
      <c r="R343" s="27"/>
      <c r="S343" s="27"/>
    </row>
    <row r="344" ht="15.75" customHeight="1">
      <c r="A344" s="33" t="s">
        <v>31</v>
      </c>
      <c r="B344" s="65" t="s">
        <v>814</v>
      </c>
      <c r="C344" s="34" t="s">
        <v>815</v>
      </c>
      <c r="D344" s="36" t="s">
        <v>811</v>
      </c>
      <c r="E344" s="36" t="s">
        <v>812</v>
      </c>
      <c r="F344" s="37">
        <v>0.21</v>
      </c>
      <c r="G344" s="46" t="str">
        <f>IFERROR(VLOOKUP("TCC M-S-B",STOCK!B11:Q3686,3,FALSE),"SIN STOCK")</f>
        <v>SIN STOCK</v>
      </c>
      <c r="H344" s="27"/>
      <c r="I344" s="27"/>
      <c r="J344" s="27"/>
      <c r="K344" s="27"/>
      <c r="L344" s="27"/>
      <c r="M344" s="27"/>
      <c r="N344" s="27"/>
      <c r="O344" s="27"/>
      <c r="P344" s="27"/>
      <c r="Q344" s="27"/>
      <c r="R344" s="27"/>
      <c r="S344" s="27"/>
    </row>
    <row r="345" ht="15.75" customHeight="1">
      <c r="A345" s="40" t="s">
        <v>31</v>
      </c>
      <c r="B345" s="64" t="s">
        <v>816</v>
      </c>
      <c r="C345" s="42" t="s">
        <v>815</v>
      </c>
      <c r="D345" s="43" t="s">
        <v>811</v>
      </c>
      <c r="E345" s="43" t="s">
        <v>812</v>
      </c>
      <c r="F345" s="44">
        <v>0.21</v>
      </c>
      <c r="G345" s="46" t="str">
        <f>IFERROR(VLOOKUP("TCC M-S-W",STOCK!B12:Q3687,3,FALSE),"SIN STOCK")</f>
        <v>SIN STOCK</v>
      </c>
      <c r="H345" s="27"/>
      <c r="I345" s="27"/>
      <c r="J345" s="27"/>
      <c r="K345" s="27"/>
      <c r="L345" s="27"/>
      <c r="M345" s="27"/>
      <c r="N345" s="27"/>
      <c r="O345" s="27"/>
      <c r="P345" s="27"/>
      <c r="Q345" s="27"/>
      <c r="R345" s="27"/>
      <c r="S345" s="27"/>
    </row>
    <row r="346" ht="15.75" customHeight="1">
      <c r="A346" s="29"/>
      <c r="B346" s="29"/>
      <c r="C346" s="29"/>
      <c r="D346" s="62"/>
      <c r="E346" s="62"/>
      <c r="F346" s="63"/>
      <c r="G346" s="29"/>
      <c r="H346" s="27"/>
      <c r="I346" s="27"/>
      <c r="J346" s="27"/>
      <c r="K346" s="27"/>
      <c r="L346" s="27"/>
      <c r="M346" s="27"/>
      <c r="N346" s="27"/>
      <c r="O346" s="27"/>
      <c r="P346" s="27"/>
      <c r="Q346" s="27"/>
      <c r="R346" s="27"/>
      <c r="S346" s="27"/>
    </row>
    <row r="347" ht="15.75" customHeight="1">
      <c r="A347" s="40" t="s">
        <v>31</v>
      </c>
      <c r="B347" s="64" t="s">
        <v>817</v>
      </c>
      <c r="C347" s="42" t="s">
        <v>818</v>
      </c>
      <c r="D347" s="43" t="s">
        <v>255</v>
      </c>
      <c r="E347" s="43" t="s">
        <v>256</v>
      </c>
      <c r="F347" s="44">
        <v>0.21</v>
      </c>
      <c r="G347" s="46" t="str">
        <f>IFERROR(VLOOKUP("TC Bar M US",STOCK!B14:Q3689,3,FALSE),"SIN STOCK")</f>
        <v>Mayor a 5</v>
      </c>
      <c r="H347" s="27"/>
      <c r="I347" s="27"/>
      <c r="J347" s="27"/>
      <c r="K347" s="27"/>
      <c r="L347" s="27"/>
      <c r="M347" s="27"/>
      <c r="N347" s="27"/>
      <c r="O347" s="27"/>
      <c r="P347" s="27"/>
      <c r="Q347" s="27"/>
      <c r="R347" s="27"/>
      <c r="S347" s="27"/>
    </row>
    <row r="348" ht="15.75" customHeight="1">
      <c r="A348" s="33" t="s">
        <v>31</v>
      </c>
      <c r="B348" s="65" t="s">
        <v>819</v>
      </c>
      <c r="C348" s="34" t="s">
        <v>820</v>
      </c>
      <c r="D348" s="36" t="s">
        <v>821</v>
      </c>
      <c r="E348" s="36" t="s">
        <v>822</v>
      </c>
      <c r="F348" s="37">
        <v>0.21</v>
      </c>
      <c r="G348" s="46" t="str">
        <f>IFERROR(VLOOKUP("TC Bar S US",STOCK!B15:Q3690,3,FALSE),"SIN STOCK")</f>
        <v>Mayor a 5</v>
      </c>
      <c r="H348" s="27"/>
      <c r="I348" s="27"/>
      <c r="J348" s="27"/>
      <c r="K348" s="27"/>
      <c r="L348" s="27"/>
      <c r="M348" s="27"/>
      <c r="N348" s="27"/>
      <c r="O348" s="27"/>
      <c r="P348" s="27"/>
      <c r="Q348" s="27"/>
      <c r="R348" s="27"/>
      <c r="S348" s="27"/>
    </row>
    <row r="349" ht="15.75" customHeight="1">
      <c r="A349" s="54" t="s">
        <v>823</v>
      </c>
      <c r="B349" s="29"/>
      <c r="C349" s="29"/>
      <c r="D349" s="51"/>
      <c r="E349" s="31"/>
      <c r="F349" s="29"/>
      <c r="G349" s="29"/>
      <c r="H349" s="27"/>
      <c r="I349" s="27"/>
      <c r="J349" s="27"/>
      <c r="K349" s="27"/>
      <c r="L349" s="27"/>
      <c r="M349" s="27"/>
      <c r="N349" s="27"/>
      <c r="O349" s="27"/>
      <c r="P349" s="27"/>
      <c r="Q349" s="27"/>
      <c r="R349" s="27"/>
      <c r="S349" s="27"/>
    </row>
    <row r="350" ht="15.75" customHeight="1">
      <c r="A350" s="40" t="s">
        <v>31</v>
      </c>
      <c r="B350" s="52" t="s">
        <v>824</v>
      </c>
      <c r="C350" s="42" t="s">
        <v>825</v>
      </c>
      <c r="D350" s="43" t="s">
        <v>826</v>
      </c>
      <c r="E350" s="43" t="s">
        <v>827</v>
      </c>
      <c r="F350" s="44">
        <v>0.21</v>
      </c>
      <c r="G350" s="46" t="str">
        <f>IFERROR(VLOOKUP("TeamConnect Ceiling 2 Black",STOCK!B17:Q3692,3,FALSE),"SIN STOCK")</f>
        <v>SIN STOCK</v>
      </c>
      <c r="H350" s="27"/>
      <c r="I350" s="27"/>
      <c r="J350" s="27"/>
      <c r="K350" s="27"/>
      <c r="L350" s="27"/>
      <c r="M350" s="27"/>
      <c r="N350" s="27"/>
      <c r="O350" s="27"/>
      <c r="P350" s="27"/>
      <c r="Q350" s="27"/>
      <c r="R350" s="27"/>
      <c r="S350" s="27"/>
    </row>
    <row r="351" ht="15.75" customHeight="1">
      <c r="A351" s="33" t="s">
        <v>31</v>
      </c>
      <c r="B351" s="45" t="s">
        <v>828</v>
      </c>
      <c r="C351" s="34" t="s">
        <v>829</v>
      </c>
      <c r="D351" s="36" t="s">
        <v>826</v>
      </c>
      <c r="E351" s="36" t="s">
        <v>827</v>
      </c>
      <c r="F351" s="37">
        <v>0.21</v>
      </c>
      <c r="G351" s="49" t="str">
        <f>IFERROR(VLOOKUP("SL CM EB US",STOCK!B2:Q3677,3,FALSE),"SIN STOCK")</f>
        <v>Menor a 5</v>
      </c>
      <c r="H351" s="27"/>
      <c r="I351" s="27"/>
      <c r="J351" s="27"/>
      <c r="K351" s="27"/>
      <c r="L351" s="27"/>
      <c r="M351" s="27"/>
      <c r="N351" s="27"/>
      <c r="O351" s="27"/>
      <c r="P351" s="27"/>
      <c r="Q351" s="27"/>
      <c r="R351" s="27"/>
      <c r="S351" s="27"/>
    </row>
    <row r="352" ht="15.75" customHeight="1">
      <c r="A352" s="40" t="s">
        <v>31</v>
      </c>
      <c r="B352" s="41" t="s">
        <v>830</v>
      </c>
      <c r="C352" s="42" t="s">
        <v>831</v>
      </c>
      <c r="D352" s="43" t="s">
        <v>832</v>
      </c>
      <c r="E352" s="43" t="s">
        <v>833</v>
      </c>
      <c r="F352" s="44">
        <v>0.21</v>
      </c>
      <c r="G352" s="49" t="str">
        <f>IFERROR(VLOOKUP("SL CM FB",STOCK!B2:Q3677,3,FALSE),"SIN STOCK")</f>
        <v>Menor a 5</v>
      </c>
      <c r="H352" s="27"/>
      <c r="I352" s="27"/>
      <c r="J352" s="27"/>
      <c r="K352" s="27"/>
      <c r="L352" s="27"/>
      <c r="M352" s="27"/>
      <c r="N352" s="27"/>
      <c r="O352" s="27"/>
      <c r="P352" s="27"/>
      <c r="Q352" s="27"/>
      <c r="R352" s="27"/>
      <c r="S352" s="27"/>
    </row>
    <row r="353" ht="15.75" customHeight="1">
      <c r="A353" s="33" t="s">
        <v>31</v>
      </c>
      <c r="B353" s="45" t="s">
        <v>834</v>
      </c>
      <c r="C353" s="34" t="s">
        <v>835</v>
      </c>
      <c r="D353" s="36" t="s">
        <v>777</v>
      </c>
      <c r="E353" s="36" t="s">
        <v>778</v>
      </c>
      <c r="F353" s="37">
        <v>0.21</v>
      </c>
      <c r="G353" s="38" t="str">
        <f>IFERROR(VLOOKUP("SL CM SK",STOCK!B2:Q3677,3,FALSE),"SIN STOCK")</f>
        <v>Mayor a 5</v>
      </c>
      <c r="H353" s="27"/>
      <c r="I353" s="27"/>
      <c r="J353" s="27"/>
      <c r="K353" s="27"/>
      <c r="L353" s="27"/>
      <c r="M353" s="27"/>
      <c r="N353" s="27"/>
      <c r="O353" s="27"/>
      <c r="P353" s="27"/>
      <c r="Q353" s="27"/>
      <c r="R353" s="27"/>
      <c r="S353" s="27"/>
    </row>
    <row r="354" ht="15.75" customHeight="1">
      <c r="A354" s="40" t="s">
        <v>31</v>
      </c>
      <c r="B354" s="41" t="s">
        <v>836</v>
      </c>
      <c r="C354" s="42" t="s">
        <v>837</v>
      </c>
      <c r="D354" s="43" t="s">
        <v>777</v>
      </c>
      <c r="E354" s="43" t="s">
        <v>778</v>
      </c>
      <c r="F354" s="44">
        <v>0.21</v>
      </c>
      <c r="G354" s="46" t="str">
        <f>IFERROR(VLOOKUP("SL CM VB",STOCK!B2:Q3677,3,FALSE),"SIN STOCK")</f>
        <v>SIN STOCK</v>
      </c>
      <c r="H354" s="27"/>
      <c r="I354" s="27"/>
      <c r="J354" s="27"/>
      <c r="K354" s="27"/>
      <c r="L354" s="27"/>
      <c r="M354" s="27"/>
      <c r="N354" s="27"/>
      <c r="O354" s="27"/>
      <c r="P354" s="27"/>
      <c r="Q354" s="27"/>
      <c r="R354" s="27"/>
      <c r="S354" s="27"/>
    </row>
    <row r="355" ht="15.75" customHeight="1">
      <c r="A355" s="28" t="s">
        <v>838</v>
      </c>
      <c r="B355" s="29"/>
      <c r="C355" s="29"/>
      <c r="D355" s="51"/>
      <c r="E355" s="31"/>
      <c r="F355" s="29"/>
      <c r="G355" s="29"/>
      <c r="H355" s="27"/>
      <c r="I355" s="27"/>
      <c r="J355" s="27"/>
      <c r="K355" s="27"/>
      <c r="L355" s="27"/>
      <c r="M355" s="27"/>
      <c r="N355" s="27"/>
      <c r="O355" s="27"/>
      <c r="P355" s="27"/>
      <c r="Q355" s="27"/>
      <c r="R355" s="27"/>
      <c r="S355" s="27"/>
    </row>
    <row r="356" ht="15.75" customHeight="1">
      <c r="A356" s="40" t="s">
        <v>31</v>
      </c>
      <c r="B356" s="41" t="s">
        <v>839</v>
      </c>
      <c r="C356" s="42" t="s">
        <v>840</v>
      </c>
      <c r="D356" s="43" t="s">
        <v>410</v>
      </c>
      <c r="E356" s="43" t="s">
        <v>411</v>
      </c>
      <c r="F356" s="44">
        <v>0.21</v>
      </c>
      <c r="G356" s="49" t="str">
        <f>IFERROR(VLOOKUP("TC ISP",STOCK!B2:Q3677,3,FALSE),"SIN STOCK")</f>
        <v>Mayor a 5</v>
      </c>
      <c r="H356" s="27"/>
      <c r="I356" s="27"/>
      <c r="J356" s="27"/>
      <c r="K356" s="27"/>
      <c r="L356" s="27"/>
      <c r="M356" s="27"/>
      <c r="N356" s="27"/>
      <c r="O356" s="27"/>
      <c r="P356" s="27"/>
      <c r="Q356" s="27"/>
      <c r="R356" s="27"/>
      <c r="S356" s="27"/>
    </row>
    <row r="357" ht="15.75" customHeight="1">
      <c r="A357" s="33" t="s">
        <v>31</v>
      </c>
      <c r="B357" s="45" t="s">
        <v>841</v>
      </c>
      <c r="C357" s="34" t="s">
        <v>842</v>
      </c>
      <c r="D357" s="36" t="s">
        <v>738</v>
      </c>
      <c r="E357" s="36" t="s">
        <v>739</v>
      </c>
      <c r="F357" s="37">
        <v>0.21</v>
      </c>
      <c r="G357" s="46" t="str">
        <f>IFERROR(VLOOKUP("REPLACEMENT SET TABLE MOUNT",STOCK!B2:Q3677,3,FALSE),"SIN STOCK")</f>
        <v>SIN STOCK</v>
      </c>
      <c r="H357" s="27"/>
      <c r="I357" s="27"/>
      <c r="J357" s="27"/>
      <c r="K357" s="27"/>
      <c r="L357" s="27"/>
      <c r="M357" s="27"/>
      <c r="N357" s="27"/>
      <c r="O357" s="27"/>
      <c r="P357" s="27"/>
      <c r="Q357" s="27"/>
      <c r="R357" s="27"/>
      <c r="S357" s="27"/>
    </row>
    <row r="358" ht="15.75" customHeight="1">
      <c r="A358" s="40" t="s">
        <v>31</v>
      </c>
      <c r="B358" s="41" t="s">
        <v>843</v>
      </c>
      <c r="C358" s="42" t="s">
        <v>844</v>
      </c>
      <c r="D358" s="43" t="s">
        <v>845</v>
      </c>
      <c r="E358" s="43" t="s">
        <v>846</v>
      </c>
      <c r="F358" s="44">
        <v>0.21</v>
      </c>
      <c r="G358" s="46" t="str">
        <f>IFERROR(VLOOKUP("SENNHEISER SECURITY CABLE LOCK",STOCK!B2:Q3677,3,FALSE),"SIN STOCK")</f>
        <v>SIN STOCK</v>
      </c>
      <c r="H358" s="27"/>
      <c r="I358" s="27"/>
      <c r="J358" s="27"/>
      <c r="K358" s="27"/>
      <c r="L358" s="27"/>
      <c r="M358" s="27"/>
      <c r="N358" s="27"/>
      <c r="O358" s="27"/>
      <c r="P358" s="27"/>
      <c r="Q358" s="27"/>
      <c r="R358" s="27"/>
      <c r="S358" s="27"/>
    </row>
    <row r="359" ht="15.75" customHeight="1">
      <c r="A359" s="54" t="s">
        <v>847</v>
      </c>
      <c r="B359" s="29"/>
      <c r="C359" s="29"/>
      <c r="D359" s="51"/>
      <c r="E359" s="31"/>
      <c r="F359" s="29"/>
      <c r="G359" s="29"/>
      <c r="H359" s="27"/>
      <c r="I359" s="27"/>
      <c r="J359" s="27"/>
      <c r="K359" s="27"/>
      <c r="L359" s="27"/>
      <c r="M359" s="27"/>
      <c r="N359" s="27"/>
      <c r="O359" s="27"/>
      <c r="P359" s="27"/>
      <c r="Q359" s="27"/>
      <c r="R359" s="27"/>
      <c r="S359" s="27"/>
    </row>
    <row r="360" ht="15.75" customHeight="1">
      <c r="A360" s="40" t="s">
        <v>31</v>
      </c>
      <c r="B360" s="41" t="s">
        <v>848</v>
      </c>
      <c r="C360" s="42" t="s">
        <v>849</v>
      </c>
      <c r="D360" s="43" t="s">
        <v>92</v>
      </c>
      <c r="E360" s="43" t="s">
        <v>93</v>
      </c>
      <c r="F360" s="44">
        <v>0.21</v>
      </c>
      <c r="G360" s="49" t="str">
        <f>IFERROR(VLOOKUP("SL HANDHELD SET DW-4-US R",STOCK!B2:Q3677,3,FALSE),"SIN STOCK")</f>
        <v>Menor a 5</v>
      </c>
      <c r="H360" s="27"/>
      <c r="I360" s="27"/>
      <c r="J360" s="27"/>
      <c r="K360" s="27"/>
      <c r="L360" s="27"/>
      <c r="M360" s="27"/>
      <c r="N360" s="27"/>
      <c r="O360" s="27"/>
      <c r="P360" s="27"/>
      <c r="Q360" s="27"/>
      <c r="R360" s="27"/>
      <c r="S360" s="27"/>
    </row>
    <row r="361" ht="15.75" customHeight="1">
      <c r="A361" s="33" t="s">
        <v>31</v>
      </c>
      <c r="B361" s="45" t="s">
        <v>850</v>
      </c>
      <c r="C361" s="34" t="s">
        <v>851</v>
      </c>
      <c r="D361" s="36" t="s">
        <v>852</v>
      </c>
      <c r="E361" s="36" t="s">
        <v>853</v>
      </c>
      <c r="F361" s="37">
        <v>0.21</v>
      </c>
      <c r="G361" s="46" t="str">
        <f>IFERROR(VLOOKUP("SL LAVALIER SET DW-4-US R",STOCK!B2:Q3677,3,FALSE),"SIN STOCK")</f>
        <v>SIN STOCK</v>
      </c>
      <c r="H361" s="27"/>
      <c r="I361" s="27"/>
      <c r="J361" s="27"/>
      <c r="K361" s="27"/>
      <c r="L361" s="27"/>
      <c r="M361" s="27"/>
      <c r="N361" s="27"/>
      <c r="O361" s="27"/>
      <c r="P361" s="27"/>
      <c r="Q361" s="27"/>
      <c r="R361" s="27"/>
      <c r="S361" s="27"/>
    </row>
    <row r="362" ht="15.75" customHeight="1">
      <c r="A362" s="40" t="s">
        <v>31</v>
      </c>
      <c r="B362" s="41" t="s">
        <v>854</v>
      </c>
      <c r="C362" s="42" t="s">
        <v>855</v>
      </c>
      <c r="D362" s="43" t="s">
        <v>856</v>
      </c>
      <c r="E362" s="43" t="s">
        <v>857</v>
      </c>
      <c r="F362" s="44">
        <v>0.21</v>
      </c>
      <c r="G362" s="38" t="str">
        <f>IFERROR(VLOOKUP("SL HEADMIC SET DW-4-US R",STOCK!B2:Q3677,3,FALSE),"SIN STOCK")</f>
        <v>Mayor a 5</v>
      </c>
      <c r="H362" s="27"/>
      <c r="I362" s="27"/>
      <c r="J362" s="27"/>
      <c r="K362" s="27"/>
      <c r="L362" s="27"/>
      <c r="M362" s="27"/>
      <c r="N362" s="27"/>
      <c r="O362" s="27"/>
      <c r="P362" s="27"/>
      <c r="Q362" s="27"/>
      <c r="R362" s="27"/>
      <c r="S362" s="27"/>
    </row>
    <row r="363" ht="15.75" customHeight="1">
      <c r="A363" s="33" t="s">
        <v>31</v>
      </c>
      <c r="B363" s="45" t="s">
        <v>858</v>
      </c>
      <c r="C363" s="34" t="s">
        <v>859</v>
      </c>
      <c r="D363" s="36" t="s">
        <v>860</v>
      </c>
      <c r="E363" s="36" t="s">
        <v>861</v>
      </c>
      <c r="F363" s="37">
        <v>0.21</v>
      </c>
      <c r="G363" s="46" t="str">
        <f>IFERROR(VLOOKUP("SL TS 133 GN SET DW-4 US",STOCK!B2:Q3677,3,FALSE),"SIN STOCK")</f>
        <v>SIN STOCK</v>
      </c>
      <c r="H363" s="27"/>
      <c r="I363" s="27"/>
      <c r="J363" s="27"/>
      <c r="K363" s="27"/>
      <c r="L363" s="27"/>
      <c r="M363" s="27"/>
      <c r="N363" s="27"/>
      <c r="O363" s="27"/>
      <c r="P363" s="27"/>
      <c r="Q363" s="27"/>
      <c r="R363" s="27"/>
      <c r="S363" s="27"/>
    </row>
    <row r="364" ht="15.75" customHeight="1">
      <c r="A364" s="40" t="s">
        <v>31</v>
      </c>
      <c r="B364" s="41" t="s">
        <v>862</v>
      </c>
      <c r="C364" s="42" t="s">
        <v>863</v>
      </c>
      <c r="D364" s="43" t="s">
        <v>864</v>
      </c>
      <c r="E364" s="43" t="s">
        <v>865</v>
      </c>
      <c r="F364" s="44">
        <v>0.21</v>
      </c>
      <c r="G364" s="46" t="str">
        <f>IFERROR(VLOOKUP("SL TS 153 GN-L SET DW-4 US",STOCK!B2:Q3677,3,FALSE),"SIN STOCK")</f>
        <v>SIN STOCK</v>
      </c>
      <c r="H364" s="27"/>
      <c r="I364" s="27"/>
      <c r="J364" s="27"/>
      <c r="K364" s="27"/>
      <c r="L364" s="27"/>
      <c r="M364" s="27"/>
      <c r="N364" s="27"/>
      <c r="O364" s="27"/>
      <c r="P364" s="27"/>
      <c r="Q364" s="27"/>
      <c r="R364" s="27"/>
      <c r="S364" s="27"/>
    </row>
    <row r="365" ht="15.75" customHeight="1">
      <c r="A365" s="33" t="s">
        <v>31</v>
      </c>
      <c r="B365" s="45" t="s">
        <v>866</v>
      </c>
      <c r="C365" s="34" t="s">
        <v>867</v>
      </c>
      <c r="D365" s="36" t="s">
        <v>868</v>
      </c>
      <c r="E365" s="36" t="s">
        <v>869</v>
      </c>
      <c r="F365" s="37">
        <v>0.21</v>
      </c>
      <c r="G365" s="46" t="str">
        <f>IFERROR(VLOOKUP("SL BOUNDARY SET DW-4 US",STOCK!B2:Q3677,3,FALSE),"SIN STOCK")</f>
        <v>SIN STOCK</v>
      </c>
      <c r="H365" s="27"/>
      <c r="I365" s="27"/>
      <c r="J365" s="27"/>
      <c r="K365" s="27"/>
      <c r="L365" s="27"/>
      <c r="M365" s="27"/>
      <c r="N365" s="27"/>
      <c r="O365" s="27"/>
      <c r="P365" s="27"/>
      <c r="Q365" s="27"/>
      <c r="R365" s="27"/>
      <c r="S365" s="27"/>
    </row>
    <row r="366" ht="15.75" customHeight="1">
      <c r="A366" s="28" t="s">
        <v>870</v>
      </c>
      <c r="C366" s="29"/>
      <c r="D366" s="51"/>
      <c r="E366" s="31"/>
      <c r="F366" s="29"/>
      <c r="G366" s="29"/>
      <c r="H366" s="27"/>
      <c r="I366" s="27"/>
      <c r="J366" s="27"/>
      <c r="K366" s="27"/>
      <c r="L366" s="27"/>
      <c r="M366" s="27"/>
      <c r="N366" s="27"/>
      <c r="O366" s="27"/>
      <c r="P366" s="27"/>
      <c r="Q366" s="27"/>
      <c r="R366" s="27"/>
      <c r="S366" s="27"/>
    </row>
    <row r="367" ht="15.75" customHeight="1">
      <c r="A367" s="40" t="s">
        <v>31</v>
      </c>
      <c r="B367" s="41" t="s">
        <v>871</v>
      </c>
      <c r="C367" s="42" t="s">
        <v>872</v>
      </c>
      <c r="D367" s="43" t="s">
        <v>873</v>
      </c>
      <c r="E367" s="43" t="s">
        <v>874</v>
      </c>
      <c r="F367" s="44">
        <v>0.21</v>
      </c>
      <c r="G367" s="46" t="str">
        <f>IFERROR(VLOOKUP("SL BODYPACK - HM 1 KIT DW-4",STOCK!B2:Q3677,3,FALSE),"SIN STOCK")</f>
        <v>SIN STOCK</v>
      </c>
      <c r="H367" s="27"/>
      <c r="I367" s="27"/>
      <c r="J367" s="27"/>
      <c r="K367" s="27"/>
      <c r="L367" s="27"/>
      <c r="M367" s="27"/>
      <c r="N367" s="27"/>
      <c r="O367" s="27"/>
      <c r="P367" s="27"/>
      <c r="Q367" s="27"/>
      <c r="R367" s="27"/>
      <c r="S367" s="27"/>
    </row>
    <row r="368" ht="15.75" customHeight="1">
      <c r="A368" s="33" t="s">
        <v>31</v>
      </c>
      <c r="B368" s="45" t="s">
        <v>875</v>
      </c>
      <c r="C368" s="34" t="s">
        <v>876</v>
      </c>
      <c r="D368" s="36" t="s">
        <v>877</v>
      </c>
      <c r="E368" s="36" t="s">
        <v>878</v>
      </c>
      <c r="F368" s="37">
        <v>0.21</v>
      </c>
      <c r="G368" s="46" t="str">
        <f>IFERROR(VLOOKUP("SL BODYPACK - ME 2 KIT DW-4",STOCK!B2:Q3677,3,FALSE),"SIN STOCK")</f>
        <v>SIN STOCK</v>
      </c>
      <c r="H368" s="27"/>
      <c r="I368" s="27"/>
      <c r="J368" s="27"/>
      <c r="K368" s="27"/>
      <c r="L368" s="27"/>
      <c r="M368" s="27"/>
      <c r="N368" s="27"/>
      <c r="O368" s="27"/>
      <c r="P368" s="27"/>
      <c r="Q368" s="27"/>
      <c r="R368" s="27"/>
      <c r="S368" s="27"/>
    </row>
    <row r="369" ht="15.75" customHeight="1">
      <c r="A369" s="40" t="s">
        <v>31</v>
      </c>
      <c r="B369" s="41" t="s">
        <v>879</v>
      </c>
      <c r="C369" s="42" t="s">
        <v>880</v>
      </c>
      <c r="D369" s="43" t="s">
        <v>881</v>
      </c>
      <c r="E369" s="43" t="s">
        <v>882</v>
      </c>
      <c r="F369" s="44">
        <v>0.21</v>
      </c>
      <c r="G369" s="46" t="str">
        <f>IFERROR(VLOOKUP("SL BODYPACK - MKE 2 KIT DW-4",STOCK!B2:Q3677,3,FALSE),"SIN STOCK")</f>
        <v>SIN STOCK</v>
      </c>
      <c r="H369" s="27"/>
      <c r="I369" s="27"/>
      <c r="J369" s="27"/>
      <c r="K369" s="27"/>
      <c r="L369" s="27"/>
      <c r="M369" s="27"/>
      <c r="N369" s="27"/>
      <c r="O369" s="27"/>
      <c r="P369" s="27"/>
      <c r="Q369" s="27"/>
      <c r="R369" s="27"/>
      <c r="S369" s="27"/>
    </row>
    <row r="370" ht="15.75" customHeight="1">
      <c r="A370" s="33" t="s">
        <v>31</v>
      </c>
      <c r="B370" s="45" t="s">
        <v>883</v>
      </c>
      <c r="C370" s="34" t="s">
        <v>884</v>
      </c>
      <c r="D370" s="36" t="s">
        <v>885</v>
      </c>
      <c r="E370" s="36" t="s">
        <v>886</v>
      </c>
      <c r="F370" s="37">
        <v>0.21</v>
      </c>
      <c r="G370" s="46" t="str">
        <f>IFERROR(VLOOKUP("SL BODYPACK - MKE 40 KIT DW-4",STOCK!B2:Q3677,3,FALSE),"SIN STOCK")</f>
        <v>SIN STOCK</v>
      </c>
      <c r="H370" s="27"/>
      <c r="I370" s="27"/>
      <c r="J370" s="27"/>
      <c r="K370" s="27"/>
      <c r="L370" s="27"/>
      <c r="M370" s="27"/>
      <c r="N370" s="27"/>
      <c r="O370" s="27"/>
      <c r="P370" s="27"/>
      <c r="Q370" s="27"/>
      <c r="R370" s="27"/>
      <c r="S370" s="27"/>
    </row>
    <row r="371" ht="15.75" customHeight="1">
      <c r="A371" s="40" t="s">
        <v>31</v>
      </c>
      <c r="B371" s="41" t="s">
        <v>887</v>
      </c>
      <c r="C371" s="42" t="s">
        <v>888</v>
      </c>
      <c r="D371" s="43" t="s">
        <v>262</v>
      </c>
      <c r="E371" s="43" t="s">
        <v>263</v>
      </c>
      <c r="F371" s="44">
        <v>0.21</v>
      </c>
      <c r="G371" s="46" t="str">
        <f>IFERROR(VLOOKUP("SL BODYPACK DW-4-US",STOCK!B2:Q3677,3,FALSE),"SIN STOCK")</f>
        <v>Mayor a 5</v>
      </c>
      <c r="H371" s="27"/>
      <c r="I371" s="27"/>
      <c r="J371" s="27"/>
      <c r="K371" s="27"/>
      <c r="L371" s="27"/>
      <c r="M371" s="27"/>
      <c r="N371" s="27"/>
      <c r="O371" s="27"/>
      <c r="P371" s="27"/>
      <c r="Q371" s="27"/>
      <c r="R371" s="27"/>
      <c r="S371" s="27"/>
    </row>
    <row r="372" ht="15.75" customHeight="1">
      <c r="A372" s="33" t="s">
        <v>31</v>
      </c>
      <c r="B372" s="45" t="s">
        <v>889</v>
      </c>
      <c r="C372" s="34" t="s">
        <v>327</v>
      </c>
      <c r="D372" s="36" t="s">
        <v>208</v>
      </c>
      <c r="E372" s="36" t="s">
        <v>209</v>
      </c>
      <c r="F372" s="37">
        <v>0.21</v>
      </c>
      <c r="G372" s="46" t="str">
        <f>IFERROR(VLOOKUP("SL BODYPACK -HS 2 KIT DW-4",STOCK!B2:Q3677,3,FALSE),"SIN STOCK")</f>
        <v>SIN STOCK</v>
      </c>
      <c r="H372" s="27"/>
      <c r="I372" s="27"/>
      <c r="J372" s="27"/>
      <c r="K372" s="27"/>
      <c r="L372" s="27"/>
      <c r="M372" s="27"/>
      <c r="N372" s="27"/>
      <c r="O372" s="27"/>
      <c r="P372" s="27"/>
      <c r="Q372" s="27"/>
      <c r="R372" s="27"/>
      <c r="S372" s="27"/>
    </row>
    <row r="373" ht="15.75" customHeight="1">
      <c r="A373" s="40" t="s">
        <v>31</v>
      </c>
      <c r="B373" s="41" t="s">
        <v>890</v>
      </c>
      <c r="C373" s="42" t="s">
        <v>891</v>
      </c>
      <c r="D373" s="43" t="s">
        <v>892</v>
      </c>
      <c r="E373" s="43" t="s">
        <v>893</v>
      </c>
      <c r="F373" s="44">
        <v>0.21</v>
      </c>
      <c r="G373" s="46" t="str">
        <f>IFERROR(VLOOKUP("SL BOUNDARY 114-S DW-4 B",STOCK!B2:Q3677,3,FALSE),"SIN STOCK")</f>
        <v>SIN STOCK</v>
      </c>
      <c r="H373" s="27"/>
      <c r="I373" s="27"/>
      <c r="J373" s="27"/>
      <c r="K373" s="27"/>
      <c r="L373" s="27"/>
      <c r="M373" s="27"/>
      <c r="N373" s="27"/>
      <c r="O373" s="27"/>
      <c r="P373" s="27"/>
      <c r="Q373" s="27"/>
      <c r="R373" s="27"/>
      <c r="S373" s="27"/>
    </row>
    <row r="374" ht="15.75" customHeight="1">
      <c r="A374" s="33" t="s">
        <v>31</v>
      </c>
      <c r="B374" s="45" t="s">
        <v>894</v>
      </c>
      <c r="C374" s="34" t="s">
        <v>895</v>
      </c>
      <c r="D374" s="36" t="s">
        <v>896</v>
      </c>
      <c r="E374" s="36" t="s">
        <v>897</v>
      </c>
      <c r="F374" s="37">
        <v>0.21</v>
      </c>
      <c r="G374" s="49" t="str">
        <f>IFERROR(VLOOKUP("SL HANDHELD 865 DW-4-US",STOCK!B2:Q3677,3,FALSE),"SIN STOCK")</f>
        <v>Mayor a 5</v>
      </c>
      <c r="H374" s="27"/>
      <c r="I374" s="27"/>
      <c r="J374" s="27"/>
      <c r="K374" s="27"/>
      <c r="L374" s="27"/>
      <c r="M374" s="27"/>
      <c r="N374" s="27"/>
      <c r="O374" s="27"/>
      <c r="P374" s="27"/>
      <c r="Q374" s="27"/>
      <c r="R374" s="27"/>
      <c r="S374" s="27"/>
    </row>
    <row r="375" ht="15.75" customHeight="1">
      <c r="A375" s="40" t="s">
        <v>31</v>
      </c>
      <c r="B375" s="41" t="s">
        <v>898</v>
      </c>
      <c r="C375" s="42" t="s">
        <v>899</v>
      </c>
      <c r="D375" s="43" t="s">
        <v>262</v>
      </c>
      <c r="E375" s="43" t="s">
        <v>263</v>
      </c>
      <c r="F375" s="44">
        <v>0.21</v>
      </c>
      <c r="G375" s="46" t="str">
        <f>IFERROR(VLOOKUP("SL HANDHELD DW-4-US",STOCK!B2:Q3677,3,FALSE),"SIN STOCK")</f>
        <v>Mayor a 5</v>
      </c>
      <c r="H375" s="27"/>
      <c r="I375" s="27"/>
      <c r="J375" s="27"/>
      <c r="K375" s="27"/>
      <c r="L375" s="27"/>
      <c r="M375" s="27"/>
      <c r="N375" s="27"/>
      <c r="O375" s="27"/>
      <c r="P375" s="27"/>
      <c r="Q375" s="27"/>
      <c r="R375" s="27"/>
      <c r="S375" s="27"/>
    </row>
    <row r="376" ht="15.75" customHeight="1">
      <c r="A376" s="33" t="s">
        <v>31</v>
      </c>
      <c r="B376" s="45" t="s">
        <v>900</v>
      </c>
      <c r="C376" s="34" t="s">
        <v>901</v>
      </c>
      <c r="D376" s="36" t="s">
        <v>873</v>
      </c>
      <c r="E376" s="36" t="s">
        <v>874</v>
      </c>
      <c r="F376" s="37">
        <v>0.21</v>
      </c>
      <c r="G376" s="49" t="str">
        <f>IFERROR(VLOOKUP("SL TABLESTAND 133-S DW-4 B",STOCK!B2:Q3677,3,FALSE),"SIN STOCK")</f>
        <v>Menor a 5</v>
      </c>
      <c r="H376" s="27"/>
      <c r="I376" s="27"/>
      <c r="J376" s="27"/>
      <c r="K376" s="27"/>
      <c r="L376" s="27"/>
      <c r="M376" s="27"/>
      <c r="N376" s="27"/>
      <c r="O376" s="27"/>
      <c r="P376" s="27"/>
      <c r="Q376" s="27"/>
      <c r="R376" s="27"/>
      <c r="S376" s="27"/>
    </row>
    <row r="377" ht="15.75" customHeight="1">
      <c r="A377" s="40" t="s">
        <v>31</v>
      </c>
      <c r="B377" s="41" t="s">
        <v>902</v>
      </c>
      <c r="C377" s="42" t="s">
        <v>903</v>
      </c>
      <c r="D377" s="43" t="s">
        <v>892</v>
      </c>
      <c r="E377" s="43" t="s">
        <v>893</v>
      </c>
      <c r="F377" s="44">
        <v>0.21</v>
      </c>
      <c r="G377" s="49" t="str">
        <f>IFERROR(VLOOKUP("SL TABLESTAND 153-S DW-4 B",STOCK!B2:Q3677,3,FALSE),"SIN STOCK")</f>
        <v>Mayor a 5</v>
      </c>
      <c r="H377" s="27"/>
      <c r="I377" s="27"/>
      <c r="J377" s="27"/>
      <c r="K377" s="27"/>
      <c r="L377" s="27"/>
      <c r="M377" s="27"/>
      <c r="N377" s="27"/>
      <c r="O377" s="27"/>
      <c r="P377" s="27"/>
      <c r="Q377" s="27"/>
      <c r="R377" s="27"/>
      <c r="S377" s="27"/>
    </row>
    <row r="378" ht="15.75" customHeight="1">
      <c r="A378" s="33" t="s">
        <v>31</v>
      </c>
      <c r="B378" s="45" t="s">
        <v>904</v>
      </c>
      <c r="C378" s="34" t="s">
        <v>905</v>
      </c>
      <c r="D378" s="36" t="s">
        <v>455</v>
      </c>
      <c r="E378" s="36" t="s">
        <v>456</v>
      </c>
      <c r="F378" s="37">
        <v>0.21</v>
      </c>
      <c r="G378" s="49" t="str">
        <f>IFERROR(VLOOKUP("SL MCR 2 DW-4",STOCK!B2:Q3677,3,FALSE),"SIN STOCK")</f>
        <v>Mayor a 5</v>
      </c>
      <c r="H378" s="27"/>
      <c r="I378" s="27"/>
      <c r="J378" s="27"/>
      <c r="K378" s="27"/>
      <c r="L378" s="27"/>
      <c r="M378" s="27"/>
      <c r="N378" s="27"/>
      <c r="O378" s="27"/>
      <c r="P378" s="27"/>
      <c r="Q378" s="27"/>
      <c r="R378" s="27"/>
      <c r="S378" s="27"/>
    </row>
    <row r="379" ht="15.75" customHeight="1">
      <c r="A379" s="40" t="s">
        <v>31</v>
      </c>
      <c r="B379" s="41" t="s">
        <v>906</v>
      </c>
      <c r="C379" s="42" t="s">
        <v>907</v>
      </c>
      <c r="D379" s="43" t="s">
        <v>908</v>
      </c>
      <c r="E379" s="43" t="s">
        <v>909</v>
      </c>
      <c r="F379" s="44">
        <v>0.21</v>
      </c>
      <c r="G379" s="49" t="str">
        <f>IFERROR(VLOOKUP("SL MCR 4 DW-4",STOCK!B2:Q3677,3,FALSE),"SIN STOCK")</f>
        <v>Mayor a 5</v>
      </c>
      <c r="H379" s="27"/>
      <c r="I379" s="27"/>
      <c r="J379" s="27"/>
      <c r="K379" s="27"/>
      <c r="L379" s="27"/>
      <c r="M379" s="27"/>
      <c r="N379" s="27"/>
      <c r="O379" s="27"/>
      <c r="P379" s="27"/>
      <c r="Q379" s="27"/>
      <c r="R379" s="27"/>
      <c r="S379" s="27"/>
    </row>
    <row r="380" ht="15.75" customHeight="1">
      <c r="A380" s="33" t="s">
        <v>31</v>
      </c>
      <c r="B380" s="45" t="s">
        <v>910</v>
      </c>
      <c r="C380" s="34" t="s">
        <v>911</v>
      </c>
      <c r="D380" s="36" t="s">
        <v>826</v>
      </c>
      <c r="E380" s="36" t="s">
        <v>827</v>
      </c>
      <c r="F380" s="37">
        <v>0.21</v>
      </c>
      <c r="G380" s="49" t="str">
        <f>IFERROR(VLOOKUP("SL MCR WALLMOUNT ADAPTER",STOCK!B2:Q3677,3,FALSE),"SIN STOCK")</f>
        <v>Menor a 5</v>
      </c>
      <c r="H380" s="27"/>
      <c r="I380" s="27"/>
      <c r="J380" s="27"/>
      <c r="K380" s="27"/>
      <c r="L380" s="27"/>
      <c r="M380" s="27"/>
      <c r="N380" s="27"/>
      <c r="O380" s="27"/>
      <c r="P380" s="27"/>
      <c r="Q380" s="27"/>
      <c r="R380" s="27"/>
      <c r="S380" s="27"/>
    </row>
    <row r="381" ht="15.75" customHeight="1">
      <c r="A381" s="40" t="s">
        <v>31</v>
      </c>
      <c r="B381" s="41" t="s">
        <v>912</v>
      </c>
      <c r="C381" s="42" t="s">
        <v>913</v>
      </c>
      <c r="D381" s="43" t="s">
        <v>226</v>
      </c>
      <c r="E381" s="43" t="s">
        <v>227</v>
      </c>
      <c r="F381" s="44">
        <v>0.21</v>
      </c>
      <c r="G381" s="38" t="str">
        <f>IFERROR(VLOOKUP("SL RACK RECEIVER DW-4-US",STOCK!B2:Q3677,3,FALSE),"SIN STOCK")</f>
        <v>Mayor a 5</v>
      </c>
      <c r="H381" s="27"/>
      <c r="I381" s="27"/>
      <c r="J381" s="27"/>
      <c r="K381" s="27"/>
      <c r="L381" s="27"/>
      <c r="M381" s="27"/>
      <c r="N381" s="27"/>
      <c r="O381" s="27"/>
      <c r="P381" s="27"/>
      <c r="Q381" s="27"/>
      <c r="R381" s="27"/>
      <c r="S381" s="27"/>
    </row>
    <row r="382" ht="15.75" customHeight="1">
      <c r="A382" s="54" t="s">
        <v>914</v>
      </c>
      <c r="B382" s="29"/>
      <c r="C382" s="29"/>
      <c r="D382" s="51"/>
      <c r="E382" s="31"/>
      <c r="F382" s="29"/>
      <c r="G382" s="29"/>
      <c r="H382" s="27"/>
      <c r="I382" s="27"/>
      <c r="J382" s="27"/>
      <c r="K382" s="27"/>
      <c r="L382" s="27"/>
      <c r="M382" s="27"/>
      <c r="N382" s="27"/>
      <c r="O382" s="27"/>
      <c r="P382" s="27"/>
      <c r="Q382" s="27"/>
      <c r="R382" s="27"/>
      <c r="S382" s="27"/>
    </row>
    <row r="383" ht="15.75" customHeight="1">
      <c r="A383" s="40" t="s">
        <v>31</v>
      </c>
      <c r="B383" s="41" t="s">
        <v>915</v>
      </c>
      <c r="C383" s="42" t="s">
        <v>916</v>
      </c>
      <c r="D383" s="43" t="s">
        <v>917</v>
      </c>
      <c r="E383" s="43" t="s">
        <v>918</v>
      </c>
      <c r="F383" s="44">
        <v>0.21</v>
      </c>
      <c r="G383" s="46" t="str">
        <f>IFERROR(VLOOKUP("SL PASC 2",STOCK!B2:Q3677,3,FALSE),"SIN STOCK")</f>
        <v>SIN STOCK</v>
      </c>
      <c r="H383" s="27"/>
      <c r="I383" s="27"/>
      <c r="J383" s="27"/>
      <c r="K383" s="27"/>
      <c r="L383" s="27"/>
      <c r="M383" s="27"/>
      <c r="N383" s="27"/>
      <c r="O383" s="27"/>
      <c r="P383" s="27"/>
      <c r="Q383" s="27"/>
      <c r="R383" s="27"/>
      <c r="S383" s="27"/>
    </row>
    <row r="384" ht="15.75" customHeight="1">
      <c r="A384" s="33" t="s">
        <v>31</v>
      </c>
      <c r="B384" s="45" t="s">
        <v>919</v>
      </c>
      <c r="C384" s="34" t="s">
        <v>920</v>
      </c>
      <c r="D384" s="36" t="s">
        <v>921</v>
      </c>
      <c r="E384" s="36" t="s">
        <v>922</v>
      </c>
      <c r="F384" s="37">
        <v>0.21</v>
      </c>
      <c r="G384" s="49" t="str">
        <f>IFERROR(VLOOKUP("SL PASC 4",STOCK!B2:Q3677,3,FALSE),"SIN STOCK")</f>
        <v>Menor a 5</v>
      </c>
      <c r="H384" s="27"/>
      <c r="I384" s="27"/>
      <c r="J384" s="27"/>
      <c r="K384" s="27"/>
      <c r="L384" s="27"/>
      <c r="M384" s="27"/>
      <c r="N384" s="27"/>
      <c r="O384" s="27"/>
      <c r="P384" s="27"/>
      <c r="Q384" s="27"/>
      <c r="R384" s="27"/>
      <c r="S384" s="27"/>
    </row>
    <row r="385" ht="15.75" customHeight="1">
      <c r="A385" s="40" t="s">
        <v>31</v>
      </c>
      <c r="B385" s="41" t="s">
        <v>923</v>
      </c>
      <c r="C385" s="42" t="s">
        <v>924</v>
      </c>
      <c r="D385" s="43" t="s">
        <v>720</v>
      </c>
      <c r="E385" s="43" t="s">
        <v>721</v>
      </c>
      <c r="F385" s="44">
        <v>0.21</v>
      </c>
      <c r="G385" s="46" t="str">
        <f>IFERROR(VLOOKUP("AWM 2 MK II",STOCK!B3:Q3678,3,FALSE),"SIN STOCK")</f>
        <v>Menor a 5</v>
      </c>
      <c r="H385" s="27"/>
      <c r="I385" s="27"/>
      <c r="J385" s="27"/>
      <c r="K385" s="27"/>
      <c r="L385" s="27"/>
      <c r="M385" s="27"/>
      <c r="N385" s="27"/>
      <c r="O385" s="27"/>
      <c r="P385" s="27"/>
      <c r="Q385" s="27"/>
      <c r="R385" s="27"/>
      <c r="S385" s="27"/>
    </row>
    <row r="386" ht="15.75" customHeight="1">
      <c r="A386" s="33" t="s">
        <v>31</v>
      </c>
      <c r="B386" s="45" t="s">
        <v>925</v>
      </c>
      <c r="C386" s="34" t="s">
        <v>926</v>
      </c>
      <c r="D386" s="36" t="s">
        <v>482</v>
      </c>
      <c r="E386" s="36" t="s">
        <v>483</v>
      </c>
      <c r="F386" s="37">
        <v>0.21</v>
      </c>
      <c r="G386" s="49" t="str">
        <f>IFERROR(VLOOKUP("AWM 4",STOCK!B2:Q3677,3,FALSE),"SIN STOCK")</f>
        <v>Menor a 5</v>
      </c>
      <c r="H386" s="27"/>
      <c r="I386" s="27"/>
      <c r="J386" s="27"/>
      <c r="K386" s="27"/>
      <c r="L386" s="27"/>
      <c r="M386" s="27"/>
      <c r="N386" s="27"/>
      <c r="O386" s="27"/>
      <c r="P386" s="27"/>
      <c r="Q386" s="27"/>
      <c r="R386" s="27"/>
      <c r="S386" s="27"/>
    </row>
    <row r="387" ht="15.75" customHeight="1">
      <c r="A387" s="40" t="s">
        <v>31</v>
      </c>
      <c r="B387" s="41" t="s">
        <v>927</v>
      </c>
      <c r="C387" s="42" t="s">
        <v>327</v>
      </c>
      <c r="D387" s="43" t="s">
        <v>514</v>
      </c>
      <c r="E387" s="43" t="s">
        <v>515</v>
      </c>
      <c r="F387" s="44">
        <v>0.21</v>
      </c>
      <c r="G387" s="60" t="s">
        <v>516</v>
      </c>
      <c r="H387" s="27"/>
      <c r="I387" s="27"/>
      <c r="J387" s="27"/>
      <c r="K387" s="27"/>
      <c r="L387" s="27"/>
      <c r="M387" s="27"/>
      <c r="N387" s="27"/>
      <c r="O387" s="27"/>
      <c r="P387" s="27"/>
      <c r="Q387" s="27"/>
      <c r="R387" s="27"/>
      <c r="S387" s="27"/>
    </row>
    <row r="388" ht="15.75" customHeight="1">
      <c r="A388" s="33" t="s">
        <v>31</v>
      </c>
      <c r="B388" s="45" t="s">
        <v>928</v>
      </c>
      <c r="C388" s="34" t="s">
        <v>929</v>
      </c>
      <c r="D388" s="36" t="s">
        <v>930</v>
      </c>
      <c r="E388" s="36" t="s">
        <v>931</v>
      </c>
      <c r="F388" s="37">
        <v>0.21</v>
      </c>
      <c r="G388" s="46" t="str">
        <f>IFERROR(VLOOKUP("CL 1 PP",STOCK!B2:Q3677,3,FALSE),"SIN STOCK")</f>
        <v>SIN STOCK</v>
      </c>
      <c r="H388" s="27"/>
      <c r="I388" s="27"/>
      <c r="J388" s="27"/>
      <c r="K388" s="27"/>
      <c r="L388" s="27"/>
      <c r="M388" s="27"/>
      <c r="N388" s="27"/>
      <c r="O388" s="27"/>
      <c r="P388" s="27"/>
      <c r="Q388" s="27"/>
      <c r="R388" s="27"/>
      <c r="S388" s="27"/>
    </row>
    <row r="389" ht="15.75" customHeight="1">
      <c r="A389" s="40" t="s">
        <v>31</v>
      </c>
      <c r="B389" s="41" t="s">
        <v>932</v>
      </c>
      <c r="C389" s="42" t="s">
        <v>933</v>
      </c>
      <c r="D389" s="43" t="s">
        <v>826</v>
      </c>
      <c r="E389" s="43" t="s">
        <v>827</v>
      </c>
      <c r="F389" s="44">
        <v>0.21</v>
      </c>
      <c r="G389" s="46" t="str">
        <f>IFERROR(VLOOKUP("CL 10 PP",STOCK!B2:Q3677,3,FALSE),"SIN STOCK")</f>
        <v>SIN STOCK</v>
      </c>
      <c r="H389" s="27"/>
      <c r="I389" s="27"/>
      <c r="J389" s="27"/>
      <c r="K389" s="27"/>
      <c r="L389" s="27"/>
      <c r="M389" s="27"/>
      <c r="N389" s="27"/>
      <c r="O389" s="27"/>
      <c r="P389" s="27"/>
      <c r="Q389" s="27"/>
      <c r="R389" s="27"/>
      <c r="S389" s="27"/>
    </row>
    <row r="390" ht="15.75" customHeight="1">
      <c r="A390" s="33" t="s">
        <v>31</v>
      </c>
      <c r="B390" s="45" t="s">
        <v>934</v>
      </c>
      <c r="C390" s="34" t="s">
        <v>935</v>
      </c>
      <c r="D390" s="36" t="s">
        <v>936</v>
      </c>
      <c r="E390" s="36" t="s">
        <v>937</v>
      </c>
      <c r="F390" s="37">
        <v>0.21</v>
      </c>
      <c r="G390" s="46" t="str">
        <f>IFERROR(VLOOKUP("CL 20 PP",STOCK!B2:Q3677,3,FALSE),"SIN STOCK")</f>
        <v>SIN STOCK</v>
      </c>
      <c r="H390" s="27"/>
      <c r="I390" s="27"/>
      <c r="J390" s="27"/>
      <c r="K390" s="27"/>
      <c r="L390" s="27"/>
      <c r="M390" s="27"/>
      <c r="N390" s="27"/>
      <c r="O390" s="27"/>
      <c r="P390" s="27"/>
      <c r="Q390" s="27"/>
      <c r="R390" s="27"/>
      <c r="S390" s="27"/>
    </row>
    <row r="391" ht="15.75" customHeight="1">
      <c r="A391" s="40" t="s">
        <v>31</v>
      </c>
      <c r="B391" s="41" t="s">
        <v>938</v>
      </c>
      <c r="C391" s="42" t="s">
        <v>939</v>
      </c>
      <c r="D391" s="43" t="s">
        <v>940</v>
      </c>
      <c r="E391" s="43" t="s">
        <v>941</v>
      </c>
      <c r="F391" s="44">
        <v>0.21</v>
      </c>
      <c r="G391" s="49" t="str">
        <f>IFERROR(VLOOKUP("CL 5 PP",STOCK!B2:Q3677,3,FALSE),"SIN STOCK")</f>
        <v>Menor a 5</v>
      </c>
      <c r="H391" s="27"/>
      <c r="I391" s="27"/>
      <c r="J391" s="27"/>
      <c r="K391" s="27"/>
      <c r="L391" s="27"/>
      <c r="M391" s="27"/>
      <c r="N391" s="27"/>
      <c r="O391" s="27"/>
      <c r="P391" s="27"/>
      <c r="Q391" s="27"/>
      <c r="R391" s="27"/>
      <c r="S391" s="27"/>
    </row>
    <row r="392" ht="15.75" customHeight="1">
      <c r="A392" s="54" t="s">
        <v>942</v>
      </c>
      <c r="B392" s="29"/>
      <c r="C392" s="29"/>
      <c r="D392" s="51"/>
      <c r="E392" s="31"/>
      <c r="F392" s="29"/>
      <c r="G392" s="29"/>
      <c r="H392" s="27"/>
      <c r="I392" s="27"/>
      <c r="J392" s="27"/>
      <c r="K392" s="27"/>
      <c r="L392" s="27"/>
      <c r="M392" s="27"/>
      <c r="N392" s="27"/>
      <c r="O392" s="27"/>
      <c r="P392" s="27"/>
      <c r="Q392" s="27"/>
      <c r="R392" s="27"/>
      <c r="S392" s="27"/>
    </row>
    <row r="393" ht="15.75" customHeight="1">
      <c r="A393" s="40" t="s">
        <v>31</v>
      </c>
      <c r="B393" s="41" t="s">
        <v>943</v>
      </c>
      <c r="C393" s="42" t="s">
        <v>944</v>
      </c>
      <c r="D393" s="43" t="s">
        <v>731</v>
      </c>
      <c r="E393" s="43" t="s">
        <v>732</v>
      </c>
      <c r="F393" s="44">
        <v>0.21</v>
      </c>
      <c r="G393" s="46" t="str">
        <f>IFERROR(VLOOKUP("BA 40",STOCK!B2:Q3677,3,FALSE),"SIN STOCK")</f>
        <v>SIN STOCK</v>
      </c>
      <c r="H393" s="27"/>
      <c r="I393" s="27"/>
      <c r="J393" s="27"/>
      <c r="K393" s="27"/>
      <c r="L393" s="27"/>
      <c r="M393" s="27"/>
      <c r="N393" s="27"/>
      <c r="O393" s="27"/>
      <c r="P393" s="27"/>
      <c r="Q393" s="27"/>
      <c r="R393" s="27"/>
      <c r="S393" s="27"/>
    </row>
    <row r="394" ht="15.75" customHeight="1">
      <c r="A394" s="33" t="s">
        <v>31</v>
      </c>
      <c r="B394" s="45" t="s">
        <v>945</v>
      </c>
      <c r="C394" s="34" t="s">
        <v>946</v>
      </c>
      <c r="D394" s="36" t="s">
        <v>57</v>
      </c>
      <c r="E394" s="36" t="s">
        <v>58</v>
      </c>
      <c r="F394" s="37">
        <v>0.21</v>
      </c>
      <c r="G394" s="46" t="str">
        <f>IFERROR(VLOOKUP("CHG 2 US",STOCK!B2:Q3677,3,FALSE),"SIN STOCK")</f>
        <v>Menor a 5</v>
      </c>
      <c r="H394" s="27"/>
      <c r="I394" s="27"/>
      <c r="J394" s="27"/>
      <c r="K394" s="27"/>
      <c r="L394" s="27"/>
      <c r="M394" s="27"/>
      <c r="N394" s="27"/>
      <c r="O394" s="27"/>
      <c r="P394" s="27"/>
      <c r="Q394" s="27"/>
      <c r="R394" s="27"/>
      <c r="S394" s="27"/>
    </row>
    <row r="395" ht="15.75" customHeight="1">
      <c r="A395" s="40" t="s">
        <v>31</v>
      </c>
      <c r="B395" s="41" t="s">
        <v>947</v>
      </c>
      <c r="C395" s="42" t="s">
        <v>948</v>
      </c>
      <c r="D395" s="43" t="s">
        <v>131</v>
      </c>
      <c r="E395" s="43" t="s">
        <v>132</v>
      </c>
      <c r="F395" s="44">
        <v>0.21</v>
      </c>
      <c r="G395" s="46" t="str">
        <f>IFERROR(VLOOKUP("CHG 2N US",STOCK!B2:Q3677,3,FALSE),"SIN STOCK")</f>
        <v>SIN STOCK</v>
      </c>
      <c r="H395" s="27"/>
      <c r="I395" s="27"/>
      <c r="J395" s="27"/>
      <c r="K395" s="27"/>
      <c r="L395" s="27"/>
      <c r="M395" s="27"/>
      <c r="N395" s="27"/>
      <c r="O395" s="27"/>
      <c r="P395" s="27"/>
      <c r="Q395" s="27"/>
      <c r="R395" s="27"/>
      <c r="S395" s="27"/>
    </row>
    <row r="396" ht="15.75" customHeight="1">
      <c r="A396" s="33" t="s">
        <v>31</v>
      </c>
      <c r="B396" s="45" t="s">
        <v>949</v>
      </c>
      <c r="C396" s="34" t="s">
        <v>950</v>
      </c>
      <c r="D396" s="36" t="s">
        <v>77</v>
      </c>
      <c r="E396" s="36" t="s">
        <v>78</v>
      </c>
      <c r="F396" s="37">
        <v>0.21</v>
      </c>
      <c r="G396" s="46" t="str">
        <f>IFERROR(VLOOKUP("CHG 2W",STOCK!B2:Q3677,3,FALSE),"SIN STOCK")</f>
        <v>Menor a 5</v>
      </c>
      <c r="H396" s="27"/>
      <c r="I396" s="27"/>
      <c r="J396" s="27"/>
      <c r="K396" s="27"/>
      <c r="L396" s="27"/>
      <c r="M396" s="27"/>
      <c r="N396" s="27"/>
      <c r="O396" s="27"/>
      <c r="P396" s="27"/>
      <c r="Q396" s="27"/>
      <c r="R396" s="27"/>
      <c r="S396" s="27"/>
    </row>
    <row r="397" ht="15.75" customHeight="1">
      <c r="A397" s="40" t="s">
        <v>31</v>
      </c>
      <c r="B397" s="41" t="s">
        <v>951</v>
      </c>
      <c r="C397" s="42" t="s">
        <v>952</v>
      </c>
      <c r="D397" s="43" t="s">
        <v>953</v>
      </c>
      <c r="E397" s="43" t="s">
        <v>954</v>
      </c>
      <c r="F397" s="44">
        <v>0.21</v>
      </c>
      <c r="G397" s="46" t="str">
        <f>IFERROR(VLOOKUP("CHG 4N US",STOCK!B2:Q3677,3,FALSE),"SIN STOCK")</f>
        <v>Menor a 5</v>
      </c>
      <c r="H397" s="27"/>
      <c r="I397" s="27"/>
      <c r="J397" s="27"/>
      <c r="K397" s="27"/>
      <c r="L397" s="27"/>
      <c r="M397" s="27"/>
      <c r="N397" s="27"/>
      <c r="O397" s="27"/>
      <c r="P397" s="27"/>
      <c r="Q397" s="27"/>
      <c r="R397" s="27"/>
      <c r="S397" s="27"/>
    </row>
    <row r="398" ht="15.75" customHeight="1">
      <c r="A398" s="33" t="s">
        <v>31</v>
      </c>
      <c r="B398" s="45" t="s">
        <v>955</v>
      </c>
      <c r="C398" s="34" t="s">
        <v>956</v>
      </c>
      <c r="D398" s="36" t="s">
        <v>88</v>
      </c>
      <c r="E398" s="36" t="s">
        <v>89</v>
      </c>
      <c r="F398" s="37">
        <v>0.21</v>
      </c>
      <c r="G398" s="38" t="str">
        <f>IFERROR(VLOOKUP("GA 4",STOCK!B2:Q3677,3,FALSE),"SIN STOCK")</f>
        <v>Mayor a 5</v>
      </c>
      <c r="H398" s="27"/>
      <c r="I398" s="27"/>
      <c r="J398" s="27"/>
      <c r="K398" s="27"/>
      <c r="L398" s="27"/>
      <c r="M398" s="27"/>
      <c r="N398" s="27"/>
      <c r="O398" s="27"/>
      <c r="P398" s="27"/>
      <c r="Q398" s="27"/>
      <c r="R398" s="27"/>
      <c r="S398" s="27"/>
    </row>
    <row r="399" ht="15.75" customHeight="1">
      <c r="A399" s="28" t="s">
        <v>957</v>
      </c>
      <c r="C399" s="29"/>
      <c r="D399" s="51"/>
      <c r="E399" s="31"/>
      <c r="F399" s="29"/>
      <c r="G399" s="29"/>
      <c r="H399" s="27"/>
      <c r="I399" s="27"/>
      <c r="J399" s="27"/>
      <c r="K399" s="27"/>
      <c r="L399" s="27"/>
      <c r="M399" s="27"/>
      <c r="N399" s="27"/>
      <c r="O399" s="27"/>
      <c r="P399" s="27"/>
      <c r="Q399" s="27"/>
      <c r="R399" s="27"/>
      <c r="S399" s="27"/>
    </row>
    <row r="400" ht="15.75" customHeight="1">
      <c r="A400" s="40" t="s">
        <v>31</v>
      </c>
      <c r="B400" s="41" t="s">
        <v>958</v>
      </c>
      <c r="C400" s="42" t="s">
        <v>959</v>
      </c>
      <c r="D400" s="43" t="s">
        <v>960</v>
      </c>
      <c r="E400" s="43" t="s">
        <v>961</v>
      </c>
      <c r="F400" s="44">
        <v>0.21</v>
      </c>
      <c r="G400" s="46" t="str">
        <f>IFERROR(VLOOKUP("MKH 30 P 48",STOCK!B2:Q3677,3,FALSE),"SIN STOCK")</f>
        <v>SIN STOCK</v>
      </c>
      <c r="H400" s="27"/>
      <c r="I400" s="27"/>
      <c r="J400" s="27"/>
      <c r="K400" s="27"/>
      <c r="L400" s="27"/>
      <c r="M400" s="27"/>
      <c r="N400" s="27"/>
      <c r="O400" s="27"/>
      <c r="P400" s="27"/>
      <c r="Q400" s="27"/>
      <c r="R400" s="27"/>
      <c r="S400" s="27"/>
    </row>
    <row r="401" ht="15.75" customHeight="1">
      <c r="A401" s="33" t="s">
        <v>31</v>
      </c>
      <c r="B401" s="45" t="s">
        <v>962</v>
      </c>
      <c r="C401" s="34" t="s">
        <v>963</v>
      </c>
      <c r="D401" s="36" t="s">
        <v>222</v>
      </c>
      <c r="E401" s="36" t="s">
        <v>223</v>
      </c>
      <c r="F401" s="37">
        <v>0.21</v>
      </c>
      <c r="G401" s="49" t="str">
        <f>IFERROR(VLOOKUP("MKH 416 P48U3",STOCK!B2:Q3677,3,FALSE),"SIN STOCK")</f>
        <v>Menor a 5</v>
      </c>
      <c r="H401" s="27"/>
      <c r="I401" s="27"/>
      <c r="J401" s="27"/>
      <c r="K401" s="27"/>
      <c r="L401" s="27"/>
      <c r="M401" s="27"/>
      <c r="N401" s="27"/>
      <c r="O401" s="27"/>
      <c r="P401" s="27"/>
      <c r="Q401" s="27"/>
      <c r="R401" s="27"/>
      <c r="S401" s="27"/>
    </row>
    <row r="402" ht="15.75" customHeight="1">
      <c r="A402" s="40" t="s">
        <v>31</v>
      </c>
      <c r="B402" s="41" t="s">
        <v>964</v>
      </c>
      <c r="C402" s="42" t="s">
        <v>965</v>
      </c>
      <c r="D402" s="43" t="s">
        <v>966</v>
      </c>
      <c r="E402" s="43" t="s">
        <v>967</v>
      </c>
      <c r="F402" s="44">
        <v>0.21</v>
      </c>
      <c r="G402" s="46" t="str">
        <f>IFERROR(VLOOKUP("MKH 418-S",STOCK!B2:Q3677,3,FALSE),"SIN STOCK")</f>
        <v>SIN STOCK</v>
      </c>
      <c r="H402" s="27"/>
      <c r="I402" s="27"/>
      <c r="J402" s="27"/>
      <c r="K402" s="27"/>
      <c r="L402" s="27"/>
      <c r="M402" s="27"/>
      <c r="N402" s="27"/>
      <c r="O402" s="27"/>
      <c r="P402" s="27"/>
      <c r="Q402" s="27"/>
      <c r="R402" s="27"/>
      <c r="S402" s="27"/>
    </row>
    <row r="403" ht="15.75" customHeight="1">
      <c r="A403" s="33" t="s">
        <v>31</v>
      </c>
      <c r="B403" s="45" t="s">
        <v>968</v>
      </c>
      <c r="C403" s="34" t="s">
        <v>969</v>
      </c>
      <c r="D403" s="36" t="s">
        <v>970</v>
      </c>
      <c r="E403" s="36" t="s">
        <v>971</v>
      </c>
      <c r="F403" s="37">
        <v>0.21</v>
      </c>
      <c r="G403" s="46" t="str">
        <f>IFERROR(VLOOKUP("MKH 50-P48",STOCK!B2:Q3677,3,FALSE),"SIN STOCK")</f>
        <v>SIN STOCK</v>
      </c>
      <c r="H403" s="27"/>
      <c r="I403" s="27"/>
      <c r="J403" s="27"/>
      <c r="K403" s="27"/>
      <c r="L403" s="27"/>
      <c r="M403" s="27"/>
      <c r="N403" s="27"/>
      <c r="O403" s="27"/>
      <c r="P403" s="27"/>
      <c r="Q403" s="27"/>
      <c r="R403" s="27"/>
      <c r="S403" s="27"/>
    </row>
    <row r="404" ht="15.75" customHeight="1">
      <c r="A404" s="40" t="s">
        <v>31</v>
      </c>
      <c r="B404" s="41" t="s">
        <v>972</v>
      </c>
      <c r="C404" s="42" t="s">
        <v>973</v>
      </c>
      <c r="D404" s="43" t="s">
        <v>974</v>
      </c>
      <c r="E404" s="43" t="s">
        <v>975</v>
      </c>
      <c r="F404" s="44">
        <v>0.21</v>
      </c>
      <c r="G404" s="46" t="str">
        <f>IFERROR(VLOOKUP("MKH 800 TWIN NI",STOCK!B2:Q3677,3,FALSE),"SIN STOCK")</f>
        <v>SIN STOCK</v>
      </c>
      <c r="H404" s="27"/>
      <c r="I404" s="27"/>
      <c r="J404" s="27"/>
      <c r="K404" s="27"/>
      <c r="L404" s="27"/>
      <c r="M404" s="27"/>
      <c r="N404" s="27"/>
      <c r="O404" s="27"/>
      <c r="P404" s="27"/>
      <c r="Q404" s="27"/>
      <c r="R404" s="27"/>
      <c r="S404" s="27"/>
    </row>
    <row r="405" ht="15.75" customHeight="1">
      <c r="A405" s="33" t="s">
        <v>31</v>
      </c>
      <c r="B405" s="45" t="s">
        <v>976</v>
      </c>
      <c r="C405" s="34" t="s">
        <v>973</v>
      </c>
      <c r="D405" s="36" t="s">
        <v>974</v>
      </c>
      <c r="E405" s="36" t="s">
        <v>975</v>
      </c>
      <c r="F405" s="37">
        <v>0.21</v>
      </c>
      <c r="G405" s="46" t="str">
        <f>IFERROR(VLOOKUP("MKH 800 TWIN NX",STOCK!B2:Q3677,3,FALSE),"SIN STOCK")</f>
        <v>SIN STOCK</v>
      </c>
      <c r="H405" s="27"/>
      <c r="I405" s="27"/>
      <c r="J405" s="27"/>
      <c r="K405" s="27"/>
      <c r="L405" s="27"/>
      <c r="M405" s="27"/>
      <c r="N405" s="27"/>
      <c r="O405" s="27"/>
      <c r="P405" s="27"/>
      <c r="Q405" s="27"/>
      <c r="R405" s="27"/>
      <c r="S405" s="27"/>
    </row>
    <row r="406" ht="15.75" customHeight="1">
      <c r="A406" s="40" t="s">
        <v>31</v>
      </c>
      <c r="B406" s="41" t="s">
        <v>977</v>
      </c>
      <c r="C406" s="42" t="s">
        <v>978</v>
      </c>
      <c r="D406" s="43" t="s">
        <v>276</v>
      </c>
      <c r="E406" s="43" t="s">
        <v>277</v>
      </c>
      <c r="F406" s="44">
        <v>0.21</v>
      </c>
      <c r="G406" s="46" t="str">
        <f>IFERROR(VLOOKUP("MKH 8020",STOCK!B2:Q3677,3,FALSE),"SIN STOCK")</f>
        <v>SIN STOCK</v>
      </c>
      <c r="H406" s="27"/>
      <c r="I406" s="27"/>
      <c r="J406" s="27"/>
      <c r="K406" s="27"/>
      <c r="L406" s="27"/>
      <c r="M406" s="27"/>
      <c r="N406" s="27"/>
      <c r="O406" s="27"/>
      <c r="P406" s="27"/>
      <c r="Q406" s="27"/>
      <c r="R406" s="27"/>
      <c r="S406" s="27"/>
    </row>
    <row r="407" ht="15.75" customHeight="1">
      <c r="A407" s="33" t="s">
        <v>31</v>
      </c>
      <c r="B407" s="45" t="s">
        <v>979</v>
      </c>
      <c r="C407" s="34" t="s">
        <v>980</v>
      </c>
      <c r="D407" s="36" t="s">
        <v>246</v>
      </c>
      <c r="E407" s="36" t="s">
        <v>247</v>
      </c>
      <c r="F407" s="37">
        <v>0.21</v>
      </c>
      <c r="G407" s="46" t="str">
        <f>IFERROR(VLOOKUP("MKH 8020 Stereo Set",STOCK!B2:Q3677,3,FALSE),"SIN STOCK")</f>
        <v>SIN STOCK</v>
      </c>
      <c r="H407" s="27"/>
      <c r="I407" s="27"/>
      <c r="J407" s="27"/>
      <c r="K407" s="27"/>
      <c r="L407" s="27"/>
      <c r="M407" s="27"/>
      <c r="N407" s="27"/>
      <c r="O407" s="27"/>
      <c r="P407" s="27"/>
      <c r="Q407" s="27"/>
      <c r="R407" s="27"/>
      <c r="S407" s="27"/>
    </row>
    <row r="408" ht="15.75" customHeight="1">
      <c r="A408" s="40" t="s">
        <v>31</v>
      </c>
      <c r="B408" s="41" t="s">
        <v>981</v>
      </c>
      <c r="C408" s="42" t="s">
        <v>982</v>
      </c>
      <c r="D408" s="43" t="s">
        <v>276</v>
      </c>
      <c r="E408" s="43" t="s">
        <v>277</v>
      </c>
      <c r="F408" s="44">
        <v>0.21</v>
      </c>
      <c r="G408" s="49" t="str">
        <f>IFERROR(VLOOKUP("MKH 8040",STOCK!B2:Q3677,3,FALSE),"SIN STOCK")</f>
        <v>Menor a 5</v>
      </c>
      <c r="H408" s="27"/>
      <c r="I408" s="27"/>
      <c r="J408" s="27"/>
      <c r="K408" s="27"/>
      <c r="L408" s="27"/>
      <c r="M408" s="27"/>
      <c r="N408" s="27"/>
      <c r="O408" s="27"/>
      <c r="P408" s="27"/>
      <c r="Q408" s="27"/>
      <c r="R408" s="27"/>
      <c r="S408" s="27"/>
    </row>
    <row r="409" ht="15.75" customHeight="1">
      <c r="A409" s="33" t="s">
        <v>31</v>
      </c>
      <c r="B409" s="45" t="s">
        <v>983</v>
      </c>
      <c r="C409" s="34" t="s">
        <v>984</v>
      </c>
      <c r="D409" s="36" t="s">
        <v>246</v>
      </c>
      <c r="E409" s="36" t="s">
        <v>247</v>
      </c>
      <c r="F409" s="37">
        <v>0.21</v>
      </c>
      <c r="G409" s="46" t="str">
        <f>IFERROR(VLOOKUP("MKH 8040 Stereo Set",STOCK!B2:Q3677,3,FALSE),"SIN STOCK")</f>
        <v>SIN STOCK</v>
      </c>
      <c r="H409" s="27"/>
      <c r="I409" s="27"/>
      <c r="J409" s="27"/>
      <c r="K409" s="27"/>
      <c r="L409" s="27"/>
      <c r="M409" s="27"/>
      <c r="N409" s="27"/>
      <c r="O409" s="27"/>
      <c r="P409" s="27"/>
      <c r="Q409" s="27"/>
      <c r="R409" s="27"/>
      <c r="S409" s="27"/>
    </row>
    <row r="410" ht="15.75" customHeight="1">
      <c r="A410" s="40" t="s">
        <v>31</v>
      </c>
      <c r="B410" s="41" t="s">
        <v>985</v>
      </c>
      <c r="C410" s="42" t="s">
        <v>986</v>
      </c>
      <c r="D410" s="43" t="s">
        <v>276</v>
      </c>
      <c r="E410" s="43" t="s">
        <v>277</v>
      </c>
      <c r="F410" s="44">
        <v>0.21</v>
      </c>
      <c r="G410" s="46" t="str">
        <f>IFERROR(VLOOKUP("MKH 8050",STOCK!B2:Q3677,3,FALSE),"SIN STOCK")</f>
        <v>SIN STOCK</v>
      </c>
      <c r="H410" s="27"/>
      <c r="I410" s="27"/>
      <c r="J410" s="27"/>
      <c r="K410" s="27"/>
      <c r="L410" s="27"/>
      <c r="M410" s="27"/>
      <c r="N410" s="27"/>
      <c r="O410" s="27"/>
      <c r="P410" s="27"/>
      <c r="Q410" s="27"/>
      <c r="R410" s="27"/>
      <c r="S410" s="27"/>
    </row>
    <row r="411" ht="15.75" customHeight="1">
      <c r="A411" s="33" t="s">
        <v>31</v>
      </c>
      <c r="B411" s="45" t="s">
        <v>987</v>
      </c>
      <c r="C411" s="34" t="s">
        <v>988</v>
      </c>
      <c r="D411" s="36" t="s">
        <v>785</v>
      </c>
      <c r="E411" s="36" t="s">
        <v>786</v>
      </c>
      <c r="F411" s="37">
        <v>0.21</v>
      </c>
      <c r="G411" s="46" t="str">
        <f>IFERROR(VLOOKUP("MKH 8060",STOCK!B2:Q3677,3,FALSE),"SIN STOCK")</f>
        <v>Menor a 5</v>
      </c>
      <c r="H411" s="27"/>
      <c r="I411" s="27"/>
      <c r="J411" s="27"/>
      <c r="K411" s="27"/>
      <c r="L411" s="27"/>
      <c r="M411" s="27"/>
      <c r="N411" s="27"/>
      <c r="O411" s="27"/>
      <c r="P411" s="27"/>
      <c r="Q411" s="27"/>
      <c r="R411" s="27"/>
      <c r="S411" s="27"/>
    </row>
    <row r="412" ht="15.75" customHeight="1">
      <c r="A412" s="40" t="s">
        <v>31</v>
      </c>
      <c r="B412" s="41" t="s">
        <v>989</v>
      </c>
      <c r="C412" s="42" t="s">
        <v>990</v>
      </c>
      <c r="D412" s="43" t="s">
        <v>377</v>
      </c>
      <c r="E412" s="43" t="s">
        <v>378</v>
      </c>
      <c r="F412" s="44">
        <v>0.21</v>
      </c>
      <c r="G412" s="46" t="str">
        <f>IFERROR(VLOOKUP("MKH 8070",STOCK!B2:Q3677,3,FALSE),"SIN STOCK")</f>
        <v>Menor a 5</v>
      </c>
      <c r="H412" s="27"/>
      <c r="I412" s="27"/>
      <c r="J412" s="27"/>
      <c r="K412" s="27"/>
      <c r="L412" s="27"/>
      <c r="M412" s="27"/>
      <c r="N412" s="27"/>
      <c r="O412" s="27"/>
      <c r="P412" s="27"/>
      <c r="Q412" s="27"/>
      <c r="R412" s="27"/>
      <c r="S412" s="27"/>
    </row>
    <row r="413" ht="15.75" customHeight="1">
      <c r="A413" s="33" t="s">
        <v>31</v>
      </c>
      <c r="B413" s="45" t="s">
        <v>991</v>
      </c>
      <c r="C413" s="34" t="s">
        <v>992</v>
      </c>
      <c r="D413" s="36" t="s">
        <v>276</v>
      </c>
      <c r="E413" s="36" t="s">
        <v>277</v>
      </c>
      <c r="F413" s="37">
        <v>0.21</v>
      </c>
      <c r="G413" s="46" t="str">
        <f>IFERROR(VLOOKUP("MKH 8090",STOCK!B2:Q3677,3,FALSE),"SIN STOCK")</f>
        <v>SIN STOCK</v>
      </c>
      <c r="H413" s="27"/>
      <c r="I413" s="27"/>
      <c r="J413" s="27"/>
      <c r="K413" s="27"/>
      <c r="L413" s="27"/>
      <c r="M413" s="27"/>
      <c r="N413" s="27"/>
      <c r="O413" s="27"/>
      <c r="P413" s="27"/>
      <c r="Q413" s="27"/>
      <c r="R413" s="27"/>
      <c r="S413" s="27"/>
    </row>
    <row r="414" ht="15.75" customHeight="1">
      <c r="A414" s="40" t="s">
        <v>31</v>
      </c>
      <c r="B414" s="41" t="s">
        <v>993</v>
      </c>
      <c r="C414" s="42" t="s">
        <v>994</v>
      </c>
      <c r="D414" s="43" t="s">
        <v>995</v>
      </c>
      <c r="E414" s="43" t="s">
        <v>996</v>
      </c>
      <c r="F414" s="44">
        <v>0.21</v>
      </c>
      <c r="G414" s="49" t="str">
        <f>IFERROR(VLOOKUP("ESFERA",STOCK!B2:Q3677,3,FALSE),"SIN STOCK")</f>
        <v>Menor a 5</v>
      </c>
      <c r="H414" s="27"/>
      <c r="I414" s="27"/>
      <c r="J414" s="27"/>
      <c r="K414" s="27"/>
      <c r="L414" s="27"/>
      <c r="M414" s="27"/>
      <c r="N414" s="27"/>
      <c r="O414" s="27"/>
      <c r="P414" s="27"/>
      <c r="Q414" s="27"/>
      <c r="R414" s="27"/>
      <c r="S414" s="27"/>
    </row>
    <row r="415" ht="15.75" customHeight="1">
      <c r="A415" s="54" t="s">
        <v>997</v>
      </c>
      <c r="B415" s="29"/>
      <c r="C415" s="29"/>
      <c r="D415" s="51"/>
      <c r="E415" s="31"/>
      <c r="F415" s="29"/>
      <c r="G415" s="29"/>
      <c r="H415" s="27"/>
      <c r="I415" s="27"/>
      <c r="J415" s="27"/>
      <c r="K415" s="27"/>
      <c r="L415" s="27"/>
      <c r="M415" s="27"/>
      <c r="N415" s="27"/>
      <c r="O415" s="27"/>
      <c r="P415" s="27"/>
      <c r="Q415" s="27"/>
      <c r="R415" s="27"/>
      <c r="S415" s="27"/>
    </row>
    <row r="416" ht="15.75" customHeight="1">
      <c r="A416" s="40" t="s">
        <v>31</v>
      </c>
      <c r="B416" s="64" t="s">
        <v>998</v>
      </c>
      <c r="C416" s="42" t="s">
        <v>999</v>
      </c>
      <c r="D416" s="43" t="s">
        <v>514</v>
      </c>
      <c r="E416" s="43" t="s">
        <v>515</v>
      </c>
      <c r="F416" s="44">
        <v>0.21</v>
      </c>
      <c r="G416" s="46" t="str">
        <f>IFERROR(VLOOKUP("MZC1",STOCK!B2:Q3677,3,FALSE),"SIN STOCK")</f>
        <v>SIN STOCK</v>
      </c>
      <c r="H416" s="27"/>
      <c r="I416" s="27"/>
      <c r="J416" s="27"/>
      <c r="K416" s="27"/>
      <c r="L416" s="27"/>
      <c r="M416" s="27"/>
      <c r="N416" s="27"/>
      <c r="O416" s="27"/>
      <c r="P416" s="27"/>
      <c r="Q416" s="27"/>
      <c r="R416" s="27"/>
      <c r="S416" s="27"/>
    </row>
    <row r="417" ht="15.75" customHeight="1">
      <c r="A417" s="33" t="s">
        <v>31</v>
      </c>
      <c r="B417" s="45" t="s">
        <v>1000</v>
      </c>
      <c r="C417" s="34" t="s">
        <v>1001</v>
      </c>
      <c r="D417" s="36" t="s">
        <v>1002</v>
      </c>
      <c r="E417" s="36" t="s">
        <v>1003</v>
      </c>
      <c r="F417" s="37">
        <v>0.21</v>
      </c>
      <c r="G417" s="46" t="str">
        <f>IFERROR(VLOOKUP("MZE 8015",STOCK!B2:Q3677,3,FALSE),"SIN STOCK")</f>
        <v>SIN STOCK</v>
      </c>
      <c r="H417" s="27"/>
      <c r="I417" s="27"/>
      <c r="J417" s="27"/>
      <c r="K417" s="27"/>
      <c r="L417" s="27"/>
      <c r="M417" s="27"/>
      <c r="N417" s="27"/>
      <c r="O417" s="27"/>
      <c r="P417" s="27"/>
      <c r="Q417" s="27"/>
      <c r="R417" s="27"/>
      <c r="S417" s="27"/>
    </row>
    <row r="418" ht="15.75" customHeight="1">
      <c r="A418" s="40" t="s">
        <v>31</v>
      </c>
      <c r="B418" s="41" t="s">
        <v>1004</v>
      </c>
      <c r="C418" s="42" t="s">
        <v>1005</v>
      </c>
      <c r="D418" s="43" t="s">
        <v>691</v>
      </c>
      <c r="E418" s="43" t="s">
        <v>692</v>
      </c>
      <c r="F418" s="44">
        <v>0.21</v>
      </c>
      <c r="G418" s="46" t="str">
        <f>IFERROR(VLOOKUP("MZE 8030",STOCK!B2:Q3677,3,FALSE),"SIN STOCK")</f>
        <v>SIN STOCK</v>
      </c>
      <c r="H418" s="27"/>
      <c r="I418" s="27"/>
      <c r="J418" s="27"/>
      <c r="K418" s="27"/>
      <c r="L418" s="27"/>
      <c r="M418" s="27"/>
      <c r="N418" s="27"/>
      <c r="O418" s="27"/>
      <c r="P418" s="27"/>
      <c r="Q418" s="27"/>
      <c r="R418" s="27"/>
      <c r="S418" s="27"/>
    </row>
    <row r="419" ht="15.75" customHeight="1">
      <c r="A419" s="33" t="s">
        <v>31</v>
      </c>
      <c r="B419" s="45" t="s">
        <v>1006</v>
      </c>
      <c r="C419" s="34" t="s">
        <v>1007</v>
      </c>
      <c r="D419" s="36" t="s">
        <v>1008</v>
      </c>
      <c r="E419" s="36" t="s">
        <v>1009</v>
      </c>
      <c r="F419" s="37">
        <v>0.21</v>
      </c>
      <c r="G419" s="46" t="str">
        <f>IFERROR(VLOOKUP("MZE 8060",STOCK!B2:Q3677,3,FALSE),"SIN STOCK")</f>
        <v>SIN STOCK</v>
      </c>
      <c r="H419" s="27"/>
      <c r="I419" s="27"/>
      <c r="J419" s="27"/>
      <c r="K419" s="27"/>
      <c r="L419" s="27"/>
      <c r="M419" s="27"/>
      <c r="N419" s="27"/>
      <c r="O419" s="27"/>
      <c r="P419" s="27"/>
      <c r="Q419" s="27"/>
      <c r="R419" s="27"/>
      <c r="S419" s="27"/>
    </row>
    <row r="420" ht="15.75" customHeight="1">
      <c r="A420" s="40" t="s">
        <v>31</v>
      </c>
      <c r="B420" s="41" t="s">
        <v>1010</v>
      </c>
      <c r="C420" s="42" t="s">
        <v>1011</v>
      </c>
      <c r="D420" s="43" t="s">
        <v>1012</v>
      </c>
      <c r="E420" s="43" t="s">
        <v>1013</v>
      </c>
      <c r="F420" s="44">
        <v>0.21</v>
      </c>
      <c r="G420" s="46" t="str">
        <f>IFERROR(VLOOKUP("MZE 8120",STOCK!B2:Q3677,3,FALSE),"SIN STOCK")</f>
        <v>SIN STOCK</v>
      </c>
      <c r="H420" s="27"/>
      <c r="I420" s="27"/>
      <c r="J420" s="27"/>
      <c r="K420" s="27"/>
      <c r="L420" s="27"/>
      <c r="M420" s="27"/>
      <c r="N420" s="27"/>
      <c r="O420" s="27"/>
      <c r="P420" s="27"/>
      <c r="Q420" s="27"/>
      <c r="R420" s="27"/>
      <c r="S420" s="27"/>
    </row>
    <row r="421" ht="15.75" customHeight="1">
      <c r="A421" s="33" t="s">
        <v>31</v>
      </c>
      <c r="B421" s="45" t="s">
        <v>1014</v>
      </c>
      <c r="C421" s="34" t="s">
        <v>1015</v>
      </c>
      <c r="D421" s="36" t="s">
        <v>1016</v>
      </c>
      <c r="E421" s="36" t="s">
        <v>1017</v>
      </c>
      <c r="F421" s="37">
        <v>0.21</v>
      </c>
      <c r="G421" s="46" t="str">
        <f>IFERROR(VLOOKUP("MZEF 8030",STOCK!B2:Q3677,3,FALSE),"SIN STOCK")</f>
        <v>SIN STOCK</v>
      </c>
      <c r="H421" s="27"/>
      <c r="I421" s="27"/>
      <c r="J421" s="27"/>
      <c r="K421" s="27"/>
      <c r="L421" s="27"/>
      <c r="M421" s="27"/>
      <c r="N421" s="27"/>
      <c r="O421" s="27"/>
      <c r="P421" s="27"/>
      <c r="Q421" s="27"/>
      <c r="R421" s="27"/>
      <c r="S421" s="27"/>
    </row>
    <row r="422" ht="15.75" customHeight="1">
      <c r="A422" s="40" t="s">
        <v>31</v>
      </c>
      <c r="B422" s="41" t="s">
        <v>1018</v>
      </c>
      <c r="C422" s="42" t="s">
        <v>1019</v>
      </c>
      <c r="D422" s="43" t="s">
        <v>45</v>
      </c>
      <c r="E422" s="43" t="s">
        <v>46</v>
      </c>
      <c r="F422" s="44">
        <v>0.21</v>
      </c>
      <c r="G422" s="46" t="str">
        <f>IFERROR(VLOOKUP("MZEF 8060",STOCK!B2:Q3677,3,FALSE),"SIN STOCK")</f>
        <v>SIN STOCK</v>
      </c>
      <c r="H422" s="27"/>
      <c r="I422" s="27"/>
      <c r="J422" s="27"/>
      <c r="K422" s="27"/>
      <c r="L422" s="27"/>
      <c r="M422" s="27"/>
      <c r="N422" s="27"/>
      <c r="O422" s="27"/>
      <c r="P422" s="27"/>
      <c r="Q422" s="27"/>
      <c r="R422" s="27"/>
      <c r="S422" s="27"/>
    </row>
    <row r="423" ht="15.75" customHeight="1">
      <c r="A423" s="33" t="s">
        <v>31</v>
      </c>
      <c r="B423" s="45" t="s">
        <v>1020</v>
      </c>
      <c r="C423" s="34" t="s">
        <v>1021</v>
      </c>
      <c r="D423" s="36" t="s">
        <v>531</v>
      </c>
      <c r="E423" s="36" t="s">
        <v>532</v>
      </c>
      <c r="F423" s="37">
        <v>0.21</v>
      </c>
      <c r="G423" s="46" t="str">
        <f>IFERROR(VLOOKUP("MZEF 8120",STOCK!B2:Q3677,3,FALSE),"SIN STOCK")</f>
        <v>SIN STOCK</v>
      </c>
      <c r="H423" s="27"/>
      <c r="I423" s="27"/>
      <c r="J423" s="27"/>
      <c r="K423" s="27"/>
      <c r="L423" s="27"/>
      <c r="M423" s="27"/>
      <c r="N423" s="27"/>
      <c r="O423" s="27"/>
      <c r="P423" s="27"/>
      <c r="Q423" s="27"/>
      <c r="R423" s="27"/>
      <c r="S423" s="27"/>
    </row>
    <row r="424" ht="15.75" customHeight="1">
      <c r="A424" s="40" t="s">
        <v>31</v>
      </c>
      <c r="B424" s="41" t="s">
        <v>1022</v>
      </c>
      <c r="C424" s="42" t="s">
        <v>1023</v>
      </c>
      <c r="D424" s="43" t="s">
        <v>1024</v>
      </c>
      <c r="E424" s="43" t="s">
        <v>1025</v>
      </c>
      <c r="F424" s="44">
        <v>0.21</v>
      </c>
      <c r="G424" s="46" t="str">
        <f>IFERROR(VLOOKUP("MZF 8000",STOCK!B2:Q3677,3,FALSE),"SIN STOCK")</f>
        <v>SIN STOCK</v>
      </c>
      <c r="H424" s="27"/>
      <c r="I424" s="27"/>
      <c r="J424" s="27"/>
      <c r="K424" s="27"/>
      <c r="L424" s="27"/>
      <c r="M424" s="27"/>
      <c r="N424" s="27"/>
      <c r="O424" s="27"/>
      <c r="P424" s="27"/>
      <c r="Q424" s="27"/>
      <c r="R424" s="27"/>
      <c r="S424" s="27"/>
    </row>
    <row r="425" ht="15.75" customHeight="1">
      <c r="A425" s="33" t="s">
        <v>31</v>
      </c>
      <c r="B425" s="45" t="s">
        <v>1026</v>
      </c>
      <c r="C425" s="34" t="s">
        <v>1027</v>
      </c>
      <c r="D425" s="36" t="s">
        <v>49</v>
      </c>
      <c r="E425" s="36" t="s">
        <v>50</v>
      </c>
      <c r="F425" s="37">
        <v>0.21</v>
      </c>
      <c r="G425" s="46" t="str">
        <f>IFERROR(VLOOKUP("MZFS 8000",STOCK!B2:Q3677,3,FALSE),"SIN STOCK")</f>
        <v>SIN STOCK</v>
      </c>
      <c r="H425" s="27"/>
      <c r="I425" s="27"/>
      <c r="J425" s="27"/>
      <c r="K425" s="27"/>
      <c r="L425" s="27"/>
      <c r="M425" s="27"/>
      <c r="N425" s="27"/>
      <c r="O425" s="27"/>
      <c r="P425" s="27"/>
      <c r="Q425" s="27"/>
      <c r="R425" s="27"/>
      <c r="S425" s="27"/>
    </row>
    <row r="426" ht="15.75" customHeight="1">
      <c r="A426" s="40" t="s">
        <v>31</v>
      </c>
      <c r="B426" s="41" t="s">
        <v>1028</v>
      </c>
      <c r="C426" s="42" t="s">
        <v>1029</v>
      </c>
      <c r="D426" s="43" t="s">
        <v>1030</v>
      </c>
      <c r="E426" s="43" t="s">
        <v>1031</v>
      </c>
      <c r="F426" s="44">
        <v>0.21</v>
      </c>
      <c r="G426" s="46" t="str">
        <f>IFERROR(VLOOKUP("MZG 8000",STOCK!B2:Q3677,3,FALSE),"SIN STOCK")</f>
        <v>SIN STOCK</v>
      </c>
      <c r="H426" s="27"/>
      <c r="I426" s="27"/>
      <c r="J426" s="27"/>
      <c r="K426" s="27"/>
      <c r="L426" s="27"/>
      <c r="M426" s="27"/>
      <c r="N426" s="27"/>
      <c r="O426" s="27"/>
      <c r="P426" s="27"/>
      <c r="Q426" s="27"/>
      <c r="R426" s="27"/>
      <c r="S426" s="27"/>
    </row>
    <row r="427" ht="15.75" customHeight="1">
      <c r="A427" s="33" t="s">
        <v>31</v>
      </c>
      <c r="B427" s="45" t="s">
        <v>1032</v>
      </c>
      <c r="C427" s="34" t="s">
        <v>1033</v>
      </c>
      <c r="D427" s="36" t="s">
        <v>531</v>
      </c>
      <c r="E427" s="36" t="s">
        <v>532</v>
      </c>
      <c r="F427" s="37">
        <v>0.21</v>
      </c>
      <c r="G427" s="46" t="str">
        <f>IFERROR(VLOOKUP("MZGE 8000",STOCK!B2:Q3677,3,FALSE),"SIN STOCK")</f>
        <v>SIN STOCK</v>
      </c>
      <c r="H427" s="27"/>
      <c r="I427" s="27"/>
      <c r="J427" s="27"/>
      <c r="K427" s="27"/>
      <c r="L427" s="27"/>
      <c r="M427" s="27"/>
      <c r="N427" s="27"/>
      <c r="O427" s="27"/>
      <c r="P427" s="27"/>
      <c r="Q427" s="27"/>
      <c r="R427" s="27"/>
      <c r="S427" s="27"/>
    </row>
    <row r="428" ht="15.75" customHeight="1">
      <c r="A428" s="40" t="s">
        <v>31</v>
      </c>
      <c r="B428" s="41" t="s">
        <v>1034</v>
      </c>
      <c r="C428" s="42" t="s">
        <v>1035</v>
      </c>
      <c r="D428" s="43" t="s">
        <v>41</v>
      </c>
      <c r="E428" s="43" t="s">
        <v>42</v>
      </c>
      <c r="F428" s="44">
        <v>0.21</v>
      </c>
      <c r="G428" s="46" t="str">
        <f>IFERROR(VLOOKUP("MZGE 8002",STOCK!B2:Q3677,3,FALSE),"SIN STOCK")</f>
        <v>SIN STOCK</v>
      </c>
      <c r="H428" s="27"/>
      <c r="I428" s="27"/>
      <c r="J428" s="27"/>
      <c r="K428" s="27"/>
      <c r="L428" s="27"/>
      <c r="M428" s="27"/>
      <c r="N428" s="27"/>
      <c r="O428" s="27"/>
      <c r="P428" s="27"/>
      <c r="Q428" s="27"/>
      <c r="R428" s="27"/>
      <c r="S428" s="27"/>
    </row>
    <row r="429" ht="15.75" customHeight="1">
      <c r="A429" s="33" t="s">
        <v>31</v>
      </c>
      <c r="B429" s="45" t="s">
        <v>1036</v>
      </c>
      <c r="C429" s="34" t="s">
        <v>1037</v>
      </c>
      <c r="D429" s="36" t="s">
        <v>1030</v>
      </c>
      <c r="E429" s="36" t="s">
        <v>1031</v>
      </c>
      <c r="F429" s="37">
        <v>0.21</v>
      </c>
      <c r="G429" s="38" t="str">
        <f>IFERROR(VLOOKUP("MZH 60-1",STOCK!B2:Q3677,3,FALSE),"SIN STOCK")</f>
        <v>Mayor a 5</v>
      </c>
      <c r="H429" s="27"/>
      <c r="I429" s="27"/>
      <c r="J429" s="27"/>
      <c r="K429" s="27"/>
      <c r="L429" s="27"/>
      <c r="M429" s="27"/>
      <c r="N429" s="27"/>
      <c r="O429" s="27"/>
      <c r="P429" s="27"/>
      <c r="Q429" s="27"/>
      <c r="R429" s="27"/>
      <c r="S429" s="27"/>
    </row>
    <row r="430" ht="15.75" customHeight="1">
      <c r="A430" s="40" t="s">
        <v>31</v>
      </c>
      <c r="B430" s="41" t="s">
        <v>1038</v>
      </c>
      <c r="C430" s="42" t="s">
        <v>1039</v>
      </c>
      <c r="D430" s="43" t="s">
        <v>1040</v>
      </c>
      <c r="E430" s="43" t="s">
        <v>1041</v>
      </c>
      <c r="F430" s="44">
        <v>0.21</v>
      </c>
      <c r="G430" s="49" t="str">
        <f>IFERROR(VLOOKUP("MZH 70-1",STOCK!B2:Q3677,3,FALSE),"SIN STOCK")</f>
        <v>Menor a 5</v>
      </c>
      <c r="H430" s="27"/>
      <c r="I430" s="27"/>
      <c r="J430" s="27"/>
      <c r="K430" s="27"/>
      <c r="L430" s="27"/>
      <c r="M430" s="27"/>
      <c r="N430" s="27"/>
      <c r="O430" s="27"/>
      <c r="P430" s="27"/>
      <c r="Q430" s="27"/>
      <c r="R430" s="27"/>
      <c r="S430" s="27"/>
    </row>
    <row r="431" ht="15.75" customHeight="1">
      <c r="A431" s="33" t="s">
        <v>31</v>
      </c>
      <c r="B431" s="45" t="s">
        <v>1042</v>
      </c>
      <c r="C431" s="34" t="s">
        <v>1043</v>
      </c>
      <c r="D431" s="36" t="s">
        <v>45</v>
      </c>
      <c r="E431" s="36" t="s">
        <v>46</v>
      </c>
      <c r="F431" s="37">
        <v>0.21</v>
      </c>
      <c r="G431" s="38" t="str">
        <f>IFERROR(VLOOKUP("XB2-14",STOCK!B2:Q3677,3,FALSE),"SIN STOCK")</f>
        <v>Mayor a 5</v>
      </c>
      <c r="H431" s="27"/>
      <c r="I431" s="27"/>
      <c r="J431" s="27"/>
      <c r="K431" s="27"/>
      <c r="L431" s="27"/>
      <c r="M431" s="27"/>
      <c r="N431" s="27"/>
      <c r="O431" s="27"/>
      <c r="P431" s="27"/>
      <c r="Q431" s="27"/>
      <c r="R431" s="27"/>
      <c r="S431" s="27"/>
    </row>
    <row r="432" ht="15.75" customHeight="1">
      <c r="A432" s="40" t="s">
        <v>31</v>
      </c>
      <c r="B432" s="41" t="s">
        <v>1044</v>
      </c>
      <c r="C432" s="42" t="s">
        <v>1045</v>
      </c>
      <c r="D432" s="43" t="s">
        <v>117</v>
      </c>
      <c r="E432" s="43" t="s">
        <v>118</v>
      </c>
      <c r="F432" s="44">
        <v>0.21</v>
      </c>
      <c r="G432" s="46" t="str">
        <f>IFERROR(VLOOKUP("MZH 80-1",STOCK!B2:Q3677,3,FALSE),"SIN STOCK")</f>
        <v>Menor a 5</v>
      </c>
      <c r="H432" s="27"/>
      <c r="I432" s="27"/>
      <c r="J432" s="27"/>
      <c r="K432" s="27"/>
      <c r="L432" s="27"/>
      <c r="M432" s="27"/>
      <c r="N432" s="27"/>
      <c r="O432" s="27"/>
      <c r="P432" s="27"/>
      <c r="Q432" s="27"/>
      <c r="R432" s="27"/>
      <c r="S432" s="27"/>
    </row>
    <row r="433" ht="15.75" customHeight="1">
      <c r="A433" s="33" t="s">
        <v>31</v>
      </c>
      <c r="B433" s="45" t="s">
        <v>1046</v>
      </c>
      <c r="C433" s="34" t="s">
        <v>1047</v>
      </c>
      <c r="D433" s="36" t="s">
        <v>1048</v>
      </c>
      <c r="E433" s="36" t="s">
        <v>1049</v>
      </c>
      <c r="F433" s="37">
        <v>0.21</v>
      </c>
      <c r="G433" s="46" t="str">
        <f>IFERROR(VLOOKUP("MZL 8003",STOCK!B2:Q3677,3,FALSE),"SIN STOCK")</f>
        <v>SIN STOCK</v>
      </c>
      <c r="H433" s="27"/>
      <c r="I433" s="27"/>
      <c r="J433" s="27"/>
      <c r="K433" s="27"/>
      <c r="L433" s="27"/>
      <c r="M433" s="27"/>
      <c r="N433" s="27"/>
      <c r="O433" s="27"/>
      <c r="P433" s="27"/>
      <c r="Q433" s="27"/>
      <c r="R433" s="27"/>
      <c r="S433" s="27"/>
    </row>
    <row r="434" ht="15.75" customHeight="1">
      <c r="A434" s="40" t="s">
        <v>31</v>
      </c>
      <c r="B434" s="41" t="s">
        <v>1050</v>
      </c>
      <c r="C434" s="42" t="s">
        <v>1051</v>
      </c>
      <c r="D434" s="43" t="s">
        <v>41</v>
      </c>
      <c r="E434" s="43" t="s">
        <v>42</v>
      </c>
      <c r="F434" s="44">
        <v>0.21</v>
      </c>
      <c r="G434" s="46" t="str">
        <f>IFERROR(VLOOKUP("MZL 8010",STOCK!B2:Q3677,3,FALSE),"SIN STOCK")</f>
        <v>SIN STOCK</v>
      </c>
      <c r="H434" s="27"/>
      <c r="I434" s="27"/>
      <c r="J434" s="27"/>
      <c r="K434" s="27"/>
      <c r="L434" s="27"/>
      <c r="M434" s="27"/>
      <c r="N434" s="27"/>
      <c r="O434" s="27"/>
      <c r="P434" s="27"/>
      <c r="Q434" s="27"/>
      <c r="R434" s="27"/>
      <c r="S434" s="27"/>
    </row>
    <row r="435" ht="15.75" customHeight="1">
      <c r="A435" s="33" t="s">
        <v>31</v>
      </c>
      <c r="B435" s="45" t="s">
        <v>1052</v>
      </c>
      <c r="C435" s="34" t="s">
        <v>1053</v>
      </c>
      <c r="D435" s="36" t="s">
        <v>514</v>
      </c>
      <c r="E435" s="36" t="s">
        <v>515</v>
      </c>
      <c r="F435" s="37">
        <v>0.21</v>
      </c>
      <c r="G435" s="46" t="str">
        <f>IFERROR(VLOOKUP("MZQ 100",STOCK!B2:Q3677,3,FALSE),"SIN STOCK")</f>
        <v>Menor a 5</v>
      </c>
      <c r="H435" s="27"/>
      <c r="I435" s="27"/>
      <c r="J435" s="27"/>
      <c r="K435" s="27"/>
      <c r="L435" s="27"/>
      <c r="M435" s="27"/>
      <c r="N435" s="27"/>
      <c r="O435" s="27"/>
      <c r="P435" s="27"/>
      <c r="Q435" s="27"/>
      <c r="R435" s="27"/>
      <c r="S435" s="27"/>
    </row>
    <row r="436" ht="15.75" customHeight="1">
      <c r="A436" s="40" t="s">
        <v>31</v>
      </c>
      <c r="B436" s="41" t="s">
        <v>1054</v>
      </c>
      <c r="C436" s="42" t="s">
        <v>1055</v>
      </c>
      <c r="D436" s="43" t="s">
        <v>88</v>
      </c>
      <c r="E436" s="43" t="s">
        <v>89</v>
      </c>
      <c r="F436" s="44">
        <v>0.21</v>
      </c>
      <c r="G436" s="46" t="str">
        <f>IFERROR(VLOOKUP("MZQ 8000",STOCK!B2:Q3677,3,FALSE),"SIN STOCK")</f>
        <v>SIN STOCK</v>
      </c>
      <c r="H436" s="27"/>
      <c r="I436" s="27"/>
      <c r="J436" s="27"/>
      <c r="K436" s="27"/>
      <c r="L436" s="27"/>
      <c r="M436" s="27"/>
      <c r="N436" s="27"/>
      <c r="O436" s="27"/>
      <c r="P436" s="27"/>
      <c r="Q436" s="27"/>
      <c r="R436" s="27"/>
      <c r="S436" s="27"/>
    </row>
    <row r="437" ht="15.75" customHeight="1">
      <c r="A437" s="33" t="s">
        <v>31</v>
      </c>
      <c r="B437" s="45" t="s">
        <v>1056</v>
      </c>
      <c r="C437" s="34" t="s">
        <v>1057</v>
      </c>
      <c r="D437" s="36" t="s">
        <v>197</v>
      </c>
      <c r="E437" s="36" t="s">
        <v>198</v>
      </c>
      <c r="F437" s="37">
        <v>0.21</v>
      </c>
      <c r="G437" s="46" t="str">
        <f>IFERROR(VLOOKUP("MZQ 8001",STOCK!B2:Q3677,3,FALSE),"SIN STOCK")</f>
        <v>SIN STOCK</v>
      </c>
      <c r="H437" s="27"/>
      <c r="I437" s="27"/>
      <c r="J437" s="27"/>
      <c r="K437" s="27"/>
      <c r="L437" s="27"/>
      <c r="M437" s="27"/>
      <c r="N437" s="27"/>
      <c r="O437" s="27"/>
      <c r="P437" s="27"/>
      <c r="Q437" s="27"/>
      <c r="R437" s="27"/>
      <c r="S437" s="27"/>
    </row>
    <row r="438" ht="15.75" customHeight="1">
      <c r="A438" s="40" t="s">
        <v>31</v>
      </c>
      <c r="B438" s="41" t="s">
        <v>1058</v>
      </c>
      <c r="C438" s="42" t="s">
        <v>1059</v>
      </c>
      <c r="D438" s="43" t="s">
        <v>1030</v>
      </c>
      <c r="E438" s="43" t="s">
        <v>1031</v>
      </c>
      <c r="F438" s="44">
        <v>0.21</v>
      </c>
      <c r="G438" s="49" t="str">
        <f>IFERROR(VLOOKUP("MZS 40",STOCK!B2:Q3677,3,FALSE),"SIN STOCK")</f>
        <v>Menor a 5</v>
      </c>
      <c r="H438" s="27"/>
      <c r="I438" s="27"/>
      <c r="J438" s="27"/>
      <c r="K438" s="27"/>
      <c r="L438" s="27"/>
      <c r="M438" s="27"/>
      <c r="N438" s="27"/>
      <c r="O438" s="27"/>
      <c r="P438" s="27"/>
      <c r="Q438" s="27"/>
      <c r="R438" s="27"/>
      <c r="S438" s="27"/>
    </row>
    <row r="439" ht="15.75" customHeight="1">
      <c r="A439" s="33" t="s">
        <v>31</v>
      </c>
      <c r="B439" s="45" t="s">
        <v>1060</v>
      </c>
      <c r="C439" s="34" t="s">
        <v>1061</v>
      </c>
      <c r="D439" s="36" t="s">
        <v>1030</v>
      </c>
      <c r="E439" s="36" t="s">
        <v>1031</v>
      </c>
      <c r="F439" s="37">
        <v>0.21</v>
      </c>
      <c r="G439" s="46" t="str">
        <f>IFERROR(VLOOKUP("MZS 80",STOCK!B2:Q3677,3,FALSE),"SIN STOCK")</f>
        <v>SIN STOCK</v>
      </c>
      <c r="H439" s="27"/>
      <c r="I439" s="27"/>
      <c r="J439" s="27"/>
      <c r="K439" s="27"/>
      <c r="L439" s="27"/>
      <c r="M439" s="27"/>
      <c r="N439" s="27"/>
      <c r="O439" s="27"/>
      <c r="P439" s="27"/>
      <c r="Q439" s="27"/>
      <c r="R439" s="27"/>
      <c r="S439" s="27"/>
    </row>
    <row r="440" ht="15.75" customHeight="1">
      <c r="A440" s="40" t="s">
        <v>31</v>
      </c>
      <c r="B440" s="41" t="s">
        <v>1062</v>
      </c>
      <c r="C440" s="42" t="s">
        <v>1063</v>
      </c>
      <c r="D440" s="43" t="s">
        <v>1016</v>
      </c>
      <c r="E440" s="43" t="s">
        <v>1017</v>
      </c>
      <c r="F440" s="44">
        <v>0.21</v>
      </c>
      <c r="G440" s="46" t="str">
        <f>IFERROR(VLOOKUP("MZS 8000",STOCK!B2:Q3677,3,FALSE),"SIN STOCK")</f>
        <v>SIN STOCK</v>
      </c>
      <c r="H440" s="27"/>
      <c r="I440" s="27"/>
      <c r="J440" s="27"/>
      <c r="K440" s="27"/>
      <c r="L440" s="27"/>
      <c r="M440" s="27"/>
      <c r="N440" s="27"/>
      <c r="O440" s="27"/>
      <c r="P440" s="27"/>
      <c r="Q440" s="27"/>
      <c r="R440" s="27"/>
      <c r="S440" s="27"/>
    </row>
    <row r="441" ht="15.75" customHeight="1">
      <c r="A441" s="33" t="s">
        <v>31</v>
      </c>
      <c r="B441" s="65" t="s">
        <v>1064</v>
      </c>
      <c r="C441" s="34" t="s">
        <v>1065</v>
      </c>
      <c r="D441" s="36" t="s">
        <v>1066</v>
      </c>
      <c r="E441" s="36" t="s">
        <v>1067</v>
      </c>
      <c r="F441" s="37">
        <v>0.21</v>
      </c>
      <c r="G441" s="49" t="str">
        <f>IFERROR(VLOOKUP("MZS20-1/216",STOCK!B2:Q3677,3,FALSE),"SIN STOCK")</f>
        <v>Menor a 5</v>
      </c>
      <c r="H441" s="27"/>
      <c r="I441" s="27"/>
      <c r="J441" s="27"/>
      <c r="K441" s="27"/>
      <c r="L441" s="27"/>
      <c r="M441" s="27"/>
      <c r="N441" s="27"/>
      <c r="O441" s="27"/>
      <c r="P441" s="27"/>
      <c r="Q441" s="27"/>
      <c r="R441" s="27"/>
      <c r="S441" s="27"/>
    </row>
    <row r="442" ht="15.75" customHeight="1">
      <c r="A442" s="40" t="s">
        <v>31</v>
      </c>
      <c r="B442" s="64" t="s">
        <v>1068</v>
      </c>
      <c r="C442" s="42" t="s">
        <v>1069</v>
      </c>
      <c r="D442" s="43" t="s">
        <v>1070</v>
      </c>
      <c r="E442" s="43" t="s">
        <v>1071</v>
      </c>
      <c r="F442" s="44">
        <v>0.21</v>
      </c>
      <c r="G442" s="46" t="str">
        <f>IFERROR(VLOOKUP("MZSCAM",STOCK!B2:Q3677,3,FALSE),"SIN STOCK")</f>
        <v>SIN STOCK</v>
      </c>
      <c r="H442" s="27"/>
      <c r="I442" s="27"/>
      <c r="J442" s="27"/>
      <c r="K442" s="27"/>
      <c r="L442" s="27"/>
      <c r="M442" s="27"/>
      <c r="N442" s="27"/>
      <c r="O442" s="27"/>
      <c r="P442" s="27"/>
      <c r="Q442" s="27"/>
      <c r="R442" s="27"/>
      <c r="S442" s="27"/>
    </row>
    <row r="443" ht="15.75" customHeight="1">
      <c r="A443" s="33" t="s">
        <v>31</v>
      </c>
      <c r="B443" s="45" t="s">
        <v>1072</v>
      </c>
      <c r="C443" s="34" t="s">
        <v>1073</v>
      </c>
      <c r="D443" s="36" t="s">
        <v>179</v>
      </c>
      <c r="E443" s="36" t="s">
        <v>180</v>
      </c>
      <c r="F443" s="37">
        <v>0.21</v>
      </c>
      <c r="G443" s="46" t="str">
        <f>IFERROR(VLOOKUP("MZT 8000",STOCK!B2:Q3677,3,FALSE),"SIN STOCK")</f>
        <v>SIN STOCK</v>
      </c>
      <c r="H443" s="27"/>
      <c r="I443" s="27"/>
      <c r="J443" s="27"/>
      <c r="K443" s="27"/>
      <c r="L443" s="27"/>
      <c r="M443" s="27"/>
      <c r="N443" s="27"/>
      <c r="O443" s="27"/>
      <c r="P443" s="27"/>
      <c r="Q443" s="27"/>
      <c r="R443" s="27"/>
      <c r="S443" s="27"/>
    </row>
    <row r="444" ht="15.75" customHeight="1">
      <c r="A444" s="40" t="s">
        <v>31</v>
      </c>
      <c r="B444" s="41" t="s">
        <v>1074</v>
      </c>
      <c r="C444" s="42" t="s">
        <v>1075</v>
      </c>
      <c r="D444" s="43" t="s">
        <v>179</v>
      </c>
      <c r="E444" s="43" t="s">
        <v>180</v>
      </c>
      <c r="F444" s="44">
        <v>0.21</v>
      </c>
      <c r="G444" s="46" t="str">
        <f>IFERROR(VLOOKUP("MZT 8001",STOCK!B2:Q3677,3,FALSE),"SIN STOCK")</f>
        <v>SIN STOCK</v>
      </c>
      <c r="H444" s="27"/>
      <c r="I444" s="27"/>
      <c r="J444" s="27"/>
      <c r="K444" s="27"/>
      <c r="L444" s="27"/>
      <c r="M444" s="27"/>
      <c r="N444" s="27"/>
      <c r="O444" s="27"/>
      <c r="P444" s="27"/>
      <c r="Q444" s="27"/>
      <c r="R444" s="27"/>
      <c r="S444" s="27"/>
    </row>
    <row r="445" ht="15.75" customHeight="1">
      <c r="A445" s="33" t="s">
        <v>31</v>
      </c>
      <c r="B445" s="45" t="s">
        <v>1076</v>
      </c>
      <c r="C445" s="34" t="s">
        <v>1077</v>
      </c>
      <c r="D445" s="36" t="s">
        <v>233</v>
      </c>
      <c r="E445" s="36" t="s">
        <v>234</v>
      </c>
      <c r="F445" s="37">
        <v>0.21</v>
      </c>
      <c r="G445" s="49" t="str">
        <f>IFERROR(VLOOKUP("MZW 20-1",STOCK!B2:Q3677,3,FALSE),"SIN STOCK")</f>
        <v>Menor a 5</v>
      </c>
      <c r="H445" s="27"/>
      <c r="I445" s="27"/>
      <c r="J445" s="27"/>
      <c r="K445" s="27"/>
      <c r="L445" s="27"/>
      <c r="M445" s="27"/>
      <c r="N445" s="27"/>
      <c r="O445" s="27"/>
      <c r="P445" s="27"/>
      <c r="Q445" s="27"/>
      <c r="R445" s="27"/>
      <c r="S445" s="27"/>
    </row>
    <row r="446" ht="15.75" customHeight="1">
      <c r="A446" s="40" t="s">
        <v>31</v>
      </c>
      <c r="B446" s="41" t="s">
        <v>1078</v>
      </c>
      <c r="C446" s="42" t="s">
        <v>1079</v>
      </c>
      <c r="D446" s="43" t="s">
        <v>88</v>
      </c>
      <c r="E446" s="43" t="s">
        <v>89</v>
      </c>
      <c r="F446" s="44">
        <v>0.21</v>
      </c>
      <c r="G446" s="46" t="str">
        <f>IFERROR(VLOOKUP("MZW 415-ANT",STOCK!B2:Q3677,3,FALSE),"SIN STOCK")</f>
        <v>SIN STOCK</v>
      </c>
      <c r="H446" s="27"/>
      <c r="I446" s="27"/>
      <c r="J446" s="27"/>
      <c r="K446" s="27"/>
      <c r="L446" s="27"/>
      <c r="M446" s="27"/>
      <c r="N446" s="27"/>
      <c r="O446" s="27"/>
      <c r="P446" s="27"/>
      <c r="Q446" s="27"/>
      <c r="R446" s="27"/>
      <c r="S446" s="27"/>
    </row>
    <row r="447" ht="15.75" customHeight="1">
      <c r="A447" s="33" t="s">
        <v>31</v>
      </c>
      <c r="B447" s="45" t="s">
        <v>1080</v>
      </c>
      <c r="C447" s="34" t="s">
        <v>1081</v>
      </c>
      <c r="D447" s="36" t="s">
        <v>1082</v>
      </c>
      <c r="E447" s="36" t="s">
        <v>1083</v>
      </c>
      <c r="F447" s="37">
        <v>0.21</v>
      </c>
      <c r="G447" s="38" t="str">
        <f>IFERROR(VLOOKUP("MZW 60-1",STOCK!B2:Q3677,3,FALSE),"SIN STOCK")</f>
        <v>Mayor a 5</v>
      </c>
      <c r="H447" s="27"/>
      <c r="I447" s="27"/>
      <c r="J447" s="27"/>
      <c r="K447" s="27"/>
      <c r="L447" s="27"/>
      <c r="M447" s="27"/>
      <c r="N447" s="27"/>
      <c r="O447" s="27"/>
      <c r="P447" s="27"/>
      <c r="Q447" s="27"/>
      <c r="R447" s="27"/>
      <c r="S447" s="27"/>
    </row>
    <row r="448" ht="15.75" customHeight="1">
      <c r="A448" s="40" t="s">
        <v>31</v>
      </c>
      <c r="B448" s="41" t="s">
        <v>1084</v>
      </c>
      <c r="C448" s="42" t="s">
        <v>1085</v>
      </c>
      <c r="D448" s="43" t="s">
        <v>539</v>
      </c>
      <c r="E448" s="43" t="s">
        <v>540</v>
      </c>
      <c r="F448" s="44">
        <v>0.21</v>
      </c>
      <c r="G448" s="46" t="str">
        <f>IFERROR(VLOOKUP("MZW 61",STOCK!B2:Q3677,3,FALSE),"SIN STOCK")</f>
        <v>SIN STOCK</v>
      </c>
      <c r="H448" s="27"/>
      <c r="I448" s="27"/>
      <c r="J448" s="27"/>
      <c r="K448" s="27"/>
      <c r="L448" s="27"/>
      <c r="M448" s="27"/>
      <c r="N448" s="27"/>
      <c r="O448" s="27"/>
      <c r="P448" s="27"/>
      <c r="Q448" s="27"/>
      <c r="R448" s="27"/>
      <c r="S448" s="27"/>
    </row>
    <row r="449" ht="15.75" customHeight="1">
      <c r="A449" s="33" t="s">
        <v>31</v>
      </c>
      <c r="B449" s="45" t="s">
        <v>1086</v>
      </c>
      <c r="C449" s="34" t="s">
        <v>1087</v>
      </c>
      <c r="D449" s="36" t="s">
        <v>1088</v>
      </c>
      <c r="E449" s="36" t="s">
        <v>1089</v>
      </c>
      <c r="F449" s="37">
        <v>0.21</v>
      </c>
      <c r="G449" s="49" t="str">
        <f>IFERROR(VLOOKUP("MZW 70-1",STOCK!B2:Q3677,3,FALSE),"SIN STOCK")</f>
        <v>Menor a 5</v>
      </c>
      <c r="H449" s="27"/>
      <c r="I449" s="27"/>
      <c r="J449" s="27"/>
      <c r="K449" s="27"/>
      <c r="L449" s="27"/>
      <c r="M449" s="27"/>
      <c r="N449" s="27"/>
      <c r="O449" s="27"/>
      <c r="P449" s="27"/>
      <c r="Q449" s="27"/>
      <c r="R449" s="27"/>
      <c r="S449" s="27"/>
    </row>
    <row r="450" ht="15.75" customHeight="1">
      <c r="A450" s="40" t="s">
        <v>31</v>
      </c>
      <c r="B450" s="41" t="s">
        <v>1090</v>
      </c>
      <c r="C450" s="42" t="s">
        <v>1091</v>
      </c>
      <c r="D450" s="43" t="s">
        <v>41</v>
      </c>
      <c r="E450" s="43" t="s">
        <v>42</v>
      </c>
      <c r="F450" s="44">
        <v>0.21</v>
      </c>
      <c r="G450" s="38" t="str">
        <f>IFERROR(VLOOKUP("MZW 71",STOCK!B2:Q3677,3,FALSE),"SIN STOCK")</f>
        <v>Mayor a 5</v>
      </c>
      <c r="H450" s="27"/>
      <c r="I450" s="27"/>
      <c r="J450" s="27"/>
      <c r="K450" s="27"/>
      <c r="L450" s="27"/>
      <c r="M450" s="27"/>
      <c r="N450" s="27"/>
      <c r="O450" s="27"/>
      <c r="P450" s="27"/>
      <c r="Q450" s="27"/>
      <c r="R450" s="27"/>
      <c r="S450" s="27"/>
    </row>
    <row r="451" ht="15.75" customHeight="1">
      <c r="A451" s="33" t="s">
        <v>31</v>
      </c>
      <c r="B451" s="45" t="s">
        <v>1092</v>
      </c>
      <c r="C451" s="34" t="s">
        <v>1093</v>
      </c>
      <c r="D451" s="36" t="s">
        <v>695</v>
      </c>
      <c r="E451" s="36" t="s">
        <v>696</v>
      </c>
      <c r="F451" s="37">
        <v>0.21</v>
      </c>
      <c r="G451" s="46" t="str">
        <f>IFERROR(VLOOKUP("MZW 8000",STOCK!B2:Q3677,3,FALSE),"SIN STOCK")</f>
        <v>SIN STOCK</v>
      </c>
      <c r="H451" s="27"/>
      <c r="I451" s="27"/>
      <c r="J451" s="27"/>
      <c r="K451" s="27"/>
      <c r="L451" s="27"/>
      <c r="M451" s="27"/>
      <c r="N451" s="27"/>
      <c r="O451" s="27"/>
      <c r="P451" s="27"/>
      <c r="Q451" s="27"/>
      <c r="R451" s="27"/>
      <c r="S451" s="27"/>
    </row>
    <row r="452" ht="15.75" customHeight="1">
      <c r="A452" s="40" t="s">
        <v>31</v>
      </c>
      <c r="B452" s="41" t="s">
        <v>1094</v>
      </c>
      <c r="C452" s="42" t="s">
        <v>1095</v>
      </c>
      <c r="D452" s="43" t="s">
        <v>169</v>
      </c>
      <c r="E452" s="43" t="s">
        <v>170</v>
      </c>
      <c r="F452" s="44">
        <v>0.21</v>
      </c>
      <c r="G452" s="46" t="str">
        <f>IFERROR(VLOOKUP("MZW 80-1",STOCK!B2:Q3677,3,FALSE),"SIN STOCK")</f>
        <v>Menor a 5</v>
      </c>
      <c r="H452" s="27"/>
      <c r="I452" s="27"/>
      <c r="J452" s="27"/>
      <c r="K452" s="27"/>
      <c r="L452" s="27"/>
      <c r="M452" s="27"/>
      <c r="N452" s="27"/>
      <c r="O452" s="27"/>
      <c r="P452" s="27"/>
      <c r="Q452" s="27"/>
      <c r="R452" s="27"/>
      <c r="S452" s="27"/>
    </row>
    <row r="453" ht="15.75" customHeight="1">
      <c r="A453" s="33" t="s">
        <v>31</v>
      </c>
      <c r="B453" s="45" t="s">
        <v>1096</v>
      </c>
      <c r="C453" s="34" t="s">
        <v>1097</v>
      </c>
      <c r="D453" s="36" t="s">
        <v>88</v>
      </c>
      <c r="E453" s="36" t="s">
        <v>89</v>
      </c>
      <c r="F453" s="37">
        <v>0.21</v>
      </c>
      <c r="G453" s="46" t="str">
        <f>IFERROR(VLOOKUP("MZW 80-ANT",STOCK!B2:Q3677,3,FALSE),"SIN STOCK")</f>
        <v>SIN STOCK</v>
      </c>
      <c r="H453" s="27"/>
      <c r="I453" s="27"/>
      <c r="J453" s="27"/>
      <c r="K453" s="27"/>
      <c r="L453" s="27"/>
      <c r="M453" s="27"/>
      <c r="N453" s="27"/>
      <c r="O453" s="27"/>
      <c r="P453" s="27"/>
      <c r="Q453" s="27"/>
      <c r="R453" s="27"/>
      <c r="S453" s="27"/>
    </row>
    <row r="454" ht="15.75" customHeight="1">
      <c r="A454" s="40" t="s">
        <v>31</v>
      </c>
      <c r="B454" s="41" t="s">
        <v>1098</v>
      </c>
      <c r="C454" s="42" t="s">
        <v>1099</v>
      </c>
      <c r="D454" s="43" t="s">
        <v>1082</v>
      </c>
      <c r="E454" s="43" t="s">
        <v>1083</v>
      </c>
      <c r="F454" s="44">
        <v>0.21</v>
      </c>
      <c r="G454" s="46" t="str">
        <f>IFERROR(VLOOKUP("MZX 8000",STOCK!B2:Q3677,3,FALSE),"SIN STOCK")</f>
        <v>SIN STOCK</v>
      </c>
      <c r="H454" s="27"/>
      <c r="I454" s="27"/>
      <c r="J454" s="27"/>
      <c r="K454" s="27"/>
      <c r="L454" s="27"/>
      <c r="M454" s="27"/>
      <c r="N454" s="27"/>
      <c r="O454" s="27"/>
      <c r="P454" s="27"/>
      <c r="Q454" s="27"/>
      <c r="R454" s="27"/>
      <c r="S454" s="27"/>
    </row>
    <row r="455" ht="15.75" customHeight="1">
      <c r="A455" s="33" t="s">
        <v>31</v>
      </c>
      <c r="B455" s="45" t="s">
        <v>1100</v>
      </c>
      <c r="C455" s="34" t="s">
        <v>1101</v>
      </c>
      <c r="D455" s="36" t="s">
        <v>88</v>
      </c>
      <c r="E455" s="36" t="s">
        <v>89</v>
      </c>
      <c r="F455" s="37">
        <v>0.21</v>
      </c>
      <c r="G455" s="46" t="str">
        <f>IFERROR(VLOOKUP("ACS5",STOCK!B2:Q3677,3,FALSE),"SIN STOCK")</f>
        <v>SIN STOCK</v>
      </c>
      <c r="H455" s="27"/>
      <c r="I455" s="27"/>
      <c r="J455" s="27"/>
      <c r="K455" s="27"/>
      <c r="L455" s="27"/>
      <c r="M455" s="27"/>
      <c r="N455" s="27"/>
      <c r="O455" s="27"/>
      <c r="P455" s="27"/>
      <c r="Q455" s="27"/>
      <c r="R455" s="27"/>
      <c r="S455" s="27"/>
    </row>
    <row r="456" ht="15.75" customHeight="1">
      <c r="A456" s="40" t="s">
        <v>31</v>
      </c>
      <c r="B456" s="64" t="s">
        <v>1102</v>
      </c>
      <c r="C456" s="42" t="s">
        <v>1103</v>
      </c>
      <c r="D456" s="43" t="s">
        <v>563</v>
      </c>
      <c r="E456" s="43" t="s">
        <v>564</v>
      </c>
      <c r="F456" s="44">
        <v>0.21</v>
      </c>
      <c r="G456" s="46" t="str">
        <f>IFERROR(VLOOKUP("INV-3",STOCK!B2:Q3677,3,FALSE),"SIN STOCK")</f>
        <v>SIN STOCK</v>
      </c>
      <c r="H456" s="27"/>
      <c r="I456" s="27"/>
      <c r="J456" s="27"/>
      <c r="K456" s="27"/>
      <c r="L456" s="27"/>
      <c r="M456" s="27"/>
      <c r="N456" s="27"/>
      <c r="O456" s="27"/>
      <c r="P456" s="27"/>
      <c r="Q456" s="27"/>
      <c r="R456" s="27"/>
      <c r="S456" s="27"/>
    </row>
    <row r="457" ht="15.75" customHeight="1">
      <c r="A457" s="33" t="s">
        <v>31</v>
      </c>
      <c r="B457" s="33" t="s">
        <v>1104</v>
      </c>
      <c r="C457" s="34" t="s">
        <v>1105</v>
      </c>
      <c r="D457" s="36" t="s">
        <v>563</v>
      </c>
      <c r="E457" s="36" t="s">
        <v>564</v>
      </c>
      <c r="F457" s="37">
        <v>0.21</v>
      </c>
      <c r="G457" s="46" t="str">
        <f>IFERROR(VLOOKUP("INV-5",STOCK!B2:Q3677,3,FALSE),"SIN STOCK")</f>
        <v>SIN STOCK</v>
      </c>
      <c r="H457" s="27"/>
      <c r="I457" s="27"/>
      <c r="J457" s="27"/>
      <c r="K457" s="27"/>
      <c r="L457" s="27"/>
      <c r="M457" s="27"/>
      <c r="N457" s="27"/>
      <c r="O457" s="27"/>
      <c r="P457" s="27"/>
      <c r="Q457" s="27"/>
      <c r="R457" s="27"/>
      <c r="S457" s="27"/>
    </row>
    <row r="458" ht="15.75" customHeight="1">
      <c r="A458" s="40" t="s">
        <v>31</v>
      </c>
      <c r="B458" s="41" t="s">
        <v>1106</v>
      </c>
      <c r="C458" s="42" t="s">
        <v>1107</v>
      </c>
      <c r="D458" s="43" t="s">
        <v>1108</v>
      </c>
      <c r="E458" s="43" t="s">
        <v>1109</v>
      </c>
      <c r="F458" s="44">
        <v>0.21</v>
      </c>
      <c r="G458" s="46" t="str">
        <f>IFERROR(VLOOKUP("KC6",STOCK!B2:Q3677,3,FALSE),"SIN STOCK")</f>
        <v>SIN STOCK</v>
      </c>
      <c r="H458" s="27"/>
      <c r="I458" s="27"/>
      <c r="J458" s="27"/>
      <c r="K458" s="27"/>
      <c r="L458" s="27"/>
      <c r="M458" s="27"/>
      <c r="N458" s="27"/>
      <c r="O458" s="27"/>
      <c r="P458" s="27"/>
      <c r="Q458" s="27"/>
      <c r="R458" s="27"/>
      <c r="S458" s="27"/>
    </row>
    <row r="459" ht="15.75" customHeight="1">
      <c r="A459" s="28" t="s">
        <v>1110</v>
      </c>
      <c r="B459" s="29"/>
      <c r="C459" s="29"/>
      <c r="D459" s="51"/>
      <c r="E459" s="31"/>
      <c r="F459" s="29"/>
      <c r="G459" s="29"/>
      <c r="H459" s="27"/>
      <c r="I459" s="27"/>
      <c r="J459" s="27"/>
      <c r="K459" s="27"/>
      <c r="L459" s="27"/>
      <c r="M459" s="27"/>
      <c r="N459" s="27"/>
      <c r="O459" s="27"/>
      <c r="P459" s="27"/>
      <c r="Q459" s="27"/>
      <c r="R459" s="27"/>
      <c r="S459" s="27"/>
    </row>
    <row r="460" ht="15.75" customHeight="1">
      <c r="A460" s="40" t="s">
        <v>31</v>
      </c>
      <c r="B460" s="41" t="s">
        <v>1111</v>
      </c>
      <c r="C460" s="42" t="s">
        <v>1112</v>
      </c>
      <c r="D460" s="43" t="s">
        <v>73</v>
      </c>
      <c r="E460" s="43" t="s">
        <v>74</v>
      </c>
      <c r="F460" s="44">
        <v>0.21</v>
      </c>
      <c r="G460" s="38" t="str">
        <f>IFERROR(VLOOKUP("MKE 200",STOCK!B2:Q3677,3,FALSE),"SIN STOCK")</f>
        <v>Mayor a 5</v>
      </c>
      <c r="H460" s="27"/>
      <c r="I460" s="27"/>
      <c r="J460" s="27"/>
      <c r="K460" s="27"/>
      <c r="L460" s="27"/>
      <c r="M460" s="27"/>
      <c r="N460" s="27"/>
      <c r="O460" s="27"/>
      <c r="P460" s="27"/>
      <c r="Q460" s="27"/>
      <c r="R460" s="27"/>
      <c r="S460" s="27"/>
    </row>
    <row r="461" ht="15.75" customHeight="1">
      <c r="A461" s="33" t="s">
        <v>31</v>
      </c>
      <c r="B461" s="45" t="s">
        <v>1113</v>
      </c>
      <c r="C461" s="34" t="s">
        <v>1114</v>
      </c>
      <c r="D461" s="36" t="s">
        <v>45</v>
      </c>
      <c r="E461" s="36" t="s">
        <v>46</v>
      </c>
      <c r="F461" s="37">
        <v>0.21</v>
      </c>
      <c r="G461" s="38" t="str">
        <f>IFERROR(VLOOKUP("MKE 200 MOBILE KIT",STOCK!B2:Q3677,3,FALSE),"SIN STOCK")</f>
        <v>Mayor a 5</v>
      </c>
      <c r="H461" s="27"/>
      <c r="I461" s="27"/>
      <c r="J461" s="27"/>
      <c r="K461" s="27"/>
      <c r="L461" s="27"/>
      <c r="M461" s="27"/>
      <c r="N461" s="27"/>
      <c r="O461" s="27"/>
      <c r="P461" s="27"/>
      <c r="Q461" s="27"/>
      <c r="R461" s="27"/>
      <c r="S461" s="27"/>
    </row>
    <row r="462" ht="15.75" customHeight="1">
      <c r="A462" s="40" t="s">
        <v>31</v>
      </c>
      <c r="B462" s="41" t="s">
        <v>1115</v>
      </c>
      <c r="C462" s="42" t="s">
        <v>1116</v>
      </c>
      <c r="D462" s="43" t="s">
        <v>49</v>
      </c>
      <c r="E462" s="43" t="s">
        <v>50</v>
      </c>
      <c r="F462" s="44">
        <v>0.21</v>
      </c>
      <c r="G462" s="38" t="str">
        <f>IFERROR(VLOOKUP("MKE 400",STOCK!B2:Q3677,3,FALSE),"SIN STOCK")</f>
        <v>Mayor a 5</v>
      </c>
      <c r="H462" s="27"/>
      <c r="I462" s="27"/>
      <c r="J462" s="27"/>
      <c r="K462" s="27"/>
      <c r="L462" s="27"/>
      <c r="M462" s="27"/>
      <c r="N462" s="27"/>
      <c r="O462" s="27"/>
      <c r="P462" s="27"/>
      <c r="Q462" s="27"/>
      <c r="R462" s="27"/>
      <c r="S462" s="27"/>
    </row>
    <row r="463" ht="15.75" customHeight="1">
      <c r="A463" s="33" t="s">
        <v>31</v>
      </c>
      <c r="B463" s="45" t="s">
        <v>1117</v>
      </c>
      <c r="C463" s="34" t="s">
        <v>1118</v>
      </c>
      <c r="D463" s="36" t="s">
        <v>1030</v>
      </c>
      <c r="E463" s="36" t="s">
        <v>1031</v>
      </c>
      <c r="F463" s="37">
        <v>0.21</v>
      </c>
      <c r="G463" s="38" t="str">
        <f>IFERROR(VLOOKUP("MKE 400 MOBILE KIT",STOCK!B2:Q3677,3,FALSE),"SIN STOCK")</f>
        <v>Mayor a 5</v>
      </c>
      <c r="H463" s="27"/>
      <c r="I463" s="27"/>
      <c r="J463" s="27"/>
      <c r="K463" s="27"/>
      <c r="L463" s="27"/>
      <c r="M463" s="27"/>
      <c r="N463" s="27"/>
      <c r="O463" s="27"/>
      <c r="P463" s="27"/>
      <c r="Q463" s="27"/>
      <c r="R463" s="27"/>
      <c r="S463" s="27"/>
    </row>
    <row r="464" ht="15.75" customHeight="1">
      <c r="A464" s="40" t="s">
        <v>31</v>
      </c>
      <c r="B464" s="41" t="s">
        <v>1119</v>
      </c>
      <c r="C464" s="42" t="s">
        <v>1120</v>
      </c>
      <c r="D464" s="43" t="s">
        <v>433</v>
      </c>
      <c r="E464" s="43" t="s">
        <v>434</v>
      </c>
      <c r="F464" s="44">
        <v>0.21</v>
      </c>
      <c r="G464" s="46" t="str">
        <f>IFERROR(VLOOKUP("MKE 440",STOCK!B2:Q3677,3,FALSE),"SIN STOCK")</f>
        <v>SIN STOCK</v>
      </c>
      <c r="H464" s="27"/>
      <c r="I464" s="27"/>
      <c r="J464" s="27"/>
      <c r="K464" s="27"/>
      <c r="L464" s="27"/>
      <c r="M464" s="27"/>
      <c r="N464" s="27"/>
      <c r="O464" s="27"/>
      <c r="P464" s="27"/>
      <c r="Q464" s="27"/>
      <c r="R464" s="27"/>
      <c r="S464" s="27"/>
    </row>
    <row r="465" ht="15.75" customHeight="1">
      <c r="A465" s="33" t="s">
        <v>31</v>
      </c>
      <c r="B465" s="45" t="s">
        <v>1121</v>
      </c>
      <c r="C465" s="34" t="s">
        <v>1122</v>
      </c>
      <c r="D465" s="36" t="s">
        <v>1082</v>
      </c>
      <c r="E465" s="36" t="s">
        <v>1083</v>
      </c>
      <c r="F465" s="37">
        <v>0.21</v>
      </c>
      <c r="G465" s="38" t="str">
        <f>IFERROR(VLOOKUP("MKE 600",STOCK!B2:Q3677,3,FALSE),"SIN STOCK")</f>
        <v>Menor a 5</v>
      </c>
      <c r="H465" s="27"/>
      <c r="I465" s="27"/>
      <c r="J465" s="27"/>
      <c r="K465" s="27"/>
      <c r="L465" s="27"/>
      <c r="M465" s="27"/>
      <c r="N465" s="27"/>
      <c r="O465" s="27"/>
      <c r="P465" s="27"/>
      <c r="Q465" s="27"/>
      <c r="R465" s="27"/>
      <c r="S465" s="27"/>
    </row>
    <row r="466" ht="15.75" customHeight="1">
      <c r="A466" s="40" t="s">
        <v>31</v>
      </c>
      <c r="B466" s="41" t="s">
        <v>1123</v>
      </c>
      <c r="C466" s="42" t="s">
        <v>1124</v>
      </c>
      <c r="D466" s="43" t="s">
        <v>88</v>
      </c>
      <c r="E466" s="43" t="s">
        <v>89</v>
      </c>
      <c r="F466" s="44">
        <v>0.21</v>
      </c>
      <c r="G466" s="46" t="str">
        <f>IFERROR(VLOOKUP("MOBILE KIT",STOCK!B2:Q3677,3,FALSE),"SIN STOCK")</f>
        <v>SIN STOCK</v>
      </c>
      <c r="H466" s="27"/>
      <c r="I466" s="27"/>
      <c r="J466" s="27"/>
      <c r="K466" s="27"/>
      <c r="L466" s="27"/>
      <c r="M466" s="27"/>
      <c r="N466" s="27"/>
      <c r="O466" s="27"/>
      <c r="P466" s="27"/>
      <c r="Q466" s="27"/>
      <c r="R466" s="27"/>
      <c r="S466" s="27"/>
    </row>
    <row r="467" ht="15.75" customHeight="1">
      <c r="A467" s="33" t="s">
        <v>31</v>
      </c>
      <c r="B467" s="45" t="s">
        <v>1125</v>
      </c>
      <c r="C467" s="34" t="s">
        <v>1126</v>
      </c>
      <c r="D467" s="36" t="s">
        <v>277</v>
      </c>
      <c r="E467" s="36" t="s">
        <v>277</v>
      </c>
      <c r="F467" s="37">
        <v>0.0</v>
      </c>
      <c r="G467" s="46" t="str">
        <f>IFERROR(VLOOKUP("AMBEO VR-MIC",STOCK!B2:Q3677,3,FALSE),"SIN STOCK")</f>
        <v>Menor a 5</v>
      </c>
      <c r="H467" s="27"/>
      <c r="I467" s="27"/>
      <c r="J467" s="27"/>
      <c r="K467" s="27"/>
      <c r="L467" s="27"/>
      <c r="M467" s="27"/>
      <c r="N467" s="27"/>
      <c r="O467" s="27"/>
      <c r="P467" s="27"/>
      <c r="Q467" s="27"/>
      <c r="R467" s="27"/>
      <c r="S467" s="27"/>
    </row>
    <row r="468" ht="15.75" customHeight="1">
      <c r="A468" s="40" t="s">
        <v>31</v>
      </c>
      <c r="B468" s="41" t="s">
        <v>1127</v>
      </c>
      <c r="C468" s="42" t="s">
        <v>1128</v>
      </c>
      <c r="D468" s="43" t="s">
        <v>49</v>
      </c>
      <c r="E468" s="43" t="s">
        <v>50</v>
      </c>
      <c r="F468" s="44">
        <v>0.21</v>
      </c>
      <c r="G468" s="46" t="str">
        <f>IFERROR(VLOOKUP("MD 42",STOCK!B2:Q3677,3,FALSE),"SIN STOCK")</f>
        <v>SIN STOCK</v>
      </c>
      <c r="H468" s="27"/>
      <c r="I468" s="27"/>
      <c r="J468" s="27"/>
      <c r="K468" s="27"/>
      <c r="L468" s="27"/>
      <c r="M468" s="27"/>
      <c r="N468" s="27"/>
      <c r="O468" s="27"/>
      <c r="P468" s="27"/>
      <c r="Q468" s="27"/>
      <c r="R468" s="27"/>
      <c r="S468" s="27"/>
    </row>
    <row r="469" ht="15.75" customHeight="1">
      <c r="A469" s="33" t="s">
        <v>31</v>
      </c>
      <c r="B469" s="45" t="s">
        <v>1129</v>
      </c>
      <c r="C469" s="34" t="s">
        <v>1130</v>
      </c>
      <c r="D469" s="36" t="s">
        <v>49</v>
      </c>
      <c r="E469" s="36" t="s">
        <v>50</v>
      </c>
      <c r="F469" s="37">
        <v>0.21</v>
      </c>
      <c r="G469" s="49" t="str">
        <f>IFERROR(VLOOKUP("MD 46",STOCK!B2:Q3677,3,FALSE),"SIN STOCK")</f>
        <v>Menor a 5</v>
      </c>
      <c r="H469" s="27"/>
      <c r="I469" s="27"/>
      <c r="J469" s="27"/>
      <c r="K469" s="27"/>
      <c r="L469" s="27"/>
      <c r="M469" s="27"/>
      <c r="N469" s="27"/>
      <c r="O469" s="27"/>
      <c r="P469" s="27"/>
      <c r="Q469" s="27"/>
      <c r="R469" s="27"/>
      <c r="S469" s="27"/>
    </row>
    <row r="470" ht="15.75" customHeight="1">
      <c r="A470" s="54" t="s">
        <v>1131</v>
      </c>
      <c r="B470" s="29"/>
      <c r="C470" s="29"/>
      <c r="D470" s="51"/>
      <c r="E470" s="31"/>
      <c r="F470" s="29"/>
      <c r="G470" s="29"/>
      <c r="H470" s="27"/>
      <c r="I470" s="27"/>
      <c r="J470" s="27"/>
      <c r="K470" s="27"/>
      <c r="L470" s="27"/>
      <c r="M470" s="27"/>
      <c r="N470" s="27"/>
      <c r="O470" s="27"/>
      <c r="P470" s="27"/>
      <c r="Q470" s="27"/>
      <c r="R470" s="27"/>
      <c r="S470" s="27"/>
    </row>
    <row r="471" ht="15.75" customHeight="1">
      <c r="A471" s="40" t="s">
        <v>31</v>
      </c>
      <c r="B471" s="41" t="s">
        <v>1132</v>
      </c>
      <c r="C471" s="42" t="s">
        <v>1133</v>
      </c>
      <c r="D471" s="43" t="s">
        <v>294</v>
      </c>
      <c r="E471" s="43" t="s">
        <v>295</v>
      </c>
      <c r="F471" s="44">
        <v>0.21</v>
      </c>
      <c r="G471" s="46" t="str">
        <f>IFERROR(VLOOKUP("MZH 200",STOCK!B2:Q3677,3,FALSE),"SIN STOCK")</f>
        <v>SIN STOCK</v>
      </c>
      <c r="H471" s="27"/>
      <c r="I471" s="27"/>
      <c r="J471" s="27"/>
      <c r="K471" s="27"/>
      <c r="L471" s="27"/>
      <c r="M471" s="27"/>
      <c r="N471" s="27"/>
      <c r="O471" s="27"/>
      <c r="P471" s="27"/>
      <c r="Q471" s="27"/>
      <c r="R471" s="27"/>
      <c r="S471" s="27"/>
    </row>
    <row r="472" ht="15.75" customHeight="1">
      <c r="A472" s="33" t="s">
        <v>31</v>
      </c>
      <c r="B472" s="45" t="s">
        <v>1134</v>
      </c>
      <c r="C472" s="34" t="s">
        <v>1135</v>
      </c>
      <c r="D472" s="36" t="s">
        <v>294</v>
      </c>
      <c r="E472" s="36" t="s">
        <v>295</v>
      </c>
      <c r="F472" s="37">
        <v>0.21</v>
      </c>
      <c r="G472" s="46" t="str">
        <f>IFERROR(VLOOKUP("MZH 400",STOCK!B2:Q3677,3,FALSE),"SIN STOCK")</f>
        <v>SIN STOCK</v>
      </c>
      <c r="H472" s="27"/>
      <c r="I472" s="27"/>
      <c r="J472" s="27"/>
      <c r="K472" s="27"/>
      <c r="L472" s="27"/>
      <c r="M472" s="27"/>
      <c r="N472" s="27"/>
      <c r="O472" s="27"/>
      <c r="P472" s="27"/>
      <c r="Q472" s="27"/>
      <c r="R472" s="27"/>
      <c r="S472" s="27"/>
    </row>
    <row r="473" ht="15.75" customHeight="1">
      <c r="A473" s="40" t="s">
        <v>31</v>
      </c>
      <c r="B473" s="41" t="s">
        <v>1136</v>
      </c>
      <c r="C473" s="42" t="s">
        <v>1137</v>
      </c>
      <c r="D473" s="43" t="s">
        <v>88</v>
      </c>
      <c r="E473" s="43" t="s">
        <v>89</v>
      </c>
      <c r="F473" s="44">
        <v>0.21</v>
      </c>
      <c r="G473" s="46" t="str">
        <f>IFERROR(VLOOKUP("MZH 440",STOCK!B2:Q3677,3,FALSE),"SIN STOCK")</f>
        <v>SIN STOCK</v>
      </c>
      <c r="H473" s="27"/>
      <c r="I473" s="27"/>
      <c r="J473" s="27"/>
      <c r="K473" s="27"/>
      <c r="L473" s="27"/>
      <c r="M473" s="27"/>
      <c r="N473" s="27"/>
      <c r="O473" s="27"/>
      <c r="P473" s="27"/>
      <c r="Q473" s="27"/>
      <c r="R473" s="27"/>
      <c r="S473" s="27"/>
    </row>
    <row r="474" ht="15.75" customHeight="1">
      <c r="A474" s="33" t="s">
        <v>31</v>
      </c>
      <c r="B474" s="45" t="s">
        <v>1138</v>
      </c>
      <c r="C474" s="34" t="s">
        <v>1139</v>
      </c>
      <c r="D474" s="36" t="s">
        <v>563</v>
      </c>
      <c r="E474" s="36" t="s">
        <v>564</v>
      </c>
      <c r="F474" s="37">
        <v>0.21</v>
      </c>
      <c r="G474" s="46" t="str">
        <f>IFERROR(VLOOKUP("MZH 600",STOCK!B2:Q3677,3,FALSE),"SIN STOCK")</f>
        <v>SIN STOCK</v>
      </c>
      <c r="H474" s="27"/>
      <c r="I474" s="27"/>
      <c r="J474" s="27"/>
      <c r="K474" s="27"/>
      <c r="L474" s="27"/>
      <c r="M474" s="27"/>
      <c r="N474" s="27"/>
      <c r="O474" s="27"/>
      <c r="P474" s="27"/>
      <c r="Q474" s="27"/>
      <c r="R474" s="27"/>
      <c r="S474" s="27"/>
    </row>
    <row r="475" ht="15.75" customHeight="1">
      <c r="A475" s="40" t="s">
        <v>31</v>
      </c>
      <c r="B475" s="41" t="s">
        <v>1140</v>
      </c>
      <c r="C475" s="42" t="s">
        <v>1141</v>
      </c>
      <c r="D475" s="43" t="s">
        <v>695</v>
      </c>
      <c r="E475" s="43" t="s">
        <v>696</v>
      </c>
      <c r="F475" s="44">
        <v>0.21</v>
      </c>
      <c r="G475" s="46" t="str">
        <f>IFERROR(VLOOKUP("MZQ 600",STOCK!B2:Q3677,3,FALSE),"SIN STOCK")</f>
        <v>SIN STOCK</v>
      </c>
      <c r="H475" s="27"/>
      <c r="I475" s="27"/>
      <c r="J475" s="27"/>
      <c r="K475" s="27"/>
      <c r="L475" s="27"/>
      <c r="M475" s="27"/>
      <c r="N475" s="27"/>
      <c r="O475" s="27"/>
      <c r="P475" s="27"/>
      <c r="Q475" s="27"/>
      <c r="R475" s="27"/>
      <c r="S475" s="27"/>
    </row>
    <row r="476" ht="15.75" customHeight="1">
      <c r="A476" s="33" t="s">
        <v>31</v>
      </c>
      <c r="B476" s="45" t="s">
        <v>1142</v>
      </c>
      <c r="C476" s="34" t="s">
        <v>1143</v>
      </c>
      <c r="D476" s="36" t="s">
        <v>294</v>
      </c>
      <c r="E476" s="36" t="s">
        <v>295</v>
      </c>
      <c r="F476" s="37">
        <v>0.21</v>
      </c>
      <c r="G476" s="46" t="str">
        <f>IFERROR(VLOOKUP("MZS 600",STOCK!B2:Q3677,3,FALSE),"SIN STOCK")</f>
        <v>SIN STOCK</v>
      </c>
      <c r="H476" s="27"/>
      <c r="I476" s="27"/>
      <c r="J476" s="27"/>
      <c r="K476" s="27"/>
      <c r="L476" s="27"/>
      <c r="M476" s="27"/>
      <c r="N476" s="27"/>
      <c r="O476" s="27"/>
      <c r="P476" s="27"/>
      <c r="Q476" s="27"/>
      <c r="R476" s="27"/>
      <c r="S476" s="27"/>
    </row>
    <row r="477" ht="15.75" customHeight="1">
      <c r="A477" s="40" t="s">
        <v>31</v>
      </c>
      <c r="B477" s="64" t="s">
        <v>1144</v>
      </c>
      <c r="C477" s="42" t="s">
        <v>327</v>
      </c>
      <c r="D477" s="43" t="s">
        <v>175</v>
      </c>
      <c r="E477" s="43" t="s">
        <v>176</v>
      </c>
      <c r="F477" s="44">
        <v>0.21</v>
      </c>
      <c r="G477" s="46" t="str">
        <f>IFERROR(VLOOKUP("MZW 400",STOCK!B2:Q3677,3,FALSE),"SIN STOCK")</f>
        <v>SIN STOCK</v>
      </c>
      <c r="H477" s="27"/>
      <c r="I477" s="27"/>
      <c r="J477" s="27"/>
      <c r="K477" s="27"/>
      <c r="L477" s="27"/>
      <c r="M477" s="27"/>
      <c r="N477" s="27"/>
      <c r="O477" s="27"/>
      <c r="P477" s="27"/>
      <c r="Q477" s="27"/>
      <c r="R477" s="27"/>
      <c r="S477" s="27"/>
    </row>
    <row r="478" ht="15.75" customHeight="1">
      <c r="A478" s="33" t="s">
        <v>31</v>
      </c>
      <c r="B478" s="45" t="s">
        <v>1145</v>
      </c>
      <c r="C478" s="34" t="s">
        <v>1146</v>
      </c>
      <c r="D478" s="36" t="s">
        <v>294</v>
      </c>
      <c r="E478" s="36" t="s">
        <v>295</v>
      </c>
      <c r="F478" s="37">
        <v>0.21</v>
      </c>
      <c r="G478" s="46" t="str">
        <f>IFERROR(VLOOKUP("MZW 600",STOCK!B2:Q3677,3,FALSE),"SIN STOCK")</f>
        <v>SIN STOCK</v>
      </c>
      <c r="H478" s="27"/>
      <c r="I478" s="27"/>
      <c r="J478" s="27"/>
      <c r="K478" s="27"/>
      <c r="L478" s="27"/>
      <c r="M478" s="27"/>
      <c r="N478" s="27"/>
      <c r="O478" s="27"/>
      <c r="P478" s="27"/>
      <c r="Q478" s="27"/>
      <c r="R478" s="27"/>
      <c r="S478" s="27"/>
    </row>
    <row r="479" ht="15.75" customHeight="1">
      <c r="A479" s="40" t="s">
        <v>31</v>
      </c>
      <c r="B479" s="64" t="s">
        <v>1147</v>
      </c>
      <c r="C479" s="42" t="s">
        <v>1148</v>
      </c>
      <c r="D479" s="43" t="s">
        <v>547</v>
      </c>
      <c r="E479" s="43" t="s">
        <v>548</v>
      </c>
      <c r="F479" s="44">
        <v>0.21</v>
      </c>
      <c r="G479" s="46" t="str">
        <f>IFERROR(VLOOKUP("XS LAV - FOAM WINDSHIELD",STOCK!B2:Q3677,3,FALSE),"SIN STOCK")</f>
        <v>SIN STOCK</v>
      </c>
      <c r="H479" s="27"/>
      <c r="I479" s="27"/>
      <c r="J479" s="27"/>
      <c r="K479" s="27"/>
      <c r="L479" s="27"/>
      <c r="M479" s="27"/>
      <c r="N479" s="27"/>
      <c r="O479" s="27"/>
      <c r="P479" s="27"/>
      <c r="Q479" s="27"/>
      <c r="R479" s="27"/>
      <c r="S479" s="27"/>
    </row>
    <row r="480" ht="15.75" customHeight="1">
      <c r="A480" s="33" t="s">
        <v>31</v>
      </c>
      <c r="B480" s="45" t="s">
        <v>1149</v>
      </c>
      <c r="C480" s="34" t="s">
        <v>1150</v>
      </c>
      <c r="D480" s="36" t="s">
        <v>514</v>
      </c>
      <c r="E480" s="36" t="s">
        <v>515</v>
      </c>
      <c r="F480" s="37">
        <v>0.21</v>
      </c>
      <c r="G480" s="46" t="str">
        <f>IFERROR(VLOOKUP("CL 35 USB-C",STOCK!B2:Q3677,3,FALSE),"SIN STOCK")</f>
        <v>SIN STOCK</v>
      </c>
      <c r="H480" s="27"/>
      <c r="I480" s="27"/>
      <c r="J480" s="27"/>
      <c r="K480" s="27"/>
      <c r="L480" s="27"/>
      <c r="M480" s="27"/>
      <c r="N480" s="27"/>
      <c r="O480" s="27"/>
      <c r="P480" s="27"/>
      <c r="Q480" s="27"/>
      <c r="R480" s="27"/>
      <c r="S480" s="27"/>
    </row>
    <row r="481" ht="15.75" customHeight="1">
      <c r="A481" s="40" t="s">
        <v>31</v>
      </c>
      <c r="B481" s="41" t="s">
        <v>1151</v>
      </c>
      <c r="C481" s="42" t="s">
        <v>1152</v>
      </c>
      <c r="D481" s="43" t="s">
        <v>294</v>
      </c>
      <c r="E481" s="43" t="s">
        <v>295</v>
      </c>
      <c r="F481" s="44">
        <v>0.21</v>
      </c>
      <c r="G481" s="46" t="str">
        <f>IFERROR(VLOOKUP("KA 600",STOCK!B2:Q3677,3,FALSE),"SIN STOCK")</f>
        <v>SIN STOCK</v>
      </c>
      <c r="H481" s="27"/>
      <c r="I481" s="27"/>
      <c r="J481" s="27"/>
      <c r="K481" s="27"/>
      <c r="L481" s="27"/>
      <c r="M481" s="27"/>
      <c r="N481" s="27"/>
      <c r="O481" s="27"/>
      <c r="P481" s="27"/>
      <c r="Q481" s="27"/>
      <c r="R481" s="27"/>
      <c r="S481" s="27"/>
    </row>
    <row r="482" ht="15.75" customHeight="1">
      <c r="A482" s="33" t="s">
        <v>31</v>
      </c>
      <c r="B482" s="45" t="s">
        <v>1153</v>
      </c>
      <c r="C482" s="34" t="s">
        <v>1154</v>
      </c>
      <c r="D482" s="36" t="s">
        <v>294</v>
      </c>
      <c r="E482" s="36" t="s">
        <v>295</v>
      </c>
      <c r="F482" s="37">
        <v>0.21</v>
      </c>
      <c r="G482" s="46" t="str">
        <f>IFERROR(VLOOKUP("KA 600 I",STOCK!B2:Q3677,3,FALSE),"SIN STOCK")</f>
        <v>SIN STOCK</v>
      </c>
      <c r="H482" s="27"/>
      <c r="I482" s="27"/>
      <c r="J482" s="27"/>
      <c r="K482" s="27"/>
      <c r="L482" s="27"/>
      <c r="M482" s="27"/>
      <c r="N482" s="27"/>
      <c r="O482" s="27"/>
      <c r="P482" s="27"/>
      <c r="Q482" s="27"/>
      <c r="R482" s="27"/>
      <c r="S482" s="27"/>
    </row>
    <row r="483" ht="15.75" customHeight="1">
      <c r="A483" s="40" t="s">
        <v>31</v>
      </c>
      <c r="B483" s="41" t="s">
        <v>1155</v>
      </c>
      <c r="C483" s="42" t="s">
        <v>1156</v>
      </c>
      <c r="D483" s="43" t="s">
        <v>49</v>
      </c>
      <c r="E483" s="43" t="s">
        <v>50</v>
      </c>
      <c r="F483" s="44">
        <v>0.21</v>
      </c>
      <c r="G483" s="46" t="str">
        <f>IFERROR(VLOOKUP("MMD 42-1",STOCK!B2:Q3677,3,FALSE),"SIN STOCK")</f>
        <v>SIN STOCK</v>
      </c>
      <c r="H483" s="27"/>
      <c r="I483" s="27"/>
      <c r="J483" s="27"/>
      <c r="K483" s="27"/>
      <c r="L483" s="27"/>
      <c r="M483" s="27"/>
      <c r="N483" s="27"/>
      <c r="O483" s="27"/>
      <c r="P483" s="27"/>
      <c r="Q483" s="27"/>
      <c r="R483" s="27"/>
      <c r="S483" s="27"/>
    </row>
    <row r="484" ht="15.75" customHeight="1">
      <c r="A484" s="54" t="s">
        <v>1157</v>
      </c>
      <c r="B484" s="29"/>
      <c r="C484" s="29"/>
      <c r="D484" s="51"/>
      <c r="E484" s="31"/>
      <c r="F484" s="29"/>
      <c r="G484" s="29"/>
      <c r="H484" s="27"/>
      <c r="I484" s="27"/>
      <c r="J484" s="27"/>
      <c r="K484" s="27"/>
      <c r="L484" s="27"/>
      <c r="M484" s="27"/>
      <c r="N484" s="27"/>
      <c r="O484" s="27"/>
      <c r="P484" s="27"/>
      <c r="Q484" s="27"/>
      <c r="R484" s="27"/>
      <c r="S484" s="27"/>
    </row>
    <row r="485" ht="15.75" customHeight="1">
      <c r="A485" s="40" t="s">
        <v>31</v>
      </c>
      <c r="B485" s="41" t="s">
        <v>1158</v>
      </c>
      <c r="C485" s="42" t="s">
        <v>1159</v>
      </c>
      <c r="D485" s="43" t="s">
        <v>88</v>
      </c>
      <c r="E485" s="43" t="s">
        <v>89</v>
      </c>
      <c r="F485" s="44">
        <v>0.21</v>
      </c>
      <c r="G485" s="38" t="str">
        <f>IFERROR(VLOOKUP("XS Lav Mobile",STOCK!B2:Q3677,3,FALSE),"SIN STOCK")</f>
        <v>Mayor a 5</v>
      </c>
      <c r="H485" s="27"/>
      <c r="I485" s="27"/>
      <c r="J485" s="27"/>
      <c r="K485" s="27"/>
      <c r="L485" s="27"/>
      <c r="M485" s="27"/>
      <c r="N485" s="27"/>
      <c r="O485" s="27"/>
      <c r="P485" s="27"/>
      <c r="Q485" s="27"/>
      <c r="R485" s="27"/>
      <c r="S485" s="27"/>
    </row>
    <row r="486" ht="15.75" customHeight="1">
      <c r="A486" s="33" t="s">
        <v>31</v>
      </c>
      <c r="B486" s="45" t="s">
        <v>1160</v>
      </c>
      <c r="C486" s="34" t="s">
        <v>1161</v>
      </c>
      <c r="D486" s="36" t="s">
        <v>197</v>
      </c>
      <c r="E486" s="36" t="s">
        <v>198</v>
      </c>
      <c r="F486" s="37">
        <v>0.21</v>
      </c>
      <c r="G486" s="38" t="str">
        <f>IFERROR(VLOOKUP("XS Lav USB-C",STOCK!B2:Q3677,3,FALSE),"SIN STOCK")</f>
        <v>Mayor a 5</v>
      </c>
      <c r="H486" s="27"/>
      <c r="I486" s="27"/>
      <c r="J486" s="27"/>
      <c r="K486" s="27"/>
      <c r="L486" s="27"/>
      <c r="M486" s="27"/>
      <c r="N486" s="27"/>
      <c r="O486" s="27"/>
      <c r="P486" s="27"/>
      <c r="Q486" s="27"/>
      <c r="R486" s="27"/>
      <c r="S486" s="27"/>
    </row>
    <row r="487" ht="15.75" customHeight="1">
      <c r="A487" s="40" t="s">
        <v>31</v>
      </c>
      <c r="B487" s="41" t="s">
        <v>1162</v>
      </c>
      <c r="C487" s="42" t="s">
        <v>1163</v>
      </c>
      <c r="D487" s="43" t="s">
        <v>45</v>
      </c>
      <c r="E487" s="43" t="s">
        <v>46</v>
      </c>
      <c r="F487" s="44">
        <v>0.21</v>
      </c>
      <c r="G487" s="38" t="str">
        <f>IFERROR(VLOOKUP("XS Lav USB-C Mobile Kit",STOCK!B2:Q3677,3,FALSE),"SIN STOCK")</f>
        <v>Mayor a 5</v>
      </c>
      <c r="H487" s="27"/>
      <c r="I487" s="27"/>
      <c r="J487" s="27"/>
      <c r="K487" s="27"/>
      <c r="L487" s="27"/>
      <c r="M487" s="27"/>
      <c r="N487" s="27"/>
      <c r="O487" s="27"/>
      <c r="P487" s="27"/>
      <c r="Q487" s="27"/>
      <c r="R487" s="27"/>
      <c r="S487" s="27"/>
    </row>
    <row r="488" ht="15.75" customHeight="1">
      <c r="A488" s="33" t="s">
        <v>31</v>
      </c>
      <c r="B488" s="45" t="s">
        <v>1164</v>
      </c>
      <c r="C488" s="34" t="s">
        <v>1165</v>
      </c>
      <c r="D488" s="36" t="s">
        <v>131</v>
      </c>
      <c r="E488" s="36" t="s">
        <v>132</v>
      </c>
      <c r="F488" s="37">
        <v>0.21</v>
      </c>
      <c r="G488" s="46" t="str">
        <f>IFERROR(VLOOKUP("MKE MINI",STOCK!B2:Q3677,3,FALSE),"SIN STOCK")</f>
        <v>SIN STOCK</v>
      </c>
      <c r="H488" s="27"/>
      <c r="I488" s="27"/>
      <c r="J488" s="27"/>
      <c r="K488" s="27"/>
      <c r="L488" s="27"/>
      <c r="M488" s="27"/>
      <c r="N488" s="27"/>
      <c r="O488" s="27"/>
      <c r="P488" s="27"/>
      <c r="Q488" s="27"/>
      <c r="R488" s="27"/>
      <c r="S488" s="27"/>
    </row>
    <row r="489" ht="15.75" customHeight="1">
      <c r="A489" s="40" t="s">
        <v>31</v>
      </c>
      <c r="B489" s="41" t="s">
        <v>1166</v>
      </c>
      <c r="C489" s="42" t="s">
        <v>1167</v>
      </c>
      <c r="D489" s="43" t="s">
        <v>531</v>
      </c>
      <c r="E489" s="43" t="s">
        <v>532</v>
      </c>
      <c r="F489" s="44">
        <v>0.21</v>
      </c>
      <c r="G489" s="49" t="str">
        <f>IFERROR(VLOOKUP("ME 2",STOCK!B2:Q3677,3,FALSE),"SIN STOCK")</f>
        <v>Menor a 5</v>
      </c>
      <c r="H489" s="27"/>
      <c r="I489" s="27"/>
      <c r="J489" s="27"/>
      <c r="K489" s="27"/>
      <c r="L489" s="27"/>
      <c r="M489" s="27"/>
      <c r="N489" s="27"/>
      <c r="O489" s="27"/>
      <c r="P489" s="27"/>
      <c r="Q489" s="27"/>
      <c r="R489" s="27"/>
      <c r="S489" s="27"/>
    </row>
    <row r="490" ht="15.75" customHeight="1">
      <c r="A490" s="33" t="s">
        <v>31</v>
      </c>
      <c r="B490" s="45" t="s">
        <v>1168</v>
      </c>
      <c r="C490" s="34" t="s">
        <v>1169</v>
      </c>
      <c r="D490" s="36" t="s">
        <v>531</v>
      </c>
      <c r="E490" s="36" t="s">
        <v>532</v>
      </c>
      <c r="F490" s="37">
        <v>0.21</v>
      </c>
      <c r="G490" s="49" t="str">
        <f>IFERROR(VLOOKUP("ME 4",STOCK!B2:Q3677,3,FALSE),"SIN STOCK")</f>
        <v>Mayor a 5</v>
      </c>
      <c r="H490" s="27"/>
      <c r="I490" s="27"/>
      <c r="J490" s="27"/>
      <c r="K490" s="27"/>
      <c r="L490" s="27"/>
      <c r="M490" s="27"/>
      <c r="N490" s="27"/>
      <c r="O490" s="27"/>
      <c r="P490" s="27"/>
      <c r="Q490" s="27"/>
      <c r="R490" s="27"/>
      <c r="S490" s="27"/>
    </row>
    <row r="491" ht="15.75" customHeight="1">
      <c r="A491" s="40" t="s">
        <v>31</v>
      </c>
      <c r="B491" s="41" t="s">
        <v>1170</v>
      </c>
      <c r="C491" s="42" t="s">
        <v>1171</v>
      </c>
      <c r="D491" s="43" t="s">
        <v>410</v>
      </c>
      <c r="E491" s="43" t="s">
        <v>411</v>
      </c>
      <c r="F491" s="44">
        <v>0.21</v>
      </c>
      <c r="G491" s="49" t="str">
        <f>IFERROR(VLOOKUP("MKE 1-4",STOCK!B2:Q3677,3,FALSE),"SIN STOCK")</f>
        <v>Menor a 5</v>
      </c>
      <c r="H491" s="27"/>
      <c r="I491" s="27"/>
      <c r="J491" s="27"/>
      <c r="K491" s="27"/>
      <c r="L491" s="27"/>
      <c r="M491" s="27"/>
      <c r="N491" s="27"/>
      <c r="O491" s="27"/>
      <c r="P491" s="27"/>
      <c r="Q491" s="27"/>
      <c r="R491" s="27"/>
      <c r="S491" s="27"/>
    </row>
    <row r="492" ht="15.75" customHeight="1">
      <c r="A492" s="33" t="s">
        <v>31</v>
      </c>
      <c r="B492" s="45" t="s">
        <v>1172</v>
      </c>
      <c r="C492" s="34" t="s">
        <v>1173</v>
      </c>
      <c r="D492" s="36" t="s">
        <v>410</v>
      </c>
      <c r="E492" s="36" t="s">
        <v>411</v>
      </c>
      <c r="F492" s="37">
        <v>0.21</v>
      </c>
      <c r="G492" s="46" t="str">
        <f>IFERROR(VLOOKUP("MKE 1-4-1",STOCK!B2:Q3677,3,FALSE),"SIN STOCK")</f>
        <v>SIN STOCK</v>
      </c>
      <c r="H492" s="27"/>
      <c r="I492" s="27"/>
      <c r="J492" s="27"/>
      <c r="K492" s="27"/>
      <c r="L492" s="27"/>
      <c r="M492" s="27"/>
      <c r="N492" s="27"/>
      <c r="O492" s="27"/>
      <c r="P492" s="27"/>
      <c r="Q492" s="27"/>
      <c r="R492" s="27"/>
      <c r="S492" s="27"/>
    </row>
    <row r="493" ht="15.75" customHeight="1">
      <c r="A493" s="40" t="s">
        <v>31</v>
      </c>
      <c r="B493" s="41" t="s">
        <v>1174</v>
      </c>
      <c r="C493" s="42" t="s">
        <v>1175</v>
      </c>
      <c r="D493" s="43" t="s">
        <v>410</v>
      </c>
      <c r="E493" s="43" t="s">
        <v>411</v>
      </c>
      <c r="F493" s="44">
        <v>0.21</v>
      </c>
      <c r="G493" s="46" t="str">
        <f>IFERROR(VLOOKUP("MKE 1-4-2",STOCK!B2:Q3677,3,FALSE),"SIN STOCK")</f>
        <v>SIN STOCK</v>
      </c>
      <c r="H493" s="27"/>
      <c r="I493" s="27"/>
      <c r="J493" s="27"/>
      <c r="K493" s="27"/>
      <c r="L493" s="27"/>
      <c r="M493" s="27"/>
      <c r="N493" s="27"/>
      <c r="O493" s="27"/>
      <c r="P493" s="27"/>
      <c r="Q493" s="27"/>
      <c r="R493" s="27"/>
      <c r="S493" s="27"/>
    </row>
    <row r="494" ht="15.75" customHeight="1">
      <c r="A494" s="33" t="s">
        <v>31</v>
      </c>
      <c r="B494" s="45" t="s">
        <v>1176</v>
      </c>
      <c r="C494" s="34" t="s">
        <v>1177</v>
      </c>
      <c r="D494" s="36" t="s">
        <v>410</v>
      </c>
      <c r="E494" s="36" t="s">
        <v>411</v>
      </c>
      <c r="F494" s="37">
        <v>0.21</v>
      </c>
      <c r="G494" s="46" t="str">
        <f>IFERROR(VLOOKUP("MKE1-4-3",STOCK!B2:Q3677,3,FALSE),"SIN STOCK")</f>
        <v>SIN STOCK</v>
      </c>
      <c r="H494" s="27"/>
      <c r="I494" s="27"/>
      <c r="J494" s="27"/>
      <c r="K494" s="27"/>
      <c r="L494" s="27"/>
      <c r="M494" s="27"/>
      <c r="N494" s="27"/>
      <c r="O494" s="27"/>
      <c r="P494" s="27"/>
      <c r="Q494" s="27"/>
      <c r="R494" s="27"/>
      <c r="S494" s="27"/>
    </row>
    <row r="495" ht="15.75" customHeight="1">
      <c r="A495" s="40" t="s">
        <v>31</v>
      </c>
      <c r="B495" s="41" t="s">
        <v>1178</v>
      </c>
      <c r="C495" s="42" t="s">
        <v>1179</v>
      </c>
      <c r="D495" s="43" t="s">
        <v>410</v>
      </c>
      <c r="E495" s="43" t="s">
        <v>411</v>
      </c>
      <c r="F495" s="44">
        <v>0.21</v>
      </c>
      <c r="G495" s="46" t="str">
        <f>IFERROR(VLOOKUP("MKE 1-4-M",STOCK!B2:Q3677,3,FALSE),"SIN STOCK")</f>
        <v>SIN STOCK</v>
      </c>
      <c r="H495" s="27"/>
      <c r="I495" s="27"/>
      <c r="J495" s="27"/>
      <c r="K495" s="27"/>
      <c r="L495" s="27"/>
      <c r="M495" s="27"/>
      <c r="N495" s="27"/>
      <c r="O495" s="27"/>
      <c r="P495" s="27"/>
      <c r="Q495" s="27"/>
      <c r="R495" s="27"/>
      <c r="S495" s="27"/>
    </row>
    <row r="496" ht="15.75" customHeight="1">
      <c r="A496" s="33" t="s">
        <v>31</v>
      </c>
      <c r="B496" s="45" t="s">
        <v>1180</v>
      </c>
      <c r="C496" s="34" t="s">
        <v>1181</v>
      </c>
      <c r="D496" s="36" t="s">
        <v>410</v>
      </c>
      <c r="E496" s="36" t="s">
        <v>411</v>
      </c>
      <c r="F496" s="37">
        <v>0.21</v>
      </c>
      <c r="G496" s="38" t="str">
        <f>IFERROR(VLOOKUP("MKE 1-5",STOCK!B2:Q3677,3,FALSE),"SIN STOCK")</f>
        <v>Mayor a 5</v>
      </c>
      <c r="H496" s="27"/>
      <c r="I496" s="27"/>
      <c r="J496" s="27"/>
      <c r="K496" s="27"/>
      <c r="L496" s="27"/>
      <c r="M496" s="27"/>
      <c r="N496" s="27"/>
      <c r="O496" s="27"/>
      <c r="P496" s="27"/>
      <c r="Q496" s="27"/>
      <c r="R496" s="27"/>
      <c r="S496" s="27"/>
    </row>
    <row r="497" ht="15.75" customHeight="1">
      <c r="A497" s="40" t="s">
        <v>31</v>
      </c>
      <c r="B497" s="41" t="s">
        <v>1182</v>
      </c>
      <c r="C497" s="42" t="s">
        <v>1183</v>
      </c>
      <c r="D497" s="43" t="s">
        <v>410</v>
      </c>
      <c r="E497" s="43" t="s">
        <v>411</v>
      </c>
      <c r="F497" s="44">
        <v>0.21</v>
      </c>
      <c r="G497" s="38" t="str">
        <f>IFERROR(VLOOKUP("MKE 1-5-3",STOCK!B2:Q3677,3,FALSE),"SIN STOCK")</f>
        <v>Mayor a 5</v>
      </c>
      <c r="H497" s="27"/>
      <c r="I497" s="27"/>
      <c r="J497" s="27"/>
      <c r="K497" s="27"/>
      <c r="L497" s="27"/>
      <c r="M497" s="27"/>
      <c r="N497" s="27"/>
      <c r="O497" s="27"/>
      <c r="P497" s="27"/>
      <c r="Q497" s="27"/>
      <c r="R497" s="27"/>
      <c r="S497" s="27"/>
    </row>
    <row r="498" ht="15.75" customHeight="1">
      <c r="A498" s="33" t="s">
        <v>31</v>
      </c>
      <c r="B498" s="45" t="s">
        <v>1184</v>
      </c>
      <c r="C498" s="34" t="s">
        <v>1185</v>
      </c>
      <c r="D498" s="36" t="s">
        <v>410</v>
      </c>
      <c r="E498" s="36" t="s">
        <v>411</v>
      </c>
      <c r="F498" s="37">
        <v>0.21</v>
      </c>
      <c r="G498" s="46" t="str">
        <f>IFERROR(VLOOKUP("MKE 1-EW",STOCK!B2:Q3677,3,FALSE),"SIN STOCK")</f>
        <v>SIN STOCK</v>
      </c>
      <c r="H498" s="27"/>
      <c r="I498" s="27"/>
      <c r="J498" s="27"/>
      <c r="K498" s="27"/>
      <c r="L498" s="27"/>
      <c r="M498" s="27"/>
      <c r="N498" s="27"/>
      <c r="O498" s="27"/>
      <c r="P498" s="27"/>
      <c r="Q498" s="27"/>
      <c r="R498" s="27"/>
      <c r="S498" s="27"/>
    </row>
    <row r="499" ht="15.75" customHeight="1">
      <c r="A499" s="40" t="s">
        <v>31</v>
      </c>
      <c r="B499" s="41" t="s">
        <v>1186</v>
      </c>
      <c r="C499" s="42" t="s">
        <v>1187</v>
      </c>
      <c r="D499" s="43" t="s">
        <v>410</v>
      </c>
      <c r="E499" s="43" t="s">
        <v>411</v>
      </c>
      <c r="F499" s="44">
        <v>0.21</v>
      </c>
      <c r="G499" s="46" t="str">
        <f>IFERROR(VLOOKUP("MKE 1-EW-3",STOCK!B2:Q3677,3,FALSE),"SIN STOCK")</f>
        <v>SIN STOCK</v>
      </c>
      <c r="H499" s="27"/>
      <c r="I499" s="27"/>
      <c r="J499" s="27"/>
      <c r="K499" s="27"/>
      <c r="L499" s="27"/>
      <c r="M499" s="27"/>
      <c r="N499" s="27"/>
      <c r="O499" s="27"/>
      <c r="P499" s="27"/>
      <c r="Q499" s="27"/>
      <c r="R499" s="27"/>
      <c r="S499" s="27"/>
    </row>
    <row r="500" ht="15.75" customHeight="1">
      <c r="A500" s="33" t="s">
        <v>31</v>
      </c>
      <c r="B500" s="45" t="s">
        <v>1188</v>
      </c>
      <c r="C500" s="34" t="s">
        <v>1189</v>
      </c>
      <c r="D500" s="36" t="s">
        <v>77</v>
      </c>
      <c r="E500" s="36" t="s">
        <v>78</v>
      </c>
      <c r="F500" s="37">
        <v>0.21</v>
      </c>
      <c r="G500" s="46" t="str">
        <f>IFERROR(VLOOKUP("MKE 2 (BEIGE 3-PIN)",STOCK!B2:Q3677,3,FALSE),"SIN STOCK")</f>
        <v>SIN STOCK</v>
      </c>
      <c r="H500" s="27"/>
      <c r="I500" s="27"/>
      <c r="J500" s="27"/>
      <c r="K500" s="27"/>
      <c r="L500" s="27"/>
      <c r="M500" s="27"/>
      <c r="N500" s="27"/>
      <c r="O500" s="27"/>
      <c r="P500" s="27"/>
      <c r="Q500" s="27"/>
      <c r="R500" s="27"/>
      <c r="S500" s="27"/>
    </row>
    <row r="501" ht="15.75" customHeight="1">
      <c r="A501" s="40" t="s">
        <v>31</v>
      </c>
      <c r="B501" s="41" t="s">
        <v>1190</v>
      </c>
      <c r="C501" s="42" t="s">
        <v>1191</v>
      </c>
      <c r="D501" s="43" t="s">
        <v>77</v>
      </c>
      <c r="E501" s="43" t="s">
        <v>78</v>
      </c>
      <c r="F501" s="44">
        <v>0.21</v>
      </c>
      <c r="G501" s="38" t="str">
        <f>IFERROR(VLOOKUP("MKE 2 (BEIGE EW)",STOCK!B2:Q3677,3,FALSE),"SIN STOCK")</f>
        <v>Menor a 5</v>
      </c>
      <c r="H501" s="27"/>
      <c r="I501" s="27"/>
      <c r="J501" s="27"/>
      <c r="K501" s="27"/>
      <c r="L501" s="27"/>
      <c r="M501" s="27"/>
      <c r="N501" s="27"/>
      <c r="O501" s="27"/>
      <c r="P501" s="27"/>
      <c r="Q501" s="27"/>
      <c r="R501" s="27"/>
      <c r="S501" s="27"/>
    </row>
    <row r="502" ht="15.75" customHeight="1">
      <c r="A502" s="33" t="s">
        <v>31</v>
      </c>
      <c r="B502" s="45" t="s">
        <v>1192</v>
      </c>
      <c r="C502" s="34" t="s">
        <v>1193</v>
      </c>
      <c r="D502" s="36" t="s">
        <v>77</v>
      </c>
      <c r="E502" s="36" t="s">
        <v>78</v>
      </c>
      <c r="F502" s="37">
        <v>0.21</v>
      </c>
      <c r="G502" s="38" t="str">
        <f>IFERROR(VLOOKUP("MKE 2 (BEIGE OPEN END)",STOCK!B2:Q3677,3,FALSE),"SIN STOCK")</f>
        <v>Mayor a 5</v>
      </c>
      <c r="H502" s="27"/>
      <c r="I502" s="27"/>
      <c r="J502" s="27"/>
      <c r="K502" s="27"/>
      <c r="L502" s="27"/>
      <c r="M502" s="27"/>
      <c r="N502" s="27"/>
      <c r="O502" s="27"/>
      <c r="P502" s="27"/>
      <c r="Q502" s="27"/>
      <c r="R502" s="27"/>
      <c r="S502" s="27"/>
    </row>
    <row r="503" ht="15.75" customHeight="1">
      <c r="A503" s="40" t="s">
        <v>31</v>
      </c>
      <c r="B503" s="41" t="s">
        <v>1194</v>
      </c>
      <c r="C503" s="42" t="s">
        <v>1195</v>
      </c>
      <c r="D503" s="43" t="s">
        <v>77</v>
      </c>
      <c r="E503" s="43" t="s">
        <v>78</v>
      </c>
      <c r="F503" s="44">
        <v>0.21</v>
      </c>
      <c r="G503" s="46" t="str">
        <f>IFERROR(VLOOKUP("MKE 2 (BLACK 3-PIN)",STOCK!B2:Q3677,3,FALSE),"SIN STOCK")</f>
        <v>SIN STOCK</v>
      </c>
      <c r="H503" s="27"/>
      <c r="I503" s="27"/>
      <c r="J503" s="27"/>
      <c r="K503" s="27"/>
      <c r="L503" s="27"/>
      <c r="M503" s="27"/>
      <c r="N503" s="27"/>
      <c r="O503" s="27"/>
      <c r="P503" s="27"/>
      <c r="Q503" s="27"/>
      <c r="R503" s="27"/>
      <c r="S503" s="27"/>
    </row>
    <row r="504" ht="15.75" customHeight="1">
      <c r="A504" s="33" t="s">
        <v>31</v>
      </c>
      <c r="B504" s="45" t="s">
        <v>1196</v>
      </c>
      <c r="C504" s="34" t="s">
        <v>1197</v>
      </c>
      <c r="D504" s="36" t="s">
        <v>77</v>
      </c>
      <c r="E504" s="36" t="s">
        <v>78</v>
      </c>
      <c r="F504" s="37">
        <v>0.21</v>
      </c>
      <c r="G504" s="49" t="str">
        <f>IFERROR(VLOOKUP("MKE 2 (BLACK EW)",STOCK!B2:Q3677,3,FALSE),"SIN STOCK")</f>
        <v>Menor a 5</v>
      </c>
      <c r="H504" s="27"/>
      <c r="I504" s="27"/>
      <c r="J504" s="27"/>
      <c r="K504" s="27"/>
      <c r="L504" s="27"/>
      <c r="M504" s="27"/>
      <c r="N504" s="27"/>
      <c r="O504" s="27"/>
      <c r="P504" s="27"/>
      <c r="Q504" s="27"/>
      <c r="R504" s="27"/>
      <c r="S504" s="27"/>
    </row>
    <row r="505" ht="15.75" customHeight="1">
      <c r="A505" s="40" t="s">
        <v>31</v>
      </c>
      <c r="B505" s="41" t="s">
        <v>1198</v>
      </c>
      <c r="C505" s="42" t="s">
        <v>1199</v>
      </c>
      <c r="D505" s="43" t="s">
        <v>77</v>
      </c>
      <c r="E505" s="43" t="s">
        <v>78</v>
      </c>
      <c r="F505" s="44">
        <v>0.21</v>
      </c>
      <c r="G505" s="38" t="str">
        <f>IFERROR(VLOOKUP("MKE 2 (BLACK OPEN END)",STOCK!B2:Q3677,3,FALSE),"SIN STOCK")</f>
        <v>Mayor a 5</v>
      </c>
      <c r="H505" s="27"/>
      <c r="I505" s="27"/>
      <c r="J505" s="27"/>
      <c r="K505" s="27"/>
      <c r="L505" s="27"/>
      <c r="M505" s="27"/>
      <c r="N505" s="27"/>
      <c r="O505" s="27"/>
      <c r="P505" s="27"/>
      <c r="Q505" s="27"/>
      <c r="R505" s="27"/>
      <c r="S505" s="27"/>
    </row>
    <row r="506" ht="15.75" customHeight="1">
      <c r="A506" s="33" t="s">
        <v>31</v>
      </c>
      <c r="B506" s="45" t="s">
        <v>1200</v>
      </c>
      <c r="C506" s="34" t="s">
        <v>1201</v>
      </c>
      <c r="D506" s="36" t="s">
        <v>77</v>
      </c>
      <c r="E506" s="36" t="s">
        <v>78</v>
      </c>
      <c r="F506" s="37">
        <v>0.21</v>
      </c>
      <c r="G506" s="60" t="s">
        <v>516</v>
      </c>
      <c r="H506" s="27"/>
      <c r="I506" s="27"/>
      <c r="J506" s="27"/>
      <c r="K506" s="27"/>
      <c r="L506" s="27"/>
      <c r="M506" s="27"/>
      <c r="N506" s="27"/>
      <c r="O506" s="27"/>
      <c r="P506" s="27"/>
      <c r="Q506" s="27"/>
      <c r="R506" s="27"/>
      <c r="S506" s="27"/>
    </row>
    <row r="507" ht="15.75" customHeight="1">
      <c r="A507" s="40" t="s">
        <v>31</v>
      </c>
      <c r="B507" s="41" t="s">
        <v>1202</v>
      </c>
      <c r="C507" s="42" t="s">
        <v>1203</v>
      </c>
      <c r="D507" s="43" t="s">
        <v>1204</v>
      </c>
      <c r="E507" s="43" t="s">
        <v>1205</v>
      </c>
      <c r="F507" s="44">
        <v>0.21</v>
      </c>
      <c r="G507" s="60" t="s">
        <v>516</v>
      </c>
      <c r="H507" s="27"/>
      <c r="I507" s="27"/>
      <c r="J507" s="27"/>
      <c r="K507" s="27"/>
      <c r="L507" s="27"/>
      <c r="M507" s="27"/>
      <c r="N507" s="27"/>
      <c r="O507" s="27"/>
      <c r="P507" s="27"/>
      <c r="Q507" s="27"/>
      <c r="R507" s="27"/>
      <c r="S507" s="27"/>
    </row>
    <row r="508" ht="15.75" customHeight="1">
      <c r="A508" s="33" t="s">
        <v>31</v>
      </c>
      <c r="B508" s="45" t="s">
        <v>1206</v>
      </c>
      <c r="C508" s="34" t="s">
        <v>1207</v>
      </c>
      <c r="D508" s="36" t="s">
        <v>57</v>
      </c>
      <c r="E508" s="36" t="s">
        <v>58</v>
      </c>
      <c r="F508" s="37">
        <v>0.21</v>
      </c>
      <c r="G508" s="60" t="s">
        <v>516</v>
      </c>
      <c r="H508" s="27"/>
      <c r="I508" s="27"/>
      <c r="J508" s="27"/>
      <c r="K508" s="27"/>
      <c r="L508" s="27"/>
      <c r="M508" s="27"/>
      <c r="N508" s="27"/>
      <c r="O508" s="27"/>
      <c r="P508" s="27"/>
      <c r="Q508" s="27"/>
      <c r="R508" s="27"/>
      <c r="S508" s="27"/>
    </row>
    <row r="509" ht="15.75" customHeight="1">
      <c r="A509" s="40" t="s">
        <v>31</v>
      </c>
      <c r="B509" s="41" t="s">
        <v>1208</v>
      </c>
      <c r="C509" s="42" t="s">
        <v>1209</v>
      </c>
      <c r="D509" s="43" t="s">
        <v>57</v>
      </c>
      <c r="E509" s="43" t="s">
        <v>58</v>
      </c>
      <c r="F509" s="44">
        <v>0.21</v>
      </c>
      <c r="G509" s="60" t="s">
        <v>516</v>
      </c>
      <c r="H509" s="27"/>
      <c r="I509" s="27"/>
      <c r="J509" s="27"/>
      <c r="K509" s="27"/>
      <c r="L509" s="27"/>
      <c r="M509" s="27"/>
      <c r="N509" s="27"/>
      <c r="O509" s="27"/>
      <c r="P509" s="27"/>
      <c r="Q509" s="27"/>
      <c r="R509" s="27"/>
      <c r="S509" s="27"/>
    </row>
    <row r="510" ht="15.75" customHeight="1">
      <c r="A510" s="33" t="s">
        <v>31</v>
      </c>
      <c r="B510" s="45" t="s">
        <v>1210</v>
      </c>
      <c r="C510" s="34" t="s">
        <v>1211</v>
      </c>
      <c r="D510" s="36" t="s">
        <v>57</v>
      </c>
      <c r="E510" s="36" t="s">
        <v>58</v>
      </c>
      <c r="F510" s="37">
        <v>0.21</v>
      </c>
      <c r="G510" s="60" t="s">
        <v>516</v>
      </c>
      <c r="H510" s="27"/>
      <c r="I510" s="27"/>
      <c r="J510" s="27"/>
      <c r="K510" s="27"/>
      <c r="L510" s="27"/>
      <c r="M510" s="27"/>
      <c r="N510" s="27"/>
      <c r="O510" s="27"/>
      <c r="P510" s="27"/>
      <c r="Q510" s="27"/>
      <c r="R510" s="27"/>
      <c r="S510" s="27"/>
    </row>
    <row r="511" ht="15.75" customHeight="1">
      <c r="A511" s="40" t="s">
        <v>31</v>
      </c>
      <c r="B511" s="41" t="s">
        <v>1212</v>
      </c>
      <c r="C511" s="42" t="s">
        <v>1213</v>
      </c>
      <c r="D511" s="43" t="s">
        <v>57</v>
      </c>
      <c r="E511" s="43" t="s">
        <v>58</v>
      </c>
      <c r="F511" s="44">
        <v>0.21</v>
      </c>
      <c r="G511" s="60" t="s">
        <v>516</v>
      </c>
      <c r="H511" s="27"/>
      <c r="I511" s="27"/>
      <c r="J511" s="27"/>
      <c r="K511" s="27"/>
      <c r="L511" s="27"/>
      <c r="M511" s="27"/>
      <c r="N511" s="27"/>
      <c r="O511" s="27"/>
      <c r="P511" s="27"/>
      <c r="Q511" s="27"/>
      <c r="R511" s="27"/>
      <c r="S511" s="27"/>
    </row>
    <row r="512" ht="15.75" customHeight="1">
      <c r="A512" s="33" t="s">
        <v>31</v>
      </c>
      <c r="B512" s="33" t="s">
        <v>1214</v>
      </c>
      <c r="C512" s="34" t="s">
        <v>1215</v>
      </c>
      <c r="D512" s="36" t="s">
        <v>1216</v>
      </c>
      <c r="E512" s="36" t="s">
        <v>1217</v>
      </c>
      <c r="F512" s="37">
        <v>0.21</v>
      </c>
      <c r="G512" s="60" t="s">
        <v>516</v>
      </c>
      <c r="H512" s="27"/>
      <c r="I512" s="27"/>
      <c r="J512" s="27"/>
      <c r="K512" s="27"/>
      <c r="L512" s="27"/>
      <c r="M512" s="27"/>
      <c r="N512" s="27"/>
      <c r="O512" s="27"/>
      <c r="P512" s="27"/>
      <c r="Q512" s="27"/>
      <c r="R512" s="27"/>
      <c r="S512" s="27"/>
    </row>
    <row r="513" ht="15.75" customHeight="1">
      <c r="A513" s="40" t="s">
        <v>31</v>
      </c>
      <c r="B513" s="40" t="s">
        <v>1218</v>
      </c>
      <c r="C513" s="42" t="s">
        <v>1219</v>
      </c>
      <c r="D513" s="43" t="s">
        <v>1216</v>
      </c>
      <c r="E513" s="43" t="s">
        <v>1217</v>
      </c>
      <c r="F513" s="44">
        <v>0.21</v>
      </c>
      <c r="G513" s="60" t="s">
        <v>516</v>
      </c>
      <c r="H513" s="27"/>
      <c r="I513" s="27"/>
      <c r="J513" s="27"/>
      <c r="K513" s="27"/>
      <c r="L513" s="27"/>
      <c r="M513" s="27"/>
      <c r="N513" s="27"/>
      <c r="O513" s="27"/>
      <c r="P513" s="27"/>
      <c r="Q513" s="27"/>
      <c r="R513" s="27"/>
      <c r="S513" s="27"/>
    </row>
    <row r="514" ht="15.75" customHeight="1">
      <c r="A514" s="33" t="s">
        <v>31</v>
      </c>
      <c r="B514" s="33" t="s">
        <v>1220</v>
      </c>
      <c r="C514" s="34" t="s">
        <v>1221</v>
      </c>
      <c r="D514" s="36" t="s">
        <v>1216</v>
      </c>
      <c r="E514" s="36" t="s">
        <v>1217</v>
      </c>
      <c r="F514" s="37">
        <v>0.21</v>
      </c>
      <c r="G514" s="60" t="s">
        <v>516</v>
      </c>
      <c r="H514" s="27"/>
      <c r="I514" s="27"/>
      <c r="J514" s="27"/>
      <c r="K514" s="27"/>
      <c r="L514" s="27"/>
      <c r="M514" s="27"/>
      <c r="N514" s="27"/>
      <c r="O514" s="27"/>
      <c r="P514" s="27"/>
      <c r="Q514" s="27"/>
      <c r="R514" s="27"/>
      <c r="S514" s="27"/>
    </row>
    <row r="515" ht="15.75" customHeight="1">
      <c r="A515" s="40" t="s">
        <v>31</v>
      </c>
      <c r="B515" s="40" t="s">
        <v>1222</v>
      </c>
      <c r="C515" s="42" t="s">
        <v>1223</v>
      </c>
      <c r="D515" s="43" t="s">
        <v>1216</v>
      </c>
      <c r="E515" s="43" t="s">
        <v>1217</v>
      </c>
      <c r="F515" s="44">
        <v>0.21</v>
      </c>
      <c r="G515" s="60" t="s">
        <v>516</v>
      </c>
      <c r="H515" s="27"/>
      <c r="I515" s="27"/>
      <c r="J515" s="27"/>
      <c r="K515" s="27"/>
      <c r="L515" s="27"/>
      <c r="M515" s="27"/>
      <c r="N515" s="27"/>
      <c r="O515" s="27"/>
      <c r="P515" s="27"/>
      <c r="Q515" s="27"/>
      <c r="R515" s="27"/>
      <c r="S515" s="27"/>
    </row>
    <row r="516" ht="15.75" customHeight="1">
      <c r="A516" s="33" t="s">
        <v>31</v>
      </c>
      <c r="B516" s="33" t="s">
        <v>1224</v>
      </c>
      <c r="C516" s="34" t="s">
        <v>1225</v>
      </c>
      <c r="D516" s="36" t="s">
        <v>1216</v>
      </c>
      <c r="E516" s="36" t="s">
        <v>1217</v>
      </c>
      <c r="F516" s="37">
        <v>0.21</v>
      </c>
      <c r="G516" s="60" t="s">
        <v>516</v>
      </c>
      <c r="H516" s="27"/>
      <c r="I516" s="27"/>
      <c r="J516" s="27"/>
      <c r="K516" s="27"/>
      <c r="L516" s="27"/>
      <c r="M516" s="27"/>
      <c r="N516" s="27"/>
      <c r="O516" s="27"/>
      <c r="P516" s="27"/>
      <c r="Q516" s="27"/>
      <c r="R516" s="27"/>
      <c r="S516" s="27"/>
    </row>
    <row r="517" ht="15.75" customHeight="1">
      <c r="A517" s="40" t="s">
        <v>31</v>
      </c>
      <c r="B517" s="40" t="s">
        <v>1226</v>
      </c>
      <c r="C517" s="42" t="s">
        <v>1227</v>
      </c>
      <c r="D517" s="43" t="s">
        <v>1216</v>
      </c>
      <c r="E517" s="43" t="s">
        <v>1217</v>
      </c>
      <c r="F517" s="44">
        <v>0.21</v>
      </c>
      <c r="G517" s="60" t="s">
        <v>516</v>
      </c>
      <c r="H517" s="27"/>
      <c r="I517" s="27"/>
      <c r="J517" s="27"/>
      <c r="K517" s="27"/>
      <c r="L517" s="27"/>
      <c r="M517" s="27"/>
      <c r="N517" s="27"/>
      <c r="O517" s="27"/>
      <c r="P517" s="27"/>
      <c r="Q517" s="27"/>
      <c r="R517" s="27"/>
      <c r="S517" s="27"/>
    </row>
    <row r="518" ht="15.75" customHeight="1">
      <c r="A518" s="33" t="s">
        <v>31</v>
      </c>
      <c r="B518" s="33" t="s">
        <v>1228</v>
      </c>
      <c r="C518" s="34" t="s">
        <v>1229</v>
      </c>
      <c r="D518" s="36" t="s">
        <v>1216</v>
      </c>
      <c r="E518" s="36" t="s">
        <v>1217</v>
      </c>
      <c r="F518" s="37">
        <v>0.21</v>
      </c>
      <c r="G518" s="60" t="s">
        <v>516</v>
      </c>
      <c r="H518" s="27"/>
      <c r="I518" s="27"/>
      <c r="J518" s="27"/>
      <c r="K518" s="27"/>
      <c r="L518" s="27"/>
      <c r="M518" s="27"/>
      <c r="N518" s="27"/>
      <c r="O518" s="27"/>
      <c r="P518" s="27"/>
      <c r="Q518" s="27"/>
      <c r="R518" s="27"/>
      <c r="S518" s="27"/>
    </row>
    <row r="519" ht="15.75" customHeight="1">
      <c r="A519" s="40" t="s">
        <v>31</v>
      </c>
      <c r="B519" s="40" t="s">
        <v>1230</v>
      </c>
      <c r="C519" s="42" t="s">
        <v>1231</v>
      </c>
      <c r="D519" s="43" t="s">
        <v>1216</v>
      </c>
      <c r="E519" s="43" t="s">
        <v>1217</v>
      </c>
      <c r="F519" s="44">
        <v>0.21</v>
      </c>
      <c r="G519" s="60" t="s">
        <v>516</v>
      </c>
      <c r="H519" s="27"/>
      <c r="I519" s="27"/>
      <c r="J519" s="27"/>
      <c r="K519" s="27"/>
      <c r="L519" s="27"/>
      <c r="M519" s="27"/>
      <c r="N519" s="27"/>
      <c r="O519" s="27"/>
      <c r="P519" s="27"/>
      <c r="Q519" s="27"/>
      <c r="R519" s="27"/>
      <c r="S519" s="27"/>
    </row>
    <row r="520" ht="15.75" customHeight="1">
      <c r="A520" s="33" t="s">
        <v>31</v>
      </c>
      <c r="B520" s="33" t="s">
        <v>1232</v>
      </c>
      <c r="C520" s="34" t="s">
        <v>1233</v>
      </c>
      <c r="D520" s="36" t="s">
        <v>1216</v>
      </c>
      <c r="E520" s="36" t="s">
        <v>1217</v>
      </c>
      <c r="F520" s="37">
        <v>0.21</v>
      </c>
      <c r="G520" s="60" t="s">
        <v>516</v>
      </c>
      <c r="H520" s="27"/>
      <c r="I520" s="27"/>
      <c r="J520" s="27"/>
      <c r="K520" s="27"/>
      <c r="L520" s="27"/>
      <c r="M520" s="27"/>
      <c r="N520" s="27"/>
      <c r="O520" s="27"/>
      <c r="P520" s="27"/>
      <c r="Q520" s="27"/>
      <c r="R520" s="27"/>
      <c r="S520" s="27"/>
    </row>
    <row r="521" ht="15.75" customHeight="1">
      <c r="A521" s="40" t="s">
        <v>31</v>
      </c>
      <c r="B521" s="40" t="s">
        <v>1234</v>
      </c>
      <c r="C521" s="42" t="s">
        <v>1235</v>
      </c>
      <c r="D521" s="43" t="s">
        <v>1216</v>
      </c>
      <c r="E521" s="43" t="s">
        <v>1217</v>
      </c>
      <c r="F521" s="44">
        <v>0.21</v>
      </c>
      <c r="G521" s="60" t="s">
        <v>516</v>
      </c>
      <c r="H521" s="27"/>
      <c r="I521" s="27"/>
      <c r="J521" s="27"/>
      <c r="K521" s="27"/>
      <c r="L521" s="27"/>
      <c r="M521" s="27"/>
      <c r="N521" s="27"/>
      <c r="O521" s="27"/>
      <c r="P521" s="27"/>
      <c r="Q521" s="27"/>
      <c r="R521" s="27"/>
      <c r="S521" s="27"/>
    </row>
    <row r="522" ht="15.75" customHeight="1">
      <c r="A522" s="33" t="s">
        <v>31</v>
      </c>
      <c r="B522" s="33" t="s">
        <v>1236</v>
      </c>
      <c r="C522" s="34" t="s">
        <v>1237</v>
      </c>
      <c r="D522" s="36" t="s">
        <v>1216</v>
      </c>
      <c r="E522" s="36" t="s">
        <v>1217</v>
      </c>
      <c r="F522" s="37">
        <v>0.21</v>
      </c>
      <c r="G522" s="60" t="s">
        <v>516</v>
      </c>
      <c r="H522" s="27"/>
      <c r="I522" s="27"/>
      <c r="J522" s="27"/>
      <c r="K522" s="27"/>
      <c r="L522" s="27"/>
      <c r="M522" s="27"/>
      <c r="N522" s="27"/>
      <c r="O522" s="27"/>
      <c r="P522" s="27"/>
      <c r="Q522" s="27"/>
      <c r="R522" s="27"/>
      <c r="S522" s="27"/>
    </row>
    <row r="523" ht="15.75" customHeight="1">
      <c r="A523" s="40" t="s">
        <v>31</v>
      </c>
      <c r="B523" s="40" t="s">
        <v>1238</v>
      </c>
      <c r="C523" s="42" t="s">
        <v>1239</v>
      </c>
      <c r="D523" s="43" t="s">
        <v>1216</v>
      </c>
      <c r="E523" s="43" t="s">
        <v>1217</v>
      </c>
      <c r="F523" s="44">
        <v>0.21</v>
      </c>
      <c r="G523" s="60" t="s">
        <v>516</v>
      </c>
      <c r="H523" s="27"/>
      <c r="I523" s="27"/>
      <c r="J523" s="27"/>
      <c r="K523" s="27"/>
      <c r="L523" s="27"/>
      <c r="M523" s="27"/>
      <c r="N523" s="27"/>
      <c r="O523" s="27"/>
      <c r="P523" s="27"/>
      <c r="Q523" s="27"/>
      <c r="R523" s="27"/>
      <c r="S523" s="27"/>
    </row>
    <row r="524" ht="15.75" customHeight="1">
      <c r="A524" s="33" t="s">
        <v>31</v>
      </c>
      <c r="B524" s="33" t="s">
        <v>1240</v>
      </c>
      <c r="C524" s="34" t="s">
        <v>1241</v>
      </c>
      <c r="D524" s="36" t="s">
        <v>1216</v>
      </c>
      <c r="E524" s="36" t="s">
        <v>1217</v>
      </c>
      <c r="F524" s="37">
        <v>0.21</v>
      </c>
      <c r="G524" s="60" t="s">
        <v>516</v>
      </c>
      <c r="H524" s="27"/>
      <c r="I524" s="27"/>
      <c r="J524" s="27"/>
      <c r="K524" s="27"/>
      <c r="L524" s="27"/>
      <c r="M524" s="27"/>
      <c r="N524" s="27"/>
      <c r="O524" s="27"/>
      <c r="P524" s="27"/>
      <c r="Q524" s="27"/>
      <c r="R524" s="27"/>
      <c r="S524" s="27"/>
    </row>
    <row r="525" ht="15.75" customHeight="1">
      <c r="A525" s="40" t="s">
        <v>31</v>
      </c>
      <c r="B525" s="40" t="s">
        <v>1242</v>
      </c>
      <c r="C525" s="42" t="s">
        <v>1243</v>
      </c>
      <c r="D525" s="43" t="s">
        <v>1216</v>
      </c>
      <c r="E525" s="43" t="s">
        <v>1217</v>
      </c>
      <c r="F525" s="44">
        <v>0.21</v>
      </c>
      <c r="G525" s="60" t="s">
        <v>516</v>
      </c>
      <c r="H525" s="27"/>
      <c r="I525" s="27"/>
      <c r="J525" s="27"/>
      <c r="K525" s="27"/>
      <c r="L525" s="27"/>
      <c r="M525" s="27"/>
      <c r="N525" s="27"/>
      <c r="O525" s="27"/>
      <c r="P525" s="27"/>
      <c r="Q525" s="27"/>
      <c r="R525" s="27"/>
      <c r="S525" s="27"/>
    </row>
    <row r="526" ht="15.75" customHeight="1">
      <c r="A526" s="33" t="s">
        <v>31</v>
      </c>
      <c r="B526" s="33" t="s">
        <v>1244</v>
      </c>
      <c r="C526" s="34" t="s">
        <v>1245</v>
      </c>
      <c r="D526" s="36" t="s">
        <v>1216</v>
      </c>
      <c r="E526" s="36" t="s">
        <v>1217</v>
      </c>
      <c r="F526" s="37">
        <v>0.21</v>
      </c>
      <c r="G526" s="60" t="s">
        <v>516</v>
      </c>
      <c r="H526" s="27"/>
      <c r="I526" s="27"/>
      <c r="J526" s="27"/>
      <c r="K526" s="27"/>
      <c r="L526" s="27"/>
      <c r="M526" s="27"/>
      <c r="N526" s="27"/>
      <c r="O526" s="27"/>
      <c r="P526" s="27"/>
      <c r="Q526" s="27"/>
      <c r="R526" s="27"/>
      <c r="S526" s="27"/>
    </row>
    <row r="527" ht="15.75" customHeight="1">
      <c r="A527" s="40" t="s">
        <v>31</v>
      </c>
      <c r="B527" s="40" t="s">
        <v>1246</v>
      </c>
      <c r="C527" s="42" t="s">
        <v>1247</v>
      </c>
      <c r="D527" s="43" t="s">
        <v>1216</v>
      </c>
      <c r="E527" s="43" t="s">
        <v>1217</v>
      </c>
      <c r="F527" s="44">
        <v>0.21</v>
      </c>
      <c r="G527" s="60" t="s">
        <v>516</v>
      </c>
      <c r="H527" s="27"/>
      <c r="I527" s="27"/>
      <c r="J527" s="27"/>
      <c r="K527" s="27"/>
      <c r="L527" s="27"/>
      <c r="M527" s="27"/>
      <c r="N527" s="27"/>
      <c r="O527" s="27"/>
      <c r="P527" s="27"/>
      <c r="Q527" s="27"/>
      <c r="R527" s="27"/>
      <c r="S527" s="27"/>
    </row>
    <row r="528" ht="15.75" customHeight="1">
      <c r="A528" s="33" t="s">
        <v>31</v>
      </c>
      <c r="B528" s="33" t="s">
        <v>1248</v>
      </c>
      <c r="C528" s="34" t="s">
        <v>1249</v>
      </c>
      <c r="D528" s="36" t="s">
        <v>1216</v>
      </c>
      <c r="E528" s="36" t="s">
        <v>1217</v>
      </c>
      <c r="F528" s="37">
        <v>0.21</v>
      </c>
      <c r="G528" s="60" t="s">
        <v>516</v>
      </c>
      <c r="H528" s="27"/>
      <c r="I528" s="27"/>
      <c r="J528" s="27"/>
      <c r="K528" s="27"/>
      <c r="L528" s="27"/>
      <c r="M528" s="27"/>
      <c r="N528" s="27"/>
      <c r="O528" s="27"/>
      <c r="P528" s="27"/>
      <c r="Q528" s="27"/>
      <c r="R528" s="27"/>
      <c r="S528" s="27"/>
    </row>
    <row r="529" ht="15.75" customHeight="1">
      <c r="A529" s="40" t="s">
        <v>31</v>
      </c>
      <c r="B529" s="40" t="s">
        <v>1250</v>
      </c>
      <c r="C529" s="42" t="s">
        <v>1251</v>
      </c>
      <c r="D529" s="43" t="s">
        <v>1216</v>
      </c>
      <c r="E529" s="43" t="s">
        <v>1217</v>
      </c>
      <c r="F529" s="44">
        <v>0.21</v>
      </c>
      <c r="G529" s="60" t="s">
        <v>516</v>
      </c>
      <c r="H529" s="27"/>
      <c r="I529" s="27"/>
      <c r="J529" s="27"/>
      <c r="K529" s="27"/>
      <c r="L529" s="27"/>
      <c r="M529" s="27"/>
      <c r="N529" s="27"/>
      <c r="O529" s="27"/>
      <c r="P529" s="27"/>
      <c r="Q529" s="27"/>
      <c r="R529" s="27"/>
      <c r="S529" s="27"/>
    </row>
    <row r="530" ht="15.75" customHeight="1">
      <c r="A530" s="33" t="s">
        <v>31</v>
      </c>
      <c r="B530" s="33" t="s">
        <v>1252</v>
      </c>
      <c r="C530" s="34" t="s">
        <v>1253</v>
      </c>
      <c r="D530" s="36" t="s">
        <v>1216</v>
      </c>
      <c r="E530" s="36" t="s">
        <v>1217</v>
      </c>
      <c r="F530" s="37">
        <v>0.21</v>
      </c>
      <c r="G530" s="60" t="s">
        <v>516</v>
      </c>
      <c r="H530" s="27"/>
      <c r="I530" s="27"/>
      <c r="J530" s="27"/>
      <c r="K530" s="27"/>
      <c r="L530" s="27"/>
      <c r="M530" s="27"/>
      <c r="N530" s="27"/>
      <c r="O530" s="27"/>
      <c r="P530" s="27"/>
      <c r="Q530" s="27"/>
      <c r="R530" s="27"/>
      <c r="S530" s="27"/>
    </row>
    <row r="531" ht="15.75" customHeight="1">
      <c r="A531" s="40" t="s">
        <v>31</v>
      </c>
      <c r="B531" s="40" t="s">
        <v>1254</v>
      </c>
      <c r="C531" s="42" t="s">
        <v>1255</v>
      </c>
      <c r="D531" s="43" t="s">
        <v>1216</v>
      </c>
      <c r="E531" s="43" t="s">
        <v>1217</v>
      </c>
      <c r="F531" s="44">
        <v>0.21</v>
      </c>
      <c r="G531" s="60" t="s">
        <v>516</v>
      </c>
      <c r="H531" s="27"/>
      <c r="I531" s="27"/>
      <c r="J531" s="27"/>
      <c r="K531" s="27"/>
      <c r="L531" s="27"/>
      <c r="M531" s="27"/>
      <c r="N531" s="27"/>
      <c r="O531" s="27"/>
      <c r="P531" s="27"/>
      <c r="Q531" s="27"/>
      <c r="R531" s="27"/>
      <c r="S531" s="27"/>
    </row>
    <row r="532" ht="15.75" customHeight="1">
      <c r="A532" s="33" t="s">
        <v>31</v>
      </c>
      <c r="B532" s="33" t="s">
        <v>1256</v>
      </c>
      <c r="C532" s="34" t="s">
        <v>1257</v>
      </c>
      <c r="D532" s="36" t="s">
        <v>1216</v>
      </c>
      <c r="E532" s="36" t="s">
        <v>1217</v>
      </c>
      <c r="F532" s="37">
        <v>0.21</v>
      </c>
      <c r="G532" s="60" t="s">
        <v>516</v>
      </c>
      <c r="H532" s="27"/>
      <c r="I532" s="27"/>
      <c r="J532" s="27"/>
      <c r="K532" s="27"/>
      <c r="L532" s="27"/>
      <c r="M532" s="27"/>
      <c r="N532" s="27"/>
      <c r="O532" s="27"/>
      <c r="P532" s="27"/>
      <c r="Q532" s="27"/>
      <c r="R532" s="27"/>
      <c r="S532" s="27"/>
    </row>
    <row r="533" ht="15.75" customHeight="1">
      <c r="A533" s="40" t="s">
        <v>31</v>
      </c>
      <c r="B533" s="40" t="s">
        <v>1258</v>
      </c>
      <c r="C533" s="42" t="s">
        <v>1259</v>
      </c>
      <c r="D533" s="43" t="s">
        <v>1216</v>
      </c>
      <c r="E533" s="43" t="s">
        <v>1217</v>
      </c>
      <c r="F533" s="44">
        <v>0.21</v>
      </c>
      <c r="G533" s="60" t="s">
        <v>516</v>
      </c>
      <c r="H533" s="27"/>
      <c r="I533" s="27"/>
      <c r="J533" s="27"/>
      <c r="K533" s="27"/>
      <c r="L533" s="27"/>
      <c r="M533" s="27"/>
      <c r="N533" s="27"/>
      <c r="O533" s="27"/>
      <c r="P533" s="27"/>
      <c r="Q533" s="27"/>
      <c r="R533" s="27"/>
      <c r="S533" s="27"/>
    </row>
    <row r="534" ht="15.75" customHeight="1">
      <c r="A534" s="33" t="s">
        <v>31</v>
      </c>
      <c r="B534" s="33" t="s">
        <v>1260</v>
      </c>
      <c r="C534" s="34" t="s">
        <v>1261</v>
      </c>
      <c r="D534" s="36" t="s">
        <v>1216</v>
      </c>
      <c r="E534" s="36" t="s">
        <v>1217</v>
      </c>
      <c r="F534" s="37">
        <v>0.21</v>
      </c>
      <c r="G534" s="60" t="s">
        <v>516</v>
      </c>
      <c r="H534" s="27"/>
      <c r="I534" s="27"/>
      <c r="J534" s="27"/>
      <c r="K534" s="27"/>
      <c r="L534" s="27"/>
      <c r="M534" s="27"/>
      <c r="N534" s="27"/>
      <c r="O534" s="27"/>
      <c r="P534" s="27"/>
      <c r="Q534" s="27"/>
      <c r="R534" s="27"/>
      <c r="S534" s="27"/>
    </row>
    <row r="535" ht="15.75" customHeight="1">
      <c r="A535" s="40" t="s">
        <v>31</v>
      </c>
      <c r="B535" s="40" t="s">
        <v>1262</v>
      </c>
      <c r="C535" s="42" t="s">
        <v>1263</v>
      </c>
      <c r="D535" s="43" t="s">
        <v>1264</v>
      </c>
      <c r="E535" s="43" t="s">
        <v>1265</v>
      </c>
      <c r="F535" s="44">
        <v>0.21</v>
      </c>
      <c r="G535" s="60" t="s">
        <v>516</v>
      </c>
      <c r="H535" s="27"/>
      <c r="I535" s="27"/>
      <c r="J535" s="27"/>
      <c r="K535" s="27"/>
      <c r="L535" s="27"/>
      <c r="M535" s="27"/>
      <c r="N535" s="27"/>
      <c r="O535" s="27"/>
      <c r="P535" s="27"/>
      <c r="Q535" s="27"/>
      <c r="R535" s="27"/>
      <c r="S535" s="27"/>
    </row>
    <row r="536" ht="15.75" customHeight="1">
      <c r="A536" s="33" t="s">
        <v>31</v>
      </c>
      <c r="B536" s="33" t="s">
        <v>1266</v>
      </c>
      <c r="C536" s="34" t="s">
        <v>1267</v>
      </c>
      <c r="D536" s="36" t="s">
        <v>1264</v>
      </c>
      <c r="E536" s="36" t="s">
        <v>1265</v>
      </c>
      <c r="F536" s="37">
        <v>0.21</v>
      </c>
      <c r="G536" s="60" t="s">
        <v>516</v>
      </c>
      <c r="H536" s="27"/>
      <c r="I536" s="27"/>
      <c r="J536" s="27"/>
      <c r="K536" s="27"/>
      <c r="L536" s="27"/>
      <c r="M536" s="27"/>
      <c r="N536" s="27"/>
      <c r="O536" s="27"/>
      <c r="P536" s="27"/>
      <c r="Q536" s="27"/>
      <c r="R536" s="27"/>
      <c r="S536" s="27"/>
    </row>
    <row r="537" ht="15.75" customHeight="1">
      <c r="A537" s="40" t="s">
        <v>31</v>
      </c>
      <c r="B537" s="40" t="s">
        <v>1268</v>
      </c>
      <c r="C537" s="42" t="s">
        <v>1269</v>
      </c>
      <c r="D537" s="43" t="s">
        <v>1270</v>
      </c>
      <c r="E537" s="43" t="s">
        <v>1271</v>
      </c>
      <c r="F537" s="44">
        <v>0.21</v>
      </c>
      <c r="G537" s="60" t="s">
        <v>516</v>
      </c>
      <c r="H537" s="27"/>
      <c r="I537" s="27"/>
      <c r="J537" s="27"/>
      <c r="K537" s="27"/>
      <c r="L537" s="27"/>
      <c r="M537" s="27"/>
      <c r="N537" s="27"/>
      <c r="O537" s="27"/>
      <c r="P537" s="27"/>
      <c r="Q537" s="27"/>
      <c r="R537" s="27"/>
      <c r="S537" s="27"/>
    </row>
    <row r="538" ht="15.75" customHeight="1">
      <c r="A538" s="33" t="s">
        <v>31</v>
      </c>
      <c r="B538" s="33" t="s">
        <v>1272</v>
      </c>
      <c r="C538" s="34" t="s">
        <v>1273</v>
      </c>
      <c r="D538" s="36" t="s">
        <v>1270</v>
      </c>
      <c r="E538" s="36" t="s">
        <v>1271</v>
      </c>
      <c r="F538" s="37">
        <v>0.21</v>
      </c>
      <c r="G538" s="60" t="s">
        <v>516</v>
      </c>
      <c r="H538" s="27"/>
      <c r="I538" s="27"/>
      <c r="J538" s="27"/>
      <c r="K538" s="27"/>
      <c r="L538" s="27"/>
      <c r="M538" s="27"/>
      <c r="N538" s="27"/>
      <c r="O538" s="27"/>
      <c r="P538" s="27"/>
      <c r="Q538" s="27"/>
      <c r="R538" s="27"/>
      <c r="S538" s="27"/>
    </row>
    <row r="539" ht="15.75" customHeight="1">
      <c r="A539" s="40" t="s">
        <v>31</v>
      </c>
      <c r="B539" s="40" t="s">
        <v>1274</v>
      </c>
      <c r="C539" s="42" t="s">
        <v>1275</v>
      </c>
      <c r="D539" s="43" t="s">
        <v>1276</v>
      </c>
      <c r="E539" s="43" t="s">
        <v>1277</v>
      </c>
      <c r="F539" s="44">
        <v>0.21</v>
      </c>
      <c r="G539" s="60" t="s">
        <v>516</v>
      </c>
      <c r="H539" s="27"/>
      <c r="I539" s="27"/>
      <c r="J539" s="27"/>
      <c r="K539" s="27"/>
      <c r="L539" s="27"/>
      <c r="M539" s="27"/>
      <c r="N539" s="27"/>
      <c r="O539" s="27"/>
      <c r="P539" s="27"/>
      <c r="Q539" s="27"/>
      <c r="R539" s="27"/>
      <c r="S539" s="27"/>
    </row>
    <row r="540" ht="15.75" customHeight="1">
      <c r="A540" s="33" t="s">
        <v>31</v>
      </c>
      <c r="B540" s="33" t="s">
        <v>1278</v>
      </c>
      <c r="C540" s="34" t="s">
        <v>1279</v>
      </c>
      <c r="D540" s="36" t="s">
        <v>1276</v>
      </c>
      <c r="E540" s="36" t="s">
        <v>1277</v>
      </c>
      <c r="F540" s="37">
        <v>0.21</v>
      </c>
      <c r="G540" s="60" t="s">
        <v>516</v>
      </c>
      <c r="H540" s="27"/>
      <c r="I540" s="27"/>
      <c r="J540" s="27"/>
      <c r="K540" s="27"/>
      <c r="L540" s="27"/>
      <c r="M540" s="27"/>
      <c r="N540" s="27"/>
      <c r="O540" s="27"/>
      <c r="P540" s="27"/>
      <c r="Q540" s="27"/>
      <c r="R540" s="27"/>
      <c r="S540" s="27"/>
    </row>
    <row r="541" ht="15.75" customHeight="1">
      <c r="A541" s="40" t="s">
        <v>31</v>
      </c>
      <c r="B541" s="40" t="s">
        <v>1280</v>
      </c>
      <c r="C541" s="42" t="s">
        <v>1281</v>
      </c>
      <c r="D541" s="43" t="s">
        <v>1270</v>
      </c>
      <c r="E541" s="43" t="s">
        <v>1271</v>
      </c>
      <c r="F541" s="44">
        <v>0.21</v>
      </c>
      <c r="G541" s="60" t="s">
        <v>516</v>
      </c>
      <c r="H541" s="27"/>
      <c r="I541" s="27"/>
      <c r="J541" s="27"/>
      <c r="K541" s="27"/>
      <c r="L541" s="27"/>
      <c r="M541" s="27"/>
      <c r="N541" s="27"/>
      <c r="O541" s="27"/>
      <c r="P541" s="27"/>
      <c r="Q541" s="27"/>
      <c r="R541" s="27"/>
      <c r="S541" s="27"/>
    </row>
    <row r="542" ht="15.75" customHeight="1">
      <c r="A542" s="33" t="s">
        <v>31</v>
      </c>
      <c r="B542" s="65" t="s">
        <v>1282</v>
      </c>
      <c r="C542" s="34" t="s">
        <v>1283</v>
      </c>
      <c r="D542" s="36" t="s">
        <v>1048</v>
      </c>
      <c r="E542" s="36" t="s">
        <v>1049</v>
      </c>
      <c r="F542" s="37">
        <v>0.21</v>
      </c>
      <c r="G542" s="60" t="s">
        <v>516</v>
      </c>
      <c r="H542" s="27"/>
      <c r="I542" s="27"/>
      <c r="J542" s="27"/>
      <c r="K542" s="27"/>
      <c r="L542" s="27"/>
      <c r="M542" s="27"/>
      <c r="N542" s="27"/>
      <c r="O542" s="27"/>
      <c r="P542" s="27"/>
      <c r="Q542" s="27"/>
      <c r="R542" s="27"/>
      <c r="S542" s="27"/>
    </row>
    <row r="543" ht="15.75" customHeight="1">
      <c r="A543" s="40" t="s">
        <v>31</v>
      </c>
      <c r="B543" s="64" t="s">
        <v>1284</v>
      </c>
      <c r="C543" s="42" t="s">
        <v>1285</v>
      </c>
      <c r="D543" s="43" t="s">
        <v>175</v>
      </c>
      <c r="E543" s="43" t="s">
        <v>176</v>
      </c>
      <c r="F543" s="44">
        <v>0.21</v>
      </c>
      <c r="G543" s="60" t="s">
        <v>516</v>
      </c>
      <c r="H543" s="27"/>
      <c r="I543" s="27"/>
      <c r="J543" s="27"/>
      <c r="K543" s="27"/>
      <c r="L543" s="27"/>
      <c r="M543" s="27"/>
      <c r="N543" s="27"/>
      <c r="O543" s="27"/>
      <c r="P543" s="27"/>
      <c r="Q543" s="27"/>
      <c r="R543" s="27"/>
      <c r="S543" s="27"/>
    </row>
    <row r="544" ht="15.75" customHeight="1">
      <c r="A544" s="33" t="s">
        <v>31</v>
      </c>
      <c r="B544" s="65" t="s">
        <v>1286</v>
      </c>
      <c r="C544" s="34" t="s">
        <v>1287</v>
      </c>
      <c r="D544" s="36" t="s">
        <v>175</v>
      </c>
      <c r="E544" s="36" t="s">
        <v>176</v>
      </c>
      <c r="F544" s="37">
        <v>0.21</v>
      </c>
      <c r="G544" s="60" t="s">
        <v>516</v>
      </c>
      <c r="H544" s="27"/>
      <c r="I544" s="27"/>
      <c r="J544" s="27"/>
      <c r="K544" s="27"/>
      <c r="L544" s="27"/>
      <c r="M544" s="27"/>
      <c r="N544" s="27"/>
      <c r="O544" s="27"/>
      <c r="P544" s="27"/>
      <c r="Q544" s="27"/>
      <c r="R544" s="27"/>
      <c r="S544" s="27"/>
    </row>
    <row r="545" ht="15.75" customHeight="1">
      <c r="A545" s="33" t="s">
        <v>31</v>
      </c>
      <c r="B545" s="65" t="s">
        <v>1288</v>
      </c>
      <c r="C545" s="34" t="s">
        <v>1289</v>
      </c>
      <c r="D545" s="36" t="s">
        <v>197</v>
      </c>
      <c r="E545" s="36" t="s">
        <v>198</v>
      </c>
      <c r="F545" s="37">
        <v>0.21</v>
      </c>
      <c r="G545" s="60" t="s">
        <v>516</v>
      </c>
      <c r="H545" s="27"/>
      <c r="I545" s="27"/>
      <c r="J545" s="27"/>
      <c r="K545" s="27"/>
      <c r="L545" s="27"/>
      <c r="M545" s="27"/>
      <c r="N545" s="27"/>
      <c r="O545" s="27"/>
      <c r="P545" s="27"/>
      <c r="Q545" s="27"/>
      <c r="R545" s="27"/>
      <c r="S545" s="27"/>
    </row>
    <row r="546" ht="15.75" customHeight="1">
      <c r="A546" s="40" t="s">
        <v>31</v>
      </c>
      <c r="B546" s="64" t="s">
        <v>1290</v>
      </c>
      <c r="C546" s="42" t="s">
        <v>1291</v>
      </c>
      <c r="D546" s="43" t="s">
        <v>1070</v>
      </c>
      <c r="E546" s="43" t="s">
        <v>1071</v>
      </c>
      <c r="F546" s="44">
        <v>0.21</v>
      </c>
      <c r="G546" s="60" t="s">
        <v>516</v>
      </c>
      <c r="H546" s="27"/>
      <c r="I546" s="27"/>
      <c r="J546" s="27"/>
      <c r="K546" s="27"/>
      <c r="L546" s="27"/>
      <c r="M546" s="27"/>
      <c r="N546" s="27"/>
      <c r="O546" s="27"/>
      <c r="P546" s="27"/>
      <c r="Q546" s="27"/>
      <c r="R546" s="27"/>
      <c r="S546" s="27"/>
    </row>
    <row r="547" ht="15.75" customHeight="1">
      <c r="A547" s="33" t="s">
        <v>31</v>
      </c>
      <c r="B547" s="65" t="s">
        <v>1292</v>
      </c>
      <c r="C547" s="34" t="s">
        <v>1293</v>
      </c>
      <c r="D547" s="36" t="s">
        <v>519</v>
      </c>
      <c r="E547" s="36" t="s">
        <v>520</v>
      </c>
      <c r="F547" s="37">
        <v>0.21</v>
      </c>
      <c r="G547" s="60" t="s">
        <v>516</v>
      </c>
      <c r="H547" s="27"/>
      <c r="I547" s="27"/>
      <c r="J547" s="27"/>
      <c r="K547" s="27"/>
      <c r="L547" s="27"/>
      <c r="M547" s="27"/>
      <c r="N547" s="27"/>
      <c r="O547" s="27"/>
      <c r="P547" s="27"/>
      <c r="Q547" s="27"/>
      <c r="R547" s="27"/>
      <c r="S547" s="27"/>
    </row>
    <row r="548" ht="15.75" customHeight="1">
      <c r="A548" s="54" t="s">
        <v>1294</v>
      </c>
      <c r="B548" s="29"/>
      <c r="C548" s="29"/>
      <c r="D548" s="51"/>
      <c r="E548" s="31"/>
      <c r="F548" s="29"/>
      <c r="G548" s="29"/>
      <c r="H548" s="27"/>
      <c r="I548" s="27"/>
      <c r="J548" s="27"/>
      <c r="K548" s="27"/>
      <c r="L548" s="27"/>
      <c r="M548" s="27"/>
      <c r="N548" s="27"/>
      <c r="O548" s="27"/>
      <c r="P548" s="27"/>
      <c r="Q548" s="27"/>
      <c r="R548" s="27"/>
      <c r="S548" s="27"/>
    </row>
    <row r="549" ht="15.75" customHeight="1">
      <c r="A549" s="40" t="s">
        <v>31</v>
      </c>
      <c r="B549" s="64" t="s">
        <v>1295</v>
      </c>
      <c r="C549" s="42" t="s">
        <v>1296</v>
      </c>
      <c r="D549" s="43" t="s">
        <v>73</v>
      </c>
      <c r="E549" s="43" t="s">
        <v>74</v>
      </c>
      <c r="F549" s="44">
        <v>0.21</v>
      </c>
      <c r="G549" s="60" t="s">
        <v>516</v>
      </c>
      <c r="H549" s="27"/>
      <c r="I549" s="27"/>
      <c r="J549" s="27"/>
      <c r="K549" s="27"/>
      <c r="L549" s="27"/>
      <c r="M549" s="27"/>
      <c r="N549" s="27"/>
      <c r="O549" s="27"/>
      <c r="P549" s="27"/>
      <c r="Q549" s="27"/>
      <c r="R549" s="27"/>
      <c r="S549" s="27"/>
    </row>
    <row r="550" ht="15.75" customHeight="1">
      <c r="A550" s="33" t="s">
        <v>31</v>
      </c>
      <c r="B550" s="65" t="s">
        <v>1297</v>
      </c>
      <c r="C550" s="34" t="s">
        <v>1298</v>
      </c>
      <c r="D550" s="36" t="s">
        <v>1008</v>
      </c>
      <c r="E550" s="36" t="s">
        <v>1009</v>
      </c>
      <c r="F550" s="37">
        <v>0.21</v>
      </c>
      <c r="G550" s="60" t="s">
        <v>516</v>
      </c>
      <c r="H550" s="27"/>
      <c r="I550" s="27"/>
      <c r="J550" s="27"/>
      <c r="K550" s="27"/>
      <c r="L550" s="27"/>
      <c r="M550" s="27"/>
      <c r="N550" s="27"/>
      <c r="O550" s="27"/>
      <c r="P550" s="27"/>
      <c r="Q550" s="27"/>
      <c r="R550" s="27"/>
      <c r="S550" s="27"/>
    </row>
    <row r="551" ht="15.75" customHeight="1">
      <c r="A551" s="40" t="s">
        <v>31</v>
      </c>
      <c r="B551" s="64" t="s">
        <v>1299</v>
      </c>
      <c r="C551" s="42" t="s">
        <v>1300</v>
      </c>
      <c r="D551" s="43" t="s">
        <v>73</v>
      </c>
      <c r="E551" s="43" t="s">
        <v>74</v>
      </c>
      <c r="F551" s="44">
        <v>0.21</v>
      </c>
      <c r="G551" s="60" t="s">
        <v>516</v>
      </c>
      <c r="H551" s="27"/>
      <c r="I551" s="27"/>
      <c r="J551" s="27"/>
      <c r="K551" s="27"/>
      <c r="L551" s="27"/>
      <c r="M551" s="27"/>
      <c r="N551" s="27"/>
      <c r="O551" s="27"/>
      <c r="P551" s="27"/>
      <c r="Q551" s="27"/>
      <c r="R551" s="27"/>
      <c r="S551" s="27"/>
    </row>
    <row r="552" ht="15.75" customHeight="1">
      <c r="A552" s="33" t="s">
        <v>31</v>
      </c>
      <c r="B552" s="65" t="s">
        <v>1301</v>
      </c>
      <c r="C552" s="34" t="s">
        <v>1302</v>
      </c>
      <c r="D552" s="36" t="s">
        <v>73</v>
      </c>
      <c r="E552" s="36" t="s">
        <v>74</v>
      </c>
      <c r="F552" s="37">
        <v>0.21</v>
      </c>
      <c r="G552" s="60" t="s">
        <v>516</v>
      </c>
      <c r="H552" s="27"/>
      <c r="I552" s="27"/>
      <c r="J552" s="27"/>
      <c r="K552" s="27"/>
      <c r="L552" s="27"/>
      <c r="M552" s="27"/>
      <c r="N552" s="27"/>
      <c r="O552" s="27"/>
      <c r="P552" s="27"/>
      <c r="Q552" s="27"/>
      <c r="R552" s="27"/>
      <c r="S552" s="27"/>
    </row>
    <row r="553" ht="15.75" customHeight="1">
      <c r="A553" s="40" t="s">
        <v>31</v>
      </c>
      <c r="B553" s="64" t="s">
        <v>1303</v>
      </c>
      <c r="C553" s="42" t="s">
        <v>1304</v>
      </c>
      <c r="D553" s="43" t="s">
        <v>1008</v>
      </c>
      <c r="E553" s="43" t="s">
        <v>1009</v>
      </c>
      <c r="F553" s="44">
        <v>0.21</v>
      </c>
      <c r="G553" s="60" t="s">
        <v>516</v>
      </c>
      <c r="H553" s="27"/>
      <c r="I553" s="27"/>
      <c r="J553" s="27"/>
      <c r="K553" s="27"/>
      <c r="L553" s="27"/>
      <c r="M553" s="27"/>
      <c r="N553" s="27"/>
      <c r="O553" s="27"/>
      <c r="P553" s="27"/>
      <c r="Q553" s="27"/>
      <c r="R553" s="27"/>
      <c r="S553" s="27"/>
    </row>
    <row r="554" ht="15.75" customHeight="1">
      <c r="A554" s="28" t="s">
        <v>1305</v>
      </c>
      <c r="C554" s="29"/>
      <c r="D554" s="51"/>
      <c r="E554" s="31"/>
      <c r="F554" s="29"/>
      <c r="G554" s="29"/>
      <c r="H554" s="27"/>
      <c r="I554" s="27"/>
      <c r="J554" s="27"/>
      <c r="K554" s="27"/>
      <c r="L554" s="27"/>
      <c r="M554" s="27"/>
      <c r="N554" s="27"/>
      <c r="O554" s="27"/>
      <c r="P554" s="27"/>
      <c r="Q554" s="27"/>
      <c r="R554" s="27"/>
      <c r="S554" s="27"/>
    </row>
    <row r="555" ht="15.75" customHeight="1">
      <c r="A555" s="40" t="s">
        <v>31</v>
      </c>
      <c r="B555" s="41" t="s">
        <v>1306</v>
      </c>
      <c r="C555" s="42" t="s">
        <v>1307</v>
      </c>
      <c r="D555" s="43" t="s">
        <v>226</v>
      </c>
      <c r="E555" s="43" t="s">
        <v>227</v>
      </c>
      <c r="F555" s="44">
        <v>0.21</v>
      </c>
      <c r="G555" s="60" t="s">
        <v>516</v>
      </c>
      <c r="H555" s="27"/>
      <c r="I555" s="27"/>
      <c r="J555" s="27"/>
      <c r="K555" s="27"/>
      <c r="L555" s="27"/>
      <c r="M555" s="27"/>
      <c r="N555" s="27"/>
      <c r="O555" s="27"/>
      <c r="P555" s="27"/>
      <c r="Q555" s="27"/>
      <c r="R555" s="27"/>
      <c r="S555" s="27"/>
    </row>
    <row r="556" ht="15.75" customHeight="1">
      <c r="A556" s="33" t="s">
        <v>31</v>
      </c>
      <c r="B556" s="45" t="s">
        <v>1308</v>
      </c>
      <c r="C556" s="34" t="s">
        <v>327</v>
      </c>
      <c r="D556" s="36" t="s">
        <v>226</v>
      </c>
      <c r="E556" s="36" t="s">
        <v>227</v>
      </c>
      <c r="F556" s="37">
        <v>0.21</v>
      </c>
      <c r="G556" s="60" t="s">
        <v>516</v>
      </c>
      <c r="H556" s="27"/>
      <c r="I556" s="27"/>
      <c r="J556" s="27"/>
      <c r="K556" s="27"/>
      <c r="L556" s="27"/>
      <c r="M556" s="27"/>
      <c r="N556" s="27"/>
      <c r="O556" s="27"/>
      <c r="P556" s="27"/>
      <c r="Q556" s="27"/>
      <c r="R556" s="27"/>
      <c r="S556" s="27"/>
    </row>
    <row r="557" ht="15.75" customHeight="1">
      <c r="A557" s="40" t="s">
        <v>31</v>
      </c>
      <c r="B557" s="41" t="s">
        <v>1309</v>
      </c>
      <c r="C557" s="42" t="s">
        <v>327</v>
      </c>
      <c r="D557" s="43" t="s">
        <v>226</v>
      </c>
      <c r="E557" s="43" t="s">
        <v>227</v>
      </c>
      <c r="F557" s="44">
        <v>0.21</v>
      </c>
      <c r="G557" s="60" t="s">
        <v>516</v>
      </c>
      <c r="H557" s="27"/>
      <c r="I557" s="27"/>
      <c r="J557" s="27"/>
      <c r="K557" s="27"/>
      <c r="L557" s="27"/>
      <c r="M557" s="27"/>
      <c r="N557" s="27"/>
      <c r="O557" s="27"/>
      <c r="P557" s="27"/>
      <c r="Q557" s="27"/>
      <c r="R557" s="27"/>
      <c r="S557" s="27"/>
    </row>
    <row r="558" ht="15.75" customHeight="1">
      <c r="A558" s="33" t="s">
        <v>31</v>
      </c>
      <c r="B558" s="45" t="s">
        <v>1310</v>
      </c>
      <c r="C558" s="34" t="s">
        <v>327</v>
      </c>
      <c r="D558" s="36" t="s">
        <v>226</v>
      </c>
      <c r="E558" s="36" t="s">
        <v>227</v>
      </c>
      <c r="F558" s="37">
        <v>0.21</v>
      </c>
      <c r="G558" s="60" t="s">
        <v>516</v>
      </c>
      <c r="H558" s="27"/>
      <c r="I558" s="27"/>
      <c r="J558" s="27"/>
      <c r="K558" s="27"/>
      <c r="L558" s="27"/>
      <c r="M558" s="27"/>
      <c r="N558" s="27"/>
      <c r="O558" s="27"/>
      <c r="P558" s="27"/>
      <c r="Q558" s="27"/>
      <c r="R558" s="27"/>
      <c r="S558" s="27"/>
    </row>
    <row r="559" ht="15.75" customHeight="1">
      <c r="A559" s="40" t="s">
        <v>31</v>
      </c>
      <c r="B559" s="41" t="s">
        <v>1311</v>
      </c>
      <c r="C559" s="42" t="s">
        <v>1312</v>
      </c>
      <c r="D559" s="43" t="s">
        <v>226</v>
      </c>
      <c r="E559" s="43" t="s">
        <v>227</v>
      </c>
      <c r="F559" s="44">
        <v>0.21</v>
      </c>
      <c r="G559" s="60" t="s">
        <v>516</v>
      </c>
      <c r="H559" s="27"/>
      <c r="I559" s="27"/>
      <c r="J559" s="27"/>
      <c r="K559" s="27"/>
      <c r="L559" s="27"/>
      <c r="M559" s="27"/>
      <c r="N559" s="27"/>
      <c r="O559" s="27"/>
      <c r="P559" s="27"/>
      <c r="Q559" s="27"/>
      <c r="R559" s="27"/>
      <c r="S559" s="27"/>
    </row>
    <row r="560" ht="15.75" customHeight="1">
      <c r="A560" s="33" t="s">
        <v>31</v>
      </c>
      <c r="B560" s="45" t="s">
        <v>1313</v>
      </c>
      <c r="C560" s="34" t="s">
        <v>327</v>
      </c>
      <c r="D560" s="36" t="s">
        <v>1314</v>
      </c>
      <c r="E560" s="36" t="s">
        <v>1315</v>
      </c>
      <c r="F560" s="37">
        <v>0.21</v>
      </c>
      <c r="G560" s="60" t="s">
        <v>516</v>
      </c>
      <c r="H560" s="27"/>
      <c r="I560" s="27"/>
      <c r="J560" s="27"/>
      <c r="K560" s="27"/>
      <c r="L560" s="27"/>
      <c r="M560" s="27"/>
      <c r="N560" s="27"/>
      <c r="O560" s="27"/>
      <c r="P560" s="27"/>
      <c r="Q560" s="27"/>
      <c r="R560" s="27"/>
      <c r="S560" s="27"/>
    </row>
    <row r="561" ht="15.75" customHeight="1">
      <c r="A561" s="40" t="s">
        <v>31</v>
      </c>
      <c r="B561" s="41" t="s">
        <v>1316</v>
      </c>
      <c r="C561" s="42" t="s">
        <v>327</v>
      </c>
      <c r="D561" s="43" t="s">
        <v>1314</v>
      </c>
      <c r="E561" s="43" t="s">
        <v>1315</v>
      </c>
      <c r="F561" s="44">
        <v>0.21</v>
      </c>
      <c r="G561" s="60" t="s">
        <v>516</v>
      </c>
      <c r="H561" s="27"/>
      <c r="I561" s="27"/>
      <c r="J561" s="27"/>
      <c r="K561" s="27"/>
      <c r="L561" s="27"/>
      <c r="M561" s="27"/>
      <c r="N561" s="27"/>
      <c r="O561" s="27"/>
      <c r="P561" s="27"/>
      <c r="Q561" s="27"/>
      <c r="R561" s="27"/>
      <c r="S561" s="27"/>
    </row>
    <row r="562" ht="15.75" customHeight="1">
      <c r="A562" s="33" t="s">
        <v>31</v>
      </c>
      <c r="B562" s="45" t="s">
        <v>1317</v>
      </c>
      <c r="C562" s="34" t="s">
        <v>1318</v>
      </c>
      <c r="D562" s="36" t="s">
        <v>1314</v>
      </c>
      <c r="E562" s="36" t="s">
        <v>1315</v>
      </c>
      <c r="F562" s="37">
        <v>0.21</v>
      </c>
      <c r="G562" s="60" t="s">
        <v>516</v>
      </c>
      <c r="H562" s="27"/>
      <c r="I562" s="27"/>
      <c r="J562" s="27"/>
      <c r="K562" s="27"/>
      <c r="L562" s="27"/>
      <c r="M562" s="27"/>
      <c r="N562" s="27"/>
      <c r="O562" s="27"/>
      <c r="P562" s="27"/>
      <c r="Q562" s="27"/>
      <c r="R562" s="27"/>
      <c r="S562" s="27"/>
    </row>
    <row r="563" ht="15.75" customHeight="1">
      <c r="A563" s="40" t="s">
        <v>31</v>
      </c>
      <c r="B563" s="41" t="s">
        <v>1319</v>
      </c>
      <c r="C563" s="42" t="s">
        <v>327</v>
      </c>
      <c r="D563" s="43" t="s">
        <v>1314</v>
      </c>
      <c r="E563" s="43" t="s">
        <v>1315</v>
      </c>
      <c r="F563" s="44">
        <v>0.21</v>
      </c>
      <c r="G563" s="60" t="s">
        <v>516</v>
      </c>
      <c r="H563" s="27"/>
      <c r="I563" s="27"/>
      <c r="J563" s="27"/>
      <c r="K563" s="27"/>
      <c r="L563" s="27"/>
      <c r="M563" s="27"/>
      <c r="N563" s="27"/>
      <c r="O563" s="27"/>
      <c r="P563" s="27"/>
      <c r="Q563" s="27"/>
      <c r="R563" s="27"/>
      <c r="S563" s="27"/>
    </row>
    <row r="564" ht="15.75" customHeight="1">
      <c r="A564" s="33" t="s">
        <v>31</v>
      </c>
      <c r="B564" s="45" t="s">
        <v>1320</v>
      </c>
      <c r="C564" s="34" t="s">
        <v>1321</v>
      </c>
      <c r="D564" s="36" t="s">
        <v>1314</v>
      </c>
      <c r="E564" s="36" t="s">
        <v>1315</v>
      </c>
      <c r="F564" s="37">
        <v>0.21</v>
      </c>
      <c r="G564" s="60" t="s">
        <v>516</v>
      </c>
      <c r="H564" s="27"/>
      <c r="I564" s="27"/>
      <c r="J564" s="27"/>
      <c r="K564" s="27"/>
      <c r="L564" s="27"/>
      <c r="M564" s="27"/>
      <c r="N564" s="27"/>
      <c r="O564" s="27"/>
      <c r="P564" s="27"/>
      <c r="Q564" s="27"/>
      <c r="R564" s="27"/>
      <c r="S564" s="27"/>
    </row>
    <row r="565" ht="15.75" customHeight="1">
      <c r="A565" s="40" t="s">
        <v>31</v>
      </c>
      <c r="B565" s="41" t="s">
        <v>1322</v>
      </c>
      <c r="C565" s="42" t="s">
        <v>1323</v>
      </c>
      <c r="D565" s="43" t="s">
        <v>1314</v>
      </c>
      <c r="E565" s="43" t="s">
        <v>1315</v>
      </c>
      <c r="F565" s="44">
        <v>0.21</v>
      </c>
      <c r="G565" s="60" t="s">
        <v>516</v>
      </c>
      <c r="H565" s="27"/>
      <c r="I565" s="27"/>
      <c r="J565" s="27"/>
      <c r="K565" s="27"/>
      <c r="L565" s="27"/>
      <c r="M565" s="27"/>
      <c r="N565" s="27"/>
      <c r="O565" s="27"/>
      <c r="P565" s="27"/>
      <c r="Q565" s="27"/>
      <c r="R565" s="27"/>
      <c r="S565" s="27"/>
    </row>
    <row r="566" ht="15.75" customHeight="1">
      <c r="A566" s="33" t="s">
        <v>31</v>
      </c>
      <c r="B566" s="45" t="s">
        <v>1324</v>
      </c>
      <c r="C566" s="34" t="s">
        <v>1325</v>
      </c>
      <c r="D566" s="36" t="s">
        <v>1326</v>
      </c>
      <c r="E566" s="36" t="s">
        <v>1327</v>
      </c>
      <c r="F566" s="37">
        <v>0.21</v>
      </c>
      <c r="G566" s="60" t="s">
        <v>516</v>
      </c>
      <c r="H566" s="27"/>
      <c r="I566" s="27"/>
      <c r="J566" s="27"/>
      <c r="K566" s="27"/>
      <c r="L566" s="27"/>
      <c r="M566" s="27"/>
      <c r="N566" s="27"/>
      <c r="O566" s="27"/>
      <c r="P566" s="27"/>
      <c r="Q566" s="27"/>
      <c r="R566" s="27"/>
      <c r="S566" s="27"/>
    </row>
    <row r="567" ht="15.75" customHeight="1">
      <c r="A567" s="40" t="s">
        <v>31</v>
      </c>
      <c r="B567" s="41" t="s">
        <v>1328</v>
      </c>
      <c r="C567" s="42" t="s">
        <v>1329</v>
      </c>
      <c r="D567" s="43" t="s">
        <v>377</v>
      </c>
      <c r="E567" s="43" t="s">
        <v>378</v>
      </c>
      <c r="F567" s="44">
        <v>0.21</v>
      </c>
      <c r="G567" s="60" t="s">
        <v>516</v>
      </c>
      <c r="H567" s="27"/>
      <c r="I567" s="27"/>
      <c r="J567" s="27"/>
      <c r="K567" s="27"/>
      <c r="L567" s="27"/>
      <c r="M567" s="27"/>
      <c r="N567" s="27"/>
      <c r="O567" s="27"/>
      <c r="P567" s="27"/>
      <c r="Q567" s="27"/>
      <c r="R567" s="27"/>
      <c r="S567" s="27"/>
    </row>
    <row r="568" ht="15.75" customHeight="1">
      <c r="A568" s="28" t="s">
        <v>1330</v>
      </c>
      <c r="C568" s="29"/>
      <c r="D568" s="51"/>
      <c r="E568" s="31"/>
      <c r="F568" s="29"/>
      <c r="G568" s="29"/>
      <c r="H568" s="27"/>
      <c r="I568" s="27"/>
      <c r="J568" s="27"/>
      <c r="K568" s="27"/>
      <c r="L568" s="27"/>
      <c r="M568" s="27"/>
      <c r="N568" s="27"/>
      <c r="O568" s="27"/>
      <c r="P568" s="27"/>
      <c r="Q568" s="27"/>
      <c r="R568" s="27"/>
      <c r="S568" s="27"/>
    </row>
    <row r="569" ht="15.75" customHeight="1">
      <c r="A569" s="40" t="s">
        <v>31</v>
      </c>
      <c r="B569" s="41" t="s">
        <v>1331</v>
      </c>
      <c r="C569" s="42" t="s">
        <v>327</v>
      </c>
      <c r="D569" s="43" t="s">
        <v>877</v>
      </c>
      <c r="E569" s="43" t="s">
        <v>878</v>
      </c>
      <c r="F569" s="44">
        <v>0.21</v>
      </c>
      <c r="G569" s="60" t="s">
        <v>516</v>
      </c>
      <c r="H569" s="27"/>
      <c r="I569" s="27"/>
      <c r="J569" s="27"/>
      <c r="K569" s="27"/>
      <c r="L569" s="27"/>
      <c r="M569" s="27"/>
      <c r="N569" s="27"/>
      <c r="O569" s="27"/>
      <c r="P569" s="27"/>
      <c r="Q569" s="27"/>
      <c r="R569" s="27"/>
      <c r="S569" s="27"/>
    </row>
    <row r="570" ht="15.75" customHeight="1">
      <c r="A570" s="33" t="s">
        <v>31</v>
      </c>
      <c r="B570" s="45" t="s">
        <v>1332</v>
      </c>
      <c r="C570" s="34" t="s">
        <v>327</v>
      </c>
      <c r="D570" s="36" t="s">
        <v>877</v>
      </c>
      <c r="E570" s="36" t="s">
        <v>878</v>
      </c>
      <c r="F570" s="37">
        <v>0.21</v>
      </c>
      <c r="G570" s="60" t="s">
        <v>516</v>
      </c>
      <c r="H570" s="27"/>
      <c r="I570" s="27"/>
      <c r="J570" s="27"/>
      <c r="K570" s="27"/>
      <c r="L570" s="27"/>
      <c r="M570" s="27"/>
      <c r="N570" s="27"/>
      <c r="O570" s="27"/>
      <c r="P570" s="27"/>
      <c r="Q570" s="27"/>
      <c r="R570" s="27"/>
      <c r="S570" s="27"/>
    </row>
    <row r="571" ht="15.75" customHeight="1">
      <c r="A571" s="40" t="s">
        <v>31</v>
      </c>
      <c r="B571" s="41" t="s">
        <v>1333</v>
      </c>
      <c r="C571" s="42" t="s">
        <v>327</v>
      </c>
      <c r="D571" s="43" t="s">
        <v>877</v>
      </c>
      <c r="E571" s="43" t="s">
        <v>878</v>
      </c>
      <c r="F571" s="44">
        <v>0.21</v>
      </c>
      <c r="G571" s="60" t="s">
        <v>516</v>
      </c>
      <c r="H571" s="27"/>
      <c r="I571" s="27"/>
      <c r="J571" s="27"/>
      <c r="K571" s="27"/>
      <c r="L571" s="27"/>
      <c r="M571" s="27"/>
      <c r="N571" s="27"/>
      <c r="O571" s="27"/>
      <c r="P571" s="27"/>
      <c r="Q571" s="27"/>
      <c r="R571" s="27"/>
      <c r="S571" s="27"/>
    </row>
    <row r="572" ht="15.75" customHeight="1">
      <c r="A572" s="33" t="s">
        <v>31</v>
      </c>
      <c r="B572" s="45" t="s">
        <v>1334</v>
      </c>
      <c r="C572" s="34" t="s">
        <v>1335</v>
      </c>
      <c r="D572" s="36" t="s">
        <v>41</v>
      </c>
      <c r="E572" s="36" t="s">
        <v>42</v>
      </c>
      <c r="F572" s="37">
        <v>0.21</v>
      </c>
      <c r="G572" s="60" t="s">
        <v>516</v>
      </c>
      <c r="H572" s="27"/>
      <c r="I572" s="27"/>
      <c r="J572" s="27"/>
      <c r="K572" s="27"/>
      <c r="L572" s="27"/>
      <c r="M572" s="27"/>
      <c r="N572" s="27"/>
      <c r="O572" s="27"/>
      <c r="P572" s="27"/>
      <c r="Q572" s="27"/>
      <c r="R572" s="27"/>
      <c r="S572" s="27"/>
    </row>
    <row r="573" ht="15.75" customHeight="1">
      <c r="A573" s="40" t="s">
        <v>31</v>
      </c>
      <c r="B573" s="41" t="s">
        <v>1336</v>
      </c>
      <c r="C573" s="42" t="s">
        <v>1337</v>
      </c>
      <c r="D573" s="43" t="s">
        <v>49</v>
      </c>
      <c r="E573" s="43" t="s">
        <v>50</v>
      </c>
      <c r="F573" s="44">
        <v>0.21</v>
      </c>
      <c r="G573" s="60" t="s">
        <v>516</v>
      </c>
      <c r="H573" s="27"/>
      <c r="I573" s="27"/>
      <c r="J573" s="27"/>
      <c r="K573" s="27"/>
      <c r="L573" s="27"/>
      <c r="M573" s="27"/>
      <c r="N573" s="27"/>
      <c r="O573" s="27"/>
      <c r="P573" s="27"/>
      <c r="Q573" s="27"/>
      <c r="R573" s="27"/>
      <c r="S573" s="27"/>
    </row>
    <row r="574" ht="15.75" customHeight="1">
      <c r="A574" s="33" t="s">
        <v>31</v>
      </c>
      <c r="B574" s="45" t="s">
        <v>1338</v>
      </c>
      <c r="C574" s="34" t="s">
        <v>1339</v>
      </c>
      <c r="D574" s="36" t="s">
        <v>41</v>
      </c>
      <c r="E574" s="36" t="s">
        <v>42</v>
      </c>
      <c r="F574" s="37">
        <v>0.21</v>
      </c>
      <c r="G574" s="60" t="s">
        <v>516</v>
      </c>
      <c r="H574" s="27"/>
      <c r="I574" s="27"/>
      <c r="J574" s="27"/>
      <c r="K574" s="27"/>
      <c r="L574" s="27"/>
      <c r="M574" s="27"/>
      <c r="N574" s="27"/>
      <c r="O574" s="27"/>
      <c r="P574" s="27"/>
      <c r="Q574" s="27"/>
      <c r="R574" s="27"/>
      <c r="S574" s="27"/>
    </row>
    <row r="575" ht="15.75" customHeight="1">
      <c r="A575" s="40" t="s">
        <v>31</v>
      </c>
      <c r="B575" s="41" t="s">
        <v>1340</v>
      </c>
      <c r="C575" s="42" t="s">
        <v>1341</v>
      </c>
      <c r="D575" s="43" t="s">
        <v>49</v>
      </c>
      <c r="E575" s="43" t="s">
        <v>50</v>
      </c>
      <c r="F575" s="44">
        <v>0.21</v>
      </c>
      <c r="G575" s="60" t="s">
        <v>516</v>
      </c>
      <c r="H575" s="27"/>
      <c r="I575" s="27"/>
      <c r="J575" s="27"/>
      <c r="K575" s="27"/>
      <c r="L575" s="27"/>
      <c r="M575" s="27"/>
      <c r="N575" s="27"/>
      <c r="O575" s="27"/>
      <c r="P575" s="27"/>
      <c r="Q575" s="27"/>
      <c r="R575" s="27"/>
      <c r="S575" s="27"/>
    </row>
    <row r="576" ht="15.75" customHeight="1">
      <c r="A576" s="33" t="s">
        <v>31</v>
      </c>
      <c r="B576" s="45" t="s">
        <v>1342</v>
      </c>
      <c r="C576" s="34" t="s">
        <v>327</v>
      </c>
      <c r="D576" s="36" t="s">
        <v>468</v>
      </c>
      <c r="E576" s="36" t="s">
        <v>469</v>
      </c>
      <c r="F576" s="37">
        <v>0.21</v>
      </c>
      <c r="G576" s="60" t="s">
        <v>516</v>
      </c>
      <c r="H576" s="27"/>
      <c r="I576" s="27"/>
      <c r="J576" s="27"/>
      <c r="K576" s="27"/>
      <c r="L576" s="27"/>
      <c r="M576" s="27"/>
      <c r="N576" s="27"/>
      <c r="O576" s="27"/>
      <c r="P576" s="27"/>
      <c r="Q576" s="27"/>
      <c r="R576" s="27"/>
      <c r="S576" s="27"/>
    </row>
    <row r="577" ht="15.75" customHeight="1">
      <c r="A577" s="40" t="s">
        <v>31</v>
      </c>
      <c r="B577" s="41" t="s">
        <v>1343</v>
      </c>
      <c r="C577" s="42" t="s">
        <v>327</v>
      </c>
      <c r="D577" s="43" t="s">
        <v>468</v>
      </c>
      <c r="E577" s="43" t="s">
        <v>469</v>
      </c>
      <c r="F577" s="44">
        <v>0.21</v>
      </c>
      <c r="G577" s="60" t="s">
        <v>516</v>
      </c>
      <c r="H577" s="27"/>
      <c r="I577" s="27"/>
      <c r="J577" s="27"/>
      <c r="K577" s="27"/>
      <c r="L577" s="27"/>
      <c r="M577" s="27"/>
      <c r="N577" s="27"/>
      <c r="O577" s="27"/>
      <c r="P577" s="27"/>
      <c r="Q577" s="27"/>
      <c r="R577" s="27"/>
      <c r="S577" s="27"/>
    </row>
    <row r="578" ht="15.75" customHeight="1">
      <c r="A578" s="33" t="s">
        <v>31</v>
      </c>
      <c r="B578" s="45" t="s">
        <v>1344</v>
      </c>
      <c r="C578" s="34" t="s">
        <v>327</v>
      </c>
      <c r="D578" s="36" t="s">
        <v>468</v>
      </c>
      <c r="E578" s="36" t="s">
        <v>469</v>
      </c>
      <c r="F578" s="37">
        <v>0.21</v>
      </c>
      <c r="G578" s="60" t="s">
        <v>516</v>
      </c>
      <c r="H578" s="27"/>
      <c r="I578" s="27"/>
      <c r="J578" s="27"/>
      <c r="K578" s="27"/>
      <c r="L578" s="27"/>
      <c r="M578" s="27"/>
      <c r="N578" s="27"/>
      <c r="O578" s="27"/>
      <c r="P578" s="27"/>
      <c r="Q578" s="27"/>
      <c r="R578" s="27"/>
      <c r="S578" s="27"/>
    </row>
    <row r="579" ht="15.75" customHeight="1">
      <c r="A579" s="40" t="s">
        <v>31</v>
      </c>
      <c r="B579" s="41" t="s">
        <v>1345</v>
      </c>
      <c r="C579" s="42" t="s">
        <v>1346</v>
      </c>
      <c r="D579" s="43" t="s">
        <v>447</v>
      </c>
      <c r="E579" s="43" t="s">
        <v>448</v>
      </c>
      <c r="F579" s="44">
        <v>0.21</v>
      </c>
      <c r="G579" s="60" t="s">
        <v>516</v>
      </c>
      <c r="H579" s="27"/>
      <c r="I579" s="27"/>
      <c r="J579" s="27"/>
      <c r="K579" s="27"/>
      <c r="L579" s="27"/>
      <c r="M579" s="27"/>
      <c r="N579" s="27"/>
      <c r="O579" s="27"/>
      <c r="P579" s="27"/>
      <c r="Q579" s="27"/>
      <c r="R579" s="27"/>
      <c r="S579" s="27"/>
    </row>
    <row r="580" ht="15.75" customHeight="1">
      <c r="A580" s="33" t="s">
        <v>31</v>
      </c>
      <c r="B580" s="45" t="s">
        <v>1347</v>
      </c>
      <c r="C580" s="34" t="s">
        <v>1348</v>
      </c>
      <c r="D580" s="36" t="s">
        <v>764</v>
      </c>
      <c r="E580" s="36" t="s">
        <v>765</v>
      </c>
      <c r="F580" s="37">
        <v>0.21</v>
      </c>
      <c r="G580" s="60" t="s">
        <v>516</v>
      </c>
      <c r="H580" s="27"/>
      <c r="I580" s="27"/>
      <c r="J580" s="27"/>
      <c r="K580" s="27"/>
      <c r="L580" s="27"/>
      <c r="M580" s="27"/>
      <c r="N580" s="27"/>
      <c r="O580" s="27"/>
      <c r="P580" s="27"/>
      <c r="Q580" s="27"/>
      <c r="R580" s="27"/>
      <c r="S580" s="27"/>
    </row>
    <row r="581" ht="15.75" customHeight="1">
      <c r="A581" s="40" t="s">
        <v>31</v>
      </c>
      <c r="B581" s="41" t="s">
        <v>1349</v>
      </c>
      <c r="C581" s="42" t="s">
        <v>1348</v>
      </c>
      <c r="D581" s="43" t="s">
        <v>764</v>
      </c>
      <c r="E581" s="43" t="s">
        <v>765</v>
      </c>
      <c r="F581" s="44">
        <v>0.21</v>
      </c>
      <c r="G581" s="60" t="s">
        <v>516</v>
      </c>
      <c r="H581" s="27"/>
      <c r="I581" s="27"/>
      <c r="J581" s="27"/>
      <c r="K581" s="27"/>
      <c r="L581" s="27"/>
      <c r="M581" s="27"/>
      <c r="N581" s="27"/>
      <c r="O581" s="27"/>
      <c r="P581" s="27"/>
      <c r="Q581" s="27"/>
      <c r="R581" s="27"/>
      <c r="S581" s="27"/>
    </row>
    <row r="582" ht="15.75" customHeight="1">
      <c r="A582" s="33" t="s">
        <v>31</v>
      </c>
      <c r="B582" s="45" t="s">
        <v>1350</v>
      </c>
      <c r="C582" s="34" t="s">
        <v>1351</v>
      </c>
      <c r="D582" s="36" t="s">
        <v>1352</v>
      </c>
      <c r="E582" s="36" t="s">
        <v>1353</v>
      </c>
      <c r="F582" s="37">
        <v>0.21</v>
      </c>
      <c r="G582" s="60" t="s">
        <v>516</v>
      </c>
      <c r="H582" s="27"/>
      <c r="I582" s="27"/>
      <c r="J582" s="27"/>
      <c r="K582" s="27"/>
      <c r="L582" s="27"/>
      <c r="M582" s="27"/>
      <c r="N582" s="27"/>
      <c r="O582" s="27"/>
      <c r="P582" s="27"/>
      <c r="Q582" s="27"/>
      <c r="R582" s="27"/>
      <c r="S582" s="27"/>
    </row>
    <row r="583" ht="15.75" customHeight="1">
      <c r="A583" s="40" t="s">
        <v>31</v>
      </c>
      <c r="B583" s="41" t="s">
        <v>1354</v>
      </c>
      <c r="C583" s="42" t="s">
        <v>1355</v>
      </c>
      <c r="D583" s="43" t="s">
        <v>447</v>
      </c>
      <c r="E583" s="43" t="s">
        <v>448</v>
      </c>
      <c r="F583" s="44">
        <v>0.21</v>
      </c>
      <c r="G583" s="60" t="s">
        <v>516</v>
      </c>
      <c r="H583" s="27"/>
      <c r="I583" s="27"/>
      <c r="J583" s="27"/>
      <c r="K583" s="27"/>
      <c r="L583" s="27"/>
      <c r="M583" s="27"/>
      <c r="N583" s="27"/>
      <c r="O583" s="27"/>
      <c r="P583" s="27"/>
      <c r="Q583" s="27"/>
      <c r="R583" s="27"/>
      <c r="S583" s="27"/>
    </row>
    <row r="584" ht="15.75" customHeight="1">
      <c r="A584" s="33" t="s">
        <v>31</v>
      </c>
      <c r="B584" s="45" t="s">
        <v>1356</v>
      </c>
      <c r="C584" s="34" t="s">
        <v>1357</v>
      </c>
      <c r="D584" s="36" t="s">
        <v>447</v>
      </c>
      <c r="E584" s="36" t="s">
        <v>448</v>
      </c>
      <c r="F584" s="37">
        <v>0.21</v>
      </c>
      <c r="G584" s="60" t="s">
        <v>516</v>
      </c>
      <c r="H584" s="27"/>
      <c r="I584" s="27"/>
      <c r="J584" s="27"/>
      <c r="K584" s="27"/>
      <c r="L584" s="27"/>
      <c r="M584" s="27"/>
      <c r="N584" s="27"/>
      <c r="O584" s="27"/>
      <c r="P584" s="27"/>
      <c r="Q584" s="27"/>
      <c r="R584" s="27"/>
      <c r="S584" s="27"/>
    </row>
    <row r="585" ht="15.75" customHeight="1">
      <c r="A585" s="40" t="s">
        <v>31</v>
      </c>
      <c r="B585" s="41" t="s">
        <v>1358</v>
      </c>
      <c r="C585" s="42" t="s">
        <v>1359</v>
      </c>
      <c r="D585" s="43" t="s">
        <v>447</v>
      </c>
      <c r="E585" s="43" t="s">
        <v>448</v>
      </c>
      <c r="F585" s="44">
        <v>0.21</v>
      </c>
      <c r="G585" s="60" t="s">
        <v>516</v>
      </c>
      <c r="H585" s="27"/>
      <c r="I585" s="27"/>
      <c r="J585" s="27"/>
      <c r="K585" s="27"/>
      <c r="L585" s="27"/>
      <c r="M585" s="27"/>
      <c r="N585" s="27"/>
      <c r="O585" s="27"/>
      <c r="P585" s="27"/>
      <c r="Q585" s="27"/>
      <c r="R585" s="27"/>
      <c r="S585" s="27"/>
    </row>
    <row r="586" ht="15.75" customHeight="1">
      <c r="A586" s="33" t="s">
        <v>31</v>
      </c>
      <c r="B586" s="45" t="s">
        <v>1360</v>
      </c>
      <c r="C586" s="34" t="s">
        <v>1361</v>
      </c>
      <c r="D586" s="36" t="s">
        <v>447</v>
      </c>
      <c r="E586" s="36" t="s">
        <v>448</v>
      </c>
      <c r="F586" s="37">
        <v>0.21</v>
      </c>
      <c r="G586" s="60" t="s">
        <v>516</v>
      </c>
      <c r="H586" s="27"/>
      <c r="I586" s="27"/>
      <c r="J586" s="27"/>
      <c r="K586" s="27"/>
      <c r="L586" s="27"/>
      <c r="M586" s="27"/>
      <c r="N586" s="27"/>
      <c r="O586" s="27"/>
      <c r="P586" s="27"/>
      <c r="Q586" s="27"/>
      <c r="R586" s="27"/>
      <c r="S586" s="27"/>
    </row>
    <row r="587" ht="15.75" customHeight="1">
      <c r="A587" s="40" t="s">
        <v>31</v>
      </c>
      <c r="B587" s="41" t="s">
        <v>1362</v>
      </c>
      <c r="C587" s="42" t="s">
        <v>1363</v>
      </c>
      <c r="D587" s="43" t="s">
        <v>447</v>
      </c>
      <c r="E587" s="43" t="s">
        <v>448</v>
      </c>
      <c r="F587" s="44">
        <v>0.21</v>
      </c>
      <c r="G587" s="60" t="s">
        <v>516</v>
      </c>
      <c r="H587" s="27"/>
      <c r="I587" s="27"/>
      <c r="J587" s="27"/>
      <c r="K587" s="27"/>
      <c r="L587" s="27"/>
      <c r="M587" s="27"/>
      <c r="N587" s="27"/>
      <c r="O587" s="27"/>
      <c r="P587" s="27"/>
      <c r="Q587" s="27"/>
      <c r="R587" s="27"/>
      <c r="S587" s="27"/>
    </row>
    <row r="588" ht="15.75" customHeight="1">
      <c r="A588" s="33" t="s">
        <v>31</v>
      </c>
      <c r="B588" s="45" t="s">
        <v>1364</v>
      </c>
      <c r="C588" s="34" t="s">
        <v>1365</v>
      </c>
      <c r="D588" s="36" t="s">
        <v>447</v>
      </c>
      <c r="E588" s="36" t="s">
        <v>448</v>
      </c>
      <c r="F588" s="37">
        <v>0.21</v>
      </c>
      <c r="G588" s="60" t="s">
        <v>516</v>
      </c>
      <c r="H588" s="27"/>
      <c r="I588" s="27"/>
      <c r="J588" s="27"/>
      <c r="K588" s="27"/>
      <c r="L588" s="27"/>
      <c r="M588" s="27"/>
      <c r="N588" s="27"/>
      <c r="O588" s="27"/>
      <c r="P588" s="27"/>
      <c r="Q588" s="27"/>
      <c r="R588" s="27"/>
      <c r="S588" s="27"/>
    </row>
    <row r="589" ht="15.75" customHeight="1">
      <c r="A589" s="40" t="s">
        <v>31</v>
      </c>
      <c r="B589" s="41" t="s">
        <v>1366</v>
      </c>
      <c r="C589" s="42" t="s">
        <v>1367</v>
      </c>
      <c r="D589" s="43" t="s">
        <v>447</v>
      </c>
      <c r="E589" s="43" t="s">
        <v>448</v>
      </c>
      <c r="F589" s="44">
        <v>0.21</v>
      </c>
      <c r="G589" s="60" t="s">
        <v>516</v>
      </c>
      <c r="H589" s="27"/>
      <c r="I589" s="27"/>
      <c r="J589" s="27"/>
      <c r="K589" s="27"/>
      <c r="L589" s="27"/>
      <c r="M589" s="27"/>
      <c r="N589" s="27"/>
      <c r="O589" s="27"/>
      <c r="P589" s="27"/>
      <c r="Q589" s="27"/>
      <c r="R589" s="27"/>
      <c r="S589" s="27"/>
    </row>
    <row r="590" ht="15.75" customHeight="1">
      <c r="A590" s="33" t="s">
        <v>31</v>
      </c>
      <c r="B590" s="53" t="s">
        <v>1368</v>
      </c>
      <c r="C590" s="34" t="s">
        <v>1369</v>
      </c>
      <c r="D590" s="36" t="s">
        <v>447</v>
      </c>
      <c r="E590" s="36" t="s">
        <v>448</v>
      </c>
      <c r="F590" s="37">
        <v>0.21</v>
      </c>
      <c r="G590" s="60" t="s">
        <v>516</v>
      </c>
      <c r="H590" s="27"/>
      <c r="I590" s="27"/>
      <c r="J590" s="27"/>
      <c r="K590" s="27"/>
      <c r="L590" s="27"/>
      <c r="M590" s="27"/>
      <c r="N590" s="27"/>
      <c r="O590" s="27"/>
      <c r="P590" s="27"/>
      <c r="Q590" s="27"/>
      <c r="R590" s="27"/>
      <c r="S590" s="27"/>
    </row>
    <row r="591" ht="15.75" customHeight="1">
      <c r="A591" s="40" t="s">
        <v>31</v>
      </c>
      <c r="B591" s="41" t="s">
        <v>1370</v>
      </c>
      <c r="C591" s="42" t="s">
        <v>1371</v>
      </c>
      <c r="D591" s="43" t="s">
        <v>131</v>
      </c>
      <c r="E591" s="43" t="s">
        <v>132</v>
      </c>
      <c r="F591" s="44">
        <v>0.21</v>
      </c>
      <c r="G591" s="60" t="s">
        <v>516</v>
      </c>
      <c r="H591" s="27"/>
      <c r="I591" s="27"/>
      <c r="J591" s="27"/>
      <c r="K591" s="27"/>
      <c r="L591" s="27"/>
      <c r="M591" s="27"/>
      <c r="N591" s="27"/>
      <c r="O591" s="27"/>
      <c r="P591" s="27"/>
      <c r="Q591" s="27"/>
      <c r="R591" s="27"/>
      <c r="S591" s="27"/>
    </row>
    <row r="592" ht="15.75" customHeight="1">
      <c r="A592" s="33" t="s">
        <v>31</v>
      </c>
      <c r="B592" s="45" t="s">
        <v>1372</v>
      </c>
      <c r="C592" s="34" t="s">
        <v>1373</v>
      </c>
      <c r="D592" s="36" t="s">
        <v>131</v>
      </c>
      <c r="E592" s="36" t="s">
        <v>132</v>
      </c>
      <c r="F592" s="37">
        <v>0.21</v>
      </c>
      <c r="G592" s="60" t="s">
        <v>516</v>
      </c>
      <c r="H592" s="27"/>
      <c r="I592" s="27"/>
      <c r="J592" s="27"/>
      <c r="K592" s="27"/>
      <c r="L592" s="27"/>
      <c r="M592" s="27"/>
      <c r="N592" s="27"/>
      <c r="O592" s="27"/>
      <c r="P592" s="27"/>
      <c r="Q592" s="27"/>
      <c r="R592" s="27"/>
      <c r="S592" s="27"/>
    </row>
    <row r="593" ht="15.75" customHeight="1">
      <c r="A593" s="40" t="s">
        <v>31</v>
      </c>
      <c r="B593" s="41" t="s">
        <v>1374</v>
      </c>
      <c r="C593" s="67" t="s">
        <v>1375</v>
      </c>
      <c r="D593" s="43" t="s">
        <v>131</v>
      </c>
      <c r="E593" s="43" t="s">
        <v>132</v>
      </c>
      <c r="F593" s="44">
        <v>0.21</v>
      </c>
      <c r="G593" s="60" t="s">
        <v>516</v>
      </c>
      <c r="H593" s="27"/>
      <c r="I593" s="27"/>
      <c r="J593" s="27"/>
      <c r="K593" s="27"/>
      <c r="L593" s="27"/>
      <c r="M593" s="27"/>
      <c r="N593" s="27"/>
      <c r="O593" s="27"/>
      <c r="P593" s="27"/>
      <c r="Q593" s="27"/>
      <c r="R593" s="27"/>
      <c r="S593" s="27"/>
    </row>
    <row r="594" ht="15.75" customHeight="1">
      <c r="A594" s="33" t="s">
        <v>31</v>
      </c>
      <c r="B594" s="45" t="s">
        <v>1376</v>
      </c>
      <c r="C594" s="68" t="s">
        <v>1377</v>
      </c>
      <c r="D594" s="36" t="s">
        <v>131</v>
      </c>
      <c r="E594" s="36" t="s">
        <v>132</v>
      </c>
      <c r="F594" s="37">
        <v>0.21</v>
      </c>
      <c r="G594" s="60" t="s">
        <v>516</v>
      </c>
      <c r="H594" s="27"/>
      <c r="I594" s="27"/>
      <c r="J594" s="27"/>
      <c r="K594" s="27"/>
      <c r="L594" s="27"/>
      <c r="M594" s="27"/>
      <c r="N594" s="27"/>
      <c r="O594" s="27"/>
      <c r="P594" s="27"/>
      <c r="Q594" s="27"/>
      <c r="R594" s="27"/>
      <c r="S594" s="27"/>
    </row>
    <row r="595" ht="15.75" customHeight="1">
      <c r="A595" s="40" t="s">
        <v>31</v>
      </c>
      <c r="B595" s="41" t="s">
        <v>1378</v>
      </c>
      <c r="C595" s="67" t="s">
        <v>1379</v>
      </c>
      <c r="D595" s="43" t="s">
        <v>553</v>
      </c>
      <c r="E595" s="43" t="s">
        <v>554</v>
      </c>
      <c r="F595" s="44">
        <v>0.21</v>
      </c>
      <c r="G595" s="60" t="s">
        <v>516</v>
      </c>
      <c r="H595" s="27"/>
      <c r="I595" s="27"/>
      <c r="J595" s="27"/>
      <c r="K595" s="27"/>
      <c r="L595" s="27"/>
      <c r="M595" s="27"/>
      <c r="N595" s="27"/>
      <c r="O595" s="27"/>
      <c r="P595" s="27"/>
      <c r="Q595" s="27"/>
      <c r="R595" s="27"/>
      <c r="S595" s="27"/>
    </row>
    <row r="596" ht="15.75" customHeight="1">
      <c r="A596" s="33" t="s">
        <v>31</v>
      </c>
      <c r="B596" s="45" t="s">
        <v>1380</v>
      </c>
      <c r="C596" s="68" t="s">
        <v>1381</v>
      </c>
      <c r="D596" s="36" t="s">
        <v>41</v>
      </c>
      <c r="E596" s="36" t="s">
        <v>42</v>
      </c>
      <c r="F596" s="37">
        <v>0.21</v>
      </c>
      <c r="G596" s="60" t="s">
        <v>516</v>
      </c>
      <c r="H596" s="27"/>
      <c r="I596" s="27"/>
      <c r="J596" s="27"/>
      <c r="K596" s="27"/>
      <c r="L596" s="27"/>
      <c r="M596" s="27"/>
      <c r="N596" s="27"/>
      <c r="O596" s="27"/>
      <c r="P596" s="27"/>
      <c r="Q596" s="27"/>
      <c r="R596" s="27"/>
      <c r="S596" s="27"/>
    </row>
    <row r="597" ht="15.75" customHeight="1">
      <c r="A597" s="40" t="s">
        <v>31</v>
      </c>
      <c r="B597" s="41" t="s">
        <v>1382</v>
      </c>
      <c r="C597" s="67" t="s">
        <v>1383</v>
      </c>
      <c r="D597" s="43" t="s">
        <v>531</v>
      </c>
      <c r="E597" s="43" t="s">
        <v>532</v>
      </c>
      <c r="F597" s="44">
        <v>0.21</v>
      </c>
      <c r="G597" s="60" t="s">
        <v>516</v>
      </c>
      <c r="H597" s="27"/>
      <c r="I597" s="27"/>
      <c r="J597" s="27"/>
      <c r="K597" s="27"/>
      <c r="L597" s="27"/>
      <c r="M597" s="27"/>
      <c r="N597" s="27"/>
      <c r="O597" s="27"/>
      <c r="P597" s="27"/>
      <c r="Q597" s="27"/>
      <c r="R597" s="27"/>
      <c r="S597" s="27"/>
    </row>
    <row r="598" ht="15.75" customHeight="1">
      <c r="A598" s="33" t="s">
        <v>31</v>
      </c>
      <c r="B598" s="53" t="s">
        <v>1384</v>
      </c>
      <c r="C598" s="68" t="s">
        <v>1385</v>
      </c>
      <c r="D598" s="36" t="s">
        <v>896</v>
      </c>
      <c r="E598" s="36" t="s">
        <v>897</v>
      </c>
      <c r="F598" s="37">
        <v>0.21</v>
      </c>
      <c r="G598" s="60" t="s">
        <v>516</v>
      </c>
      <c r="H598" s="27"/>
      <c r="I598" s="27"/>
      <c r="J598" s="27"/>
      <c r="K598" s="27"/>
      <c r="L598" s="27"/>
      <c r="M598" s="27"/>
      <c r="N598" s="27"/>
      <c r="O598" s="27"/>
      <c r="P598" s="27"/>
      <c r="Q598" s="27"/>
      <c r="R598" s="27"/>
      <c r="S598" s="27"/>
    </row>
    <row r="599" ht="15.75" customHeight="1">
      <c r="A599" s="40" t="s">
        <v>31</v>
      </c>
      <c r="B599" s="41" t="s">
        <v>1386</v>
      </c>
      <c r="C599" s="67" t="s">
        <v>1387</v>
      </c>
      <c r="D599" s="43" t="s">
        <v>885</v>
      </c>
      <c r="E599" s="43" t="s">
        <v>886</v>
      </c>
      <c r="F599" s="44">
        <v>0.21</v>
      </c>
      <c r="G599" s="60" t="s">
        <v>516</v>
      </c>
      <c r="H599" s="27"/>
      <c r="I599" s="27"/>
      <c r="J599" s="27"/>
      <c r="K599" s="27"/>
      <c r="L599" s="27"/>
      <c r="M599" s="27"/>
      <c r="N599" s="27"/>
      <c r="O599" s="27"/>
      <c r="P599" s="27"/>
      <c r="Q599" s="27"/>
      <c r="R599" s="27"/>
      <c r="S599" s="27"/>
    </row>
    <row r="600" ht="15.75" customHeight="1">
      <c r="A600" s="33" t="s">
        <v>31</v>
      </c>
      <c r="B600" s="45" t="s">
        <v>1388</v>
      </c>
      <c r="C600" s="68" t="s">
        <v>1389</v>
      </c>
      <c r="D600" s="36" t="s">
        <v>896</v>
      </c>
      <c r="E600" s="36" t="s">
        <v>897</v>
      </c>
      <c r="F600" s="37">
        <v>0.21</v>
      </c>
      <c r="G600" s="60" t="s">
        <v>516</v>
      </c>
      <c r="H600" s="27"/>
      <c r="I600" s="27"/>
      <c r="J600" s="27"/>
      <c r="K600" s="27"/>
      <c r="L600" s="27"/>
      <c r="M600" s="27"/>
      <c r="N600" s="27"/>
      <c r="O600" s="27"/>
      <c r="P600" s="27"/>
      <c r="Q600" s="27"/>
      <c r="R600" s="27"/>
      <c r="S600" s="27"/>
    </row>
    <row r="601" ht="15.75" customHeight="1">
      <c r="A601" s="40" t="s">
        <v>31</v>
      </c>
      <c r="B601" s="41" t="s">
        <v>1390</v>
      </c>
      <c r="C601" s="67" t="s">
        <v>1391</v>
      </c>
      <c r="D601" s="43" t="s">
        <v>885</v>
      </c>
      <c r="E601" s="43" t="s">
        <v>886</v>
      </c>
      <c r="F601" s="44">
        <v>0.21</v>
      </c>
      <c r="G601" s="60" t="s">
        <v>516</v>
      </c>
      <c r="H601" s="27"/>
      <c r="I601" s="27"/>
      <c r="J601" s="27"/>
      <c r="K601" s="27"/>
      <c r="L601" s="27"/>
      <c r="M601" s="27"/>
      <c r="N601" s="27"/>
      <c r="O601" s="27"/>
      <c r="P601" s="27"/>
      <c r="Q601" s="27"/>
      <c r="R601" s="27"/>
      <c r="S601" s="27"/>
    </row>
    <row r="602" ht="15.75" customHeight="1">
      <c r="A602" s="33" t="s">
        <v>31</v>
      </c>
      <c r="B602" s="45" t="s">
        <v>1392</v>
      </c>
      <c r="C602" s="68" t="s">
        <v>1393</v>
      </c>
      <c r="D602" s="36" t="s">
        <v>896</v>
      </c>
      <c r="E602" s="36" t="s">
        <v>897</v>
      </c>
      <c r="F602" s="37">
        <v>0.21</v>
      </c>
      <c r="G602" s="60" t="s">
        <v>516</v>
      </c>
      <c r="H602" s="27"/>
      <c r="I602" s="27"/>
      <c r="J602" s="27"/>
      <c r="K602" s="27"/>
      <c r="L602" s="27"/>
      <c r="M602" s="27"/>
      <c r="N602" s="27"/>
      <c r="O602" s="27"/>
      <c r="P602" s="27"/>
      <c r="Q602" s="27"/>
      <c r="R602" s="27"/>
      <c r="S602" s="27"/>
    </row>
    <row r="603" ht="15.75" customHeight="1">
      <c r="A603" s="40" t="s">
        <v>31</v>
      </c>
      <c r="B603" s="41" t="s">
        <v>1394</v>
      </c>
      <c r="C603" s="67" t="s">
        <v>1395</v>
      </c>
      <c r="D603" s="43" t="s">
        <v>885</v>
      </c>
      <c r="E603" s="43" t="s">
        <v>886</v>
      </c>
      <c r="F603" s="44">
        <v>0.21</v>
      </c>
      <c r="G603" s="60" t="s">
        <v>516</v>
      </c>
      <c r="H603" s="27"/>
      <c r="I603" s="27"/>
      <c r="J603" s="27"/>
      <c r="K603" s="27"/>
      <c r="L603" s="27"/>
      <c r="M603" s="27"/>
      <c r="N603" s="27"/>
      <c r="O603" s="27"/>
      <c r="P603" s="27"/>
      <c r="Q603" s="27"/>
      <c r="R603" s="27"/>
      <c r="S603" s="27"/>
    </row>
    <row r="604" ht="15.75" customHeight="1">
      <c r="A604" s="33" t="s">
        <v>31</v>
      </c>
      <c r="B604" s="45" t="s">
        <v>1396</v>
      </c>
      <c r="C604" s="68" t="s">
        <v>1397</v>
      </c>
      <c r="D604" s="36" t="s">
        <v>953</v>
      </c>
      <c r="E604" s="36" t="s">
        <v>954</v>
      </c>
      <c r="F604" s="37">
        <v>0.21</v>
      </c>
      <c r="G604" s="60" t="s">
        <v>516</v>
      </c>
      <c r="H604" s="27"/>
      <c r="I604" s="27"/>
      <c r="J604" s="27"/>
      <c r="K604" s="27"/>
      <c r="L604" s="27"/>
      <c r="M604" s="27"/>
      <c r="N604" s="27"/>
      <c r="O604" s="27"/>
      <c r="P604" s="27"/>
      <c r="Q604" s="27"/>
      <c r="R604" s="27"/>
      <c r="S604" s="27"/>
    </row>
    <row r="605" ht="15.75" customHeight="1">
      <c r="A605" s="40" t="s">
        <v>31</v>
      </c>
      <c r="B605" s="41" t="s">
        <v>1398</v>
      </c>
      <c r="C605" s="67" t="s">
        <v>1399</v>
      </c>
      <c r="D605" s="43" t="s">
        <v>953</v>
      </c>
      <c r="E605" s="43" t="s">
        <v>954</v>
      </c>
      <c r="F605" s="44">
        <v>0.21</v>
      </c>
      <c r="G605" s="60" t="s">
        <v>516</v>
      </c>
      <c r="H605" s="27"/>
      <c r="I605" s="27"/>
      <c r="J605" s="27"/>
      <c r="K605" s="27"/>
      <c r="L605" s="27"/>
      <c r="M605" s="27"/>
      <c r="N605" s="27"/>
      <c r="O605" s="27"/>
      <c r="P605" s="27"/>
      <c r="Q605" s="27"/>
      <c r="R605" s="27"/>
      <c r="S605" s="27"/>
    </row>
    <row r="606" ht="15.75" customHeight="1">
      <c r="A606" s="33" t="s">
        <v>31</v>
      </c>
      <c r="B606" s="45" t="s">
        <v>1400</v>
      </c>
      <c r="C606" s="68" t="s">
        <v>1401</v>
      </c>
      <c r="D606" s="36" t="s">
        <v>953</v>
      </c>
      <c r="E606" s="36" t="s">
        <v>954</v>
      </c>
      <c r="F606" s="37">
        <v>0.21</v>
      </c>
      <c r="G606" s="60" t="s">
        <v>516</v>
      </c>
      <c r="H606" s="27"/>
      <c r="I606" s="27"/>
      <c r="J606" s="27"/>
      <c r="K606" s="27"/>
      <c r="L606" s="27"/>
      <c r="M606" s="27"/>
      <c r="N606" s="27"/>
      <c r="O606" s="27"/>
      <c r="P606" s="27"/>
      <c r="Q606" s="27"/>
      <c r="R606" s="27"/>
      <c r="S606" s="27"/>
    </row>
    <row r="607" ht="15.75" customHeight="1">
      <c r="A607" s="28" t="s">
        <v>1402</v>
      </c>
      <c r="C607" s="69"/>
      <c r="D607" s="51"/>
      <c r="E607" s="31"/>
      <c r="F607" s="29"/>
      <c r="G607" s="29"/>
      <c r="H607" s="27"/>
      <c r="I607" s="27"/>
      <c r="J607" s="27"/>
      <c r="K607" s="27"/>
      <c r="L607" s="27"/>
      <c r="M607" s="27"/>
      <c r="N607" s="27"/>
      <c r="O607" s="27"/>
      <c r="P607" s="27"/>
      <c r="Q607" s="27"/>
      <c r="R607" s="27"/>
      <c r="S607" s="27"/>
    </row>
    <row r="608" ht="15.75" customHeight="1">
      <c r="A608" s="40" t="s">
        <v>1403</v>
      </c>
      <c r="B608" s="41" t="s">
        <v>1404</v>
      </c>
      <c r="C608" s="67" t="s">
        <v>1405</v>
      </c>
      <c r="D608" s="43" t="s">
        <v>222</v>
      </c>
      <c r="E608" s="43" t="s">
        <v>223</v>
      </c>
      <c r="F608" s="44">
        <v>0.21</v>
      </c>
      <c r="G608" s="60" t="s">
        <v>516</v>
      </c>
      <c r="H608" s="27"/>
      <c r="I608" s="27"/>
      <c r="J608" s="27"/>
      <c r="K608" s="27"/>
      <c r="L608" s="27"/>
      <c r="M608" s="27"/>
      <c r="N608" s="27"/>
      <c r="O608" s="27"/>
      <c r="P608" s="27"/>
      <c r="Q608" s="27"/>
      <c r="R608" s="27"/>
      <c r="S608" s="27"/>
    </row>
    <row r="609" ht="15.75" customHeight="1">
      <c r="A609" s="33" t="s">
        <v>1403</v>
      </c>
      <c r="B609" s="45" t="s">
        <v>1406</v>
      </c>
      <c r="C609" s="68" t="s">
        <v>1407</v>
      </c>
      <c r="D609" s="36" t="s">
        <v>222</v>
      </c>
      <c r="E609" s="36" t="s">
        <v>223</v>
      </c>
      <c r="F609" s="37">
        <v>0.21</v>
      </c>
      <c r="G609" s="60" t="s">
        <v>516</v>
      </c>
      <c r="H609" s="27"/>
      <c r="I609" s="27"/>
      <c r="J609" s="27"/>
      <c r="K609" s="27"/>
      <c r="L609" s="27"/>
      <c r="M609" s="27"/>
      <c r="N609" s="27"/>
      <c r="O609" s="27"/>
      <c r="P609" s="27"/>
      <c r="Q609" s="27"/>
      <c r="R609" s="27"/>
      <c r="S609" s="27"/>
    </row>
    <row r="610" ht="15.75" customHeight="1">
      <c r="A610" s="40" t="s">
        <v>1403</v>
      </c>
      <c r="B610" s="41" t="s">
        <v>1408</v>
      </c>
      <c r="C610" s="67" t="s">
        <v>1409</v>
      </c>
      <c r="D610" s="43" t="s">
        <v>222</v>
      </c>
      <c r="E610" s="43" t="s">
        <v>223</v>
      </c>
      <c r="F610" s="44">
        <v>0.21</v>
      </c>
      <c r="G610" s="60" t="s">
        <v>516</v>
      </c>
      <c r="H610" s="27"/>
      <c r="I610" s="27"/>
      <c r="J610" s="27"/>
      <c r="K610" s="27"/>
      <c r="L610" s="27"/>
      <c r="M610" s="27"/>
      <c r="N610" s="27"/>
      <c r="O610" s="27"/>
      <c r="P610" s="27"/>
      <c r="Q610" s="27"/>
      <c r="R610" s="27"/>
      <c r="S610" s="27"/>
    </row>
    <row r="611" ht="15.75" customHeight="1">
      <c r="A611" s="33" t="s">
        <v>1403</v>
      </c>
      <c r="B611" s="45" t="s">
        <v>1410</v>
      </c>
      <c r="C611" s="68" t="s">
        <v>1411</v>
      </c>
      <c r="D611" s="36" t="s">
        <v>222</v>
      </c>
      <c r="E611" s="36" t="s">
        <v>223</v>
      </c>
      <c r="F611" s="37">
        <v>0.21</v>
      </c>
      <c r="G611" s="60" t="s">
        <v>516</v>
      </c>
      <c r="H611" s="27"/>
      <c r="I611" s="27"/>
      <c r="J611" s="27"/>
      <c r="K611" s="27"/>
      <c r="L611" s="27"/>
      <c r="M611" s="27"/>
      <c r="N611" s="27"/>
      <c r="O611" s="27"/>
      <c r="P611" s="27"/>
      <c r="Q611" s="27"/>
      <c r="R611" s="27"/>
      <c r="S611" s="27"/>
    </row>
    <row r="612" ht="15.75" customHeight="1">
      <c r="A612" s="40" t="s">
        <v>31</v>
      </c>
      <c r="B612" s="41" t="s">
        <v>1412</v>
      </c>
      <c r="C612" s="67" t="s">
        <v>1413</v>
      </c>
      <c r="D612" s="43" t="s">
        <v>428</v>
      </c>
      <c r="E612" s="43" t="s">
        <v>429</v>
      </c>
      <c r="F612" s="44">
        <v>0.21</v>
      </c>
      <c r="G612" s="60" t="s">
        <v>516</v>
      </c>
      <c r="H612" s="27"/>
      <c r="I612" s="27"/>
      <c r="J612" s="27"/>
      <c r="K612" s="27"/>
      <c r="L612" s="27"/>
      <c r="M612" s="27"/>
      <c r="N612" s="27"/>
      <c r="O612" s="27"/>
      <c r="P612" s="27"/>
      <c r="Q612" s="27"/>
      <c r="R612" s="27"/>
      <c r="S612" s="27"/>
    </row>
    <row r="613" ht="15.75" customHeight="1">
      <c r="A613" s="33" t="s">
        <v>31</v>
      </c>
      <c r="B613" s="45" t="s">
        <v>1414</v>
      </c>
      <c r="C613" s="68" t="s">
        <v>327</v>
      </c>
      <c r="D613" s="36" t="s">
        <v>514</v>
      </c>
      <c r="E613" s="36" t="s">
        <v>515</v>
      </c>
      <c r="F613" s="37">
        <v>0.21</v>
      </c>
      <c r="G613" s="60" t="s">
        <v>516</v>
      </c>
      <c r="H613" s="27"/>
      <c r="I613" s="27"/>
      <c r="J613" s="27"/>
      <c r="K613" s="27"/>
      <c r="L613" s="27"/>
      <c r="M613" s="27"/>
      <c r="N613" s="27"/>
      <c r="O613" s="27"/>
      <c r="P613" s="27"/>
      <c r="Q613" s="27"/>
      <c r="R613" s="27"/>
      <c r="S613" s="27"/>
    </row>
    <row r="614" ht="15.75" customHeight="1">
      <c r="A614" s="40" t="s">
        <v>31</v>
      </c>
      <c r="B614" s="41" t="s">
        <v>1415</v>
      </c>
      <c r="C614" s="67" t="s">
        <v>327</v>
      </c>
      <c r="D614" s="43" t="s">
        <v>1416</v>
      </c>
      <c r="E614" s="43" t="s">
        <v>1417</v>
      </c>
      <c r="F614" s="44">
        <v>0.21</v>
      </c>
      <c r="G614" s="60" t="s">
        <v>516</v>
      </c>
      <c r="H614" s="27"/>
      <c r="I614" s="27"/>
      <c r="J614" s="27"/>
      <c r="K614" s="27"/>
      <c r="L614" s="27"/>
      <c r="M614" s="27"/>
      <c r="N614" s="27"/>
      <c r="O614" s="27"/>
      <c r="P614" s="27"/>
      <c r="Q614" s="27"/>
      <c r="R614" s="27"/>
      <c r="S614" s="27"/>
    </row>
    <row r="615" ht="15.75" customHeight="1">
      <c r="A615" s="33" t="s">
        <v>31</v>
      </c>
      <c r="B615" s="45" t="s">
        <v>1418</v>
      </c>
      <c r="C615" s="68" t="s">
        <v>1419</v>
      </c>
      <c r="D615" s="36" t="s">
        <v>428</v>
      </c>
      <c r="E615" s="36" t="s">
        <v>429</v>
      </c>
      <c r="F615" s="37">
        <v>0.21</v>
      </c>
      <c r="G615" s="60" t="s">
        <v>516</v>
      </c>
      <c r="H615" s="27"/>
      <c r="I615" s="27"/>
      <c r="J615" s="27"/>
      <c r="K615" s="27"/>
      <c r="L615" s="27"/>
      <c r="M615" s="27"/>
      <c r="N615" s="27"/>
      <c r="O615" s="27"/>
      <c r="P615" s="27"/>
      <c r="Q615" s="27"/>
      <c r="R615" s="27"/>
      <c r="S615" s="27"/>
    </row>
    <row r="616" ht="15.75" customHeight="1">
      <c r="A616" s="40" t="s">
        <v>31</v>
      </c>
      <c r="B616" s="41" t="s">
        <v>1420</v>
      </c>
      <c r="C616" s="67" t="s">
        <v>327</v>
      </c>
      <c r="D616" s="43" t="s">
        <v>514</v>
      </c>
      <c r="E616" s="43" t="s">
        <v>515</v>
      </c>
      <c r="F616" s="44">
        <v>0.21</v>
      </c>
      <c r="G616" s="60" t="s">
        <v>516</v>
      </c>
      <c r="H616" s="27"/>
      <c r="I616" s="27"/>
      <c r="J616" s="27"/>
      <c r="K616" s="27"/>
      <c r="L616" s="27"/>
      <c r="M616" s="27"/>
      <c r="N616" s="27"/>
      <c r="O616" s="27"/>
      <c r="P616" s="27"/>
      <c r="Q616" s="27"/>
      <c r="R616" s="27"/>
      <c r="S616" s="27"/>
    </row>
    <row r="617" ht="15.75" customHeight="1">
      <c r="A617" s="33" t="s">
        <v>31</v>
      </c>
      <c r="B617" s="45" t="s">
        <v>1421</v>
      </c>
      <c r="C617" s="68" t="s">
        <v>327</v>
      </c>
      <c r="D617" s="36" t="s">
        <v>1416</v>
      </c>
      <c r="E617" s="36" t="s">
        <v>1417</v>
      </c>
      <c r="F617" s="37">
        <v>0.21</v>
      </c>
      <c r="G617" s="60" t="s">
        <v>516</v>
      </c>
      <c r="H617" s="27"/>
      <c r="I617" s="27"/>
      <c r="J617" s="27"/>
      <c r="K617" s="27"/>
      <c r="L617" s="27"/>
      <c r="M617" s="27"/>
      <c r="N617" s="27"/>
      <c r="O617" s="27"/>
      <c r="P617" s="27"/>
      <c r="Q617" s="27"/>
      <c r="R617" s="27"/>
      <c r="S617" s="27"/>
    </row>
    <row r="618" ht="15.75" customHeight="1">
      <c r="A618" s="40" t="s">
        <v>31</v>
      </c>
      <c r="B618" s="41" t="s">
        <v>1422</v>
      </c>
      <c r="C618" s="67" t="s">
        <v>1423</v>
      </c>
      <c r="D618" s="43" t="s">
        <v>428</v>
      </c>
      <c r="E618" s="43" t="s">
        <v>429</v>
      </c>
      <c r="F618" s="44">
        <v>0.21</v>
      </c>
      <c r="G618" s="60" t="s">
        <v>516</v>
      </c>
      <c r="H618" s="27"/>
      <c r="I618" s="27"/>
      <c r="J618" s="27"/>
      <c r="K618" s="27"/>
      <c r="L618" s="27"/>
      <c r="M618" s="27"/>
      <c r="N618" s="27"/>
      <c r="O618" s="27"/>
      <c r="P618" s="27"/>
      <c r="Q618" s="27"/>
      <c r="R618" s="27"/>
      <c r="S618" s="27"/>
    </row>
    <row r="619" ht="15.75" customHeight="1">
      <c r="A619" s="33" t="s">
        <v>31</v>
      </c>
      <c r="B619" s="45" t="s">
        <v>1424</v>
      </c>
      <c r="C619" s="68" t="s">
        <v>327</v>
      </c>
      <c r="D619" s="36" t="s">
        <v>1416</v>
      </c>
      <c r="E619" s="36" t="s">
        <v>1417</v>
      </c>
      <c r="F619" s="37">
        <v>0.21</v>
      </c>
      <c r="G619" s="60" t="s">
        <v>516</v>
      </c>
      <c r="H619" s="27"/>
      <c r="I619" s="27"/>
      <c r="J619" s="27"/>
      <c r="K619" s="27"/>
      <c r="L619" s="27"/>
      <c r="M619" s="27"/>
      <c r="N619" s="27"/>
      <c r="O619" s="27"/>
      <c r="P619" s="27"/>
      <c r="Q619" s="27"/>
      <c r="R619" s="27"/>
      <c r="S619" s="27"/>
    </row>
    <row r="620" ht="15.75" customHeight="1">
      <c r="A620" s="40" t="s">
        <v>31</v>
      </c>
      <c r="B620" s="41" t="s">
        <v>1425</v>
      </c>
      <c r="C620" s="67" t="s">
        <v>327</v>
      </c>
      <c r="D620" s="43" t="s">
        <v>514</v>
      </c>
      <c r="E620" s="43" t="s">
        <v>515</v>
      </c>
      <c r="F620" s="44">
        <v>0.21</v>
      </c>
      <c r="G620" s="60" t="s">
        <v>516</v>
      </c>
      <c r="H620" s="27"/>
      <c r="I620" s="27"/>
      <c r="J620" s="27"/>
      <c r="K620" s="27"/>
      <c r="L620" s="27"/>
      <c r="M620" s="27"/>
      <c r="N620" s="27"/>
      <c r="O620" s="27"/>
      <c r="P620" s="27"/>
      <c r="Q620" s="27"/>
      <c r="R620" s="27"/>
      <c r="S620" s="27"/>
    </row>
    <row r="621" ht="15.75" customHeight="1">
      <c r="A621" s="33" t="s">
        <v>31</v>
      </c>
      <c r="B621" s="45" t="s">
        <v>1426</v>
      </c>
      <c r="C621" s="68" t="s">
        <v>1427</v>
      </c>
      <c r="D621" s="36" t="s">
        <v>428</v>
      </c>
      <c r="E621" s="36" t="s">
        <v>429</v>
      </c>
      <c r="F621" s="37">
        <v>0.21</v>
      </c>
      <c r="G621" s="60" t="s">
        <v>516</v>
      </c>
      <c r="H621" s="27"/>
      <c r="I621" s="27"/>
      <c r="J621" s="27"/>
      <c r="K621" s="27"/>
      <c r="L621" s="27"/>
      <c r="M621" s="27"/>
      <c r="N621" s="27"/>
      <c r="O621" s="27"/>
      <c r="P621" s="27"/>
      <c r="Q621" s="27"/>
      <c r="R621" s="27"/>
      <c r="S621" s="27"/>
    </row>
    <row r="622" ht="15.75" customHeight="1">
      <c r="A622" s="40" t="s">
        <v>31</v>
      </c>
      <c r="B622" s="41" t="s">
        <v>1428</v>
      </c>
      <c r="C622" s="67" t="s">
        <v>327</v>
      </c>
      <c r="D622" s="43" t="s">
        <v>1416</v>
      </c>
      <c r="E622" s="43" t="s">
        <v>1417</v>
      </c>
      <c r="F622" s="44">
        <v>0.21</v>
      </c>
      <c r="G622" s="60" t="s">
        <v>516</v>
      </c>
      <c r="H622" s="27"/>
      <c r="I622" s="27"/>
      <c r="J622" s="27"/>
      <c r="K622" s="27"/>
      <c r="L622" s="27"/>
      <c r="M622" s="27"/>
      <c r="N622" s="27"/>
      <c r="O622" s="27"/>
      <c r="P622" s="27"/>
      <c r="Q622" s="27"/>
      <c r="R622" s="27"/>
      <c r="S622" s="27"/>
    </row>
    <row r="623" ht="15.75" customHeight="1">
      <c r="A623" s="33" t="s">
        <v>31</v>
      </c>
      <c r="B623" s="45" t="s">
        <v>1429</v>
      </c>
      <c r="C623" s="68" t="s">
        <v>327</v>
      </c>
      <c r="D623" s="36" t="s">
        <v>514</v>
      </c>
      <c r="E623" s="36" t="s">
        <v>515</v>
      </c>
      <c r="F623" s="37">
        <v>0.21</v>
      </c>
      <c r="G623" s="60" t="s">
        <v>516</v>
      </c>
      <c r="H623" s="27"/>
      <c r="I623" s="27"/>
      <c r="J623" s="27"/>
      <c r="K623" s="27"/>
      <c r="L623" s="27"/>
      <c r="M623" s="27"/>
      <c r="N623" s="27"/>
      <c r="O623" s="27"/>
      <c r="P623" s="27"/>
      <c r="Q623" s="27"/>
      <c r="R623" s="27"/>
      <c r="S623" s="27"/>
    </row>
    <row r="624" ht="15.75" customHeight="1">
      <c r="A624" s="40" t="s">
        <v>31</v>
      </c>
      <c r="B624" s="41" t="s">
        <v>1430</v>
      </c>
      <c r="C624" s="67" t="s">
        <v>1431</v>
      </c>
      <c r="D624" s="43" t="s">
        <v>45</v>
      </c>
      <c r="E624" s="43" t="s">
        <v>46</v>
      </c>
      <c r="F624" s="44">
        <v>0.21</v>
      </c>
      <c r="G624" s="38" t="str">
        <f>IFERROR(VLOOKUP("MMD 835-1 BK",STOCK!B14:Q3689,3,FALSE),"SIN STOCK")</f>
        <v>Mayor a 5</v>
      </c>
      <c r="H624" s="27"/>
      <c r="I624" s="27"/>
      <c r="J624" s="27"/>
      <c r="K624" s="27"/>
      <c r="L624" s="27"/>
      <c r="M624" s="27"/>
      <c r="N624" s="27"/>
      <c r="O624" s="27"/>
      <c r="P624" s="27"/>
      <c r="Q624" s="27"/>
      <c r="R624" s="27"/>
      <c r="S624" s="27"/>
    </row>
    <row r="625" ht="15.75" customHeight="1">
      <c r="A625" s="33" t="s">
        <v>31</v>
      </c>
      <c r="B625" s="45" t="s">
        <v>1432</v>
      </c>
      <c r="C625" s="68" t="s">
        <v>1433</v>
      </c>
      <c r="D625" s="36" t="s">
        <v>45</v>
      </c>
      <c r="E625" s="36" t="s">
        <v>46</v>
      </c>
      <c r="F625" s="37">
        <v>0.21</v>
      </c>
      <c r="G625" s="38" t="str">
        <f>IFERROR(VLOOKUP("MMD 845-1 BK",STOCK!B15:Q3690,3,FALSE),"SIN STOCK")</f>
        <v>Menor a 5</v>
      </c>
      <c r="H625" s="27"/>
      <c r="I625" s="27"/>
      <c r="J625" s="27"/>
      <c r="K625" s="27"/>
      <c r="L625" s="27"/>
      <c r="M625" s="27"/>
      <c r="N625" s="27"/>
      <c r="O625" s="27"/>
      <c r="P625" s="27"/>
      <c r="Q625" s="27"/>
      <c r="R625" s="27"/>
      <c r="S625" s="27"/>
    </row>
    <row r="626" ht="15.75" customHeight="1">
      <c r="A626" s="40" t="s">
        <v>31</v>
      </c>
      <c r="B626" s="52" t="s">
        <v>1434</v>
      </c>
      <c r="C626" s="67" t="s">
        <v>1431</v>
      </c>
      <c r="D626" s="43" t="s">
        <v>49</v>
      </c>
      <c r="E626" s="43" t="s">
        <v>50</v>
      </c>
      <c r="F626" s="44">
        <v>0.21</v>
      </c>
      <c r="G626" s="38" t="str">
        <f>IFERROR(VLOOKUP("MMD 935-1 BK",STOCK!B16:Q3691,3,FALSE),"SIN STOCK")</f>
        <v>Mayor a 5</v>
      </c>
      <c r="H626" s="27"/>
      <c r="I626" s="27"/>
      <c r="J626" s="27"/>
      <c r="K626" s="27"/>
      <c r="L626" s="27"/>
      <c r="M626" s="27"/>
      <c r="N626" s="27"/>
      <c r="O626" s="27"/>
      <c r="P626" s="27"/>
      <c r="Q626" s="27"/>
      <c r="R626" s="27"/>
      <c r="S626" s="27"/>
    </row>
    <row r="627" ht="15.75" customHeight="1">
      <c r="A627" s="33" t="s">
        <v>31</v>
      </c>
      <c r="B627" s="45" t="s">
        <v>1435</v>
      </c>
      <c r="C627" s="68" t="s">
        <v>1433</v>
      </c>
      <c r="D627" s="36" t="s">
        <v>49</v>
      </c>
      <c r="E627" s="36" t="s">
        <v>50</v>
      </c>
      <c r="F627" s="37">
        <v>0.21</v>
      </c>
      <c r="G627" s="46" t="str">
        <f>IFERROR(VLOOKUP("MMD945",STOCK!B17:Q3692,3,FALSE),"SIN STOCK")</f>
        <v>SIN STOCK</v>
      </c>
      <c r="H627" s="27"/>
      <c r="I627" s="27"/>
      <c r="J627" s="27"/>
      <c r="K627" s="27"/>
      <c r="L627" s="27"/>
      <c r="M627" s="27"/>
      <c r="N627" s="27"/>
      <c r="O627" s="27"/>
      <c r="P627" s="27"/>
      <c r="Q627" s="27"/>
      <c r="R627" s="27"/>
      <c r="S627" s="27"/>
    </row>
    <row r="628" ht="15.75" customHeight="1">
      <c r="A628" s="40" t="s">
        <v>31</v>
      </c>
      <c r="B628" s="41" t="s">
        <v>1436</v>
      </c>
      <c r="C628" s="67" t="s">
        <v>1437</v>
      </c>
      <c r="D628" s="43" t="s">
        <v>117</v>
      </c>
      <c r="E628" s="43" t="s">
        <v>118</v>
      </c>
      <c r="F628" s="44">
        <v>0.21</v>
      </c>
      <c r="G628" s="46" t="str">
        <f>IFERROR(VLOOKUP("MME865",STOCK!B18:Q3693,3,FALSE),"SIN STOCK")</f>
        <v>SIN STOCK</v>
      </c>
      <c r="H628" s="27"/>
      <c r="I628" s="27"/>
      <c r="J628" s="27"/>
      <c r="K628" s="27"/>
      <c r="L628" s="27"/>
      <c r="M628" s="27"/>
      <c r="N628" s="27"/>
      <c r="O628" s="27"/>
      <c r="P628" s="27"/>
      <c r="Q628" s="27"/>
      <c r="R628" s="27"/>
      <c r="S628" s="27"/>
    </row>
    <row r="629" ht="15.75" customHeight="1">
      <c r="A629" s="33" t="s">
        <v>31</v>
      </c>
      <c r="B629" s="45" t="s">
        <v>1438</v>
      </c>
      <c r="C629" s="68" t="s">
        <v>1439</v>
      </c>
      <c r="D629" s="36" t="s">
        <v>410</v>
      </c>
      <c r="E629" s="36" t="s">
        <v>411</v>
      </c>
      <c r="F629" s="37">
        <v>0.21</v>
      </c>
      <c r="G629" s="46" t="str">
        <f>IFERROR(VLOOKUP("MMK965",STOCK!B19:Q3694,3,FALSE),"SIN STOCK")</f>
        <v>SIN STOCK</v>
      </c>
      <c r="H629" s="27"/>
      <c r="I629" s="27"/>
      <c r="J629" s="27"/>
      <c r="K629" s="27"/>
      <c r="L629" s="27"/>
      <c r="M629" s="27"/>
      <c r="N629" s="27"/>
      <c r="O629" s="27"/>
      <c r="P629" s="27"/>
      <c r="Q629" s="27"/>
      <c r="R629" s="27"/>
      <c r="S629" s="27"/>
    </row>
    <row r="630" ht="15.75" customHeight="1">
      <c r="A630" s="40" t="s">
        <v>31</v>
      </c>
      <c r="B630" s="41" t="s">
        <v>1440</v>
      </c>
      <c r="C630" s="67" t="s">
        <v>1441</v>
      </c>
      <c r="D630" s="43" t="s">
        <v>410</v>
      </c>
      <c r="E630" s="43" t="s">
        <v>411</v>
      </c>
      <c r="F630" s="44">
        <v>0.21</v>
      </c>
      <c r="G630" s="46" t="str">
        <f>IFERROR(VLOOKUP("MMK 965-1 NI",STOCK!B20:Q3695,3,FALSE),"SIN STOCK")</f>
        <v>SIN STOCK</v>
      </c>
      <c r="H630" s="27"/>
      <c r="I630" s="27"/>
      <c r="J630" s="27"/>
      <c r="K630" s="27"/>
      <c r="L630" s="27"/>
      <c r="M630" s="27"/>
      <c r="N630" s="27"/>
      <c r="O630" s="27"/>
      <c r="P630" s="27"/>
      <c r="Q630" s="27"/>
      <c r="R630" s="27"/>
      <c r="S630" s="27"/>
    </row>
    <row r="631" ht="15.75" customHeight="1">
      <c r="A631" s="28" t="s">
        <v>1442</v>
      </c>
      <c r="C631" s="69"/>
      <c r="D631" s="51"/>
      <c r="E631" s="31"/>
      <c r="F631" s="29"/>
      <c r="G631" s="29"/>
      <c r="H631" s="27"/>
      <c r="I631" s="27"/>
      <c r="J631" s="27"/>
      <c r="K631" s="27"/>
      <c r="L631" s="27"/>
      <c r="M631" s="27"/>
      <c r="N631" s="27"/>
      <c r="O631" s="27"/>
      <c r="P631" s="27"/>
      <c r="Q631" s="27"/>
      <c r="R631" s="27"/>
      <c r="S631" s="27"/>
    </row>
    <row r="632" ht="15.75" customHeight="1">
      <c r="A632" s="40" t="s">
        <v>31</v>
      </c>
      <c r="B632" s="41" t="s">
        <v>1443</v>
      </c>
      <c r="C632" s="67" t="s">
        <v>1444</v>
      </c>
      <c r="D632" s="43" t="s">
        <v>272</v>
      </c>
      <c r="E632" s="43" t="s">
        <v>273</v>
      </c>
      <c r="F632" s="44">
        <v>0.21</v>
      </c>
      <c r="G632" s="46" t="str">
        <f>IFERROR(VLOOKUP("MMK 965-1 NI",STOCK!B20:Q3695,3,FALSE),"SIN STOCK")</f>
        <v>SIN STOCK</v>
      </c>
      <c r="H632" s="27"/>
      <c r="I632" s="27"/>
      <c r="J632" s="27"/>
      <c r="K632" s="27"/>
      <c r="L632" s="27"/>
      <c r="M632" s="27"/>
      <c r="N632" s="27"/>
      <c r="O632" s="27"/>
      <c r="P632" s="27"/>
      <c r="Q632" s="27"/>
      <c r="R632" s="27"/>
      <c r="S632" s="27"/>
    </row>
    <row r="633" ht="15.75" customHeight="1">
      <c r="A633" s="33" t="s">
        <v>31</v>
      </c>
      <c r="B633" s="45" t="s">
        <v>1445</v>
      </c>
      <c r="C633" s="68" t="s">
        <v>1446</v>
      </c>
      <c r="D633" s="36" t="s">
        <v>311</v>
      </c>
      <c r="E633" s="36" t="s">
        <v>312</v>
      </c>
      <c r="F633" s="37">
        <v>0.21</v>
      </c>
      <c r="G633" s="49" t="str">
        <f>IFERROR(VLOOKUP("AVX-835 SET-4-US",STOCK!B20:Q3695,3,FALSE),"SIN STOCK")</f>
        <v>Menor a 5</v>
      </c>
      <c r="H633" s="27"/>
      <c r="I633" s="27"/>
      <c r="J633" s="27"/>
      <c r="K633" s="27"/>
      <c r="L633" s="27"/>
      <c r="M633" s="27"/>
      <c r="N633" s="27"/>
      <c r="O633" s="27"/>
      <c r="P633" s="27"/>
      <c r="Q633" s="27"/>
      <c r="R633" s="27"/>
      <c r="S633" s="27"/>
    </row>
    <row r="634" ht="15.75" customHeight="1">
      <c r="A634" s="40" t="s">
        <v>31</v>
      </c>
      <c r="B634" s="41" t="s">
        <v>1447</v>
      </c>
      <c r="C634" s="67" t="s">
        <v>1448</v>
      </c>
      <c r="D634" s="43" t="s">
        <v>357</v>
      </c>
      <c r="E634" s="43" t="s">
        <v>358</v>
      </c>
      <c r="F634" s="44">
        <v>0.21</v>
      </c>
      <c r="G634" s="49" t="str">
        <f>IFERROR(VLOOKUP("AVX-ME2 SET-4",STOCK!B20:Q3695,3,FALSE),"SIN STOCK")</f>
        <v>Menor a 5</v>
      </c>
      <c r="H634" s="27"/>
      <c r="I634" s="27"/>
      <c r="J634" s="27"/>
      <c r="K634" s="27"/>
      <c r="L634" s="27"/>
      <c r="M634" s="27"/>
      <c r="N634" s="27"/>
      <c r="O634" s="27"/>
      <c r="P634" s="27"/>
      <c r="Q634" s="27"/>
      <c r="R634" s="27"/>
      <c r="S634" s="27"/>
    </row>
    <row r="635" ht="15.75" customHeight="1">
      <c r="A635" s="33" t="s">
        <v>31</v>
      </c>
      <c r="B635" s="45" t="s">
        <v>1449</v>
      </c>
      <c r="C635" s="70"/>
      <c r="D635" s="36" t="s">
        <v>222</v>
      </c>
      <c r="E635" s="36" t="s">
        <v>223</v>
      </c>
      <c r="F635" s="37">
        <v>0.21</v>
      </c>
      <c r="G635" s="38" t="str">
        <f>IFERROR(VLOOKUP("AVX-COMBO",STOCK!B20:Q3695,3,FALSE),"SIN STOCK")</f>
        <v>Menor a 5</v>
      </c>
      <c r="H635" s="27"/>
      <c r="I635" s="27"/>
      <c r="J635" s="27"/>
      <c r="K635" s="27"/>
      <c r="L635" s="27"/>
      <c r="M635" s="27"/>
      <c r="N635" s="27"/>
      <c r="O635" s="27"/>
      <c r="P635" s="27"/>
      <c r="Q635" s="27"/>
      <c r="R635" s="27"/>
      <c r="S635" s="27"/>
    </row>
    <row r="636" ht="15.75" customHeight="1">
      <c r="A636" s="28" t="s">
        <v>1450</v>
      </c>
      <c r="B636" s="29"/>
      <c r="C636" s="69"/>
      <c r="D636" s="51"/>
      <c r="E636" s="31"/>
      <c r="F636" s="29"/>
      <c r="G636" s="29"/>
      <c r="H636" s="27"/>
      <c r="I636" s="27"/>
      <c r="J636" s="27"/>
      <c r="K636" s="27"/>
      <c r="L636" s="27"/>
      <c r="M636" s="27"/>
      <c r="N636" s="27"/>
      <c r="O636" s="27"/>
      <c r="P636" s="27"/>
      <c r="Q636" s="27"/>
      <c r="R636" s="27"/>
      <c r="S636" s="27"/>
    </row>
    <row r="637" ht="15.75" customHeight="1">
      <c r="A637" s="40" t="s">
        <v>31</v>
      </c>
      <c r="B637" s="41" t="s">
        <v>1451</v>
      </c>
      <c r="C637" s="67" t="s">
        <v>1452</v>
      </c>
      <c r="D637" s="43" t="s">
        <v>100</v>
      </c>
      <c r="E637" s="43" t="s">
        <v>101</v>
      </c>
      <c r="F637" s="44">
        <v>0.21</v>
      </c>
      <c r="G637" s="60" t="s">
        <v>516</v>
      </c>
      <c r="H637" s="27"/>
      <c r="I637" s="27"/>
      <c r="J637" s="27"/>
      <c r="K637" s="27"/>
      <c r="L637" s="27"/>
      <c r="M637" s="27"/>
      <c r="N637" s="27"/>
      <c r="O637" s="27"/>
      <c r="P637" s="27"/>
      <c r="Q637" s="27"/>
      <c r="R637" s="27"/>
      <c r="S637" s="27"/>
    </row>
    <row r="638" ht="15.75" customHeight="1">
      <c r="A638" s="33" t="s">
        <v>31</v>
      </c>
      <c r="B638" s="45" t="s">
        <v>1453</v>
      </c>
      <c r="C638" s="68" t="s">
        <v>1454</v>
      </c>
      <c r="D638" s="36" t="s">
        <v>100</v>
      </c>
      <c r="E638" s="36" t="s">
        <v>101</v>
      </c>
      <c r="F638" s="37">
        <v>0.21</v>
      </c>
      <c r="G638" s="60" t="s">
        <v>516</v>
      </c>
      <c r="H638" s="27"/>
      <c r="I638" s="27"/>
      <c r="J638" s="27"/>
      <c r="K638" s="27"/>
      <c r="L638" s="27"/>
      <c r="M638" s="27"/>
      <c r="N638" s="27"/>
      <c r="O638" s="27"/>
      <c r="P638" s="27"/>
      <c r="Q638" s="27"/>
      <c r="R638" s="27"/>
      <c r="S638" s="27"/>
    </row>
    <row r="639" ht="15.75" customHeight="1">
      <c r="A639" s="40" t="s">
        <v>31</v>
      </c>
      <c r="B639" s="41" t="s">
        <v>1455</v>
      </c>
      <c r="C639" s="67" t="s">
        <v>1456</v>
      </c>
      <c r="D639" s="43" t="s">
        <v>482</v>
      </c>
      <c r="E639" s="43" t="s">
        <v>483</v>
      </c>
      <c r="F639" s="44">
        <v>0.21</v>
      </c>
      <c r="G639" s="60" t="s">
        <v>516</v>
      </c>
      <c r="H639" s="27"/>
      <c r="I639" s="27"/>
      <c r="J639" s="27"/>
      <c r="K639" s="27"/>
      <c r="L639" s="27"/>
      <c r="M639" s="27"/>
      <c r="N639" s="27"/>
      <c r="O639" s="27"/>
      <c r="P639" s="27"/>
      <c r="Q639" s="27"/>
      <c r="R639" s="27"/>
      <c r="S639" s="27"/>
    </row>
    <row r="640" ht="15.75" customHeight="1">
      <c r="A640" s="33" t="s">
        <v>31</v>
      </c>
      <c r="B640" s="45" t="s">
        <v>1457</v>
      </c>
      <c r="C640" s="68" t="s">
        <v>1458</v>
      </c>
      <c r="D640" s="36" t="s">
        <v>1459</v>
      </c>
      <c r="E640" s="36" t="s">
        <v>1460</v>
      </c>
      <c r="F640" s="37">
        <v>0.21</v>
      </c>
      <c r="G640" s="60" t="s">
        <v>516</v>
      </c>
      <c r="H640" s="27"/>
      <c r="I640" s="27"/>
      <c r="J640" s="27"/>
      <c r="K640" s="27"/>
      <c r="L640" s="27"/>
      <c r="M640" s="27"/>
      <c r="N640" s="27"/>
      <c r="O640" s="27"/>
      <c r="P640" s="27"/>
      <c r="Q640" s="27"/>
      <c r="R640" s="27"/>
      <c r="S640" s="27"/>
    </row>
    <row r="641" ht="15.75" customHeight="1">
      <c r="A641" s="40" t="s">
        <v>31</v>
      </c>
      <c r="B641" s="41" t="s">
        <v>1461</v>
      </c>
      <c r="C641" s="67" t="s">
        <v>1462</v>
      </c>
      <c r="D641" s="43" t="s">
        <v>100</v>
      </c>
      <c r="E641" s="43" t="s">
        <v>101</v>
      </c>
      <c r="F641" s="44">
        <v>0.21</v>
      </c>
      <c r="G641" s="60" t="s">
        <v>516</v>
      </c>
      <c r="H641" s="27"/>
      <c r="I641" s="27"/>
      <c r="J641" s="27"/>
      <c r="K641" s="27"/>
      <c r="L641" s="27"/>
      <c r="M641" s="27"/>
      <c r="N641" s="27"/>
      <c r="O641" s="27"/>
      <c r="P641" s="27"/>
      <c r="Q641" s="27"/>
      <c r="R641" s="27"/>
      <c r="S641" s="27"/>
    </row>
    <row r="642" ht="15.75" customHeight="1">
      <c r="A642" s="33" t="s">
        <v>31</v>
      </c>
      <c r="B642" s="45" t="s">
        <v>1463</v>
      </c>
      <c r="C642" s="68" t="s">
        <v>1464</v>
      </c>
      <c r="D642" s="36" t="s">
        <v>100</v>
      </c>
      <c r="E642" s="36" t="s">
        <v>101</v>
      </c>
      <c r="F642" s="37">
        <v>0.21</v>
      </c>
      <c r="G642" s="60" t="s">
        <v>516</v>
      </c>
      <c r="H642" s="27"/>
      <c r="I642" s="27"/>
      <c r="J642" s="27"/>
      <c r="K642" s="27"/>
      <c r="L642" s="27"/>
      <c r="M642" s="27"/>
      <c r="N642" s="27"/>
      <c r="O642" s="27"/>
      <c r="P642" s="27"/>
      <c r="Q642" s="27"/>
      <c r="R642" s="27"/>
      <c r="S642" s="27"/>
    </row>
    <row r="643" ht="15.75" customHeight="1">
      <c r="A643" s="40" t="s">
        <v>31</v>
      </c>
      <c r="B643" s="41" t="s">
        <v>1465</v>
      </c>
      <c r="C643" s="67" t="s">
        <v>1466</v>
      </c>
      <c r="D643" s="43" t="s">
        <v>482</v>
      </c>
      <c r="E643" s="43" t="s">
        <v>483</v>
      </c>
      <c r="F643" s="44">
        <v>0.21</v>
      </c>
      <c r="G643" s="60" t="s">
        <v>516</v>
      </c>
      <c r="H643" s="27"/>
      <c r="I643" s="27"/>
      <c r="J643" s="27"/>
      <c r="K643" s="27"/>
      <c r="L643" s="27"/>
      <c r="M643" s="27"/>
      <c r="N643" s="27"/>
      <c r="O643" s="27"/>
      <c r="P643" s="27"/>
      <c r="Q643" s="27"/>
      <c r="R643" s="27"/>
      <c r="S643" s="27"/>
    </row>
    <row r="644" ht="15.75" customHeight="1">
      <c r="A644" s="33" t="s">
        <v>31</v>
      </c>
      <c r="B644" s="45" t="s">
        <v>1467</v>
      </c>
      <c r="C644" s="68" t="s">
        <v>1468</v>
      </c>
      <c r="D644" s="36" t="s">
        <v>1459</v>
      </c>
      <c r="E644" s="36" t="s">
        <v>1460</v>
      </c>
      <c r="F644" s="37">
        <v>0.21</v>
      </c>
      <c r="G644" s="60" t="s">
        <v>516</v>
      </c>
      <c r="H644" s="27"/>
      <c r="I644" s="27"/>
      <c r="J644" s="27"/>
      <c r="K644" s="27"/>
      <c r="L644" s="27"/>
      <c r="M644" s="27"/>
      <c r="N644" s="27"/>
      <c r="O644" s="27"/>
      <c r="P644" s="27"/>
      <c r="Q644" s="27"/>
      <c r="R644" s="27"/>
      <c r="S644" s="27"/>
    </row>
    <row r="645" ht="15.75" customHeight="1">
      <c r="A645" s="40" t="s">
        <v>31</v>
      </c>
      <c r="B645" s="41" t="s">
        <v>1469</v>
      </c>
      <c r="C645" s="67" t="s">
        <v>1470</v>
      </c>
      <c r="D645" s="43" t="s">
        <v>1471</v>
      </c>
      <c r="E645" s="43" t="s">
        <v>1472</v>
      </c>
      <c r="F645" s="44">
        <v>0.21</v>
      </c>
      <c r="G645" s="60" t="s">
        <v>516</v>
      </c>
      <c r="H645" s="27"/>
      <c r="I645" s="27"/>
      <c r="J645" s="27"/>
      <c r="K645" s="27"/>
      <c r="L645" s="27"/>
      <c r="M645" s="27"/>
      <c r="N645" s="27"/>
      <c r="O645" s="27"/>
      <c r="P645" s="27"/>
      <c r="Q645" s="27"/>
      <c r="R645" s="27"/>
      <c r="S645" s="27"/>
    </row>
    <row r="646" ht="15.75" customHeight="1">
      <c r="A646" s="33" t="s">
        <v>31</v>
      </c>
      <c r="B646" s="45" t="s">
        <v>1473</v>
      </c>
      <c r="C646" s="68" t="s">
        <v>1474</v>
      </c>
      <c r="D646" s="36" t="s">
        <v>1471</v>
      </c>
      <c r="E646" s="36" t="s">
        <v>1472</v>
      </c>
      <c r="F646" s="37">
        <v>0.21</v>
      </c>
      <c r="G646" s="60" t="s">
        <v>516</v>
      </c>
      <c r="H646" s="27"/>
      <c r="I646" s="27"/>
      <c r="J646" s="27"/>
      <c r="K646" s="27"/>
      <c r="L646" s="27"/>
      <c r="M646" s="27"/>
      <c r="N646" s="27"/>
      <c r="O646" s="27"/>
      <c r="P646" s="27"/>
      <c r="Q646" s="27"/>
      <c r="R646" s="27"/>
      <c r="S646" s="27"/>
    </row>
    <row r="647" ht="15.75" customHeight="1">
      <c r="A647" s="40" t="s">
        <v>31</v>
      </c>
      <c r="B647" s="41" t="s">
        <v>1475</v>
      </c>
      <c r="C647" s="67" t="s">
        <v>1476</v>
      </c>
      <c r="D647" s="43" t="s">
        <v>1477</v>
      </c>
      <c r="E647" s="43" t="s">
        <v>1478</v>
      </c>
      <c r="F647" s="44">
        <v>0.21</v>
      </c>
      <c r="G647" s="60" t="s">
        <v>516</v>
      </c>
      <c r="H647" s="27"/>
      <c r="I647" s="27"/>
      <c r="J647" s="27"/>
      <c r="K647" s="27"/>
      <c r="L647" s="27"/>
      <c r="M647" s="27"/>
      <c r="N647" s="27"/>
      <c r="O647" s="27"/>
      <c r="P647" s="27"/>
      <c r="Q647" s="27"/>
      <c r="R647" s="27"/>
      <c r="S647" s="27"/>
    </row>
    <row r="648" ht="15.75" customHeight="1">
      <c r="A648" s="33" t="s">
        <v>31</v>
      </c>
      <c r="B648" s="45" t="s">
        <v>1479</v>
      </c>
      <c r="C648" s="68" t="s">
        <v>1480</v>
      </c>
      <c r="D648" s="36" t="s">
        <v>1477</v>
      </c>
      <c r="E648" s="36" t="s">
        <v>1478</v>
      </c>
      <c r="F648" s="37">
        <v>0.21</v>
      </c>
      <c r="G648" s="60" t="s">
        <v>516</v>
      </c>
      <c r="H648" s="27"/>
      <c r="I648" s="27"/>
      <c r="J648" s="27"/>
      <c r="K648" s="27"/>
      <c r="L648" s="27"/>
      <c r="M648" s="27"/>
      <c r="N648" s="27"/>
      <c r="O648" s="27"/>
      <c r="P648" s="27"/>
      <c r="Q648" s="27"/>
      <c r="R648" s="27"/>
      <c r="S648" s="27"/>
    </row>
    <row r="649" ht="15.75" customHeight="1">
      <c r="A649" s="28" t="s">
        <v>1481</v>
      </c>
      <c r="C649" s="69"/>
      <c r="D649" s="51"/>
      <c r="E649" s="31"/>
      <c r="F649" s="29"/>
      <c r="G649" s="29"/>
      <c r="H649" s="27"/>
      <c r="I649" s="27"/>
      <c r="J649" s="27"/>
      <c r="K649" s="27"/>
      <c r="L649" s="27"/>
      <c r="M649" s="27"/>
      <c r="N649" s="27"/>
      <c r="O649" s="27"/>
      <c r="P649" s="27"/>
      <c r="Q649" s="27"/>
      <c r="R649" s="27"/>
      <c r="S649" s="27"/>
    </row>
    <row r="650" ht="15.75" customHeight="1">
      <c r="A650" s="40" t="s">
        <v>31</v>
      </c>
      <c r="B650" s="41" t="s">
        <v>1482</v>
      </c>
      <c r="C650" s="67" t="s">
        <v>1483</v>
      </c>
      <c r="D650" s="43" t="s">
        <v>1484</v>
      </c>
      <c r="E650" s="43" t="s">
        <v>1485</v>
      </c>
      <c r="F650" s="44">
        <v>0.21</v>
      </c>
      <c r="G650" s="60" t="s">
        <v>516</v>
      </c>
      <c r="H650" s="27"/>
      <c r="I650" s="27"/>
      <c r="J650" s="27"/>
      <c r="K650" s="27"/>
      <c r="L650" s="27"/>
      <c r="M650" s="27"/>
      <c r="N650" s="27"/>
      <c r="O650" s="27"/>
      <c r="P650" s="27"/>
      <c r="Q650" s="27"/>
      <c r="R650" s="27"/>
      <c r="S650" s="27"/>
    </row>
    <row r="651" ht="15.75" customHeight="1">
      <c r="A651" s="33" t="s">
        <v>31</v>
      </c>
      <c r="B651" s="45" t="s">
        <v>1486</v>
      </c>
      <c r="C651" s="68" t="s">
        <v>1487</v>
      </c>
      <c r="D651" s="36" t="s">
        <v>1484</v>
      </c>
      <c r="E651" s="36" t="s">
        <v>1485</v>
      </c>
      <c r="F651" s="37">
        <v>0.21</v>
      </c>
      <c r="G651" s="60" t="s">
        <v>516</v>
      </c>
      <c r="H651" s="27"/>
      <c r="I651" s="27"/>
      <c r="J651" s="27"/>
      <c r="K651" s="27"/>
      <c r="L651" s="27"/>
      <c r="M651" s="27"/>
      <c r="N651" s="27"/>
      <c r="O651" s="27"/>
      <c r="P651" s="27"/>
      <c r="Q651" s="27"/>
      <c r="R651" s="27"/>
      <c r="S651" s="27"/>
    </row>
    <row r="652" ht="15.75" customHeight="1">
      <c r="A652" s="40" t="s">
        <v>31</v>
      </c>
      <c r="B652" s="41" t="s">
        <v>1488</v>
      </c>
      <c r="C652" s="67" t="s">
        <v>1489</v>
      </c>
      <c r="D652" s="43" t="s">
        <v>1490</v>
      </c>
      <c r="E652" s="43" t="s">
        <v>1491</v>
      </c>
      <c r="F652" s="44">
        <v>0.21</v>
      </c>
      <c r="G652" s="60" t="s">
        <v>516</v>
      </c>
      <c r="H652" s="27"/>
      <c r="I652" s="27"/>
      <c r="J652" s="27"/>
      <c r="K652" s="27"/>
      <c r="L652" s="27"/>
      <c r="M652" s="27"/>
      <c r="N652" s="27"/>
      <c r="O652" s="27"/>
      <c r="P652" s="27"/>
      <c r="Q652" s="27"/>
      <c r="R652" s="27"/>
      <c r="S652" s="27"/>
    </row>
    <row r="653" ht="15.75" customHeight="1">
      <c r="A653" s="33" t="s">
        <v>31</v>
      </c>
      <c r="B653" s="45" t="s">
        <v>1492</v>
      </c>
      <c r="C653" s="68" t="s">
        <v>1493</v>
      </c>
      <c r="D653" s="36" t="s">
        <v>482</v>
      </c>
      <c r="E653" s="36" t="s">
        <v>483</v>
      </c>
      <c r="F653" s="37">
        <v>0.21</v>
      </c>
      <c r="G653" s="60" t="s">
        <v>516</v>
      </c>
      <c r="H653" s="27"/>
      <c r="I653" s="27"/>
      <c r="J653" s="27"/>
      <c r="K653" s="27"/>
      <c r="L653" s="27"/>
      <c r="M653" s="27"/>
      <c r="N653" s="27"/>
      <c r="O653" s="27"/>
      <c r="P653" s="27"/>
      <c r="Q653" s="27"/>
      <c r="R653" s="27"/>
      <c r="S653" s="27"/>
    </row>
    <row r="654" ht="15.75" customHeight="1">
      <c r="A654" s="40" t="s">
        <v>31</v>
      </c>
      <c r="B654" s="41" t="s">
        <v>1494</v>
      </c>
      <c r="C654" s="67" t="s">
        <v>1495</v>
      </c>
      <c r="D654" s="43" t="s">
        <v>161</v>
      </c>
      <c r="E654" s="43" t="s">
        <v>162</v>
      </c>
      <c r="F654" s="44">
        <v>0.21</v>
      </c>
      <c r="G654" s="60" t="s">
        <v>516</v>
      </c>
      <c r="H654" s="27"/>
      <c r="I654" s="27"/>
      <c r="J654" s="27"/>
      <c r="K654" s="27"/>
      <c r="L654" s="27"/>
      <c r="M654" s="27"/>
      <c r="N654" s="27"/>
      <c r="O654" s="27"/>
      <c r="P654" s="27"/>
      <c r="Q654" s="27"/>
      <c r="R654" s="27"/>
      <c r="S654" s="27"/>
    </row>
    <row r="655" ht="15.75" customHeight="1">
      <c r="A655" s="33" t="s">
        <v>31</v>
      </c>
      <c r="B655" s="45" t="s">
        <v>1496</v>
      </c>
      <c r="C655" s="68" t="s">
        <v>1497</v>
      </c>
      <c r="D655" s="36" t="s">
        <v>1498</v>
      </c>
      <c r="E655" s="36" t="s">
        <v>1499</v>
      </c>
      <c r="F655" s="37">
        <v>0.21</v>
      </c>
      <c r="G655" s="60" t="s">
        <v>516</v>
      </c>
      <c r="H655" s="27"/>
      <c r="I655" s="27"/>
      <c r="J655" s="27"/>
      <c r="K655" s="27"/>
      <c r="L655" s="27"/>
      <c r="M655" s="27"/>
      <c r="N655" s="27"/>
      <c r="O655" s="27"/>
      <c r="P655" s="27"/>
      <c r="Q655" s="27"/>
      <c r="R655" s="27"/>
      <c r="S655" s="27"/>
    </row>
    <row r="656" ht="15.75" customHeight="1">
      <c r="A656" s="54" t="s">
        <v>1500</v>
      </c>
      <c r="B656" s="29"/>
      <c r="C656" s="69"/>
      <c r="D656" s="51"/>
      <c r="E656" s="31"/>
      <c r="F656" s="29"/>
      <c r="G656" s="29"/>
      <c r="H656" s="27"/>
      <c r="I656" s="27"/>
      <c r="J656" s="27"/>
      <c r="K656" s="27"/>
      <c r="L656" s="27"/>
      <c r="M656" s="27"/>
      <c r="N656" s="27"/>
      <c r="O656" s="27"/>
      <c r="P656" s="27"/>
      <c r="Q656" s="27"/>
      <c r="R656" s="27"/>
      <c r="S656" s="27"/>
    </row>
    <row r="657" ht="15.75" customHeight="1">
      <c r="A657" s="40" t="s">
        <v>31</v>
      </c>
      <c r="B657" s="41" t="s">
        <v>1501</v>
      </c>
      <c r="C657" s="67" t="s">
        <v>1502</v>
      </c>
      <c r="D657" s="43" t="s">
        <v>468</v>
      </c>
      <c r="E657" s="43" t="s">
        <v>469</v>
      </c>
      <c r="F657" s="44">
        <v>0.21</v>
      </c>
      <c r="G657" s="60" t="s">
        <v>516</v>
      </c>
      <c r="H657" s="27"/>
      <c r="I657" s="27"/>
      <c r="J657" s="27"/>
      <c r="K657" s="27"/>
      <c r="L657" s="27"/>
      <c r="M657" s="27"/>
      <c r="N657" s="27"/>
      <c r="O657" s="27"/>
      <c r="P657" s="27"/>
      <c r="Q657" s="27"/>
      <c r="R657" s="27"/>
      <c r="S657" s="27"/>
    </row>
    <row r="658" ht="15.75" customHeight="1">
      <c r="A658" s="33" t="s">
        <v>31</v>
      </c>
      <c r="B658" s="45" t="s">
        <v>1503</v>
      </c>
      <c r="C658" s="68" t="s">
        <v>1504</v>
      </c>
      <c r="D658" s="36" t="s">
        <v>468</v>
      </c>
      <c r="E658" s="36" t="s">
        <v>469</v>
      </c>
      <c r="F658" s="37">
        <v>0.21</v>
      </c>
      <c r="G658" s="60" t="s">
        <v>516</v>
      </c>
      <c r="H658" s="27"/>
      <c r="I658" s="27"/>
      <c r="J658" s="27"/>
      <c r="K658" s="27"/>
      <c r="L658" s="27"/>
      <c r="M658" s="27"/>
      <c r="N658" s="27"/>
      <c r="O658" s="27"/>
      <c r="P658" s="27"/>
      <c r="Q658" s="27"/>
      <c r="R658" s="27"/>
      <c r="S658" s="27"/>
    </row>
    <row r="659" ht="15.75" customHeight="1">
      <c r="A659" s="40" t="s">
        <v>31</v>
      </c>
      <c r="B659" s="41" t="s">
        <v>1505</v>
      </c>
      <c r="C659" s="67" t="s">
        <v>1506</v>
      </c>
      <c r="D659" s="43" t="s">
        <v>468</v>
      </c>
      <c r="E659" s="43" t="s">
        <v>469</v>
      </c>
      <c r="F659" s="44">
        <v>0.21</v>
      </c>
      <c r="G659" s="60" t="s">
        <v>516</v>
      </c>
      <c r="H659" s="27"/>
      <c r="I659" s="27"/>
      <c r="J659" s="27"/>
      <c r="K659" s="27"/>
      <c r="L659" s="27"/>
      <c r="M659" s="27"/>
      <c r="N659" s="27"/>
      <c r="O659" s="27"/>
      <c r="P659" s="27"/>
      <c r="Q659" s="27"/>
      <c r="R659" s="27"/>
      <c r="S659" s="27"/>
    </row>
    <row r="660" ht="15.75" customHeight="1">
      <c r="A660" s="33" t="s">
        <v>31</v>
      </c>
      <c r="B660" s="45" t="s">
        <v>1507</v>
      </c>
      <c r="C660" s="68" t="s">
        <v>1508</v>
      </c>
      <c r="D660" s="36" t="s">
        <v>468</v>
      </c>
      <c r="E660" s="36" t="s">
        <v>469</v>
      </c>
      <c r="F660" s="37">
        <v>0.21</v>
      </c>
      <c r="G660" s="60" t="s">
        <v>516</v>
      </c>
      <c r="H660" s="27"/>
      <c r="I660" s="27"/>
      <c r="J660" s="27"/>
      <c r="K660" s="27"/>
      <c r="L660" s="27"/>
      <c r="M660" s="27"/>
      <c r="N660" s="27"/>
      <c r="O660" s="27"/>
      <c r="P660" s="27"/>
      <c r="Q660" s="27"/>
      <c r="R660" s="27"/>
      <c r="S660" s="27"/>
    </row>
    <row r="661" ht="15.75" customHeight="1">
      <c r="A661" s="40" t="s">
        <v>31</v>
      </c>
      <c r="B661" s="41" t="s">
        <v>1509</v>
      </c>
      <c r="C661" s="67" t="s">
        <v>1510</v>
      </c>
      <c r="D661" s="43" t="s">
        <v>131</v>
      </c>
      <c r="E661" s="43" t="s">
        <v>132</v>
      </c>
      <c r="F661" s="44">
        <v>0.21</v>
      </c>
      <c r="G661" s="60" t="s">
        <v>516</v>
      </c>
      <c r="H661" s="27"/>
      <c r="I661" s="27"/>
      <c r="J661" s="27"/>
      <c r="K661" s="27"/>
      <c r="L661" s="27"/>
      <c r="M661" s="27"/>
      <c r="N661" s="27"/>
      <c r="O661" s="27"/>
      <c r="P661" s="27"/>
      <c r="Q661" s="27"/>
      <c r="R661" s="27"/>
      <c r="S661" s="27"/>
    </row>
    <row r="662" ht="15.75" customHeight="1">
      <c r="A662" s="33" t="s">
        <v>31</v>
      </c>
      <c r="B662" s="45" t="s">
        <v>1511</v>
      </c>
      <c r="C662" s="68" t="s">
        <v>1512</v>
      </c>
      <c r="D662" s="36" t="s">
        <v>131</v>
      </c>
      <c r="E662" s="36" t="s">
        <v>132</v>
      </c>
      <c r="F662" s="37">
        <v>0.21</v>
      </c>
      <c r="G662" s="60" t="s">
        <v>516</v>
      </c>
      <c r="H662" s="27"/>
      <c r="I662" s="27"/>
      <c r="J662" s="27"/>
      <c r="K662" s="27"/>
      <c r="L662" s="27"/>
      <c r="M662" s="27"/>
      <c r="N662" s="27"/>
      <c r="O662" s="27"/>
      <c r="P662" s="27"/>
      <c r="Q662" s="27"/>
      <c r="R662" s="27"/>
      <c r="S662" s="27"/>
    </row>
    <row r="663" ht="15.75" customHeight="1">
      <c r="A663" s="28" t="s">
        <v>1513</v>
      </c>
      <c r="C663" s="69"/>
      <c r="D663" s="51"/>
      <c r="E663" s="31"/>
      <c r="F663" s="29"/>
      <c r="G663" s="29"/>
      <c r="H663" s="27"/>
      <c r="I663" s="27"/>
      <c r="J663" s="27"/>
      <c r="K663" s="27"/>
      <c r="L663" s="27"/>
      <c r="M663" s="27"/>
      <c r="N663" s="27"/>
      <c r="O663" s="27"/>
      <c r="P663" s="27"/>
      <c r="Q663" s="27"/>
      <c r="R663" s="27"/>
      <c r="S663" s="27"/>
    </row>
    <row r="664" ht="15.75" customHeight="1">
      <c r="A664" s="40" t="s">
        <v>31</v>
      </c>
      <c r="B664" s="41" t="s">
        <v>1514</v>
      </c>
      <c r="C664" s="67" t="s">
        <v>1515</v>
      </c>
      <c r="D664" s="43" t="s">
        <v>1516</v>
      </c>
      <c r="E664" s="43" t="s">
        <v>1517</v>
      </c>
      <c r="F664" s="44">
        <v>0.21</v>
      </c>
      <c r="G664" s="60" t="s">
        <v>516</v>
      </c>
      <c r="H664" s="27"/>
      <c r="I664" s="27"/>
      <c r="J664" s="27"/>
      <c r="K664" s="27"/>
      <c r="L664" s="27"/>
      <c r="M664" s="27"/>
      <c r="N664" s="27"/>
      <c r="O664" s="27"/>
      <c r="P664" s="27"/>
      <c r="Q664" s="27"/>
      <c r="R664" s="27"/>
      <c r="S664" s="27"/>
    </row>
    <row r="665" ht="15.75" customHeight="1">
      <c r="A665" s="33" t="s">
        <v>31</v>
      </c>
      <c r="B665" s="45" t="s">
        <v>1518</v>
      </c>
      <c r="C665" s="68" t="s">
        <v>1519</v>
      </c>
      <c r="D665" s="36" t="s">
        <v>658</v>
      </c>
      <c r="E665" s="36" t="s">
        <v>659</v>
      </c>
      <c r="F665" s="37">
        <v>0.21</v>
      </c>
      <c r="G665" s="60" t="s">
        <v>516</v>
      </c>
      <c r="H665" s="27"/>
      <c r="I665" s="27"/>
      <c r="J665" s="27"/>
      <c r="K665" s="27"/>
      <c r="L665" s="27"/>
      <c r="M665" s="27"/>
      <c r="N665" s="27"/>
      <c r="O665" s="27"/>
      <c r="P665" s="27"/>
      <c r="Q665" s="27"/>
      <c r="R665" s="27"/>
      <c r="S665" s="27"/>
    </row>
    <row r="666" ht="15.75" customHeight="1">
      <c r="A666" s="40" t="s">
        <v>31</v>
      </c>
      <c r="B666" s="41" t="s">
        <v>1520</v>
      </c>
      <c r="C666" s="67" t="s">
        <v>1519</v>
      </c>
      <c r="D666" s="43" t="s">
        <v>1471</v>
      </c>
      <c r="E666" s="43" t="s">
        <v>1472</v>
      </c>
      <c r="F666" s="44">
        <v>0.21</v>
      </c>
      <c r="G666" s="60" t="s">
        <v>516</v>
      </c>
      <c r="H666" s="27"/>
      <c r="I666" s="27"/>
      <c r="J666" s="27"/>
      <c r="K666" s="27"/>
      <c r="L666" s="27"/>
      <c r="M666" s="27"/>
      <c r="N666" s="27"/>
      <c r="O666" s="27"/>
      <c r="P666" s="27"/>
      <c r="Q666" s="27"/>
      <c r="R666" s="27"/>
      <c r="S666" s="27"/>
    </row>
    <row r="667" ht="15.75" customHeight="1">
      <c r="A667" s="33" t="s">
        <v>31</v>
      </c>
      <c r="B667" s="45" t="s">
        <v>1521</v>
      </c>
      <c r="C667" s="68" t="s">
        <v>1522</v>
      </c>
      <c r="D667" s="36" t="s">
        <v>1484</v>
      </c>
      <c r="E667" s="36" t="s">
        <v>1485</v>
      </c>
      <c r="F667" s="37">
        <v>0.21</v>
      </c>
      <c r="G667" s="60" t="s">
        <v>516</v>
      </c>
      <c r="H667" s="27"/>
      <c r="I667" s="27"/>
      <c r="J667" s="27"/>
      <c r="K667" s="27"/>
      <c r="L667" s="27"/>
      <c r="M667" s="27"/>
      <c r="N667" s="27"/>
      <c r="O667" s="27"/>
      <c r="P667" s="27"/>
      <c r="Q667" s="27"/>
      <c r="R667" s="27"/>
      <c r="S667" s="27"/>
    </row>
    <row r="668" ht="15.75" customHeight="1">
      <c r="A668" s="40" t="s">
        <v>31</v>
      </c>
      <c r="B668" s="41" t="s">
        <v>1523</v>
      </c>
      <c r="C668" s="67" t="s">
        <v>327</v>
      </c>
      <c r="D668" s="43" t="s">
        <v>514</v>
      </c>
      <c r="E668" s="43" t="s">
        <v>515</v>
      </c>
      <c r="F668" s="44">
        <v>0.21</v>
      </c>
      <c r="G668" s="60" t="s">
        <v>516</v>
      </c>
      <c r="H668" s="27"/>
      <c r="I668" s="27"/>
      <c r="J668" s="27"/>
      <c r="K668" s="27"/>
      <c r="L668" s="27"/>
      <c r="M668" s="27"/>
      <c r="N668" s="27"/>
      <c r="O668" s="27"/>
      <c r="P668" s="27"/>
      <c r="Q668" s="27"/>
      <c r="R668" s="27"/>
      <c r="S668" s="27"/>
    </row>
    <row r="669" ht="15.75" customHeight="1">
      <c r="A669" s="33" t="s">
        <v>31</v>
      </c>
      <c r="B669" s="45" t="s">
        <v>1524</v>
      </c>
      <c r="C669" s="68" t="s">
        <v>327</v>
      </c>
      <c r="D669" s="36" t="s">
        <v>917</v>
      </c>
      <c r="E669" s="36" t="s">
        <v>918</v>
      </c>
      <c r="F669" s="37">
        <v>0.21</v>
      </c>
      <c r="G669" s="60" t="s">
        <v>516</v>
      </c>
      <c r="H669" s="27"/>
      <c r="I669" s="27"/>
      <c r="J669" s="27"/>
      <c r="K669" s="27"/>
      <c r="L669" s="27"/>
      <c r="M669" s="27"/>
      <c r="N669" s="27"/>
      <c r="O669" s="27"/>
      <c r="P669" s="27"/>
      <c r="Q669" s="27"/>
      <c r="R669" s="27"/>
      <c r="S669" s="27"/>
    </row>
    <row r="670" ht="15.75" customHeight="1">
      <c r="A670" s="40" t="s">
        <v>31</v>
      </c>
      <c r="B670" s="41" t="s">
        <v>1525</v>
      </c>
      <c r="C670" s="67" t="s">
        <v>327</v>
      </c>
      <c r="D670" s="43" t="s">
        <v>917</v>
      </c>
      <c r="E670" s="43" t="s">
        <v>918</v>
      </c>
      <c r="F670" s="44">
        <v>0.21</v>
      </c>
      <c r="G670" s="60" t="s">
        <v>516</v>
      </c>
      <c r="H670" s="27"/>
      <c r="I670" s="27"/>
      <c r="J670" s="27"/>
      <c r="K670" s="27"/>
      <c r="L670" s="27"/>
      <c r="M670" s="27"/>
      <c r="N670" s="27"/>
      <c r="O670" s="27"/>
      <c r="P670" s="27"/>
      <c r="Q670" s="27"/>
      <c r="R670" s="27"/>
      <c r="S670" s="27"/>
    </row>
    <row r="671" ht="15.75" customHeight="1">
      <c r="A671" s="33" t="s">
        <v>31</v>
      </c>
      <c r="B671" s="33" t="s">
        <v>1526</v>
      </c>
      <c r="C671" s="68" t="s">
        <v>1527</v>
      </c>
      <c r="D671" s="36" t="s">
        <v>917</v>
      </c>
      <c r="E671" s="36" t="s">
        <v>918</v>
      </c>
      <c r="F671" s="37">
        <v>0.21</v>
      </c>
      <c r="G671" s="60" t="s">
        <v>516</v>
      </c>
      <c r="H671" s="27"/>
      <c r="I671" s="27"/>
      <c r="J671" s="27"/>
      <c r="K671" s="27"/>
      <c r="L671" s="27"/>
      <c r="M671" s="27"/>
      <c r="N671" s="27"/>
      <c r="O671" s="27"/>
      <c r="P671" s="27"/>
      <c r="Q671" s="27"/>
      <c r="R671" s="27"/>
      <c r="S671" s="27"/>
    </row>
    <row r="672" ht="15.75" customHeight="1">
      <c r="A672" s="28" t="s">
        <v>1528</v>
      </c>
      <c r="C672" s="69"/>
      <c r="D672" s="51"/>
      <c r="E672" s="31"/>
      <c r="F672" s="29"/>
      <c r="G672" s="29"/>
      <c r="H672" s="27"/>
      <c r="I672" s="27"/>
      <c r="J672" s="27"/>
      <c r="K672" s="27"/>
      <c r="L672" s="27"/>
      <c r="M672" s="27"/>
      <c r="N672" s="27"/>
      <c r="O672" s="27"/>
      <c r="P672" s="27"/>
      <c r="Q672" s="27"/>
      <c r="R672" s="27"/>
      <c r="S672" s="27"/>
    </row>
    <row r="673" ht="15.75" customHeight="1">
      <c r="A673" s="40" t="s">
        <v>31</v>
      </c>
      <c r="B673" s="64" t="s">
        <v>1529</v>
      </c>
      <c r="C673" s="67" t="s">
        <v>1530</v>
      </c>
      <c r="D673" s="43" t="s">
        <v>433</v>
      </c>
      <c r="E673" s="43" t="s">
        <v>434</v>
      </c>
      <c r="F673" s="44">
        <v>0.21</v>
      </c>
      <c r="G673" s="60" t="s">
        <v>516</v>
      </c>
      <c r="H673" s="27"/>
      <c r="I673" s="27"/>
      <c r="J673" s="27"/>
      <c r="K673" s="27"/>
      <c r="L673" s="27"/>
      <c r="M673" s="27"/>
      <c r="N673" s="27"/>
      <c r="O673" s="27"/>
      <c r="P673" s="27"/>
      <c r="Q673" s="27"/>
      <c r="R673" s="27"/>
      <c r="S673" s="27"/>
    </row>
    <row r="674" ht="15.75" customHeight="1">
      <c r="A674" s="33" t="s">
        <v>31</v>
      </c>
      <c r="B674" s="65" t="s">
        <v>1531</v>
      </c>
      <c r="C674" s="68" t="s">
        <v>1532</v>
      </c>
      <c r="D674" s="36" t="s">
        <v>1533</v>
      </c>
      <c r="E674" s="36" t="s">
        <v>1534</v>
      </c>
      <c r="F674" s="37">
        <v>0.21</v>
      </c>
      <c r="G674" s="60" t="s">
        <v>516</v>
      </c>
      <c r="H674" s="27"/>
      <c r="I674" s="27"/>
      <c r="J674" s="27"/>
      <c r="K674" s="27"/>
      <c r="L674" s="27"/>
      <c r="M674" s="27"/>
      <c r="N674" s="27"/>
      <c r="O674" s="27"/>
      <c r="P674" s="27"/>
      <c r="Q674" s="27"/>
      <c r="R674" s="27"/>
      <c r="S674" s="27"/>
    </row>
    <row r="675" ht="15.75" customHeight="1">
      <c r="A675" s="40" t="s">
        <v>31</v>
      </c>
      <c r="B675" s="40" t="s">
        <v>1535</v>
      </c>
      <c r="C675" s="67" t="s">
        <v>1536</v>
      </c>
      <c r="D675" s="43" t="s">
        <v>433</v>
      </c>
      <c r="E675" s="43" t="s">
        <v>434</v>
      </c>
      <c r="F675" s="44">
        <v>0.21</v>
      </c>
      <c r="G675" s="60" t="s">
        <v>516</v>
      </c>
      <c r="H675" s="27"/>
      <c r="I675" s="27"/>
      <c r="J675" s="27"/>
      <c r="K675" s="27"/>
      <c r="L675" s="27"/>
      <c r="M675" s="27"/>
      <c r="N675" s="27"/>
      <c r="O675" s="27"/>
      <c r="P675" s="27"/>
      <c r="Q675" s="27"/>
      <c r="R675" s="27"/>
      <c r="S675" s="27"/>
    </row>
    <row r="676" ht="15.75" customHeight="1">
      <c r="A676" s="33" t="s">
        <v>31</v>
      </c>
      <c r="B676" s="33" t="s">
        <v>1537</v>
      </c>
      <c r="C676" s="68" t="s">
        <v>1538</v>
      </c>
      <c r="D676" s="36" t="s">
        <v>1088</v>
      </c>
      <c r="E676" s="36" t="s">
        <v>1089</v>
      </c>
      <c r="F676" s="37">
        <v>0.21</v>
      </c>
      <c r="G676" s="60" t="s">
        <v>516</v>
      </c>
      <c r="H676" s="27"/>
      <c r="I676" s="27"/>
      <c r="J676" s="27"/>
      <c r="K676" s="27"/>
      <c r="L676" s="27"/>
      <c r="M676" s="27"/>
      <c r="N676" s="27"/>
      <c r="O676" s="27"/>
      <c r="P676" s="27"/>
      <c r="Q676" s="27"/>
      <c r="R676" s="27"/>
      <c r="S676" s="27"/>
    </row>
    <row r="677" ht="15.75" customHeight="1">
      <c r="A677" s="40" t="s">
        <v>31</v>
      </c>
      <c r="B677" s="64" t="s">
        <v>1539</v>
      </c>
      <c r="C677" s="67" t="s">
        <v>1540</v>
      </c>
      <c r="D677" s="43" t="s">
        <v>1264</v>
      </c>
      <c r="E677" s="43" t="s">
        <v>1265</v>
      </c>
      <c r="F677" s="44">
        <v>0.21</v>
      </c>
      <c r="G677" s="60" t="s">
        <v>516</v>
      </c>
      <c r="H677" s="27"/>
      <c r="I677" s="27"/>
      <c r="J677" s="27"/>
      <c r="K677" s="27"/>
      <c r="L677" s="27"/>
      <c r="M677" s="27"/>
      <c r="N677" s="27"/>
      <c r="O677" s="27"/>
      <c r="P677" s="27"/>
      <c r="Q677" s="27"/>
      <c r="R677" s="27"/>
      <c r="S677" s="27"/>
    </row>
    <row r="678" ht="15.75" customHeight="1">
      <c r="A678" s="33" t="s">
        <v>31</v>
      </c>
      <c r="B678" s="65" t="s">
        <v>1541</v>
      </c>
      <c r="C678" s="68" t="s">
        <v>1542</v>
      </c>
      <c r="D678" s="36" t="s">
        <v>1088</v>
      </c>
      <c r="E678" s="36" t="s">
        <v>1089</v>
      </c>
      <c r="F678" s="37">
        <v>0.21</v>
      </c>
      <c r="G678" s="60" t="s">
        <v>516</v>
      </c>
      <c r="H678" s="27"/>
      <c r="I678" s="27"/>
      <c r="J678" s="27"/>
      <c r="K678" s="27"/>
      <c r="L678" s="27"/>
      <c r="M678" s="27"/>
      <c r="N678" s="27"/>
      <c r="O678" s="27"/>
      <c r="P678" s="27"/>
      <c r="Q678" s="27"/>
      <c r="R678" s="27"/>
      <c r="S678" s="27"/>
    </row>
    <row r="679" ht="15.75" customHeight="1">
      <c r="A679" s="40" t="s">
        <v>31</v>
      </c>
      <c r="B679" s="64" t="s">
        <v>1543</v>
      </c>
      <c r="C679" s="67" t="s">
        <v>1544</v>
      </c>
      <c r="D679" s="43" t="s">
        <v>1276</v>
      </c>
      <c r="E679" s="43" t="s">
        <v>1277</v>
      </c>
      <c r="F679" s="44">
        <v>0.21</v>
      </c>
      <c r="G679" s="60" t="s">
        <v>516</v>
      </c>
      <c r="H679" s="27"/>
      <c r="I679" s="27"/>
      <c r="J679" s="27"/>
      <c r="K679" s="27"/>
      <c r="L679" s="27"/>
      <c r="M679" s="27"/>
      <c r="N679" s="27"/>
      <c r="O679" s="27"/>
      <c r="P679" s="27"/>
      <c r="Q679" s="27"/>
      <c r="R679" s="27"/>
      <c r="S679" s="27"/>
    </row>
    <row r="680" ht="15.75" customHeight="1">
      <c r="A680" s="33" t="s">
        <v>31</v>
      </c>
      <c r="B680" s="33" t="s">
        <v>1545</v>
      </c>
      <c r="C680" s="68" t="s">
        <v>1546</v>
      </c>
      <c r="D680" s="36" t="s">
        <v>1547</v>
      </c>
      <c r="E680" s="36" t="s">
        <v>1548</v>
      </c>
      <c r="F680" s="37">
        <v>0.21</v>
      </c>
      <c r="G680" s="60" t="s">
        <v>516</v>
      </c>
      <c r="H680" s="27"/>
      <c r="I680" s="27"/>
      <c r="J680" s="27"/>
      <c r="K680" s="27"/>
      <c r="L680" s="27"/>
      <c r="M680" s="27"/>
      <c r="N680" s="27"/>
      <c r="O680" s="27"/>
      <c r="P680" s="27"/>
      <c r="Q680" s="27"/>
      <c r="R680" s="27"/>
      <c r="S680" s="27"/>
    </row>
    <row r="681" ht="15.75" customHeight="1">
      <c r="A681" s="40" t="s">
        <v>31</v>
      </c>
      <c r="B681" s="64" t="s">
        <v>1549</v>
      </c>
      <c r="C681" s="67" t="s">
        <v>1550</v>
      </c>
      <c r="D681" s="43" t="s">
        <v>1276</v>
      </c>
      <c r="E681" s="43" t="s">
        <v>1277</v>
      </c>
      <c r="F681" s="44">
        <v>0.21</v>
      </c>
      <c r="G681" s="60" t="s">
        <v>516</v>
      </c>
      <c r="H681" s="27"/>
      <c r="I681" s="27"/>
      <c r="J681" s="27"/>
      <c r="K681" s="27"/>
      <c r="L681" s="27"/>
      <c r="M681" s="27"/>
      <c r="N681" s="27"/>
      <c r="O681" s="27"/>
      <c r="P681" s="27"/>
      <c r="Q681" s="27"/>
      <c r="R681" s="27"/>
      <c r="S681" s="27"/>
    </row>
    <row r="682" ht="15.75" customHeight="1">
      <c r="A682" s="54" t="s">
        <v>1551</v>
      </c>
      <c r="B682" s="29"/>
      <c r="C682" s="69"/>
      <c r="D682" s="51"/>
      <c r="E682" s="31"/>
      <c r="F682" s="29"/>
      <c r="G682" s="29"/>
      <c r="H682" s="27"/>
      <c r="I682" s="27"/>
      <c r="J682" s="27"/>
      <c r="K682" s="27"/>
      <c r="L682" s="27"/>
      <c r="M682" s="27"/>
      <c r="N682" s="27"/>
      <c r="O682" s="27"/>
      <c r="P682" s="27"/>
      <c r="Q682" s="27"/>
      <c r="R682" s="27"/>
      <c r="S682" s="27"/>
    </row>
    <row r="683" ht="15.75" customHeight="1">
      <c r="A683" s="40" t="s">
        <v>31</v>
      </c>
      <c r="B683" s="64" t="s">
        <v>1552</v>
      </c>
      <c r="C683" s="67" t="s">
        <v>1553</v>
      </c>
      <c r="D683" s="43" t="s">
        <v>433</v>
      </c>
      <c r="E683" s="43" t="s">
        <v>434</v>
      </c>
      <c r="F683" s="44">
        <v>0.21</v>
      </c>
      <c r="G683" s="60" t="s">
        <v>516</v>
      </c>
      <c r="H683" s="27"/>
      <c r="I683" s="27"/>
      <c r="J683" s="27"/>
      <c r="K683" s="27"/>
      <c r="L683" s="27"/>
      <c r="M683" s="27"/>
      <c r="N683" s="27"/>
      <c r="O683" s="27"/>
      <c r="P683" s="27"/>
      <c r="Q683" s="27"/>
      <c r="R683" s="27"/>
      <c r="S683" s="27"/>
    </row>
    <row r="684" ht="15.75" customHeight="1">
      <c r="A684" s="33" t="s">
        <v>31</v>
      </c>
      <c r="B684" s="65" t="s">
        <v>1554</v>
      </c>
      <c r="C684" s="68" t="s">
        <v>1555</v>
      </c>
      <c r="D684" s="36" t="s">
        <v>1533</v>
      </c>
      <c r="E684" s="36" t="s">
        <v>1534</v>
      </c>
      <c r="F684" s="37">
        <v>0.21</v>
      </c>
      <c r="G684" s="60" t="s">
        <v>516</v>
      </c>
      <c r="H684" s="27"/>
      <c r="I684" s="27"/>
      <c r="J684" s="27"/>
      <c r="K684" s="27"/>
      <c r="L684" s="27"/>
      <c r="M684" s="27"/>
      <c r="N684" s="27"/>
      <c r="O684" s="27"/>
      <c r="P684" s="27"/>
      <c r="Q684" s="27"/>
      <c r="R684" s="27"/>
      <c r="S684" s="27"/>
    </row>
    <row r="685" ht="15.75" customHeight="1">
      <c r="A685" s="40" t="s">
        <v>31</v>
      </c>
      <c r="B685" s="64" t="s">
        <v>1556</v>
      </c>
      <c r="C685" s="67" t="s">
        <v>1557</v>
      </c>
      <c r="D685" s="43" t="s">
        <v>433</v>
      </c>
      <c r="E685" s="43" t="s">
        <v>434</v>
      </c>
      <c r="F685" s="44">
        <v>0.21</v>
      </c>
      <c r="G685" s="60" t="s">
        <v>516</v>
      </c>
      <c r="H685" s="27"/>
      <c r="I685" s="27"/>
      <c r="J685" s="27"/>
      <c r="K685" s="27"/>
      <c r="L685" s="27"/>
      <c r="M685" s="27"/>
      <c r="N685" s="27"/>
      <c r="O685" s="27"/>
      <c r="P685" s="27"/>
      <c r="Q685" s="27"/>
      <c r="R685" s="27"/>
      <c r="S685" s="27"/>
    </row>
    <row r="686" ht="15.75" customHeight="1">
      <c r="A686" s="33" t="s">
        <v>31</v>
      </c>
      <c r="B686" s="45" t="s">
        <v>1558</v>
      </c>
      <c r="C686" s="68" t="s">
        <v>1559</v>
      </c>
      <c r="D686" s="36" t="s">
        <v>1560</v>
      </c>
      <c r="E686" s="36" t="s">
        <v>1561</v>
      </c>
      <c r="F686" s="37">
        <v>0.21</v>
      </c>
      <c r="G686" s="60" t="s">
        <v>516</v>
      </c>
      <c r="H686" s="27"/>
      <c r="I686" s="27"/>
      <c r="J686" s="27"/>
      <c r="K686" s="27"/>
      <c r="L686" s="27"/>
      <c r="M686" s="27"/>
      <c r="N686" s="27"/>
      <c r="O686" s="27"/>
      <c r="P686" s="27"/>
      <c r="Q686" s="27"/>
      <c r="R686" s="27"/>
      <c r="S686" s="27"/>
    </row>
    <row r="687" ht="15.75" customHeight="1">
      <c r="A687" s="40" t="s">
        <v>31</v>
      </c>
      <c r="B687" s="41" t="s">
        <v>1562</v>
      </c>
      <c r="C687" s="67" t="s">
        <v>1559</v>
      </c>
      <c r="D687" s="43" t="s">
        <v>1560</v>
      </c>
      <c r="E687" s="43" t="s">
        <v>1561</v>
      </c>
      <c r="F687" s="44">
        <v>0.21</v>
      </c>
      <c r="G687" s="60" t="s">
        <v>516</v>
      </c>
      <c r="H687" s="27"/>
      <c r="I687" s="27"/>
      <c r="J687" s="27"/>
      <c r="K687" s="27"/>
      <c r="L687" s="27"/>
      <c r="M687" s="27"/>
      <c r="N687" s="27"/>
      <c r="O687" s="27"/>
      <c r="P687" s="27"/>
      <c r="Q687" s="27"/>
      <c r="R687" s="27"/>
      <c r="S687" s="27"/>
    </row>
    <row r="688" ht="15.75" customHeight="1">
      <c r="A688" s="33" t="s">
        <v>31</v>
      </c>
      <c r="B688" s="65" t="s">
        <v>1563</v>
      </c>
      <c r="C688" s="68" t="s">
        <v>1564</v>
      </c>
      <c r="D688" s="36" t="s">
        <v>1484</v>
      </c>
      <c r="E688" s="36" t="s">
        <v>1485</v>
      </c>
      <c r="F688" s="37">
        <v>0.21</v>
      </c>
      <c r="G688" s="60" t="s">
        <v>516</v>
      </c>
      <c r="H688" s="27"/>
      <c r="I688" s="27"/>
      <c r="J688" s="27"/>
      <c r="K688" s="27"/>
      <c r="L688" s="27"/>
      <c r="M688" s="27"/>
      <c r="N688" s="27"/>
      <c r="O688" s="27"/>
      <c r="P688" s="27"/>
      <c r="Q688" s="27"/>
      <c r="R688" s="27"/>
      <c r="S688" s="27"/>
    </row>
    <row r="689" ht="15.75" customHeight="1">
      <c r="A689" s="28" t="s">
        <v>1565</v>
      </c>
      <c r="C689" s="69"/>
      <c r="D689" s="51"/>
      <c r="E689" s="31"/>
      <c r="F689" s="29"/>
      <c r="G689" s="29"/>
      <c r="H689" s="27"/>
      <c r="I689" s="27"/>
      <c r="J689" s="27"/>
      <c r="K689" s="27"/>
      <c r="L689" s="27"/>
      <c r="M689" s="27"/>
      <c r="N689" s="27"/>
      <c r="O689" s="27"/>
      <c r="P689" s="27"/>
      <c r="Q689" s="27"/>
      <c r="R689" s="27"/>
      <c r="S689" s="27"/>
    </row>
    <row r="690" ht="15.75" customHeight="1">
      <c r="A690" s="40" t="s">
        <v>31</v>
      </c>
      <c r="B690" s="41" t="s">
        <v>1566</v>
      </c>
      <c r="C690" s="67" t="s">
        <v>1567</v>
      </c>
      <c r="D690" s="43" t="s">
        <v>100</v>
      </c>
      <c r="E690" s="43" t="s">
        <v>101</v>
      </c>
      <c r="F690" s="44">
        <v>0.21</v>
      </c>
      <c r="G690" s="46" t="str">
        <f>IFERROR(VLOOKUP("MAT 133 B BLACK XLR 3",STOCK!B36:Q3711,3,FALSE),"SIN STOCK")</f>
        <v>Mayor a 5</v>
      </c>
      <c r="H690" s="27"/>
      <c r="I690" s="27"/>
      <c r="J690" s="27"/>
      <c r="K690" s="27"/>
      <c r="L690" s="27"/>
      <c r="M690" s="27"/>
      <c r="N690" s="27"/>
      <c r="O690" s="27"/>
      <c r="P690" s="27"/>
      <c r="Q690" s="27"/>
      <c r="R690" s="27"/>
      <c r="S690" s="27"/>
    </row>
    <row r="691" ht="15.75" customHeight="1">
      <c r="A691" s="33" t="s">
        <v>31</v>
      </c>
      <c r="B691" s="45" t="s">
        <v>1568</v>
      </c>
      <c r="C691" s="68" t="s">
        <v>1569</v>
      </c>
      <c r="D691" s="36" t="s">
        <v>57</v>
      </c>
      <c r="E691" s="36" t="s">
        <v>58</v>
      </c>
      <c r="F691" s="37">
        <v>0.21</v>
      </c>
      <c r="G691" s="38" t="str">
        <f>IFERROR(VLOOKUP("MAT 133-S B BLACK XLR3 PTT",STOCK!B37:Q3712,3,FALSE),"SIN STOCK")</f>
        <v>Menor a 5</v>
      </c>
      <c r="H691" s="27"/>
      <c r="I691" s="27"/>
      <c r="J691" s="27"/>
      <c r="K691" s="27"/>
      <c r="L691" s="27"/>
      <c r="M691" s="27"/>
      <c r="N691" s="27"/>
      <c r="O691" s="27"/>
      <c r="P691" s="27"/>
      <c r="Q691" s="27"/>
      <c r="R691" s="27"/>
      <c r="S691" s="27"/>
    </row>
    <row r="692" ht="15.75" customHeight="1">
      <c r="A692" s="40" t="s">
        <v>31</v>
      </c>
      <c r="B692" s="41" t="s">
        <v>1570</v>
      </c>
      <c r="C692" s="67" t="s">
        <v>1571</v>
      </c>
      <c r="D692" s="43" t="s">
        <v>1572</v>
      </c>
      <c r="E692" s="43" t="s">
        <v>1573</v>
      </c>
      <c r="F692" s="44">
        <v>0.21</v>
      </c>
      <c r="G692" s="38" t="str">
        <f>IFERROR(VLOOKUP("MAT 153-S B",STOCK!B38:Q3713,3,FALSE),"SIN STOCK")</f>
        <v>Mayor a 5</v>
      </c>
      <c r="H692" s="27"/>
      <c r="I692" s="27"/>
      <c r="J692" s="27"/>
      <c r="K692" s="27"/>
      <c r="L692" s="27"/>
      <c r="M692" s="27"/>
      <c r="N692" s="27"/>
      <c r="O692" s="27"/>
      <c r="P692" s="27"/>
      <c r="Q692" s="27"/>
      <c r="R692" s="27"/>
      <c r="S692" s="27"/>
    </row>
    <row r="693" ht="15.75" customHeight="1">
      <c r="A693" s="54" t="s">
        <v>1574</v>
      </c>
      <c r="B693" s="29"/>
      <c r="C693" s="69"/>
      <c r="D693" s="51"/>
      <c r="E693" s="31"/>
      <c r="F693" s="29"/>
      <c r="G693" s="29"/>
      <c r="H693" s="27"/>
      <c r="I693" s="27"/>
      <c r="J693" s="27"/>
      <c r="K693" s="27"/>
      <c r="L693" s="27"/>
      <c r="M693" s="27"/>
      <c r="N693" s="27"/>
      <c r="O693" s="27"/>
      <c r="P693" s="27"/>
      <c r="Q693" s="27"/>
      <c r="R693" s="27"/>
      <c r="S693" s="27"/>
    </row>
    <row r="694" ht="15.75" customHeight="1">
      <c r="A694" s="40" t="s">
        <v>31</v>
      </c>
      <c r="B694" s="41" t="s">
        <v>1575</v>
      </c>
      <c r="C694" s="67" t="s">
        <v>1576</v>
      </c>
      <c r="D694" s="43" t="s">
        <v>100</v>
      </c>
      <c r="E694" s="43" t="s">
        <v>101</v>
      </c>
      <c r="F694" s="44">
        <v>0.21</v>
      </c>
      <c r="G694" s="60" t="s">
        <v>516</v>
      </c>
      <c r="H694" s="27"/>
      <c r="I694" s="27"/>
      <c r="J694" s="27"/>
      <c r="K694" s="27"/>
      <c r="L694" s="27"/>
      <c r="M694" s="27"/>
      <c r="N694" s="27"/>
      <c r="O694" s="27"/>
      <c r="P694" s="27"/>
      <c r="Q694" s="27"/>
      <c r="R694" s="27"/>
      <c r="S694" s="27"/>
    </row>
    <row r="695" ht="15.75" customHeight="1">
      <c r="A695" s="33" t="s">
        <v>31</v>
      </c>
      <c r="B695" s="45" t="s">
        <v>1577</v>
      </c>
      <c r="C695" s="68" t="s">
        <v>1578</v>
      </c>
      <c r="D695" s="36" t="s">
        <v>100</v>
      </c>
      <c r="E695" s="36" t="s">
        <v>101</v>
      </c>
      <c r="F695" s="37">
        <v>0.21</v>
      </c>
      <c r="G695" s="60" t="s">
        <v>516</v>
      </c>
      <c r="H695" s="27"/>
      <c r="I695" s="27"/>
      <c r="J695" s="27"/>
      <c r="K695" s="27"/>
      <c r="L695" s="27"/>
      <c r="M695" s="27"/>
      <c r="N695" s="27"/>
      <c r="O695" s="27"/>
      <c r="P695" s="27"/>
      <c r="Q695" s="27"/>
      <c r="R695" s="27"/>
      <c r="S695" s="27"/>
    </row>
    <row r="696" ht="15.75" customHeight="1">
      <c r="A696" s="40" t="s">
        <v>31</v>
      </c>
      <c r="B696" s="41" t="s">
        <v>1579</v>
      </c>
      <c r="C696" s="67" t="s">
        <v>1580</v>
      </c>
      <c r="D696" s="43" t="s">
        <v>57</v>
      </c>
      <c r="E696" s="43" t="s">
        <v>58</v>
      </c>
      <c r="F696" s="44">
        <v>0.21</v>
      </c>
      <c r="G696" s="60" t="s">
        <v>516</v>
      </c>
      <c r="H696" s="27"/>
      <c r="I696" s="27"/>
      <c r="J696" s="27"/>
      <c r="K696" s="27"/>
      <c r="L696" s="27"/>
      <c r="M696" s="27"/>
      <c r="N696" s="27"/>
      <c r="O696" s="27"/>
      <c r="P696" s="27"/>
      <c r="Q696" s="27"/>
      <c r="R696" s="27"/>
      <c r="S696" s="27"/>
    </row>
    <row r="697" ht="15.75" customHeight="1">
      <c r="A697" s="33" t="s">
        <v>31</v>
      </c>
      <c r="B697" s="45" t="s">
        <v>1581</v>
      </c>
      <c r="C697" s="68" t="s">
        <v>1582</v>
      </c>
      <c r="D697" s="36" t="s">
        <v>658</v>
      </c>
      <c r="E697" s="36" t="s">
        <v>659</v>
      </c>
      <c r="F697" s="37">
        <v>0.21</v>
      </c>
      <c r="G697" s="60" t="s">
        <v>516</v>
      </c>
      <c r="H697" s="27"/>
      <c r="I697" s="27"/>
      <c r="J697" s="27"/>
      <c r="K697" s="27"/>
      <c r="L697" s="27"/>
      <c r="M697" s="27"/>
      <c r="N697" s="27"/>
      <c r="O697" s="27"/>
      <c r="P697" s="27"/>
      <c r="Q697" s="27"/>
      <c r="R697" s="27"/>
      <c r="S697" s="27"/>
    </row>
    <row r="698" ht="15.75" customHeight="1">
      <c r="A698" s="40" t="s">
        <v>31</v>
      </c>
      <c r="B698" s="41" t="s">
        <v>1583</v>
      </c>
      <c r="C698" s="67" t="s">
        <v>1584</v>
      </c>
      <c r="D698" s="43" t="s">
        <v>1585</v>
      </c>
      <c r="E698" s="43" t="s">
        <v>1586</v>
      </c>
      <c r="F698" s="44">
        <v>0.21</v>
      </c>
      <c r="G698" s="60" t="s">
        <v>516</v>
      </c>
      <c r="H698" s="27"/>
      <c r="I698" s="27"/>
      <c r="J698" s="27"/>
      <c r="K698" s="27"/>
      <c r="L698" s="27"/>
      <c r="M698" s="27"/>
      <c r="N698" s="27"/>
      <c r="O698" s="27"/>
      <c r="P698" s="27"/>
      <c r="Q698" s="27"/>
      <c r="R698" s="27"/>
      <c r="S698" s="27"/>
    </row>
    <row r="699" ht="15.75" customHeight="1">
      <c r="A699" s="33" t="s">
        <v>31</v>
      </c>
      <c r="B699" s="45" t="s">
        <v>1587</v>
      </c>
      <c r="C699" s="68" t="s">
        <v>1588</v>
      </c>
      <c r="D699" s="36" t="s">
        <v>1585</v>
      </c>
      <c r="E699" s="36" t="s">
        <v>1586</v>
      </c>
      <c r="F699" s="37">
        <v>0.21</v>
      </c>
      <c r="G699" s="60" t="s">
        <v>516</v>
      </c>
      <c r="H699" s="27"/>
      <c r="I699" s="27"/>
      <c r="J699" s="27"/>
      <c r="K699" s="27"/>
      <c r="L699" s="27"/>
      <c r="M699" s="27"/>
      <c r="N699" s="27"/>
      <c r="O699" s="27"/>
      <c r="P699" s="27"/>
      <c r="Q699" s="27"/>
      <c r="R699" s="27"/>
      <c r="S699" s="27"/>
    </row>
    <row r="700" ht="15.75" customHeight="1">
      <c r="A700" s="40" t="s">
        <v>31</v>
      </c>
      <c r="B700" s="41" t="s">
        <v>1589</v>
      </c>
      <c r="C700" s="67" t="s">
        <v>1590</v>
      </c>
      <c r="D700" s="43" t="s">
        <v>73</v>
      </c>
      <c r="E700" s="43" t="s">
        <v>74</v>
      </c>
      <c r="F700" s="44">
        <v>0.21</v>
      </c>
      <c r="G700" s="60" t="s">
        <v>516</v>
      </c>
      <c r="H700" s="27"/>
      <c r="I700" s="27"/>
      <c r="J700" s="27"/>
      <c r="K700" s="27"/>
      <c r="L700" s="27"/>
      <c r="M700" s="27"/>
      <c r="N700" s="27"/>
      <c r="O700" s="27"/>
      <c r="P700" s="27"/>
      <c r="Q700" s="27"/>
      <c r="R700" s="27"/>
      <c r="S700" s="27"/>
    </row>
    <row r="701" ht="15.75" customHeight="1">
      <c r="A701" s="33" t="s">
        <v>31</v>
      </c>
      <c r="B701" s="45" t="s">
        <v>1591</v>
      </c>
      <c r="C701" s="68" t="s">
        <v>1592</v>
      </c>
      <c r="D701" s="36" t="s">
        <v>930</v>
      </c>
      <c r="E701" s="36" t="s">
        <v>931</v>
      </c>
      <c r="F701" s="37">
        <v>0.21</v>
      </c>
      <c r="G701" s="60" t="s">
        <v>516</v>
      </c>
      <c r="H701" s="27"/>
      <c r="I701" s="27"/>
      <c r="J701" s="27"/>
      <c r="K701" s="27"/>
      <c r="L701" s="27"/>
      <c r="M701" s="27"/>
      <c r="N701" s="27"/>
      <c r="O701" s="27"/>
      <c r="P701" s="27"/>
      <c r="Q701" s="27"/>
      <c r="R701" s="27"/>
      <c r="S701" s="27"/>
    </row>
    <row r="702" ht="15.75" customHeight="1">
      <c r="A702" s="40" t="s">
        <v>31</v>
      </c>
      <c r="B702" s="41" t="s">
        <v>1593</v>
      </c>
      <c r="C702" s="67" t="s">
        <v>1594</v>
      </c>
      <c r="D702" s="43" t="s">
        <v>531</v>
      </c>
      <c r="E702" s="43" t="s">
        <v>532</v>
      </c>
      <c r="F702" s="44">
        <v>0.21</v>
      </c>
      <c r="G702" s="60" t="s">
        <v>516</v>
      </c>
      <c r="H702" s="27"/>
      <c r="I702" s="27"/>
      <c r="J702" s="27"/>
      <c r="K702" s="27"/>
      <c r="L702" s="27"/>
      <c r="M702" s="27"/>
      <c r="N702" s="27"/>
      <c r="O702" s="27"/>
      <c r="P702" s="27"/>
      <c r="Q702" s="27"/>
      <c r="R702" s="27"/>
      <c r="S702" s="27"/>
    </row>
    <row r="703" ht="15.75" customHeight="1">
      <c r="A703" s="33" t="s">
        <v>31</v>
      </c>
      <c r="B703" s="45" t="s">
        <v>1595</v>
      </c>
      <c r="C703" s="68" t="s">
        <v>1596</v>
      </c>
      <c r="D703" s="36" t="s">
        <v>738</v>
      </c>
      <c r="E703" s="36" t="s">
        <v>739</v>
      </c>
      <c r="F703" s="37">
        <v>0.21</v>
      </c>
      <c r="G703" s="60" t="s">
        <v>516</v>
      </c>
      <c r="H703" s="27"/>
      <c r="I703" s="27"/>
      <c r="J703" s="27"/>
      <c r="K703" s="27"/>
      <c r="L703" s="27"/>
      <c r="M703" s="27"/>
      <c r="N703" s="27"/>
      <c r="O703" s="27"/>
      <c r="P703" s="27"/>
      <c r="Q703" s="27"/>
      <c r="R703" s="27"/>
      <c r="S703" s="27"/>
    </row>
    <row r="704" ht="15.75" customHeight="1">
      <c r="A704" s="40" t="s">
        <v>31</v>
      </c>
      <c r="B704" s="41" t="s">
        <v>1597</v>
      </c>
      <c r="C704" s="67" t="s">
        <v>1598</v>
      </c>
      <c r="D704" s="43" t="s">
        <v>514</v>
      </c>
      <c r="E704" s="43" t="s">
        <v>515</v>
      </c>
      <c r="F704" s="44">
        <v>0.21</v>
      </c>
      <c r="G704" s="60" t="s">
        <v>516</v>
      </c>
      <c r="H704" s="27"/>
      <c r="I704" s="27"/>
      <c r="J704" s="27"/>
      <c r="K704" s="27"/>
      <c r="L704" s="27"/>
      <c r="M704" s="27"/>
      <c r="N704" s="27"/>
      <c r="O704" s="27"/>
      <c r="P704" s="27"/>
      <c r="Q704" s="27"/>
      <c r="R704" s="27"/>
      <c r="S704" s="27"/>
    </row>
    <row r="705" ht="15.75" customHeight="1">
      <c r="A705" s="33" t="s">
        <v>31</v>
      </c>
      <c r="B705" s="45" t="s">
        <v>1599</v>
      </c>
      <c r="C705" s="68" t="s">
        <v>1600</v>
      </c>
      <c r="D705" s="36" t="s">
        <v>940</v>
      </c>
      <c r="E705" s="36" t="s">
        <v>941</v>
      </c>
      <c r="F705" s="37">
        <v>0.21</v>
      </c>
      <c r="G705" s="60" t="s">
        <v>516</v>
      </c>
      <c r="H705" s="27"/>
      <c r="I705" s="27"/>
      <c r="J705" s="27"/>
      <c r="K705" s="27"/>
      <c r="L705" s="27"/>
      <c r="M705" s="27"/>
      <c r="N705" s="27"/>
      <c r="O705" s="27"/>
      <c r="P705" s="27"/>
      <c r="Q705" s="27"/>
      <c r="R705" s="27"/>
      <c r="S705" s="27"/>
    </row>
    <row r="706" ht="15.75" customHeight="1">
      <c r="A706" s="40" t="s">
        <v>31</v>
      </c>
      <c r="B706" s="41" t="s">
        <v>1601</v>
      </c>
      <c r="C706" s="67" t="s">
        <v>1602</v>
      </c>
      <c r="D706" s="43" t="s">
        <v>940</v>
      </c>
      <c r="E706" s="43" t="s">
        <v>941</v>
      </c>
      <c r="F706" s="44">
        <v>0.21</v>
      </c>
      <c r="G706" s="60" t="s">
        <v>516</v>
      </c>
      <c r="H706" s="27"/>
      <c r="I706" s="27"/>
      <c r="J706" s="27"/>
      <c r="K706" s="27"/>
      <c r="L706" s="27"/>
      <c r="M706" s="27"/>
      <c r="N706" s="27"/>
      <c r="O706" s="27"/>
      <c r="P706" s="27"/>
      <c r="Q706" s="27"/>
      <c r="R706" s="27"/>
      <c r="S706" s="27"/>
    </row>
    <row r="707" ht="15.75" customHeight="1">
      <c r="A707" s="33" t="s">
        <v>31</v>
      </c>
      <c r="B707" s="45" t="s">
        <v>1603</v>
      </c>
      <c r="C707" s="68" t="s">
        <v>1604</v>
      </c>
      <c r="D707" s="36" t="s">
        <v>1605</v>
      </c>
      <c r="E707" s="36" t="s">
        <v>1606</v>
      </c>
      <c r="F707" s="37">
        <v>0.21</v>
      </c>
      <c r="G707" s="60" t="s">
        <v>516</v>
      </c>
      <c r="H707" s="27"/>
      <c r="I707" s="27"/>
      <c r="J707" s="27"/>
      <c r="K707" s="27"/>
      <c r="L707" s="27"/>
      <c r="M707" s="27"/>
      <c r="N707" s="27"/>
      <c r="O707" s="27"/>
      <c r="P707" s="27"/>
      <c r="Q707" s="27"/>
      <c r="R707" s="27"/>
      <c r="S707" s="27"/>
    </row>
    <row r="708" ht="15.75" customHeight="1">
      <c r="A708" s="28" t="s">
        <v>1607</v>
      </c>
      <c r="C708" s="69"/>
      <c r="D708" s="51"/>
      <c r="E708" s="31"/>
      <c r="F708" s="29"/>
      <c r="G708" s="29"/>
      <c r="H708" s="27"/>
      <c r="I708" s="27"/>
      <c r="J708" s="27"/>
      <c r="K708" s="27"/>
      <c r="L708" s="27"/>
      <c r="M708" s="27"/>
      <c r="N708" s="27"/>
      <c r="O708" s="27"/>
      <c r="P708" s="27"/>
      <c r="Q708" s="27"/>
      <c r="R708" s="27"/>
      <c r="S708" s="27"/>
    </row>
    <row r="709" ht="15.75" customHeight="1">
      <c r="A709" s="40" t="s">
        <v>31</v>
      </c>
      <c r="B709" s="41" t="s">
        <v>1608</v>
      </c>
      <c r="C709" s="67" t="s">
        <v>1609</v>
      </c>
      <c r="D709" s="43" t="s">
        <v>1610</v>
      </c>
      <c r="E709" s="43" t="s">
        <v>1611</v>
      </c>
      <c r="F709" s="44">
        <v>0.21</v>
      </c>
      <c r="G709" s="60" t="s">
        <v>516</v>
      </c>
      <c r="H709" s="27"/>
      <c r="I709" s="27"/>
      <c r="J709" s="27"/>
      <c r="K709" s="27"/>
      <c r="L709" s="27"/>
      <c r="M709" s="27"/>
      <c r="N709" s="27"/>
      <c r="O709" s="27"/>
      <c r="P709" s="27"/>
      <c r="Q709" s="27"/>
      <c r="R709" s="27"/>
      <c r="S709" s="27"/>
    </row>
    <row r="710" ht="15.75" customHeight="1">
      <c r="A710" s="33" t="s">
        <v>31</v>
      </c>
      <c r="B710" s="45" t="s">
        <v>1612</v>
      </c>
      <c r="C710" s="68" t="s">
        <v>1613</v>
      </c>
      <c r="D710" s="36" t="s">
        <v>1614</v>
      </c>
      <c r="E710" s="36" t="s">
        <v>1615</v>
      </c>
      <c r="F710" s="37">
        <v>0.21</v>
      </c>
      <c r="G710" s="60" t="s">
        <v>516</v>
      </c>
      <c r="H710" s="27"/>
      <c r="I710" s="27"/>
      <c r="J710" s="27"/>
      <c r="K710" s="27"/>
      <c r="L710" s="27"/>
      <c r="M710" s="27"/>
      <c r="N710" s="27"/>
      <c r="O710" s="27"/>
      <c r="P710" s="27"/>
      <c r="Q710" s="27"/>
      <c r="R710" s="27"/>
      <c r="S710" s="27"/>
    </row>
    <row r="711" ht="15.75" customHeight="1">
      <c r="A711" s="40" t="s">
        <v>31</v>
      </c>
      <c r="B711" s="41" t="s">
        <v>1616</v>
      </c>
      <c r="C711" s="67" t="s">
        <v>1617</v>
      </c>
      <c r="D711" s="43" t="s">
        <v>1618</v>
      </c>
      <c r="E711" s="43" t="s">
        <v>1619</v>
      </c>
      <c r="F711" s="44">
        <v>0.21</v>
      </c>
      <c r="G711" s="60" t="s">
        <v>516</v>
      </c>
      <c r="H711" s="27"/>
      <c r="I711" s="27"/>
      <c r="J711" s="27"/>
      <c r="K711" s="27"/>
      <c r="L711" s="27"/>
      <c r="M711" s="27"/>
      <c r="N711" s="27"/>
      <c r="O711" s="27"/>
      <c r="P711" s="27"/>
      <c r="Q711" s="27"/>
      <c r="R711" s="27"/>
      <c r="S711" s="27"/>
    </row>
    <row r="712" ht="15.75" customHeight="1">
      <c r="A712" s="33" t="s">
        <v>31</v>
      </c>
      <c r="B712" s="45" t="s">
        <v>1620</v>
      </c>
      <c r="C712" s="68" t="s">
        <v>1621</v>
      </c>
      <c r="D712" s="36" t="s">
        <v>255</v>
      </c>
      <c r="E712" s="36" t="s">
        <v>256</v>
      </c>
      <c r="F712" s="37">
        <v>0.21</v>
      </c>
      <c r="G712" s="60" t="s">
        <v>516</v>
      </c>
      <c r="H712" s="27"/>
      <c r="I712" s="27"/>
      <c r="J712" s="27"/>
      <c r="K712" s="27"/>
      <c r="L712" s="27"/>
      <c r="M712" s="27"/>
      <c r="N712" s="27"/>
      <c r="O712" s="27"/>
      <c r="P712" s="27"/>
      <c r="Q712" s="27"/>
      <c r="R712" s="27"/>
      <c r="S712" s="27"/>
    </row>
    <row r="713" ht="15.75" customHeight="1">
      <c r="A713" s="40" t="s">
        <v>31</v>
      </c>
      <c r="B713" s="41" t="s">
        <v>1622</v>
      </c>
      <c r="C713" s="67" t="s">
        <v>1623</v>
      </c>
      <c r="D713" s="43" t="s">
        <v>1624</v>
      </c>
      <c r="E713" s="43" t="s">
        <v>1625</v>
      </c>
      <c r="F713" s="44">
        <v>0.21</v>
      </c>
      <c r="G713" s="60" t="s">
        <v>516</v>
      </c>
      <c r="H713" s="27"/>
      <c r="I713" s="27"/>
      <c r="J713" s="27"/>
      <c r="K713" s="27"/>
      <c r="L713" s="27"/>
      <c r="M713" s="27"/>
      <c r="N713" s="27"/>
      <c r="O713" s="27"/>
      <c r="P713" s="27"/>
      <c r="Q713" s="27"/>
      <c r="R713" s="27"/>
      <c r="S713" s="27"/>
    </row>
    <row r="714" ht="15.75" customHeight="1">
      <c r="A714" s="33" t="s">
        <v>31</v>
      </c>
      <c r="B714" s="45" t="s">
        <v>1626</v>
      </c>
      <c r="C714" s="68" t="s">
        <v>1627</v>
      </c>
      <c r="D714" s="36" t="s">
        <v>1628</v>
      </c>
      <c r="E714" s="36" t="s">
        <v>1629</v>
      </c>
      <c r="F714" s="37">
        <v>0.21</v>
      </c>
      <c r="G714" s="60" t="s">
        <v>516</v>
      </c>
      <c r="H714" s="27"/>
      <c r="I714" s="27"/>
      <c r="J714" s="27"/>
      <c r="K714" s="27"/>
      <c r="L714" s="27"/>
      <c r="M714" s="27"/>
      <c r="N714" s="27"/>
      <c r="O714" s="27"/>
      <c r="P714" s="27"/>
      <c r="Q714" s="27"/>
      <c r="R714" s="27"/>
      <c r="S714" s="27"/>
    </row>
    <row r="715" ht="15.75" customHeight="1">
      <c r="A715" s="40" t="s">
        <v>31</v>
      </c>
      <c r="B715" s="41" t="s">
        <v>1630</v>
      </c>
      <c r="C715" s="67" t="s">
        <v>1631</v>
      </c>
      <c r="D715" s="43" t="s">
        <v>179</v>
      </c>
      <c r="E715" s="43" t="s">
        <v>180</v>
      </c>
      <c r="F715" s="44">
        <v>0.21</v>
      </c>
      <c r="G715" s="60" t="s">
        <v>516</v>
      </c>
      <c r="H715" s="27"/>
      <c r="I715" s="27"/>
      <c r="J715" s="27"/>
      <c r="K715" s="27"/>
      <c r="L715" s="27"/>
      <c r="M715" s="27"/>
      <c r="N715" s="27"/>
      <c r="O715" s="27"/>
      <c r="P715" s="27"/>
      <c r="Q715" s="27"/>
      <c r="R715" s="27"/>
      <c r="S715" s="27"/>
    </row>
    <row r="716" ht="15.75" customHeight="1">
      <c r="A716" s="33" t="s">
        <v>31</v>
      </c>
      <c r="B716" s="45" t="s">
        <v>1632</v>
      </c>
      <c r="C716" s="68" t="s">
        <v>1633</v>
      </c>
      <c r="D716" s="36" t="s">
        <v>1082</v>
      </c>
      <c r="E716" s="36" t="s">
        <v>1083</v>
      </c>
      <c r="F716" s="37">
        <v>0.21</v>
      </c>
      <c r="G716" s="60" t="s">
        <v>516</v>
      </c>
      <c r="H716" s="27"/>
      <c r="I716" s="27"/>
      <c r="J716" s="27"/>
      <c r="K716" s="27"/>
      <c r="L716" s="27"/>
      <c r="M716" s="27"/>
      <c r="N716" s="27"/>
      <c r="O716" s="27"/>
      <c r="P716" s="27"/>
      <c r="Q716" s="27"/>
      <c r="R716" s="27"/>
      <c r="S716" s="27"/>
    </row>
    <row r="717" ht="15.75" customHeight="1">
      <c r="A717" s="40" t="s">
        <v>31</v>
      </c>
      <c r="B717" s="64" t="s">
        <v>1634</v>
      </c>
      <c r="C717" s="67" t="s">
        <v>327</v>
      </c>
      <c r="D717" s="43" t="s">
        <v>1635</v>
      </c>
      <c r="E717" s="43" t="s">
        <v>1636</v>
      </c>
      <c r="F717" s="44">
        <v>0.21</v>
      </c>
      <c r="G717" s="60" t="s">
        <v>516</v>
      </c>
      <c r="H717" s="27"/>
      <c r="I717" s="27"/>
      <c r="J717" s="27"/>
      <c r="K717" s="27"/>
      <c r="L717" s="27"/>
      <c r="M717" s="27"/>
      <c r="N717" s="27"/>
      <c r="O717" s="27"/>
      <c r="P717" s="27"/>
      <c r="Q717" s="27"/>
      <c r="R717" s="27"/>
      <c r="S717" s="27"/>
    </row>
    <row r="718" ht="15.75" customHeight="1">
      <c r="A718" s="33" t="s">
        <v>31</v>
      </c>
      <c r="B718" s="45" t="s">
        <v>1637</v>
      </c>
      <c r="C718" s="68" t="s">
        <v>1638</v>
      </c>
      <c r="D718" s="36" t="s">
        <v>45</v>
      </c>
      <c r="E718" s="36" t="s">
        <v>46</v>
      </c>
      <c r="F718" s="37">
        <v>0.21</v>
      </c>
      <c r="G718" s="60" t="s">
        <v>516</v>
      </c>
      <c r="H718" s="27"/>
      <c r="I718" s="27"/>
      <c r="J718" s="27"/>
      <c r="K718" s="27"/>
      <c r="L718" s="27"/>
      <c r="M718" s="27"/>
      <c r="N718" s="27"/>
      <c r="O718" s="27"/>
      <c r="P718" s="27"/>
      <c r="Q718" s="27"/>
      <c r="R718" s="27"/>
      <c r="S718" s="27"/>
    </row>
    <row r="719" ht="15.75" customHeight="1">
      <c r="A719" s="40" t="s">
        <v>31</v>
      </c>
      <c r="B719" s="41" t="s">
        <v>1639</v>
      </c>
      <c r="C719" s="67" t="s">
        <v>1640</v>
      </c>
      <c r="D719" s="43" t="s">
        <v>45</v>
      </c>
      <c r="E719" s="43" t="s">
        <v>46</v>
      </c>
      <c r="F719" s="44">
        <v>0.21</v>
      </c>
      <c r="G719" s="60" t="s">
        <v>516</v>
      </c>
      <c r="H719" s="27"/>
      <c r="I719" s="27"/>
      <c r="J719" s="27"/>
      <c r="K719" s="27"/>
      <c r="L719" s="27"/>
      <c r="M719" s="27"/>
      <c r="N719" s="27"/>
      <c r="O719" s="27"/>
      <c r="P719" s="27"/>
      <c r="Q719" s="27"/>
      <c r="R719" s="27"/>
      <c r="S719" s="27"/>
    </row>
    <row r="720" ht="15.75" customHeight="1">
      <c r="A720" s="28" t="s">
        <v>1641</v>
      </c>
      <c r="C720" s="69"/>
      <c r="D720" s="51"/>
      <c r="E720" s="31"/>
      <c r="F720" s="29"/>
      <c r="G720" s="29"/>
      <c r="H720" s="27"/>
      <c r="I720" s="27"/>
      <c r="J720" s="27"/>
      <c r="K720" s="27"/>
      <c r="L720" s="27"/>
      <c r="M720" s="27"/>
      <c r="N720" s="27"/>
      <c r="O720" s="27"/>
      <c r="P720" s="27"/>
      <c r="Q720" s="27"/>
      <c r="R720" s="27"/>
      <c r="S720" s="27"/>
    </row>
    <row r="721" ht="15.75" customHeight="1">
      <c r="A721" s="40" t="s">
        <v>31</v>
      </c>
      <c r="B721" s="41" t="s">
        <v>1642</v>
      </c>
      <c r="C721" s="71" t="s">
        <v>1643</v>
      </c>
      <c r="D721" s="43" t="s">
        <v>233</v>
      </c>
      <c r="E721" s="43" t="s">
        <v>234</v>
      </c>
      <c r="F721" s="44">
        <v>0.21</v>
      </c>
      <c r="G721" s="60" t="s">
        <v>516</v>
      </c>
      <c r="H721" s="27"/>
      <c r="I721" s="27"/>
      <c r="J721" s="27"/>
      <c r="K721" s="27"/>
      <c r="L721" s="27"/>
      <c r="M721" s="27"/>
      <c r="N721" s="27"/>
      <c r="O721" s="27"/>
      <c r="P721" s="27"/>
      <c r="Q721" s="27"/>
      <c r="R721" s="27"/>
      <c r="S721" s="27"/>
    </row>
    <row r="722" ht="15.75" customHeight="1">
      <c r="A722" s="33" t="s">
        <v>31</v>
      </c>
      <c r="B722" s="45" t="s">
        <v>1644</v>
      </c>
      <c r="C722" s="68" t="s">
        <v>327</v>
      </c>
      <c r="D722" s="36" t="s">
        <v>514</v>
      </c>
      <c r="E722" s="36" t="s">
        <v>515</v>
      </c>
      <c r="F722" s="37">
        <v>0.21</v>
      </c>
      <c r="G722" s="60" t="s">
        <v>516</v>
      </c>
      <c r="H722" s="27"/>
      <c r="I722" s="27"/>
      <c r="J722" s="27"/>
      <c r="K722" s="27"/>
      <c r="L722" s="27"/>
      <c r="M722" s="27"/>
      <c r="N722" s="27"/>
      <c r="O722" s="27"/>
      <c r="P722" s="27"/>
      <c r="Q722" s="27"/>
      <c r="R722" s="27"/>
      <c r="S722" s="27"/>
    </row>
    <row r="723" ht="15.75" customHeight="1">
      <c r="A723" s="40" t="s">
        <v>31</v>
      </c>
      <c r="B723" s="41" t="s">
        <v>1645</v>
      </c>
      <c r="C723" s="67" t="s">
        <v>1646</v>
      </c>
      <c r="D723" s="43" t="s">
        <v>272</v>
      </c>
      <c r="E723" s="43" t="s">
        <v>273</v>
      </c>
      <c r="F723" s="44">
        <v>0.21</v>
      </c>
      <c r="G723" s="60" t="s">
        <v>516</v>
      </c>
      <c r="H723" s="27"/>
      <c r="I723" s="27"/>
      <c r="J723" s="27"/>
      <c r="K723" s="27"/>
      <c r="L723" s="27"/>
      <c r="M723" s="27"/>
      <c r="N723" s="27"/>
      <c r="O723" s="27"/>
      <c r="P723" s="27"/>
      <c r="Q723" s="27"/>
      <c r="R723" s="27"/>
      <c r="S723" s="27"/>
    </row>
    <row r="724" ht="15.75" customHeight="1">
      <c r="A724" s="33" t="s">
        <v>31</v>
      </c>
      <c r="B724" s="45" t="s">
        <v>1647</v>
      </c>
      <c r="C724" s="68" t="s">
        <v>1648</v>
      </c>
      <c r="D724" s="36" t="s">
        <v>531</v>
      </c>
      <c r="E724" s="36" t="s">
        <v>532</v>
      </c>
      <c r="F724" s="37">
        <v>0.21</v>
      </c>
      <c r="G724" s="60" t="s">
        <v>516</v>
      </c>
      <c r="H724" s="27"/>
      <c r="I724" s="27"/>
      <c r="J724" s="27"/>
      <c r="K724" s="27"/>
      <c r="L724" s="27"/>
      <c r="M724" s="27"/>
      <c r="N724" s="27"/>
      <c r="O724" s="27"/>
      <c r="P724" s="27"/>
      <c r="Q724" s="27"/>
      <c r="R724" s="27"/>
      <c r="S724" s="27"/>
    </row>
    <row r="725" ht="15.75" customHeight="1">
      <c r="A725" s="40" t="s">
        <v>31</v>
      </c>
      <c r="B725" s="41" t="s">
        <v>1649</v>
      </c>
      <c r="C725" s="67" t="s">
        <v>1650</v>
      </c>
      <c r="D725" s="43" t="s">
        <v>531</v>
      </c>
      <c r="E725" s="43" t="s">
        <v>532</v>
      </c>
      <c r="F725" s="44">
        <v>0.21</v>
      </c>
      <c r="G725" s="60" t="s">
        <v>516</v>
      </c>
      <c r="H725" s="27"/>
      <c r="I725" s="27"/>
      <c r="J725" s="27"/>
      <c r="K725" s="27"/>
      <c r="L725" s="27"/>
      <c r="M725" s="27"/>
      <c r="N725" s="27"/>
      <c r="O725" s="27"/>
      <c r="P725" s="27"/>
      <c r="Q725" s="27"/>
      <c r="R725" s="27"/>
      <c r="S725" s="27"/>
    </row>
    <row r="726" ht="15.75" customHeight="1">
      <c r="A726" s="33" t="s">
        <v>31</v>
      </c>
      <c r="B726" s="45" t="s">
        <v>1651</v>
      </c>
      <c r="C726" s="68" t="s">
        <v>1652</v>
      </c>
      <c r="D726" s="36" t="s">
        <v>531</v>
      </c>
      <c r="E726" s="36" t="s">
        <v>532</v>
      </c>
      <c r="F726" s="37">
        <v>0.21</v>
      </c>
      <c r="G726" s="60" t="s">
        <v>516</v>
      </c>
      <c r="H726" s="27"/>
      <c r="I726" s="27"/>
      <c r="J726" s="27"/>
      <c r="K726" s="27"/>
      <c r="L726" s="27"/>
      <c r="M726" s="27"/>
      <c r="N726" s="27"/>
      <c r="O726" s="27"/>
      <c r="P726" s="27"/>
      <c r="Q726" s="27"/>
      <c r="R726" s="27"/>
      <c r="S726" s="27"/>
    </row>
    <row r="727" ht="15.75" customHeight="1">
      <c r="A727" s="40" t="s">
        <v>31</v>
      </c>
      <c r="B727" s="41" t="s">
        <v>1653</v>
      </c>
      <c r="C727" s="67" t="s">
        <v>1654</v>
      </c>
      <c r="D727" s="43" t="s">
        <v>531</v>
      </c>
      <c r="E727" s="43" t="s">
        <v>532</v>
      </c>
      <c r="F727" s="44">
        <v>0.21</v>
      </c>
      <c r="G727" s="60" t="s">
        <v>516</v>
      </c>
      <c r="H727" s="27"/>
      <c r="I727" s="27"/>
      <c r="J727" s="27"/>
      <c r="K727" s="27"/>
      <c r="L727" s="27"/>
      <c r="M727" s="27"/>
      <c r="N727" s="27"/>
      <c r="O727" s="27"/>
      <c r="P727" s="27"/>
      <c r="Q727" s="27"/>
      <c r="R727" s="27"/>
      <c r="S727" s="27"/>
    </row>
    <row r="728" ht="15.75" customHeight="1">
      <c r="A728" s="33" t="s">
        <v>31</v>
      </c>
      <c r="B728" s="45" t="s">
        <v>1655</v>
      </c>
      <c r="C728" s="68" t="s">
        <v>1656</v>
      </c>
      <c r="D728" s="36" t="s">
        <v>531</v>
      </c>
      <c r="E728" s="36" t="s">
        <v>532</v>
      </c>
      <c r="F728" s="37">
        <v>0.21</v>
      </c>
      <c r="G728" s="60" t="s">
        <v>516</v>
      </c>
      <c r="H728" s="27"/>
      <c r="I728" s="27"/>
      <c r="J728" s="27"/>
      <c r="K728" s="27"/>
      <c r="L728" s="27"/>
      <c r="M728" s="27"/>
      <c r="N728" s="27"/>
      <c r="O728" s="27"/>
      <c r="P728" s="27"/>
      <c r="Q728" s="27"/>
      <c r="R728" s="27"/>
      <c r="S728" s="27"/>
    </row>
    <row r="729" ht="15.75" customHeight="1">
      <c r="A729" s="40" t="s">
        <v>31</v>
      </c>
      <c r="B729" s="41" t="s">
        <v>1657</v>
      </c>
      <c r="C729" s="67" t="s">
        <v>1658</v>
      </c>
      <c r="D729" s="43" t="s">
        <v>41</v>
      </c>
      <c r="E729" s="43" t="s">
        <v>42</v>
      </c>
      <c r="F729" s="44">
        <v>0.21</v>
      </c>
      <c r="G729" s="60" t="s">
        <v>516</v>
      </c>
      <c r="H729" s="27"/>
      <c r="I729" s="27"/>
      <c r="J729" s="27"/>
      <c r="K729" s="27"/>
      <c r="L729" s="27"/>
      <c r="M729" s="27"/>
      <c r="N729" s="27"/>
      <c r="O729" s="27"/>
      <c r="P729" s="27"/>
      <c r="Q729" s="27"/>
      <c r="R729" s="27"/>
      <c r="S729" s="27"/>
    </row>
    <row r="730" ht="15.75" customHeight="1">
      <c r="A730" s="33" t="s">
        <v>31</v>
      </c>
      <c r="B730" s="45" t="s">
        <v>1659</v>
      </c>
      <c r="C730" s="68" t="s">
        <v>1660</v>
      </c>
      <c r="D730" s="36" t="s">
        <v>41</v>
      </c>
      <c r="E730" s="36" t="s">
        <v>42</v>
      </c>
      <c r="F730" s="37">
        <v>0.21</v>
      </c>
      <c r="G730" s="60" t="s">
        <v>516</v>
      </c>
      <c r="H730" s="27"/>
      <c r="I730" s="27"/>
      <c r="J730" s="27"/>
      <c r="K730" s="27"/>
      <c r="L730" s="27"/>
      <c r="M730" s="27"/>
      <c r="N730" s="27"/>
      <c r="O730" s="27"/>
      <c r="P730" s="27"/>
      <c r="Q730" s="27"/>
      <c r="R730" s="27"/>
      <c r="S730" s="27"/>
    </row>
    <row r="731" ht="15.75" customHeight="1">
      <c r="A731" s="40" t="s">
        <v>31</v>
      </c>
      <c r="B731" s="41" t="s">
        <v>1661</v>
      </c>
      <c r="C731" s="67" t="s">
        <v>1662</v>
      </c>
      <c r="D731" s="43" t="s">
        <v>41</v>
      </c>
      <c r="E731" s="43" t="s">
        <v>42</v>
      </c>
      <c r="F731" s="44">
        <v>0.21</v>
      </c>
      <c r="G731" s="60" t="s">
        <v>516</v>
      </c>
      <c r="H731" s="27"/>
      <c r="I731" s="27"/>
      <c r="J731" s="27"/>
      <c r="K731" s="27"/>
      <c r="L731" s="27"/>
      <c r="M731" s="27"/>
      <c r="N731" s="27"/>
      <c r="O731" s="27"/>
      <c r="P731" s="27"/>
      <c r="Q731" s="27"/>
      <c r="R731" s="27"/>
      <c r="S731" s="27"/>
    </row>
    <row r="732" ht="15.75" customHeight="1">
      <c r="A732" s="28" t="s">
        <v>1663</v>
      </c>
      <c r="C732" s="69"/>
      <c r="D732" s="51"/>
      <c r="E732" s="31"/>
      <c r="F732" s="29"/>
      <c r="G732" s="29"/>
      <c r="H732" s="27"/>
      <c r="I732" s="27"/>
      <c r="J732" s="27"/>
      <c r="K732" s="27"/>
      <c r="L732" s="27"/>
      <c r="M732" s="27"/>
      <c r="N732" s="27"/>
      <c r="O732" s="27"/>
      <c r="P732" s="27"/>
      <c r="Q732" s="27"/>
      <c r="R732" s="27"/>
      <c r="S732" s="27"/>
    </row>
    <row r="733" ht="15.75" customHeight="1">
      <c r="A733" s="40" t="s">
        <v>31</v>
      </c>
      <c r="B733" s="41" t="s">
        <v>1664</v>
      </c>
      <c r="C733" s="67" t="s">
        <v>1665</v>
      </c>
      <c r="D733" s="43" t="s">
        <v>88</v>
      </c>
      <c r="E733" s="43" t="s">
        <v>89</v>
      </c>
      <c r="F733" s="44">
        <v>0.21</v>
      </c>
      <c r="G733" s="60" t="s">
        <v>516</v>
      </c>
      <c r="H733" s="27"/>
      <c r="I733" s="27"/>
      <c r="J733" s="27"/>
      <c r="K733" s="27"/>
      <c r="L733" s="27"/>
      <c r="M733" s="27"/>
      <c r="N733" s="27"/>
      <c r="O733" s="27"/>
      <c r="P733" s="27"/>
      <c r="Q733" s="27"/>
      <c r="R733" s="27"/>
      <c r="S733" s="27"/>
    </row>
    <row r="734" ht="15.75" customHeight="1">
      <c r="A734" s="33" t="s">
        <v>31</v>
      </c>
      <c r="B734" s="45" t="s">
        <v>1666</v>
      </c>
      <c r="C734" s="68" t="s">
        <v>1667</v>
      </c>
      <c r="D734" s="36" t="s">
        <v>88</v>
      </c>
      <c r="E734" s="36" t="s">
        <v>89</v>
      </c>
      <c r="F734" s="37">
        <v>0.21</v>
      </c>
      <c r="G734" s="60" t="s">
        <v>516</v>
      </c>
      <c r="H734" s="27"/>
      <c r="I734" s="27"/>
      <c r="J734" s="27"/>
      <c r="K734" s="27"/>
      <c r="L734" s="27"/>
      <c r="M734" s="27"/>
      <c r="N734" s="27"/>
      <c r="O734" s="27"/>
      <c r="P734" s="27"/>
      <c r="Q734" s="27"/>
      <c r="R734" s="27"/>
      <c r="S734" s="27"/>
    </row>
    <row r="735" ht="15.75" customHeight="1">
      <c r="A735" s="40" t="s">
        <v>31</v>
      </c>
      <c r="B735" s="41" t="s">
        <v>1668</v>
      </c>
      <c r="C735" s="67" t="s">
        <v>1669</v>
      </c>
      <c r="D735" s="43" t="s">
        <v>88</v>
      </c>
      <c r="E735" s="43" t="s">
        <v>89</v>
      </c>
      <c r="F735" s="44">
        <v>0.21</v>
      </c>
      <c r="G735" s="60" t="s">
        <v>516</v>
      </c>
      <c r="H735" s="27"/>
      <c r="I735" s="27"/>
      <c r="J735" s="27"/>
      <c r="K735" s="27"/>
      <c r="L735" s="27"/>
      <c r="M735" s="27"/>
      <c r="N735" s="27"/>
      <c r="O735" s="27"/>
      <c r="P735" s="27"/>
      <c r="Q735" s="27"/>
      <c r="R735" s="27"/>
      <c r="S735" s="27"/>
    </row>
    <row r="736" ht="15.75" customHeight="1">
      <c r="A736" s="33" t="s">
        <v>31</v>
      </c>
      <c r="B736" s="45" t="s">
        <v>1670</v>
      </c>
      <c r="C736" s="68" t="s">
        <v>1671</v>
      </c>
      <c r="D736" s="36" t="s">
        <v>1672</v>
      </c>
      <c r="E736" s="36" t="s">
        <v>1673</v>
      </c>
      <c r="F736" s="37">
        <v>0.21</v>
      </c>
      <c r="G736" s="60" t="s">
        <v>516</v>
      </c>
      <c r="H736" s="27"/>
      <c r="I736" s="27"/>
      <c r="J736" s="27"/>
      <c r="K736" s="27"/>
      <c r="L736" s="27"/>
      <c r="M736" s="27"/>
      <c r="N736" s="27"/>
      <c r="O736" s="27"/>
      <c r="P736" s="27"/>
      <c r="Q736" s="27"/>
      <c r="R736" s="27"/>
      <c r="S736" s="27"/>
    </row>
    <row r="737" ht="15.75" customHeight="1">
      <c r="A737" s="40" t="s">
        <v>31</v>
      </c>
      <c r="B737" s="41" t="s">
        <v>1674</v>
      </c>
      <c r="C737" s="67" t="s">
        <v>1675</v>
      </c>
      <c r="D737" s="43" t="s">
        <v>563</v>
      </c>
      <c r="E737" s="43" t="s">
        <v>564</v>
      </c>
      <c r="F737" s="44">
        <v>0.21</v>
      </c>
      <c r="G737" s="60" t="s">
        <v>516</v>
      </c>
      <c r="H737" s="27"/>
      <c r="I737" s="27"/>
      <c r="J737" s="27"/>
      <c r="K737" s="27"/>
      <c r="L737" s="27"/>
      <c r="M737" s="27"/>
      <c r="N737" s="27"/>
      <c r="O737" s="27"/>
      <c r="P737" s="27"/>
      <c r="Q737" s="27"/>
      <c r="R737" s="27"/>
      <c r="S737" s="27"/>
    </row>
    <row r="738" ht="15.75" customHeight="1">
      <c r="A738" s="33" t="s">
        <v>31</v>
      </c>
      <c r="B738" s="45" t="s">
        <v>1676</v>
      </c>
      <c r="C738" s="68" t="s">
        <v>1677</v>
      </c>
      <c r="D738" s="36" t="s">
        <v>695</v>
      </c>
      <c r="E738" s="36" t="s">
        <v>696</v>
      </c>
      <c r="F738" s="37">
        <v>0.21</v>
      </c>
      <c r="G738" s="60" t="s">
        <v>516</v>
      </c>
      <c r="H738" s="27"/>
      <c r="I738" s="27"/>
      <c r="J738" s="27"/>
      <c r="K738" s="27"/>
      <c r="L738" s="27"/>
      <c r="M738" s="27"/>
      <c r="N738" s="27"/>
      <c r="O738" s="27"/>
      <c r="P738" s="27"/>
      <c r="Q738" s="27"/>
      <c r="R738" s="27"/>
      <c r="S738" s="27"/>
    </row>
    <row r="739" ht="15.75" customHeight="1">
      <c r="A739" s="40" t="s">
        <v>31</v>
      </c>
      <c r="B739" s="41" t="s">
        <v>1678</v>
      </c>
      <c r="C739" s="67" t="s">
        <v>1679</v>
      </c>
      <c r="D739" s="43" t="s">
        <v>695</v>
      </c>
      <c r="E739" s="43" t="s">
        <v>696</v>
      </c>
      <c r="F739" s="44">
        <v>0.21</v>
      </c>
      <c r="G739" s="60" t="s">
        <v>516</v>
      </c>
      <c r="H739" s="27"/>
      <c r="I739" s="27"/>
      <c r="J739" s="27"/>
      <c r="K739" s="27"/>
      <c r="L739" s="27"/>
      <c r="M739" s="27"/>
      <c r="N739" s="27"/>
      <c r="O739" s="27"/>
      <c r="P739" s="27"/>
      <c r="Q739" s="27"/>
      <c r="R739" s="27"/>
      <c r="S739" s="27"/>
    </row>
    <row r="740" ht="15.75" customHeight="1">
      <c r="A740" s="33" t="s">
        <v>31</v>
      </c>
      <c r="B740" s="45" t="s">
        <v>1680</v>
      </c>
      <c r="C740" s="68" t="s">
        <v>1681</v>
      </c>
      <c r="D740" s="36" t="s">
        <v>49</v>
      </c>
      <c r="E740" s="36" t="s">
        <v>50</v>
      </c>
      <c r="F740" s="37">
        <v>0.21</v>
      </c>
      <c r="G740" s="60" t="s">
        <v>516</v>
      </c>
      <c r="H740" s="27"/>
      <c r="I740" s="27"/>
      <c r="J740" s="27"/>
      <c r="K740" s="27"/>
      <c r="L740" s="27"/>
      <c r="M740" s="27"/>
      <c r="N740" s="27"/>
      <c r="O740" s="27"/>
      <c r="P740" s="27"/>
      <c r="Q740" s="27"/>
      <c r="R740" s="27"/>
      <c r="S740" s="27"/>
    </row>
    <row r="741" ht="15.75" customHeight="1">
      <c r="A741" s="40" t="s">
        <v>31</v>
      </c>
      <c r="B741" s="41" t="s">
        <v>1682</v>
      </c>
      <c r="C741" s="67" t="s">
        <v>1683</v>
      </c>
      <c r="D741" s="43" t="s">
        <v>447</v>
      </c>
      <c r="E741" s="43" t="s">
        <v>448</v>
      </c>
      <c r="F741" s="44">
        <v>0.21</v>
      </c>
      <c r="G741" s="60" t="s">
        <v>516</v>
      </c>
      <c r="H741" s="27"/>
      <c r="I741" s="27"/>
      <c r="J741" s="27"/>
      <c r="K741" s="27"/>
      <c r="L741" s="27"/>
      <c r="M741" s="27"/>
      <c r="N741" s="27"/>
      <c r="O741" s="27"/>
      <c r="P741" s="27"/>
      <c r="Q741" s="27"/>
      <c r="R741" s="27"/>
      <c r="S741" s="27"/>
    </row>
    <row r="742" ht="15.75" customHeight="1">
      <c r="A742" s="33" t="s">
        <v>31</v>
      </c>
      <c r="B742" s="45" t="s">
        <v>1684</v>
      </c>
      <c r="C742" s="68" t="s">
        <v>1685</v>
      </c>
      <c r="D742" s="36" t="s">
        <v>447</v>
      </c>
      <c r="E742" s="36" t="s">
        <v>448</v>
      </c>
      <c r="F742" s="37">
        <v>0.21</v>
      </c>
      <c r="G742" s="60" t="s">
        <v>516</v>
      </c>
      <c r="H742" s="27"/>
      <c r="I742" s="27"/>
      <c r="J742" s="27"/>
      <c r="K742" s="27"/>
      <c r="L742" s="27"/>
      <c r="M742" s="27"/>
      <c r="N742" s="27"/>
      <c r="O742" s="27"/>
      <c r="P742" s="27"/>
      <c r="Q742" s="27"/>
      <c r="R742" s="27"/>
      <c r="S742" s="27"/>
    </row>
    <row r="743" ht="15.75" customHeight="1">
      <c r="A743" s="40" t="s">
        <v>31</v>
      </c>
      <c r="B743" s="41" t="s">
        <v>1686</v>
      </c>
      <c r="C743" s="67" t="s">
        <v>1687</v>
      </c>
      <c r="D743" s="43" t="s">
        <v>447</v>
      </c>
      <c r="E743" s="43" t="s">
        <v>448</v>
      </c>
      <c r="F743" s="44">
        <v>0.21</v>
      </c>
      <c r="G743" s="60" t="s">
        <v>516</v>
      </c>
      <c r="H743" s="27"/>
      <c r="I743" s="27"/>
      <c r="J743" s="27"/>
      <c r="K743" s="27"/>
      <c r="L743" s="27"/>
      <c r="M743" s="27"/>
      <c r="N743" s="27"/>
      <c r="O743" s="27"/>
      <c r="P743" s="27"/>
      <c r="Q743" s="27"/>
      <c r="R743" s="27"/>
      <c r="S743" s="27"/>
    </row>
    <row r="744" ht="15.75" customHeight="1">
      <c r="A744" s="33" t="s">
        <v>31</v>
      </c>
      <c r="B744" s="45" t="s">
        <v>1688</v>
      </c>
      <c r="C744" s="68" t="s">
        <v>1689</v>
      </c>
      <c r="D744" s="36" t="s">
        <v>357</v>
      </c>
      <c r="E744" s="36" t="s">
        <v>358</v>
      </c>
      <c r="F744" s="37">
        <v>0.21</v>
      </c>
      <c r="G744" s="60" t="s">
        <v>516</v>
      </c>
      <c r="H744" s="27"/>
      <c r="I744" s="27"/>
      <c r="J744" s="27"/>
      <c r="K744" s="27"/>
      <c r="L744" s="27"/>
      <c r="M744" s="27"/>
      <c r="N744" s="27"/>
      <c r="O744" s="27"/>
      <c r="P744" s="27"/>
      <c r="Q744" s="27"/>
      <c r="R744" s="27"/>
      <c r="S744" s="27"/>
    </row>
    <row r="745" ht="15.75" customHeight="1">
      <c r="A745" s="28" t="s">
        <v>1690</v>
      </c>
      <c r="C745" s="69"/>
      <c r="D745" s="62"/>
      <c r="E745" s="31"/>
      <c r="F745" s="29"/>
      <c r="G745" s="29"/>
      <c r="H745" s="27"/>
      <c r="I745" s="27"/>
      <c r="J745" s="27"/>
      <c r="K745" s="27"/>
      <c r="L745" s="27"/>
      <c r="M745" s="27"/>
      <c r="N745" s="27"/>
      <c r="O745" s="27"/>
      <c r="P745" s="27"/>
      <c r="Q745" s="27"/>
      <c r="R745" s="27"/>
      <c r="S745" s="27"/>
    </row>
    <row r="746" ht="15.75" customHeight="1">
      <c r="A746" s="40" t="s">
        <v>31</v>
      </c>
      <c r="B746" s="41" t="s">
        <v>1691</v>
      </c>
      <c r="C746" s="67" t="s">
        <v>1692</v>
      </c>
      <c r="D746" s="43" t="s">
        <v>1693</v>
      </c>
      <c r="E746" s="43" t="s">
        <v>1694</v>
      </c>
      <c r="F746" s="44">
        <v>0.21</v>
      </c>
      <c r="G746" s="60" t="s">
        <v>516</v>
      </c>
      <c r="H746" s="27"/>
      <c r="I746" s="27"/>
      <c r="J746" s="27"/>
      <c r="K746" s="27"/>
      <c r="L746" s="27"/>
      <c r="M746" s="27"/>
      <c r="N746" s="27"/>
      <c r="O746" s="27"/>
      <c r="P746" s="27"/>
      <c r="Q746" s="27"/>
      <c r="R746" s="27"/>
      <c r="S746" s="27"/>
    </row>
    <row r="747" ht="15.75" customHeight="1">
      <c r="A747" s="33" t="s">
        <v>31</v>
      </c>
      <c r="B747" s="45" t="s">
        <v>1695</v>
      </c>
      <c r="C747" s="68" t="s">
        <v>1696</v>
      </c>
      <c r="D747" s="36" t="s">
        <v>1693</v>
      </c>
      <c r="E747" s="36" t="s">
        <v>1694</v>
      </c>
      <c r="F747" s="37">
        <v>0.21</v>
      </c>
      <c r="G747" s="60" t="s">
        <v>516</v>
      </c>
      <c r="H747" s="27"/>
      <c r="I747" s="27"/>
      <c r="J747" s="27"/>
      <c r="K747" s="27"/>
      <c r="L747" s="27"/>
      <c r="M747" s="27"/>
      <c r="N747" s="27"/>
      <c r="O747" s="27"/>
      <c r="P747" s="27"/>
      <c r="Q747" s="27"/>
      <c r="R747" s="27"/>
      <c r="S747" s="27"/>
    </row>
    <row r="748" ht="15.75" customHeight="1">
      <c r="A748" s="40" t="s">
        <v>31</v>
      </c>
      <c r="B748" s="41" t="s">
        <v>1697</v>
      </c>
      <c r="C748" s="67" t="s">
        <v>1698</v>
      </c>
      <c r="D748" s="43" t="s">
        <v>1624</v>
      </c>
      <c r="E748" s="43" t="s">
        <v>1625</v>
      </c>
      <c r="F748" s="44">
        <v>0.21</v>
      </c>
      <c r="G748" s="60" t="s">
        <v>516</v>
      </c>
      <c r="H748" s="27"/>
      <c r="I748" s="27"/>
      <c r="J748" s="27"/>
      <c r="K748" s="27"/>
      <c r="L748" s="27"/>
      <c r="M748" s="27"/>
      <c r="N748" s="27"/>
      <c r="O748" s="27"/>
      <c r="P748" s="27"/>
      <c r="Q748" s="27"/>
      <c r="R748" s="27"/>
      <c r="S748" s="27"/>
    </row>
    <row r="749" ht="15.75" customHeight="1">
      <c r="A749" s="33" t="s">
        <v>31</v>
      </c>
      <c r="B749" s="45" t="s">
        <v>1699</v>
      </c>
      <c r="C749" s="68" t="s">
        <v>1700</v>
      </c>
      <c r="D749" s="36" t="s">
        <v>1693</v>
      </c>
      <c r="E749" s="36" t="s">
        <v>1694</v>
      </c>
      <c r="F749" s="37">
        <v>0.21</v>
      </c>
      <c r="G749" s="60" t="s">
        <v>516</v>
      </c>
      <c r="H749" s="27"/>
      <c r="I749" s="27"/>
      <c r="J749" s="27"/>
      <c r="K749" s="27"/>
      <c r="L749" s="27"/>
      <c r="M749" s="27"/>
      <c r="N749" s="27"/>
      <c r="O749" s="27"/>
      <c r="P749" s="27"/>
      <c r="Q749" s="27"/>
      <c r="R749" s="27"/>
      <c r="S749" s="27"/>
    </row>
    <row r="750" ht="15.75" customHeight="1">
      <c r="A750" s="40" t="s">
        <v>31</v>
      </c>
      <c r="B750" s="41" t="s">
        <v>1701</v>
      </c>
      <c r="C750" s="67" t="s">
        <v>1702</v>
      </c>
      <c r="D750" s="36" t="s">
        <v>1703</v>
      </c>
      <c r="E750" s="36" t="s">
        <v>1704</v>
      </c>
      <c r="F750" s="44">
        <v>0.21</v>
      </c>
      <c r="G750" s="60" t="s">
        <v>516</v>
      </c>
      <c r="H750" s="27"/>
      <c r="I750" s="27"/>
      <c r="J750" s="27"/>
      <c r="K750" s="27"/>
      <c r="L750" s="27"/>
      <c r="M750" s="27"/>
      <c r="N750" s="27"/>
      <c r="O750" s="27"/>
      <c r="P750" s="27"/>
      <c r="Q750" s="27"/>
      <c r="R750" s="27"/>
      <c r="S750" s="27"/>
    </row>
  </sheetData>
  <mergeCells count="20">
    <mergeCell ref="A2:B2"/>
    <mergeCell ref="A21:B21"/>
    <mergeCell ref="A80:B80"/>
    <mergeCell ref="A136:B136"/>
    <mergeCell ref="A184:B184"/>
    <mergeCell ref="A237:B237"/>
    <mergeCell ref="A366:B366"/>
    <mergeCell ref="A672:B672"/>
    <mergeCell ref="A689:B689"/>
    <mergeCell ref="A708:B708"/>
    <mergeCell ref="A720:B720"/>
    <mergeCell ref="A732:B732"/>
    <mergeCell ref="A745:B745"/>
    <mergeCell ref="A399:B399"/>
    <mergeCell ref="A554:B554"/>
    <mergeCell ref="A568:B568"/>
    <mergeCell ref="A607:B607"/>
    <mergeCell ref="A631:B631"/>
    <mergeCell ref="A649:B649"/>
    <mergeCell ref="A663:B663"/>
  </mergeCells>
  <conditionalFormatting sqref="D1:S750 C75 C79 C85 C92 C103 C112 C134 C145 C158">
    <cfRule type="containsText" dxfId="0" priority="1" operator="containsText" text="Consultar">
      <formula>NOT(ISERROR(SEARCH(("Consultar"),(D1))))</formula>
    </cfRule>
  </conditionalFormatting>
  <conditionalFormatting sqref="D3:S20 D22:S48 D50:S65 D67:S74 D76:S78 D80:S84 D86:S91 D93:S102 D104:S111 D113:S133 D135:S144 D146:S157 D159:S181 D183:S186 D188:S191 D193:S233 D235:S249 D251:S258 D260:S261 D263:S272 D274:S284 D286:S292 D294:S297 D299:S300 D302:S303 D305:S306 D308:S309 D311:S314 D316:S317 D319:S325 D327:S329 D331:S333 D335:S339 D341:S343 D345:S350 D352:S366 D368:S376 D378:S383 D385:S399 D401:S443 D445:S454 D456:S468 D470:S532 D534:S538 D540:S552 D554:S591 D593:S615 D617:S620 D622:S633 D635:S640 D642:S647 D649:S656 D658:S666 D668:S673 D675:S677 D679:S692 D694:S704 D706:S716 D718:S729 D731:S750">
    <cfRule type="containsText" dxfId="1" priority="2" operator="containsText" text="Mayor a 5">
      <formula>NOT(ISERROR(SEARCH(("Mayor a 5"),(D3))))</formula>
    </cfRule>
  </conditionalFormatting>
  <conditionalFormatting sqref="D3:S20 D22:S48 D50:S65 D67:S74 D76:S78 D80:S84 D86:S91 D93:S102 D104:S111 D113:S133 D135:S144 D146:S157 D159:S181 D183:S186 D188:S191 D193:S233 D235:S249 D251:S258 D260:S261 D263:S272 D274:S284 D286:S292 D294:S297 D299:S300 D302:S303 D305:S306 D308:S309 D311:S314 D316:S317 D319:S325 D327:S329 D331:S333 D335:S339 D341:S343 D345:S350 D352:S366 D368:S376 D378:S383 D385:S399 D401:S443 D445:S454 D456:S468 D470:S532 D534:S538 D540:S552 D554:S591 D593:S615 D617:S620 D622:S633 D635:S640 D642:S647 D649:S656 D658:S666 D668:S673 D675:S677 D679:S692 D694:S704 D706:S716 D718:S729 D731:S750">
    <cfRule type="containsText" dxfId="2" priority="3" operator="containsText" text="Menor a 5">
      <formula>NOT(ISERROR(SEARCH(("Menor a 5"),(D3))))</formula>
    </cfRule>
  </conditionalFormatting>
  <conditionalFormatting sqref="D3:S20 D22:S48 D50:S65 D67:S74 D76:S78 D80:S84 D86:S91 D93:S102 D104:S111 D113:S133 D135:S144 D146:S157 D159:S181 D183:S186 D188:S191 D193:S233 D235:S249 D251:S258 D260:S261 D263:S272 D274:S284 D286:S292 D294:S297 D299:S300 D302:S303 D305:S306 D308:S309 D311:S314 D316:S317 D319:S325 D327:S329 D331:S333 D335:S339 D341:S343 D345:S350 D352:S366 D368:S376 D378:S383 D385:S399 D401:S443 D445:S454 D456:S468 D470:S532 D534:S538 D540:S552 D554:S591 D593:S615 D617:S620 D622:S633 D635:S640 D642:S647 D649:S656 D658:S666 D668:S673 D675:S677 D679:S692 D694:S704 D706:S716 D718:S729 D731:S750">
    <cfRule type="containsText" dxfId="3" priority="4" operator="containsText" text="Sin stock">
      <formula>NOT(ISERROR(SEARCH(("Sin stock"),(D3))))</formula>
    </cfRule>
  </conditionalFormatting>
  <hyperlinks>
    <hyperlink r:id="rId1" ref="B4"/>
    <hyperlink r:id="rId2" ref="B5"/>
    <hyperlink r:id="rId3" ref="B6"/>
    <hyperlink r:id="rId4" ref="B7"/>
    <hyperlink r:id="rId5" ref="B8"/>
    <hyperlink r:id="rId6" ref="B9"/>
    <hyperlink r:id="rId7" ref="B10"/>
    <hyperlink r:id="rId8" ref="B11"/>
    <hyperlink r:id="rId9" ref="B12"/>
    <hyperlink r:id="rId10" ref="B13"/>
    <hyperlink r:id="rId11" ref="B17"/>
    <hyperlink r:id="rId12" ref="B19"/>
    <hyperlink r:id="rId13" ref="B20"/>
    <hyperlink r:id="rId14" ref="B22"/>
    <hyperlink r:id="rId15" ref="B23"/>
    <hyperlink r:id="rId16" ref="B24"/>
    <hyperlink r:id="rId17" ref="B25"/>
    <hyperlink r:id="rId18" ref="B26"/>
    <hyperlink r:id="rId19" ref="B27"/>
    <hyperlink r:id="rId20" ref="B28"/>
    <hyperlink r:id="rId21" ref="B29"/>
    <hyperlink r:id="rId22" ref="B30"/>
    <hyperlink r:id="rId23" ref="B31"/>
    <hyperlink r:id="rId24" ref="B32"/>
    <hyperlink r:id="rId25" ref="B33"/>
    <hyperlink r:id="rId26" ref="B34"/>
    <hyperlink r:id="rId27" ref="B35"/>
    <hyperlink r:id="rId28" ref="B36"/>
    <hyperlink r:id="rId29" ref="B37"/>
    <hyperlink r:id="rId30" ref="B38"/>
    <hyperlink r:id="rId31" ref="B39"/>
    <hyperlink r:id="rId32" ref="B40"/>
    <hyperlink r:id="rId33" ref="B41"/>
    <hyperlink r:id="rId34" ref="B42"/>
    <hyperlink r:id="rId35" ref="B43"/>
    <hyperlink r:id="rId36" ref="B44"/>
    <hyperlink r:id="rId37" ref="B45"/>
    <hyperlink r:id="rId38" ref="B46"/>
    <hyperlink r:id="rId39" ref="B47"/>
    <hyperlink r:id="rId40" ref="B48"/>
    <hyperlink r:id="rId41" ref="B49"/>
    <hyperlink r:id="rId42" ref="B51"/>
    <hyperlink r:id="rId43" ref="B52"/>
    <hyperlink r:id="rId44" ref="B54"/>
    <hyperlink r:id="rId45" ref="B55"/>
    <hyperlink r:id="rId46" ref="B56"/>
    <hyperlink r:id="rId47" ref="B57"/>
    <hyperlink r:id="rId48" ref="B58"/>
    <hyperlink r:id="rId49" ref="B59"/>
    <hyperlink r:id="rId50" ref="B60"/>
    <hyperlink r:id="rId51" ref="B61"/>
    <hyperlink r:id="rId52" ref="B62"/>
    <hyperlink r:id="rId53" ref="B64"/>
    <hyperlink r:id="rId54" ref="B65"/>
    <hyperlink r:id="rId55" ref="B68"/>
    <hyperlink r:id="rId56" ref="B69"/>
    <hyperlink r:id="rId57" ref="B70"/>
    <hyperlink r:id="rId58" ref="B71"/>
    <hyperlink r:id="rId59" ref="B72"/>
    <hyperlink r:id="rId60" ref="B73"/>
    <hyperlink r:id="rId61" ref="B74"/>
    <hyperlink r:id="rId62" ref="B75"/>
    <hyperlink r:id="rId63" ref="B77"/>
    <hyperlink r:id="rId64" ref="B78"/>
    <hyperlink r:id="rId65" ref="B79"/>
    <hyperlink r:id="rId66" ref="B81"/>
    <hyperlink r:id="rId67" ref="B82"/>
    <hyperlink r:id="rId68" ref="B83"/>
    <hyperlink r:id="rId69" ref="B84"/>
    <hyperlink r:id="rId70" ref="B85"/>
    <hyperlink r:id="rId71" ref="B87"/>
    <hyperlink r:id="rId72" ref="B88"/>
    <hyperlink r:id="rId73" ref="B89"/>
    <hyperlink r:id="rId74" ref="B90"/>
    <hyperlink r:id="rId75" ref="B91"/>
    <hyperlink r:id="rId76" ref="B92"/>
    <hyperlink r:id="rId77" ref="B93"/>
    <hyperlink r:id="rId78" ref="B94"/>
    <hyperlink r:id="rId79" ref="B97"/>
    <hyperlink r:id="rId80" ref="B98"/>
    <hyperlink r:id="rId81" ref="B99"/>
    <hyperlink r:id="rId82" ref="B100"/>
    <hyperlink r:id="rId83" ref="B101"/>
    <hyperlink r:id="rId84" ref="B102"/>
    <hyperlink r:id="rId85" ref="B103"/>
    <hyperlink r:id="rId86" ref="B104"/>
    <hyperlink r:id="rId87" ref="B106"/>
    <hyperlink r:id="rId88" ref="B107"/>
    <hyperlink r:id="rId89" ref="B108"/>
    <hyperlink r:id="rId90" ref="B109"/>
    <hyperlink r:id="rId91" ref="B110"/>
    <hyperlink r:id="rId92" ref="B111"/>
    <hyperlink r:id="rId93" ref="B112"/>
    <hyperlink r:id="rId94" ref="B113"/>
    <hyperlink r:id="rId95" ref="B115"/>
    <hyperlink r:id="rId96" ref="B116"/>
    <hyperlink r:id="rId97" ref="B117"/>
    <hyperlink r:id="rId98" ref="B118"/>
    <hyperlink r:id="rId99" ref="B119"/>
    <hyperlink r:id="rId100" ref="B120"/>
    <hyperlink r:id="rId101" ref="B121"/>
    <hyperlink r:id="rId102" ref="B122"/>
    <hyperlink r:id="rId103" ref="B123"/>
    <hyperlink r:id="rId104" ref="B124"/>
    <hyperlink r:id="rId105" ref="B125"/>
    <hyperlink r:id="rId106" ref="B126"/>
    <hyperlink r:id="rId107" ref="B127"/>
    <hyperlink r:id="rId108" ref="B128"/>
    <hyperlink r:id="rId109" ref="B129"/>
    <hyperlink r:id="rId110" ref="B130"/>
    <hyperlink r:id="rId111" ref="B131"/>
    <hyperlink r:id="rId112" ref="B132"/>
    <hyperlink r:id="rId113" ref="B133"/>
    <hyperlink r:id="rId114" ref="B134"/>
    <hyperlink r:id="rId115" ref="B135"/>
    <hyperlink r:id="rId116" ref="B137"/>
    <hyperlink r:id="rId117" ref="B138"/>
    <hyperlink r:id="rId118" ref="B139"/>
    <hyperlink r:id="rId119" ref="B140"/>
    <hyperlink r:id="rId120" ref="B141"/>
    <hyperlink r:id="rId121" ref="B142"/>
    <hyperlink r:id="rId122" ref="B143"/>
    <hyperlink r:id="rId123" ref="B144"/>
    <hyperlink r:id="rId124" ref="B145"/>
    <hyperlink r:id="rId125" ref="B146"/>
    <hyperlink r:id="rId126" ref="B148"/>
    <hyperlink r:id="rId127" ref="B149"/>
    <hyperlink r:id="rId128" ref="B150"/>
    <hyperlink r:id="rId129" ref="B151"/>
    <hyperlink r:id="rId130" ref="B152"/>
    <hyperlink r:id="rId131" ref="B153"/>
    <hyperlink r:id="rId132" ref="B154"/>
    <hyperlink r:id="rId133" ref="B155"/>
    <hyperlink r:id="rId134" ref="B156"/>
    <hyperlink r:id="rId135" ref="B157"/>
    <hyperlink r:id="rId136" ref="B158"/>
    <hyperlink r:id="rId137" ref="B159"/>
    <hyperlink r:id="rId138" ref="B161"/>
    <hyperlink r:id="rId139" ref="B162"/>
    <hyperlink r:id="rId140" ref="B163"/>
    <hyperlink r:id="rId141" ref="B164"/>
    <hyperlink r:id="rId142" ref="B165"/>
    <hyperlink r:id="rId143" ref="B166"/>
    <hyperlink r:id="rId144" ref="B167"/>
    <hyperlink r:id="rId145" ref="B168"/>
    <hyperlink r:id="rId146" ref="B169"/>
    <hyperlink r:id="rId147" ref="B170"/>
    <hyperlink r:id="rId148" ref="B171"/>
    <hyperlink r:id="rId149" ref="B172"/>
    <hyperlink r:id="rId150" ref="B173"/>
    <hyperlink r:id="rId151" ref="B174"/>
    <hyperlink r:id="rId152" ref="B175"/>
    <hyperlink r:id="rId153" ref="B176"/>
    <hyperlink r:id="rId154" ref="B177"/>
    <hyperlink r:id="rId155" ref="B178"/>
    <hyperlink r:id="rId156" ref="B179"/>
    <hyperlink r:id="rId157" ref="B180"/>
    <hyperlink r:id="rId158" ref="B181"/>
    <hyperlink r:id="rId159" ref="B182"/>
    <hyperlink r:id="rId160" ref="B183"/>
    <hyperlink r:id="rId161" ref="B185"/>
    <hyperlink r:id="rId162" ref="B186"/>
    <hyperlink r:id="rId163" ref="B187"/>
    <hyperlink r:id="rId164" ref="B188"/>
    <hyperlink r:id="rId165" ref="B190"/>
    <hyperlink r:id="rId166" ref="B191"/>
    <hyperlink r:id="rId167" ref="B192"/>
    <hyperlink r:id="rId168" ref="B193"/>
    <hyperlink r:id="rId169" ref="B195"/>
    <hyperlink r:id="rId170" ref="B196"/>
    <hyperlink r:id="rId171" ref="B197"/>
    <hyperlink r:id="rId172" ref="B198"/>
    <hyperlink r:id="rId173" ref="B199"/>
    <hyperlink r:id="rId174" ref="B200"/>
    <hyperlink r:id="rId175" ref="B201"/>
    <hyperlink r:id="rId176" ref="B202"/>
    <hyperlink r:id="rId177" ref="B203"/>
    <hyperlink r:id="rId178" ref="B204"/>
    <hyperlink r:id="rId179" ref="B205"/>
    <hyperlink r:id="rId180" ref="B206"/>
    <hyperlink r:id="rId181" ref="B207"/>
    <hyperlink r:id="rId182" ref="B208"/>
    <hyperlink r:id="rId183" ref="B209"/>
    <hyperlink r:id="rId184" ref="B210"/>
    <hyperlink r:id="rId185" ref="B211"/>
    <hyperlink r:id="rId186" ref="B212"/>
    <hyperlink r:id="rId187" ref="B213"/>
    <hyperlink r:id="rId188" ref="B214"/>
    <hyperlink r:id="rId189" ref="B215"/>
    <hyperlink r:id="rId190" ref="B216"/>
    <hyperlink r:id="rId191" ref="B217"/>
    <hyperlink r:id="rId192" ref="B218"/>
    <hyperlink r:id="rId193" ref="B222"/>
    <hyperlink r:id="rId194" ref="B223"/>
    <hyperlink r:id="rId195" ref="B224"/>
    <hyperlink r:id="rId196" ref="B225"/>
    <hyperlink r:id="rId197" ref="B226"/>
    <hyperlink r:id="rId198" ref="B227"/>
    <hyperlink r:id="rId199" ref="B228"/>
    <hyperlink r:id="rId200" ref="B229"/>
    <hyperlink r:id="rId201" ref="B230"/>
    <hyperlink r:id="rId202" ref="B231"/>
    <hyperlink r:id="rId203" ref="B232"/>
    <hyperlink r:id="rId204" ref="B233"/>
    <hyperlink r:id="rId205" ref="B234"/>
    <hyperlink r:id="rId206" ref="B235"/>
    <hyperlink r:id="rId207" ref="B236"/>
    <hyperlink r:id="rId208" ref="B238"/>
    <hyperlink r:id="rId209" ref="B239"/>
    <hyperlink r:id="rId210" ref="B240"/>
    <hyperlink r:id="rId211" ref="B241"/>
    <hyperlink r:id="rId212" ref="B242"/>
    <hyperlink r:id="rId213" ref="B243"/>
    <hyperlink r:id="rId214" ref="B244"/>
    <hyperlink r:id="rId215" ref="B245"/>
    <hyperlink r:id="rId216" ref="B246"/>
    <hyperlink r:id="rId217" ref="B247"/>
    <hyperlink r:id="rId218" ref="B248"/>
    <hyperlink r:id="rId219" ref="B249"/>
    <hyperlink r:id="rId220" ref="B250"/>
    <hyperlink r:id="rId221" ref="B251"/>
    <hyperlink r:id="rId222" ref="B253"/>
    <hyperlink r:id="rId223" ref="B254"/>
    <hyperlink r:id="rId224" ref="B255"/>
    <hyperlink r:id="rId225" ref="B256"/>
    <hyperlink r:id="rId226" ref="B257"/>
    <hyperlink r:id="rId227" ref="B258"/>
    <hyperlink r:id="rId228" ref="B259"/>
    <hyperlink r:id="rId229" ref="B260"/>
    <hyperlink r:id="rId230" ref="B262"/>
    <hyperlink r:id="rId231" ref="B263"/>
    <hyperlink r:id="rId232" ref="B265"/>
    <hyperlink r:id="rId233" ref="B266"/>
    <hyperlink r:id="rId234" ref="B267"/>
    <hyperlink r:id="rId235" ref="B268"/>
    <hyperlink r:id="rId236" ref="B269"/>
    <hyperlink r:id="rId237" ref="B270"/>
    <hyperlink r:id="rId238" ref="B271"/>
    <hyperlink r:id="rId239" ref="B272"/>
    <hyperlink r:id="rId240" ref="B273"/>
    <hyperlink r:id="rId241" ref="B274"/>
    <hyperlink r:id="rId242" ref="B276"/>
    <hyperlink r:id="rId243" ref="B277"/>
    <hyperlink r:id="rId244" ref="B278"/>
    <hyperlink r:id="rId245" ref="B279"/>
    <hyperlink r:id="rId246" ref="B280"/>
    <hyperlink r:id="rId247" ref="B281"/>
    <hyperlink r:id="rId248" ref="B282"/>
    <hyperlink r:id="rId249" ref="B283"/>
    <hyperlink r:id="rId250" ref="B284"/>
    <hyperlink r:id="rId251" ref="B285"/>
    <hyperlink r:id="rId252" ref="B286"/>
    <hyperlink r:id="rId253" ref="B288"/>
    <hyperlink r:id="rId254" ref="B289"/>
    <hyperlink r:id="rId255" ref="B290"/>
    <hyperlink r:id="rId256" ref="B291"/>
    <hyperlink r:id="rId257" ref="B292"/>
    <hyperlink r:id="rId258" ref="B293"/>
    <hyperlink r:id="rId259" ref="B294"/>
    <hyperlink r:id="rId260" ref="B296"/>
    <hyperlink r:id="rId261" ref="B297"/>
    <hyperlink r:id="rId262" ref="B301"/>
    <hyperlink r:id="rId263" ref="B302"/>
    <hyperlink r:id="rId264" ref="B304"/>
    <hyperlink r:id="rId265" ref="B305"/>
    <hyperlink r:id="rId266" ref="B307"/>
    <hyperlink r:id="rId267" ref="B308"/>
    <hyperlink r:id="rId268" ref="B310"/>
    <hyperlink r:id="rId269" ref="B311"/>
    <hyperlink r:id="rId270" ref="B312"/>
    <hyperlink r:id="rId271" ref="B314"/>
    <hyperlink r:id="rId272" ref="B315"/>
    <hyperlink r:id="rId273" ref="B316"/>
    <hyperlink r:id="rId274" ref="B333"/>
    <hyperlink r:id="rId275" ref="B334"/>
    <hyperlink r:id="rId276" ref="B335"/>
    <hyperlink r:id="rId277" ref="B337"/>
    <hyperlink r:id="rId278" ref="B338"/>
    <hyperlink r:id="rId279" ref="B339"/>
    <hyperlink r:id="rId280" ref="B340"/>
    <hyperlink r:id="rId281" ref="B341"/>
    <hyperlink r:id="rId282" ref="B343"/>
    <hyperlink r:id="rId283" ref="B344"/>
    <hyperlink r:id="rId284" ref="B345"/>
    <hyperlink r:id="rId285" ref="B347"/>
    <hyperlink r:id="rId286" ref="B348"/>
    <hyperlink r:id="rId287" ref="B350"/>
    <hyperlink r:id="rId288" ref="B351"/>
    <hyperlink r:id="rId289" ref="B352"/>
    <hyperlink r:id="rId290" ref="B353"/>
    <hyperlink r:id="rId291" ref="B354"/>
    <hyperlink r:id="rId292" ref="B356"/>
    <hyperlink r:id="rId293" ref="B357"/>
    <hyperlink r:id="rId294" ref="B358"/>
    <hyperlink r:id="rId295" ref="B360"/>
    <hyperlink r:id="rId296" ref="B361"/>
    <hyperlink r:id="rId297" ref="B362"/>
    <hyperlink r:id="rId298" ref="B363"/>
    <hyperlink r:id="rId299" ref="B364"/>
    <hyperlink r:id="rId300" ref="B365"/>
    <hyperlink r:id="rId301" ref="B367"/>
    <hyperlink r:id="rId302" ref="B368"/>
    <hyperlink r:id="rId303" ref="B369"/>
    <hyperlink r:id="rId304" ref="B370"/>
    <hyperlink r:id="rId305" ref="B371"/>
    <hyperlink r:id="rId306" ref="B372"/>
    <hyperlink r:id="rId307" ref="B373"/>
    <hyperlink r:id="rId308" ref="B374"/>
    <hyperlink r:id="rId309" ref="B375"/>
    <hyperlink r:id="rId310" ref="B376"/>
    <hyperlink r:id="rId311" ref="B377"/>
    <hyperlink r:id="rId312" ref="B378"/>
    <hyperlink r:id="rId313" ref="B379"/>
    <hyperlink r:id="rId314" ref="B380"/>
    <hyperlink r:id="rId315" ref="B381"/>
    <hyperlink r:id="rId316" ref="B383"/>
    <hyperlink r:id="rId317" ref="B384"/>
    <hyperlink r:id="rId318" ref="B385"/>
    <hyperlink r:id="rId319" ref="B386"/>
    <hyperlink r:id="rId320" ref="B387"/>
    <hyperlink r:id="rId321" ref="B388"/>
    <hyperlink r:id="rId322" ref="B389"/>
    <hyperlink r:id="rId323" ref="B390"/>
    <hyperlink r:id="rId324" ref="B391"/>
    <hyperlink r:id="rId325" ref="B393"/>
    <hyperlink r:id="rId326" ref="B394"/>
    <hyperlink r:id="rId327" ref="B395"/>
    <hyperlink r:id="rId328" ref="B396"/>
    <hyperlink r:id="rId329" ref="B397"/>
    <hyperlink r:id="rId330" ref="B398"/>
    <hyperlink r:id="rId331" ref="B400"/>
    <hyperlink r:id="rId332" ref="B401"/>
    <hyperlink r:id="rId333" ref="B402"/>
    <hyperlink r:id="rId334" ref="B403"/>
    <hyperlink r:id="rId335" ref="B404"/>
    <hyperlink r:id="rId336" ref="B405"/>
    <hyperlink r:id="rId337" ref="B406"/>
    <hyperlink r:id="rId338" ref="B407"/>
    <hyperlink r:id="rId339" ref="B408"/>
    <hyperlink r:id="rId340" ref="B409"/>
    <hyperlink r:id="rId341" ref="B410"/>
    <hyperlink r:id="rId342" ref="B411"/>
    <hyperlink r:id="rId343" ref="B412"/>
    <hyperlink r:id="rId344" ref="B413"/>
    <hyperlink r:id="rId345" ref="B414"/>
    <hyperlink r:id="rId346" ref="B416"/>
    <hyperlink r:id="rId347" ref="B417"/>
    <hyperlink r:id="rId348" ref="B418"/>
    <hyperlink r:id="rId349" ref="B419"/>
    <hyperlink r:id="rId350" ref="B420"/>
    <hyperlink r:id="rId351" ref="B421"/>
    <hyperlink r:id="rId352" ref="B422"/>
    <hyperlink r:id="rId353" ref="B423"/>
    <hyperlink r:id="rId354" ref="B424"/>
    <hyperlink r:id="rId355" ref="B425"/>
    <hyperlink r:id="rId356" ref="B426"/>
    <hyperlink r:id="rId357" ref="B427"/>
    <hyperlink r:id="rId358" ref="B428"/>
    <hyperlink r:id="rId359" ref="B429"/>
    <hyperlink r:id="rId360" ref="B430"/>
    <hyperlink r:id="rId361" ref="B431"/>
    <hyperlink r:id="rId362" ref="B432"/>
    <hyperlink r:id="rId363" ref="B433"/>
    <hyperlink r:id="rId364" ref="B434"/>
    <hyperlink r:id="rId365" ref="B435"/>
    <hyperlink r:id="rId366" ref="B436"/>
    <hyperlink r:id="rId367" ref="B437"/>
    <hyperlink r:id="rId368" ref="B438"/>
    <hyperlink r:id="rId369" ref="B439"/>
    <hyperlink r:id="rId370" ref="B440"/>
    <hyperlink r:id="rId371" ref="B441"/>
    <hyperlink r:id="rId372" ref="B442"/>
    <hyperlink r:id="rId373" ref="B443"/>
    <hyperlink r:id="rId374" ref="B444"/>
    <hyperlink r:id="rId375" ref="B445"/>
    <hyperlink r:id="rId376" ref="B446"/>
    <hyperlink r:id="rId377" ref="B447"/>
    <hyperlink r:id="rId378" ref="B448"/>
    <hyperlink r:id="rId379" ref="B449"/>
    <hyperlink r:id="rId380" ref="B450"/>
    <hyperlink r:id="rId381" ref="B451"/>
    <hyperlink r:id="rId382" ref="B452"/>
    <hyperlink r:id="rId383" ref="B453"/>
    <hyperlink r:id="rId384" ref="B454"/>
    <hyperlink r:id="rId385" ref="B455"/>
    <hyperlink r:id="rId386" ref="B456"/>
    <hyperlink r:id="rId387" ref="B458"/>
    <hyperlink r:id="rId388" ref="B460"/>
    <hyperlink r:id="rId389" ref="B461"/>
    <hyperlink r:id="rId390" ref="B462"/>
    <hyperlink r:id="rId391" ref="B463"/>
    <hyperlink r:id="rId392" ref="B464"/>
    <hyperlink r:id="rId393" ref="B465"/>
    <hyperlink r:id="rId394" ref="B466"/>
    <hyperlink r:id="rId395" ref="B467"/>
    <hyperlink r:id="rId396" ref="B468"/>
    <hyperlink r:id="rId397" ref="B469"/>
    <hyperlink r:id="rId398" ref="B471"/>
    <hyperlink r:id="rId399" ref="B472"/>
    <hyperlink r:id="rId400" ref="B473"/>
    <hyperlink r:id="rId401" ref="B474"/>
    <hyperlink r:id="rId402" ref="B475"/>
    <hyperlink r:id="rId403" ref="B476"/>
    <hyperlink r:id="rId404" ref="B477"/>
    <hyperlink r:id="rId405" ref="B478"/>
    <hyperlink r:id="rId406" ref="B479"/>
    <hyperlink r:id="rId407" ref="B480"/>
    <hyperlink r:id="rId408" ref="B481"/>
    <hyperlink r:id="rId409" ref="B482"/>
    <hyperlink r:id="rId410" ref="B483"/>
    <hyperlink r:id="rId411" ref="B485"/>
    <hyperlink r:id="rId412" ref="B486"/>
    <hyperlink r:id="rId413" ref="B487"/>
    <hyperlink r:id="rId414" ref="B488"/>
    <hyperlink r:id="rId415" ref="B489"/>
    <hyperlink r:id="rId416" ref="B490"/>
    <hyperlink r:id="rId417" ref="B491"/>
    <hyperlink r:id="rId418" ref="B492"/>
    <hyperlink r:id="rId419" ref="B493"/>
    <hyperlink r:id="rId420" ref="B494"/>
    <hyperlink r:id="rId421" ref="B495"/>
    <hyperlink r:id="rId422" ref="B496"/>
    <hyperlink r:id="rId423" ref="B497"/>
    <hyperlink r:id="rId424" ref="B498"/>
    <hyperlink r:id="rId425" ref="B499"/>
    <hyperlink r:id="rId426" ref="B500"/>
    <hyperlink r:id="rId427" ref="B501"/>
    <hyperlink r:id="rId428" ref="B502"/>
    <hyperlink r:id="rId429" ref="B503"/>
    <hyperlink r:id="rId430" ref="B504"/>
    <hyperlink r:id="rId431" ref="B505"/>
    <hyperlink r:id="rId432" ref="B506"/>
    <hyperlink r:id="rId433" ref="B507"/>
    <hyperlink r:id="rId434" ref="B508"/>
    <hyperlink r:id="rId435" ref="B509"/>
    <hyperlink r:id="rId436" ref="B510"/>
    <hyperlink r:id="rId437" ref="B511"/>
    <hyperlink r:id="rId438" ref="B542"/>
    <hyperlink r:id="rId439" ref="B543"/>
    <hyperlink r:id="rId440" ref="B544"/>
    <hyperlink r:id="rId441" ref="B545"/>
    <hyperlink r:id="rId442" ref="B546"/>
    <hyperlink r:id="rId443" ref="B547"/>
    <hyperlink r:id="rId444" ref="B549"/>
    <hyperlink r:id="rId445" ref="B550"/>
    <hyperlink r:id="rId446" ref="B551"/>
    <hyperlink r:id="rId447" ref="B552"/>
    <hyperlink r:id="rId448" ref="B553"/>
    <hyperlink r:id="rId449" ref="B555"/>
    <hyperlink r:id="rId450" ref="B556"/>
    <hyperlink r:id="rId451" ref="B557"/>
    <hyperlink r:id="rId452" ref="B558"/>
    <hyperlink r:id="rId453" ref="B559"/>
    <hyperlink r:id="rId454" ref="B560"/>
    <hyperlink r:id="rId455" ref="B561"/>
    <hyperlink r:id="rId456" ref="B562"/>
    <hyperlink r:id="rId457" ref="B563"/>
    <hyperlink r:id="rId458" ref="B564"/>
    <hyperlink r:id="rId459" ref="B565"/>
    <hyperlink r:id="rId460" ref="B566"/>
    <hyperlink r:id="rId461" ref="B567"/>
    <hyperlink r:id="rId462" ref="B569"/>
    <hyperlink r:id="rId463" ref="B570"/>
    <hyperlink r:id="rId464" ref="B571"/>
    <hyperlink r:id="rId465" ref="B572"/>
    <hyperlink r:id="rId466" ref="B573"/>
    <hyperlink r:id="rId467" ref="B574"/>
    <hyperlink r:id="rId468" ref="B575"/>
    <hyperlink r:id="rId469" ref="B576"/>
    <hyperlink r:id="rId470" ref="B577"/>
    <hyperlink r:id="rId471" ref="B578"/>
    <hyperlink r:id="rId472" ref="B579"/>
    <hyperlink r:id="rId473" ref="B580"/>
    <hyperlink r:id="rId474" ref="B581"/>
    <hyperlink r:id="rId475" ref="B582"/>
    <hyperlink r:id="rId476" ref="B583"/>
    <hyperlink r:id="rId477" ref="B584"/>
    <hyperlink r:id="rId478" ref="B585"/>
    <hyperlink r:id="rId479" ref="B586"/>
    <hyperlink r:id="rId480" ref="B587"/>
    <hyperlink r:id="rId481" ref="B588"/>
    <hyperlink r:id="rId482" ref="B589"/>
    <hyperlink r:id="rId483" ref="B590"/>
    <hyperlink r:id="rId484" ref="B591"/>
    <hyperlink r:id="rId485" ref="B592"/>
    <hyperlink r:id="rId486" ref="B593"/>
    <hyperlink r:id="rId487" ref="B594"/>
    <hyperlink r:id="rId488" ref="B595"/>
    <hyperlink r:id="rId489" ref="B596"/>
    <hyperlink r:id="rId490" ref="B597"/>
    <hyperlink r:id="rId491" ref="B598"/>
    <hyperlink r:id="rId492" ref="B599"/>
    <hyperlink r:id="rId493" ref="B600"/>
    <hyperlink r:id="rId494" ref="B601"/>
    <hyperlink r:id="rId495" ref="B602"/>
    <hyperlink r:id="rId496" ref="B603"/>
    <hyperlink r:id="rId497" ref="B604"/>
    <hyperlink r:id="rId498" ref="B605"/>
    <hyperlink r:id="rId499" ref="B606"/>
    <hyperlink r:id="rId500" ref="B608"/>
    <hyperlink r:id="rId501" ref="B609"/>
    <hyperlink r:id="rId502" ref="B610"/>
    <hyperlink r:id="rId503" ref="B611"/>
    <hyperlink r:id="rId504" ref="B612"/>
    <hyperlink r:id="rId505" ref="B613"/>
    <hyperlink r:id="rId506" ref="B614"/>
    <hyperlink r:id="rId507" ref="B615"/>
    <hyperlink r:id="rId508" ref="B616"/>
    <hyperlink r:id="rId509" ref="B617"/>
    <hyperlink r:id="rId510" ref="B618"/>
    <hyperlink r:id="rId511" ref="B619"/>
    <hyperlink r:id="rId512" ref="B620"/>
    <hyperlink r:id="rId513" ref="B621"/>
    <hyperlink r:id="rId514" ref="B622"/>
    <hyperlink r:id="rId515" ref="B623"/>
    <hyperlink r:id="rId516" ref="B624"/>
    <hyperlink r:id="rId517" ref="B625"/>
    <hyperlink r:id="rId518" ref="B626"/>
    <hyperlink r:id="rId519" ref="B627"/>
    <hyperlink r:id="rId520" ref="B628"/>
    <hyperlink r:id="rId521" ref="B629"/>
    <hyperlink r:id="rId522" ref="B630"/>
    <hyperlink r:id="rId523" ref="B632"/>
    <hyperlink r:id="rId524" ref="B633"/>
    <hyperlink r:id="rId525" ref="B634"/>
    <hyperlink r:id="rId526" ref="B635"/>
    <hyperlink r:id="rId527" ref="B637"/>
    <hyperlink r:id="rId528" ref="B638"/>
    <hyperlink r:id="rId529" ref="B639"/>
    <hyperlink r:id="rId530" ref="B640"/>
    <hyperlink r:id="rId531" ref="B641"/>
    <hyperlink r:id="rId532" ref="B642"/>
    <hyperlink r:id="rId533" ref="B643"/>
    <hyperlink r:id="rId534" ref="B644"/>
    <hyperlink r:id="rId535" ref="B645"/>
    <hyperlink r:id="rId536" ref="B646"/>
    <hyperlink r:id="rId537" ref="B647"/>
    <hyperlink r:id="rId538" ref="B648"/>
    <hyperlink r:id="rId539" ref="B650"/>
    <hyperlink r:id="rId540" ref="B651"/>
    <hyperlink r:id="rId541" ref="B652"/>
    <hyperlink r:id="rId542" ref="B653"/>
    <hyperlink r:id="rId543" ref="B654"/>
    <hyperlink r:id="rId544" ref="B655"/>
    <hyperlink r:id="rId545" ref="B657"/>
    <hyperlink r:id="rId546" ref="B658"/>
    <hyperlink r:id="rId547" ref="B659"/>
    <hyperlink r:id="rId548" ref="B660"/>
    <hyperlink r:id="rId549" ref="B661"/>
    <hyperlink r:id="rId550" ref="B662"/>
    <hyperlink r:id="rId551" ref="B664"/>
    <hyperlink r:id="rId552" ref="B665"/>
    <hyperlink r:id="rId553" ref="B666"/>
    <hyperlink r:id="rId554" ref="B667"/>
    <hyperlink r:id="rId555" ref="B668"/>
    <hyperlink r:id="rId556" ref="B669"/>
    <hyperlink r:id="rId557" ref="B670"/>
    <hyperlink r:id="rId558" ref="B673"/>
    <hyperlink r:id="rId559" ref="B674"/>
    <hyperlink r:id="rId560" ref="B677"/>
    <hyperlink r:id="rId561" ref="B678"/>
    <hyperlink r:id="rId562" ref="B679"/>
    <hyperlink r:id="rId563" ref="B681"/>
    <hyperlink r:id="rId564" ref="B683"/>
    <hyperlink r:id="rId565" ref="B684"/>
    <hyperlink r:id="rId566" ref="B685"/>
    <hyperlink r:id="rId567" ref="B686"/>
    <hyperlink r:id="rId568" ref="B687"/>
    <hyperlink r:id="rId569" ref="B688"/>
    <hyperlink r:id="rId570" ref="B690"/>
    <hyperlink r:id="rId571" ref="B691"/>
    <hyperlink r:id="rId572" ref="B692"/>
    <hyperlink r:id="rId573" ref="B694"/>
    <hyperlink r:id="rId574" ref="B695"/>
    <hyperlink r:id="rId575" ref="B696"/>
    <hyperlink r:id="rId576" ref="B697"/>
    <hyperlink r:id="rId577" ref="B698"/>
    <hyperlink r:id="rId578" ref="B699"/>
    <hyperlink r:id="rId579" ref="B700"/>
    <hyperlink r:id="rId580" ref="B701"/>
    <hyperlink r:id="rId581" ref="B702"/>
    <hyperlink r:id="rId582" ref="B703"/>
    <hyperlink r:id="rId583" ref="B704"/>
    <hyperlink r:id="rId584" ref="B705"/>
    <hyperlink r:id="rId585" ref="B706"/>
    <hyperlink r:id="rId586" ref="B707"/>
    <hyperlink r:id="rId587" ref="B709"/>
    <hyperlink r:id="rId588" ref="B710"/>
    <hyperlink r:id="rId589" ref="B711"/>
    <hyperlink r:id="rId590" ref="B712"/>
    <hyperlink r:id="rId591" ref="B713"/>
    <hyperlink r:id="rId592" ref="B714"/>
    <hyperlink r:id="rId593" ref="B715"/>
    <hyperlink r:id="rId594" ref="B716"/>
    <hyperlink r:id="rId595" ref="B717"/>
    <hyperlink r:id="rId596" ref="B718"/>
    <hyperlink r:id="rId597" ref="B719"/>
    <hyperlink r:id="rId598" ref="B721"/>
    <hyperlink r:id="rId599" ref="B722"/>
    <hyperlink r:id="rId600" ref="B723"/>
    <hyperlink r:id="rId601" ref="B724"/>
    <hyperlink r:id="rId602" ref="B725"/>
    <hyperlink r:id="rId603" ref="B726"/>
    <hyperlink r:id="rId604" ref="B727"/>
    <hyperlink r:id="rId605" ref="B728"/>
    <hyperlink r:id="rId606" ref="B729"/>
    <hyperlink r:id="rId607" ref="B730"/>
    <hyperlink r:id="rId608" ref="B731"/>
    <hyperlink r:id="rId609" ref="B733"/>
    <hyperlink r:id="rId610" ref="B734"/>
    <hyperlink r:id="rId611" ref="B735"/>
    <hyperlink r:id="rId612" ref="B736"/>
    <hyperlink r:id="rId613" ref="B737"/>
    <hyperlink r:id="rId614" ref="B738"/>
    <hyperlink r:id="rId615" ref="B739"/>
    <hyperlink r:id="rId616" ref="B740"/>
    <hyperlink r:id="rId617" ref="B741"/>
    <hyperlink r:id="rId618" ref="B742"/>
    <hyperlink r:id="rId619" ref="B743"/>
    <hyperlink r:id="rId620" ref="B744"/>
    <hyperlink r:id="rId621" ref="B746"/>
    <hyperlink r:id="rId622" ref="B747"/>
    <hyperlink r:id="rId623" ref="B748"/>
    <hyperlink r:id="rId624" ref="B749"/>
    <hyperlink r:id="rId625" ref="B750"/>
  </hyperlinks>
  <printOptions/>
  <pageMargins bottom="0.75" footer="0.0" header="0.0" left="0.7" right="0.7" top="0.75"/>
  <pageSetup orientation="landscape"/>
  <drawing r:id="rId626"/>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pageSetUpPr/>
  </sheetPr>
  <sheetViews>
    <sheetView workbookViewId="0"/>
  </sheetViews>
  <sheetFormatPr customHeight="1" defaultColWidth="12.63" defaultRowHeight="15.0"/>
  <cols>
    <col customWidth="1" min="1" max="1" width="13.25"/>
    <col customWidth="1" min="2" max="2" width="21.5"/>
    <col customWidth="1" min="3" max="3" width="74.0"/>
    <col customWidth="1" min="4" max="4" width="15.0"/>
    <col customWidth="1" min="5" max="5" width="13.88"/>
    <col customWidth="1" min="6" max="26" width="9.25"/>
  </cols>
  <sheetData>
    <row r="1" ht="15.75" customHeight="1">
      <c r="A1" s="8" t="s">
        <v>23</v>
      </c>
      <c r="B1" s="8" t="s">
        <v>24</v>
      </c>
      <c r="C1" s="8" t="s">
        <v>25</v>
      </c>
      <c r="D1" s="26" t="s">
        <v>26</v>
      </c>
      <c r="E1" s="26" t="s">
        <v>27</v>
      </c>
      <c r="F1" s="8" t="s">
        <v>28</v>
      </c>
      <c r="G1" s="8" t="s">
        <v>29</v>
      </c>
      <c r="H1" s="312"/>
      <c r="I1" s="312"/>
      <c r="J1" s="312"/>
      <c r="K1" s="312"/>
      <c r="L1" s="312"/>
      <c r="M1" s="312"/>
      <c r="N1" s="312"/>
      <c r="O1" s="312"/>
      <c r="P1" s="312"/>
      <c r="Q1" s="312"/>
      <c r="R1" s="312"/>
      <c r="S1" s="312"/>
      <c r="T1" s="312"/>
      <c r="U1" s="312"/>
      <c r="V1" s="312"/>
      <c r="W1" s="312"/>
      <c r="X1" s="312"/>
      <c r="Y1" s="312"/>
      <c r="Z1" s="312"/>
    </row>
    <row r="2" ht="15.75" customHeight="1">
      <c r="A2" s="313" t="s">
        <v>6829</v>
      </c>
      <c r="B2" s="314"/>
      <c r="C2" s="314"/>
      <c r="D2" s="90"/>
      <c r="E2" s="90"/>
      <c r="F2" s="314"/>
      <c r="G2" s="314"/>
      <c r="H2" s="27"/>
      <c r="I2" s="27"/>
      <c r="J2" s="27"/>
      <c r="K2" s="315"/>
      <c r="L2" s="27"/>
      <c r="M2" s="27"/>
      <c r="N2" s="27"/>
      <c r="O2" s="27"/>
      <c r="P2" s="27"/>
      <c r="Q2" s="27"/>
      <c r="R2" s="27"/>
      <c r="S2" s="27"/>
      <c r="T2" s="27"/>
      <c r="U2" s="27"/>
      <c r="V2" s="27"/>
      <c r="W2" s="27"/>
      <c r="X2" s="27"/>
      <c r="Y2" s="27"/>
      <c r="Z2" s="27"/>
    </row>
    <row r="3" ht="15.75" customHeight="1">
      <c r="A3" s="316" t="s">
        <v>6830</v>
      </c>
      <c r="B3" s="317"/>
      <c r="C3" s="317"/>
      <c r="D3" s="31"/>
      <c r="E3" s="31"/>
      <c r="F3" s="318"/>
      <c r="G3" s="319"/>
      <c r="H3" s="27"/>
      <c r="I3" s="27"/>
      <c r="J3" s="27"/>
      <c r="K3" s="315"/>
      <c r="L3" s="27"/>
      <c r="M3" s="27"/>
      <c r="N3" s="27"/>
      <c r="O3" s="27"/>
      <c r="P3" s="27"/>
      <c r="Q3" s="27"/>
      <c r="R3" s="27"/>
      <c r="S3" s="27"/>
      <c r="T3" s="27"/>
      <c r="U3" s="27"/>
      <c r="V3" s="27"/>
      <c r="W3" s="27"/>
      <c r="X3" s="27"/>
      <c r="Y3" s="27"/>
      <c r="Z3" s="27"/>
    </row>
    <row r="4" ht="15.75" customHeight="1">
      <c r="A4" s="158" t="s">
        <v>6831</v>
      </c>
      <c r="B4" s="166" t="s">
        <v>6832</v>
      </c>
      <c r="C4" s="320" t="s">
        <v>6833</v>
      </c>
      <c r="D4" s="96" t="s">
        <v>6834</v>
      </c>
      <c r="E4" s="96" t="s">
        <v>6835</v>
      </c>
      <c r="F4" s="142">
        <v>0.21</v>
      </c>
      <c r="G4" s="321" t="str">
        <f>IFERROR(VLOOKUP("K1",STOCK!$B$1:$Q$5632,3,FALSE),"SIN STOCK")</f>
        <v>Menor a 5</v>
      </c>
      <c r="H4" s="27"/>
      <c r="I4" s="27"/>
      <c r="J4" s="27"/>
      <c r="K4" s="315"/>
      <c r="L4" s="27"/>
      <c r="M4" s="27"/>
      <c r="N4" s="27"/>
      <c r="O4" s="27"/>
      <c r="P4" s="27"/>
      <c r="Q4" s="27"/>
      <c r="R4" s="27"/>
      <c r="S4" s="27"/>
      <c r="T4" s="27"/>
      <c r="U4" s="27"/>
      <c r="V4" s="27"/>
      <c r="W4" s="27"/>
      <c r="X4" s="27"/>
      <c r="Y4" s="27"/>
      <c r="Z4" s="27"/>
    </row>
    <row r="5" ht="15.75" customHeight="1">
      <c r="A5" s="322" t="s">
        <v>6836</v>
      </c>
      <c r="B5" s="323"/>
      <c r="C5" s="323"/>
      <c r="D5" s="317"/>
      <c r="E5" s="317"/>
      <c r="F5" s="323"/>
      <c r="G5" s="324"/>
      <c r="H5" s="27"/>
      <c r="I5" s="27"/>
      <c r="J5" s="27"/>
      <c r="K5" s="315"/>
      <c r="L5" s="27"/>
      <c r="M5" s="27"/>
      <c r="N5" s="27"/>
      <c r="O5" s="27"/>
      <c r="P5" s="27"/>
      <c r="Q5" s="27"/>
      <c r="R5" s="27"/>
      <c r="S5" s="27"/>
      <c r="T5" s="27"/>
      <c r="U5" s="27"/>
      <c r="V5" s="27"/>
      <c r="W5" s="27"/>
      <c r="X5" s="27"/>
      <c r="Y5" s="27"/>
      <c r="Z5" s="27"/>
    </row>
    <row r="6" ht="15.75" customHeight="1">
      <c r="A6" s="40" t="s">
        <v>6831</v>
      </c>
      <c r="B6" s="52" t="s">
        <v>6837</v>
      </c>
      <c r="C6" s="42" t="s">
        <v>6838</v>
      </c>
      <c r="D6" s="96" t="s">
        <v>6839</v>
      </c>
      <c r="E6" s="96" t="s">
        <v>6840</v>
      </c>
      <c r="F6" s="44">
        <v>0.21</v>
      </c>
      <c r="G6" s="321" t="str">
        <f>IFERROR(VLOOKUP("KAMUT2L1",STOCK!$B$1:$Q$5632,3,FALSE),"SIN STOCK")</f>
        <v>Menor a 5</v>
      </c>
      <c r="H6" s="325"/>
      <c r="I6" s="325"/>
      <c r="J6" s="325"/>
      <c r="K6" s="326"/>
      <c r="L6" s="325"/>
      <c r="M6" s="325"/>
      <c r="N6" s="325"/>
      <c r="O6" s="325"/>
      <c r="P6" s="325"/>
      <c r="Q6" s="325"/>
      <c r="R6" s="325"/>
      <c r="S6" s="325"/>
      <c r="T6" s="325"/>
      <c r="U6" s="325"/>
      <c r="V6" s="325"/>
      <c r="W6" s="325"/>
      <c r="X6" s="325"/>
      <c r="Y6" s="325"/>
      <c r="Z6" s="325"/>
    </row>
    <row r="7" ht="15.75" customHeight="1">
      <c r="A7" s="33" t="s">
        <v>6831</v>
      </c>
      <c r="B7" s="45" t="s">
        <v>6841</v>
      </c>
      <c r="C7" s="34" t="s">
        <v>6842</v>
      </c>
      <c r="D7" s="101" t="s">
        <v>6843</v>
      </c>
      <c r="E7" s="101" t="s">
        <v>6844</v>
      </c>
      <c r="F7" s="37">
        <v>0.21</v>
      </c>
      <c r="G7" s="321" t="str">
        <f>IFERROR(VLOOKUP("KAMUT2L14",STOCK!$B$1:$Q$5632,3,FALSE),"SIN STOCK")</f>
        <v>Menor a 5</v>
      </c>
      <c r="H7" s="325"/>
      <c r="I7" s="325"/>
      <c r="J7" s="325"/>
      <c r="K7" s="326"/>
      <c r="L7" s="325"/>
      <c r="M7" s="325"/>
      <c r="N7" s="325"/>
      <c r="O7" s="325"/>
      <c r="P7" s="325"/>
      <c r="Q7" s="325"/>
      <c r="R7" s="325"/>
      <c r="S7" s="325"/>
      <c r="T7" s="325"/>
      <c r="U7" s="325"/>
      <c r="V7" s="325"/>
      <c r="W7" s="325"/>
      <c r="X7" s="325"/>
      <c r="Y7" s="325"/>
      <c r="Z7" s="325"/>
    </row>
    <row r="8" ht="15.75" customHeight="1">
      <c r="A8" s="40" t="s">
        <v>6831</v>
      </c>
      <c r="B8" s="41" t="s">
        <v>6845</v>
      </c>
      <c r="C8" s="42" t="s">
        <v>6846</v>
      </c>
      <c r="D8" s="96" t="s">
        <v>6847</v>
      </c>
      <c r="E8" s="96" t="s">
        <v>6848</v>
      </c>
      <c r="F8" s="44">
        <v>0.21</v>
      </c>
      <c r="G8" s="321" t="str">
        <f>IFERROR(VLOOKUP("KAMUT2V25",STOCK!$B$1:$Q$5632,3,FALSE),"SIN STOCK")</f>
        <v>Menor a 5</v>
      </c>
      <c r="H8" s="27"/>
      <c r="I8" s="27"/>
      <c r="J8" s="27"/>
      <c r="K8" s="315"/>
      <c r="L8" s="27"/>
      <c r="M8" s="27"/>
      <c r="N8" s="27"/>
      <c r="O8" s="27"/>
      <c r="P8" s="27"/>
      <c r="Q8" s="27"/>
      <c r="R8" s="27"/>
      <c r="S8" s="27"/>
      <c r="T8" s="27"/>
      <c r="U8" s="27"/>
      <c r="V8" s="27"/>
      <c r="W8" s="27"/>
      <c r="X8" s="27"/>
      <c r="Y8" s="27"/>
      <c r="Z8" s="27"/>
    </row>
    <row r="9" ht="15.75" customHeight="1">
      <c r="A9" s="33" t="s">
        <v>6831</v>
      </c>
      <c r="B9" s="45" t="s">
        <v>6849</v>
      </c>
      <c r="C9" s="34" t="s">
        <v>6850</v>
      </c>
      <c r="D9" s="101" t="s">
        <v>6851</v>
      </c>
      <c r="E9" s="101" t="s">
        <v>6852</v>
      </c>
      <c r="F9" s="37">
        <v>0.21</v>
      </c>
      <c r="G9" s="321" t="str">
        <f>IFERROR(VLOOKUP("KAMUT2V25 II",STOCK!$B$1:$Q$5632,3,FALSE),"SIN STOCK")</f>
        <v>Menor a 5</v>
      </c>
      <c r="H9" s="325"/>
      <c r="I9" s="325"/>
      <c r="J9" s="325"/>
      <c r="K9" s="326"/>
      <c r="L9" s="325"/>
      <c r="M9" s="325"/>
      <c r="N9" s="325"/>
      <c r="O9" s="325"/>
      <c r="P9" s="325"/>
      <c r="Q9" s="325"/>
      <c r="R9" s="325"/>
      <c r="S9" s="325"/>
      <c r="T9" s="325"/>
      <c r="U9" s="325"/>
      <c r="V9" s="325"/>
      <c r="W9" s="325"/>
      <c r="X9" s="325"/>
      <c r="Y9" s="325"/>
      <c r="Z9" s="325"/>
    </row>
    <row r="10" ht="15.75" customHeight="1">
      <c r="A10" s="28" t="s">
        <v>6853</v>
      </c>
      <c r="B10" s="29"/>
      <c r="C10" s="29"/>
      <c r="D10" s="31"/>
      <c r="E10" s="31"/>
      <c r="F10" s="29"/>
      <c r="G10" s="29"/>
      <c r="H10" s="27"/>
      <c r="I10" s="27"/>
      <c r="J10" s="27"/>
      <c r="K10" s="315"/>
      <c r="L10" s="27"/>
      <c r="M10" s="27"/>
      <c r="N10" s="27"/>
      <c r="O10" s="27"/>
      <c r="P10" s="27"/>
      <c r="Q10" s="27"/>
      <c r="R10" s="27"/>
      <c r="S10" s="27"/>
      <c r="T10" s="27"/>
      <c r="U10" s="27"/>
      <c r="V10" s="27"/>
      <c r="W10" s="27"/>
      <c r="X10" s="27"/>
      <c r="Y10" s="27"/>
      <c r="Z10" s="27"/>
    </row>
    <row r="11" ht="15.75" customHeight="1">
      <c r="A11" s="40" t="s">
        <v>6831</v>
      </c>
      <c r="B11" s="52" t="s">
        <v>6854</v>
      </c>
      <c r="C11" s="42" t="s">
        <v>6855</v>
      </c>
      <c r="D11" s="96" t="s">
        <v>6856</v>
      </c>
      <c r="E11" s="96" t="s">
        <v>6857</v>
      </c>
      <c r="F11" s="44">
        <v>0.21</v>
      </c>
      <c r="G11" s="321" t="str">
        <f>IFERROR(VLOOKUP("KR102 II",STOCK!$B$1:$Q$5632,3,FALSE),"SIN STOCK")</f>
        <v>Menor a 5</v>
      </c>
      <c r="H11" s="27"/>
      <c r="I11" s="27"/>
      <c r="J11" s="27"/>
      <c r="K11" s="315"/>
      <c r="L11" s="27"/>
      <c r="M11" s="27"/>
      <c r="N11" s="27"/>
      <c r="O11" s="27"/>
      <c r="P11" s="27"/>
      <c r="Q11" s="27"/>
      <c r="R11" s="27"/>
      <c r="S11" s="27"/>
      <c r="T11" s="27"/>
      <c r="U11" s="27"/>
      <c r="V11" s="27"/>
      <c r="W11" s="27"/>
      <c r="X11" s="27"/>
      <c r="Y11" s="27"/>
      <c r="Z11" s="27"/>
    </row>
    <row r="12" ht="15.75" customHeight="1">
      <c r="A12" s="33" t="s">
        <v>6831</v>
      </c>
      <c r="B12" s="45" t="s">
        <v>6858</v>
      </c>
      <c r="C12" s="34" t="s">
        <v>6859</v>
      </c>
      <c r="D12" s="101" t="s">
        <v>6860</v>
      </c>
      <c r="E12" s="101" t="s">
        <v>6861</v>
      </c>
      <c r="F12" s="37">
        <v>0.21</v>
      </c>
      <c r="G12" s="321" t="str">
        <f>IFERROR(VLOOKUP("KR202 II",STOCK!$B$1:$Q$5632,3,FALSE),"SIN STOCK")</f>
        <v>Menor a 5</v>
      </c>
      <c r="H12" s="27"/>
      <c r="I12" s="27"/>
      <c r="J12" s="27"/>
      <c r="K12" s="315"/>
      <c r="L12" s="27"/>
      <c r="M12" s="27"/>
      <c r="N12" s="27"/>
      <c r="O12" s="27"/>
      <c r="P12" s="27"/>
      <c r="Q12" s="27"/>
      <c r="R12" s="27"/>
      <c r="S12" s="27"/>
      <c r="T12" s="27"/>
      <c r="U12" s="27"/>
      <c r="V12" s="27"/>
      <c r="W12" s="27"/>
      <c r="X12" s="27"/>
      <c r="Y12" s="27"/>
      <c r="Z12" s="27"/>
    </row>
    <row r="13" ht="15.75" customHeight="1">
      <c r="A13" s="40" t="s">
        <v>6831</v>
      </c>
      <c r="B13" s="41" t="s">
        <v>6862</v>
      </c>
      <c r="C13" s="42" t="s">
        <v>6863</v>
      </c>
      <c r="D13" s="96" t="s">
        <v>6864</v>
      </c>
      <c r="E13" s="96" t="s">
        <v>6865</v>
      </c>
      <c r="F13" s="44">
        <v>0.21</v>
      </c>
      <c r="G13" s="321" t="str">
        <f>IFERROR(VLOOKUP("KR402 I",STOCK!$B$1:$Q$5632,3,FALSE),"SIN STOCK")</f>
        <v>Menor a 5</v>
      </c>
      <c r="H13" s="27"/>
      <c r="I13" s="27"/>
      <c r="J13" s="27"/>
      <c r="K13" s="315"/>
      <c r="L13" s="27"/>
      <c r="M13" s="27"/>
      <c r="N13" s="27"/>
      <c r="O13" s="27"/>
      <c r="P13" s="27"/>
      <c r="Q13" s="27"/>
      <c r="R13" s="27"/>
      <c r="S13" s="27"/>
      <c r="T13" s="27"/>
      <c r="U13" s="27"/>
      <c r="V13" s="27"/>
      <c r="W13" s="27"/>
      <c r="X13" s="27"/>
      <c r="Y13" s="27"/>
      <c r="Z13" s="27"/>
    </row>
    <row r="14" ht="15.75" customHeight="1">
      <c r="A14" s="33" t="s">
        <v>6831</v>
      </c>
      <c r="B14" s="45" t="s">
        <v>6866</v>
      </c>
      <c r="C14" s="34" t="s">
        <v>6867</v>
      </c>
      <c r="D14" s="101" t="s">
        <v>6868</v>
      </c>
      <c r="E14" s="101" t="s">
        <v>6869</v>
      </c>
      <c r="F14" s="37">
        <v>0.21</v>
      </c>
      <c r="G14" s="327" t="str">
        <f>IFERROR(VLOOKUP("KR802",STOCK!$B$1:$Q$5632,3,FALSE),"SIN STOCK")</f>
        <v>SIN STOCK</v>
      </c>
      <c r="H14" s="27"/>
      <c r="I14" s="27"/>
      <c r="J14" s="27"/>
      <c r="K14" s="315"/>
      <c r="L14" s="27"/>
      <c r="M14" s="27"/>
      <c r="N14" s="27"/>
      <c r="O14" s="27"/>
      <c r="P14" s="27"/>
      <c r="Q14" s="27"/>
      <c r="R14" s="27"/>
      <c r="S14" s="27"/>
      <c r="T14" s="27"/>
      <c r="U14" s="27"/>
      <c r="V14" s="27"/>
      <c r="W14" s="27"/>
      <c r="X14" s="27"/>
      <c r="Y14" s="27"/>
      <c r="Z14" s="27"/>
    </row>
    <row r="15" ht="15.75" customHeight="1">
      <c r="A15" s="243" t="s">
        <v>6870</v>
      </c>
      <c r="B15" s="328"/>
      <c r="C15" s="328"/>
      <c r="D15" s="90"/>
      <c r="E15" s="90"/>
      <c r="F15" s="328"/>
      <c r="G15" s="328"/>
      <c r="H15" s="27"/>
      <c r="I15" s="27"/>
      <c r="J15" s="27"/>
      <c r="K15" s="315"/>
      <c r="L15" s="27"/>
      <c r="M15" s="27"/>
      <c r="N15" s="27"/>
      <c r="O15" s="27"/>
      <c r="P15" s="27"/>
      <c r="Q15" s="27"/>
      <c r="R15" s="27"/>
      <c r="S15" s="27"/>
      <c r="T15" s="27"/>
      <c r="U15" s="27"/>
      <c r="V15" s="27"/>
      <c r="W15" s="27"/>
      <c r="X15" s="27"/>
      <c r="Y15" s="27"/>
      <c r="Z15" s="27"/>
    </row>
    <row r="16" ht="15.75" customHeight="1">
      <c r="A16" s="28" t="s">
        <v>6871</v>
      </c>
      <c r="B16" s="29"/>
      <c r="C16" s="29"/>
      <c r="D16" s="31"/>
      <c r="E16" s="31"/>
      <c r="F16" s="29"/>
      <c r="G16" s="29"/>
      <c r="H16" s="27"/>
      <c r="I16" s="27"/>
      <c r="J16" s="27"/>
      <c r="K16" s="315"/>
      <c r="L16" s="27"/>
      <c r="M16" s="27"/>
      <c r="N16" s="27"/>
      <c r="O16" s="27"/>
      <c r="P16" s="27"/>
      <c r="Q16" s="27"/>
      <c r="R16" s="27"/>
      <c r="S16" s="27"/>
      <c r="T16" s="27"/>
      <c r="U16" s="27"/>
      <c r="V16" s="27"/>
      <c r="W16" s="27"/>
      <c r="X16" s="27"/>
      <c r="Y16" s="27"/>
      <c r="Z16" s="27"/>
    </row>
    <row r="17" ht="15.75" customHeight="1">
      <c r="A17" s="40" t="s">
        <v>6831</v>
      </c>
      <c r="B17" s="41" t="s">
        <v>6872</v>
      </c>
      <c r="C17" s="42" t="s">
        <v>6873</v>
      </c>
      <c r="D17" s="96" t="s">
        <v>6874</v>
      </c>
      <c r="E17" s="96" t="s">
        <v>6875</v>
      </c>
      <c r="F17" s="44">
        <v>0.21</v>
      </c>
      <c r="G17" s="327" t="str">
        <f>IFERROR(VLOOKUP("KZ1",STOCK!$B$1:$Q$5632,3,FALSE),"SIN STOCK")</f>
        <v>Menor a 5</v>
      </c>
      <c r="H17" s="27"/>
      <c r="I17" s="27"/>
      <c r="J17" s="27"/>
      <c r="K17" s="315"/>
      <c r="L17" s="27"/>
      <c r="M17" s="27"/>
      <c r="N17" s="27"/>
      <c r="O17" s="27"/>
      <c r="P17" s="27"/>
      <c r="Q17" s="27"/>
      <c r="R17" s="27"/>
      <c r="S17" s="27"/>
      <c r="T17" s="27"/>
      <c r="U17" s="27"/>
      <c r="V17" s="27"/>
      <c r="W17" s="27"/>
      <c r="X17" s="27"/>
      <c r="Y17" s="27"/>
      <c r="Z17" s="27"/>
    </row>
    <row r="18" ht="15.75" customHeight="1">
      <c r="A18" s="33" t="s">
        <v>6831</v>
      </c>
      <c r="B18" s="45" t="s">
        <v>6876</v>
      </c>
      <c r="C18" s="34" t="s">
        <v>6877</v>
      </c>
      <c r="D18" s="101" t="s">
        <v>6878</v>
      </c>
      <c r="E18" s="101" t="s">
        <v>6879</v>
      </c>
      <c r="F18" s="37">
        <v>0.21</v>
      </c>
      <c r="G18" s="327" t="str">
        <f>IFERROR(VLOOKUP("KZ14",STOCK!$B$1:$Q$5632,3,FALSE),"SIN STOCK")</f>
        <v>SIN STOCK</v>
      </c>
      <c r="H18" s="27"/>
      <c r="I18" s="27"/>
      <c r="J18" s="27"/>
      <c r="K18" s="315"/>
      <c r="L18" s="27"/>
      <c r="M18" s="27"/>
      <c r="N18" s="27"/>
      <c r="O18" s="27"/>
      <c r="P18" s="27"/>
      <c r="Q18" s="27"/>
      <c r="R18" s="27"/>
      <c r="S18" s="27"/>
      <c r="T18" s="27"/>
      <c r="U18" s="27"/>
      <c r="V18" s="27"/>
      <c r="W18" s="27"/>
      <c r="X18" s="27"/>
      <c r="Y18" s="27"/>
      <c r="Z18" s="27"/>
    </row>
    <row r="19" ht="15.75" customHeight="1">
      <c r="A19" s="329" t="s">
        <v>6880</v>
      </c>
      <c r="B19" s="29"/>
      <c r="C19" s="29"/>
      <c r="D19" s="31"/>
      <c r="E19" s="31"/>
      <c r="F19" s="29"/>
      <c r="G19" s="29"/>
      <c r="H19" s="27"/>
      <c r="I19" s="27"/>
      <c r="J19" s="27"/>
      <c r="K19" s="315"/>
      <c r="L19" s="27"/>
      <c r="M19" s="27"/>
      <c r="N19" s="27"/>
      <c r="O19" s="27"/>
      <c r="P19" s="27"/>
      <c r="Q19" s="27"/>
      <c r="R19" s="27"/>
      <c r="S19" s="27"/>
      <c r="T19" s="27"/>
      <c r="U19" s="27"/>
      <c r="V19" s="27"/>
      <c r="W19" s="27"/>
      <c r="X19" s="27"/>
      <c r="Y19" s="27"/>
      <c r="Z19" s="27"/>
    </row>
    <row r="20" ht="15.75" customHeight="1">
      <c r="A20" s="40" t="s">
        <v>6831</v>
      </c>
      <c r="B20" s="41" t="s">
        <v>6881</v>
      </c>
      <c r="C20" s="42" t="s">
        <v>6882</v>
      </c>
      <c r="D20" s="96" t="s">
        <v>6883</v>
      </c>
      <c r="E20" s="96" t="s">
        <v>6884</v>
      </c>
      <c r="F20" s="44">
        <v>0.21</v>
      </c>
      <c r="G20" s="327" t="str">
        <f>IFERROR(VLOOKUP("KV25",STOCK!$B$1:$Q$5632,3,FALSE),"SIN STOCK")</f>
        <v>Menor a 5</v>
      </c>
      <c r="H20" s="27"/>
      <c r="I20" s="27"/>
      <c r="J20" s="27"/>
      <c r="K20" s="315"/>
      <c r="L20" s="27"/>
      <c r="M20" s="27"/>
      <c r="N20" s="27"/>
      <c r="O20" s="27"/>
      <c r="P20" s="27"/>
      <c r="Q20" s="27"/>
      <c r="R20" s="27"/>
      <c r="S20" s="27"/>
      <c r="T20" s="27"/>
      <c r="U20" s="27"/>
      <c r="V20" s="27"/>
      <c r="W20" s="27"/>
      <c r="X20" s="27"/>
      <c r="Y20" s="27"/>
      <c r="Z20" s="27"/>
    </row>
    <row r="21" ht="15.75" customHeight="1">
      <c r="A21" s="33" t="s">
        <v>6831</v>
      </c>
      <c r="B21" s="45" t="s">
        <v>6885</v>
      </c>
      <c r="C21" s="34" t="s">
        <v>6886</v>
      </c>
      <c r="D21" s="101" t="s">
        <v>6887</v>
      </c>
      <c r="E21" s="101" t="s">
        <v>6888</v>
      </c>
      <c r="F21" s="37">
        <v>0.21</v>
      </c>
      <c r="G21" s="327" t="str">
        <f>IFERROR(VLOOKUP("KV52 I",STOCK!$B$1:$Q$5632,3,FALSE),"SIN STOCK")</f>
        <v>SIN STOCK</v>
      </c>
      <c r="H21" s="27"/>
      <c r="I21" s="27"/>
      <c r="J21" s="27"/>
      <c r="K21" s="315"/>
      <c r="L21" s="27"/>
      <c r="M21" s="27"/>
      <c r="N21" s="27"/>
      <c r="O21" s="27"/>
      <c r="P21" s="27"/>
      <c r="Q21" s="27"/>
      <c r="R21" s="27"/>
      <c r="S21" s="27"/>
      <c r="T21" s="27"/>
      <c r="U21" s="27"/>
      <c r="V21" s="27"/>
      <c r="W21" s="27"/>
      <c r="X21" s="27"/>
      <c r="Y21" s="27"/>
      <c r="Z21" s="27"/>
    </row>
    <row r="22" ht="15.75" customHeight="1">
      <c r="A22" s="40" t="s">
        <v>6831</v>
      </c>
      <c r="B22" s="41" t="s">
        <v>6889</v>
      </c>
      <c r="C22" s="42" t="s">
        <v>6890</v>
      </c>
      <c r="D22" s="96" t="s">
        <v>6891</v>
      </c>
      <c r="E22" s="96" t="s">
        <v>6892</v>
      </c>
      <c r="F22" s="44">
        <v>0.21</v>
      </c>
      <c r="G22" s="321" t="str">
        <f>IFERROR(VLOOKUP("KV52 II",STOCK!$B$1:$Q$5632,3,FALSE),"SIN STOCK")</f>
        <v>Menor a 5</v>
      </c>
      <c r="H22" s="27"/>
      <c r="I22" s="27"/>
      <c r="J22" s="27"/>
      <c r="K22" s="315"/>
      <c r="L22" s="27"/>
      <c r="M22" s="27"/>
      <c r="N22" s="27"/>
      <c r="O22" s="27"/>
      <c r="P22" s="27"/>
      <c r="Q22" s="27"/>
      <c r="R22" s="27"/>
      <c r="S22" s="27"/>
      <c r="T22" s="27"/>
      <c r="U22" s="27"/>
      <c r="V22" s="27"/>
      <c r="W22" s="27"/>
      <c r="X22" s="27"/>
      <c r="Y22" s="27"/>
      <c r="Z22" s="27"/>
    </row>
    <row r="23" ht="15.75" customHeight="1">
      <c r="A23" s="28" t="s">
        <v>6893</v>
      </c>
      <c r="B23" s="29"/>
      <c r="C23" s="29"/>
      <c r="D23" s="31"/>
      <c r="E23" s="31"/>
      <c r="F23" s="29"/>
      <c r="G23" s="29"/>
      <c r="H23" s="27"/>
      <c r="I23" s="27"/>
      <c r="J23" s="27"/>
      <c r="K23" s="315"/>
      <c r="L23" s="27"/>
      <c r="M23" s="27"/>
      <c r="N23" s="27"/>
      <c r="O23" s="27"/>
      <c r="P23" s="27"/>
      <c r="Q23" s="27"/>
      <c r="R23" s="27"/>
      <c r="S23" s="27"/>
      <c r="T23" s="27"/>
      <c r="U23" s="27"/>
      <c r="V23" s="27"/>
      <c r="W23" s="27"/>
      <c r="X23" s="27"/>
      <c r="Y23" s="27"/>
      <c r="Z23" s="27"/>
    </row>
    <row r="24" ht="15.75" customHeight="1">
      <c r="A24" s="40" t="s">
        <v>6831</v>
      </c>
      <c r="B24" s="41" t="s">
        <v>6894</v>
      </c>
      <c r="C24" s="42" t="s">
        <v>6895</v>
      </c>
      <c r="D24" s="96" t="s">
        <v>6896</v>
      </c>
      <c r="E24" s="96" t="s">
        <v>6897</v>
      </c>
      <c r="F24" s="44">
        <v>0.21</v>
      </c>
      <c r="G24" s="327" t="str">
        <f>IFERROR(VLOOKUP("KK52",STOCK!$B$1:$Q$5632,3,FALSE),"SIN STOCK")</f>
        <v>SIN STOCK</v>
      </c>
      <c r="H24" s="27"/>
      <c r="I24" s="27"/>
      <c r="J24" s="27"/>
      <c r="K24" s="315"/>
      <c r="L24" s="27"/>
      <c r="M24" s="27"/>
      <c r="N24" s="27"/>
      <c r="O24" s="27"/>
      <c r="P24" s="27"/>
      <c r="Q24" s="27"/>
      <c r="R24" s="27"/>
      <c r="S24" s="27"/>
      <c r="T24" s="27"/>
      <c r="U24" s="27"/>
      <c r="V24" s="27"/>
      <c r="W24" s="27"/>
      <c r="X24" s="27"/>
      <c r="Y24" s="27"/>
      <c r="Z24" s="27"/>
    </row>
    <row r="25" ht="15.75" customHeight="1">
      <c r="A25" s="33" t="s">
        <v>6831</v>
      </c>
      <c r="B25" s="45" t="s">
        <v>6898</v>
      </c>
      <c r="C25" s="34" t="s">
        <v>6899</v>
      </c>
      <c r="D25" s="101" t="s">
        <v>6900</v>
      </c>
      <c r="E25" s="101" t="s">
        <v>6901</v>
      </c>
      <c r="F25" s="37">
        <v>0.21</v>
      </c>
      <c r="G25" s="327" t="str">
        <f>IFERROR(VLOOKUP("KK102",STOCK!$B$1:$Q$5632,3,FALSE),"SIN STOCK")</f>
        <v>Menor a 5</v>
      </c>
      <c r="H25" s="27"/>
      <c r="I25" s="27"/>
      <c r="J25" s="27"/>
      <c r="K25" s="315"/>
      <c r="L25" s="27"/>
      <c r="M25" s="27"/>
      <c r="N25" s="27"/>
      <c r="O25" s="27"/>
      <c r="P25" s="27"/>
      <c r="Q25" s="27"/>
      <c r="R25" s="27"/>
      <c r="S25" s="27"/>
      <c r="T25" s="27"/>
      <c r="U25" s="27"/>
      <c r="V25" s="27"/>
      <c r="W25" s="27"/>
      <c r="X25" s="27"/>
      <c r="Y25" s="27"/>
      <c r="Z25" s="27"/>
    </row>
    <row r="26" ht="15.75" customHeight="1">
      <c r="A26" s="28" t="s">
        <v>6902</v>
      </c>
      <c r="B26" s="29"/>
      <c r="C26" s="29"/>
      <c r="D26" s="31"/>
      <c r="E26" s="31"/>
      <c r="F26" s="29"/>
      <c r="G26" s="29"/>
      <c r="H26" s="27"/>
      <c r="I26" s="27"/>
      <c r="J26" s="27"/>
      <c r="K26" s="315"/>
      <c r="L26" s="27"/>
      <c r="M26" s="27"/>
      <c r="N26" s="27"/>
      <c r="O26" s="27"/>
      <c r="P26" s="27"/>
      <c r="Q26" s="27"/>
      <c r="R26" s="27"/>
      <c r="S26" s="27"/>
      <c r="T26" s="27"/>
      <c r="U26" s="27"/>
      <c r="V26" s="27"/>
      <c r="W26" s="27"/>
      <c r="X26" s="27"/>
      <c r="Y26" s="27"/>
      <c r="Z26" s="27"/>
    </row>
    <row r="27" ht="15.75" customHeight="1">
      <c r="A27" s="40" t="s">
        <v>6831</v>
      </c>
      <c r="B27" s="41" t="s">
        <v>6903</v>
      </c>
      <c r="C27" s="42" t="s">
        <v>6904</v>
      </c>
      <c r="D27" s="96" t="s">
        <v>6905</v>
      </c>
      <c r="E27" s="96" t="s">
        <v>6906</v>
      </c>
      <c r="F27" s="44">
        <v>0.21</v>
      </c>
      <c r="G27" s="327" t="str">
        <f>IFERROR(VLOOKUP("KP52",STOCK!$B$1:$Q$5632,3,FALSE),"SIN STOCK")</f>
        <v>SIN STOCK</v>
      </c>
      <c r="H27" s="27"/>
      <c r="I27" s="27"/>
      <c r="J27" s="27"/>
      <c r="K27" s="315"/>
      <c r="L27" s="27"/>
      <c r="M27" s="27"/>
      <c r="N27" s="27"/>
      <c r="O27" s="27"/>
      <c r="P27" s="27"/>
      <c r="Q27" s="27"/>
      <c r="R27" s="27"/>
      <c r="S27" s="27"/>
      <c r="T27" s="27"/>
      <c r="U27" s="27"/>
      <c r="V27" s="27"/>
      <c r="W27" s="27"/>
      <c r="X27" s="27"/>
      <c r="Y27" s="27"/>
      <c r="Z27" s="27"/>
    </row>
    <row r="28" ht="15.75" customHeight="1">
      <c r="A28" s="33" t="s">
        <v>6831</v>
      </c>
      <c r="B28" s="45" t="s">
        <v>6907</v>
      </c>
      <c r="C28" s="34" t="s">
        <v>6908</v>
      </c>
      <c r="D28" s="101" t="s">
        <v>4130</v>
      </c>
      <c r="E28" s="101" t="s">
        <v>6909</v>
      </c>
      <c r="F28" s="37">
        <v>0.21</v>
      </c>
      <c r="G28" s="327" t="str">
        <f>IFERROR(VLOOKUP("KP102",STOCK!$B$1:$Q$5632,3,FALSE),"SIN STOCK")</f>
        <v>SIN STOCK</v>
      </c>
      <c r="H28" s="27"/>
      <c r="I28" s="27"/>
      <c r="J28" s="27"/>
      <c r="K28" s="315"/>
      <c r="L28" s="27"/>
      <c r="M28" s="27"/>
      <c r="N28" s="27"/>
      <c r="O28" s="27"/>
      <c r="P28" s="27"/>
      <c r="Q28" s="27"/>
      <c r="R28" s="27"/>
      <c r="S28" s="27"/>
      <c r="T28" s="27"/>
      <c r="U28" s="27"/>
      <c r="V28" s="27"/>
      <c r="W28" s="27"/>
      <c r="X28" s="27"/>
      <c r="Y28" s="27"/>
      <c r="Z28" s="27"/>
    </row>
    <row r="29" ht="15.75" customHeight="1">
      <c r="A29" s="28" t="s">
        <v>6910</v>
      </c>
      <c r="B29" s="29"/>
      <c r="C29" s="29"/>
      <c r="D29" s="31"/>
      <c r="E29" s="31"/>
      <c r="F29" s="29"/>
      <c r="G29" s="29"/>
      <c r="H29" s="27"/>
      <c r="I29" s="27"/>
      <c r="J29" s="27"/>
      <c r="K29" s="315"/>
      <c r="L29" s="27"/>
      <c r="M29" s="27"/>
      <c r="N29" s="27"/>
      <c r="O29" s="27"/>
      <c r="P29" s="27"/>
      <c r="Q29" s="27"/>
      <c r="R29" s="27"/>
      <c r="S29" s="27"/>
      <c r="T29" s="27"/>
      <c r="U29" s="27"/>
      <c r="V29" s="27"/>
      <c r="W29" s="27"/>
      <c r="X29" s="27"/>
      <c r="Y29" s="27"/>
      <c r="Z29" s="27"/>
    </row>
    <row r="30" ht="15.75" customHeight="1">
      <c r="A30" s="40" t="s">
        <v>6831</v>
      </c>
      <c r="B30" s="41" t="s">
        <v>6911</v>
      </c>
      <c r="C30" s="42" t="s">
        <v>6912</v>
      </c>
      <c r="D30" s="96" t="s">
        <v>6913</v>
      </c>
      <c r="E30" s="96" t="s">
        <v>6914</v>
      </c>
      <c r="F30" s="44">
        <v>0.21</v>
      </c>
      <c r="G30" s="327" t="str">
        <f>IFERROR(VLOOKUP("KY102",STOCK!$B$1:$Q$5632,3,FALSE),"SIN STOCK")</f>
        <v>Menor a 5</v>
      </c>
      <c r="H30" s="27"/>
      <c r="I30" s="27"/>
      <c r="J30" s="27"/>
      <c r="K30" s="315"/>
      <c r="L30" s="27"/>
      <c r="M30" s="27"/>
      <c r="N30" s="27"/>
      <c r="O30" s="27"/>
      <c r="P30" s="27"/>
      <c r="Q30" s="27"/>
      <c r="R30" s="27"/>
      <c r="S30" s="27"/>
      <c r="T30" s="27"/>
      <c r="U30" s="27"/>
      <c r="V30" s="27"/>
      <c r="W30" s="27"/>
      <c r="X30" s="27"/>
      <c r="Y30" s="27"/>
      <c r="Z30" s="27"/>
    </row>
    <row r="31" ht="15.75" customHeight="1">
      <c r="A31" s="54" t="s">
        <v>6915</v>
      </c>
      <c r="B31" s="29"/>
      <c r="C31" s="29"/>
      <c r="D31" s="31"/>
      <c r="E31" s="31"/>
      <c r="F31" s="29"/>
      <c r="G31" s="29"/>
      <c r="H31" s="27"/>
      <c r="I31" s="27"/>
      <c r="J31" s="27"/>
      <c r="K31" s="315"/>
      <c r="L31" s="27"/>
      <c r="M31" s="27"/>
      <c r="N31" s="27"/>
      <c r="O31" s="27"/>
      <c r="P31" s="27"/>
      <c r="Q31" s="27"/>
      <c r="R31" s="27"/>
      <c r="S31" s="27"/>
      <c r="T31" s="27"/>
      <c r="U31" s="27"/>
      <c r="V31" s="27"/>
      <c r="W31" s="27"/>
      <c r="X31" s="27"/>
      <c r="Y31" s="27"/>
      <c r="Z31" s="27"/>
    </row>
    <row r="32" ht="15.75" customHeight="1">
      <c r="A32" s="40" t="s">
        <v>6831</v>
      </c>
      <c r="B32" s="41" t="s">
        <v>6916</v>
      </c>
      <c r="C32" s="42" t="s">
        <v>6917</v>
      </c>
      <c r="D32" s="96" t="s">
        <v>6918</v>
      </c>
      <c r="E32" s="96" t="s">
        <v>6919</v>
      </c>
      <c r="F32" s="44">
        <v>0.21</v>
      </c>
      <c r="G32" s="321" t="str">
        <f>IFERROR(VLOOKUP("KAN200+",STOCK!$B$1:$Q$5632,3,FALSE),"SIN STOCK")</f>
        <v>Menor a 5</v>
      </c>
      <c r="H32" s="27"/>
      <c r="I32" s="27"/>
      <c r="J32" s="27"/>
      <c r="K32" s="315"/>
      <c r="L32" s="27"/>
      <c r="M32" s="27"/>
      <c r="N32" s="27"/>
      <c r="O32" s="27"/>
      <c r="P32" s="27"/>
      <c r="Q32" s="27"/>
      <c r="R32" s="27"/>
      <c r="S32" s="27"/>
      <c r="T32" s="27"/>
      <c r="U32" s="27"/>
      <c r="V32" s="27"/>
      <c r="W32" s="27"/>
      <c r="X32" s="27"/>
      <c r="Y32" s="27"/>
      <c r="Z32" s="27"/>
    </row>
    <row r="33" ht="15.75" customHeight="1">
      <c r="A33" s="28" t="s">
        <v>6920</v>
      </c>
      <c r="B33" s="29"/>
      <c r="C33" s="29"/>
      <c r="D33" s="31"/>
      <c r="E33" s="31"/>
      <c r="F33" s="29"/>
      <c r="G33" s="29"/>
      <c r="H33" s="27"/>
      <c r="I33" s="27"/>
      <c r="J33" s="27"/>
      <c r="K33" s="315"/>
      <c r="L33" s="27"/>
      <c r="M33" s="27"/>
      <c r="N33" s="27"/>
      <c r="O33" s="27"/>
      <c r="P33" s="27"/>
      <c r="Q33" s="27"/>
      <c r="R33" s="27"/>
      <c r="S33" s="27"/>
      <c r="T33" s="27"/>
      <c r="U33" s="27"/>
      <c r="V33" s="27"/>
      <c r="W33" s="27"/>
      <c r="X33" s="27"/>
      <c r="Y33" s="27"/>
      <c r="Z33" s="27"/>
    </row>
    <row r="34" ht="15.75" customHeight="1">
      <c r="A34" s="40" t="s">
        <v>6831</v>
      </c>
      <c r="B34" s="41" t="s">
        <v>6921</v>
      </c>
      <c r="C34" s="42" t="s">
        <v>6922</v>
      </c>
      <c r="D34" s="96" t="s">
        <v>6923</v>
      </c>
      <c r="E34" s="96" t="s">
        <v>6924</v>
      </c>
      <c r="F34" s="44">
        <v>0.21</v>
      </c>
      <c r="G34" s="327" t="str">
        <f>IFERROR(VLOOKUP("KF26",STOCK!$B$1:$Q$5632,3,FALSE),"SIN STOCK")</f>
        <v>SIN STOCK</v>
      </c>
      <c r="H34" s="27"/>
      <c r="I34" s="27"/>
      <c r="J34" s="27"/>
      <c r="K34" s="315"/>
      <c r="L34" s="27"/>
      <c r="M34" s="27"/>
      <c r="N34" s="27"/>
      <c r="O34" s="27"/>
      <c r="P34" s="27"/>
      <c r="Q34" s="27"/>
      <c r="R34" s="27"/>
      <c r="S34" s="27"/>
      <c r="T34" s="27"/>
      <c r="U34" s="27"/>
      <c r="V34" s="27"/>
      <c r="W34" s="27"/>
      <c r="X34" s="27"/>
      <c r="Y34" s="27"/>
      <c r="Z34" s="27"/>
    </row>
    <row r="35" ht="15.75" customHeight="1">
      <c r="A35" s="33" t="s">
        <v>6831</v>
      </c>
      <c r="B35" s="45" t="s">
        <v>6925</v>
      </c>
      <c r="C35" s="34" t="s">
        <v>6926</v>
      </c>
      <c r="D35" s="101" t="s">
        <v>6927</v>
      </c>
      <c r="E35" s="101" t="s">
        <v>6928</v>
      </c>
      <c r="F35" s="37">
        <v>0.21</v>
      </c>
      <c r="G35" s="327" t="str">
        <f>IFERROR(VLOOKUP("KF210",STOCK!$B$1:$Q$5632,3,FALSE),"SIN STOCK")</f>
        <v>Menor a 5</v>
      </c>
      <c r="H35" s="27"/>
      <c r="I35" s="27"/>
      <c r="J35" s="27"/>
      <c r="K35" s="315"/>
      <c r="L35" s="27"/>
      <c r="M35" s="27"/>
      <c r="N35" s="27"/>
      <c r="O35" s="27"/>
      <c r="P35" s="27"/>
      <c r="Q35" s="27"/>
      <c r="R35" s="27"/>
      <c r="S35" s="27"/>
      <c r="T35" s="27"/>
      <c r="U35" s="27"/>
      <c r="V35" s="27"/>
      <c r="W35" s="27"/>
      <c r="X35" s="27"/>
      <c r="Y35" s="27"/>
      <c r="Z35" s="27"/>
    </row>
    <row r="36" ht="15.75" customHeight="1">
      <c r="A36" s="40" t="s">
        <v>6831</v>
      </c>
      <c r="B36" s="41" t="s">
        <v>6929</v>
      </c>
      <c r="C36" s="42" t="s">
        <v>6930</v>
      </c>
      <c r="D36" s="96" t="s">
        <v>6931</v>
      </c>
      <c r="E36" s="96" t="s">
        <v>6932</v>
      </c>
      <c r="F36" s="44">
        <v>0.21</v>
      </c>
      <c r="G36" s="327" t="str">
        <f>IFERROR(VLOOKUP("KF212",STOCK!$B$1:$Q$5632,3,FALSE),"SIN STOCK")</f>
        <v>SIN STOCK</v>
      </c>
      <c r="H36" s="27"/>
      <c r="I36" s="27"/>
      <c r="J36" s="27"/>
      <c r="K36" s="315"/>
      <c r="L36" s="27"/>
      <c r="M36" s="27"/>
      <c r="N36" s="27"/>
      <c r="O36" s="27"/>
      <c r="P36" s="27"/>
      <c r="Q36" s="27"/>
      <c r="R36" s="27"/>
      <c r="S36" s="27"/>
      <c r="T36" s="27"/>
      <c r="U36" s="27"/>
      <c r="V36" s="27"/>
      <c r="W36" s="27"/>
      <c r="X36" s="27"/>
      <c r="Y36" s="27"/>
      <c r="Z36" s="27"/>
    </row>
    <row r="37" ht="15.75" customHeight="1">
      <c r="A37" s="28" t="s">
        <v>6933</v>
      </c>
      <c r="B37" s="29"/>
      <c r="C37" s="29"/>
      <c r="D37" s="31"/>
      <c r="E37" s="31"/>
      <c r="F37" s="29"/>
      <c r="G37" s="29"/>
      <c r="H37" s="27"/>
      <c r="I37" s="27"/>
      <c r="J37" s="27"/>
      <c r="K37" s="315"/>
      <c r="L37" s="27"/>
      <c r="M37" s="27"/>
      <c r="N37" s="27"/>
      <c r="O37" s="27"/>
      <c r="P37" s="27"/>
      <c r="Q37" s="27"/>
      <c r="R37" s="27"/>
      <c r="S37" s="27"/>
      <c r="T37" s="27"/>
      <c r="U37" s="27"/>
      <c r="V37" s="27"/>
      <c r="W37" s="27"/>
      <c r="X37" s="27"/>
      <c r="Y37" s="27"/>
      <c r="Z37" s="27"/>
    </row>
    <row r="38" ht="15.75" customHeight="1">
      <c r="A38" s="40" t="s">
        <v>6831</v>
      </c>
      <c r="B38" s="41" t="s">
        <v>6934</v>
      </c>
      <c r="C38" s="42" t="s">
        <v>6935</v>
      </c>
      <c r="D38" s="96" t="s">
        <v>4130</v>
      </c>
      <c r="E38" s="96" t="s">
        <v>6909</v>
      </c>
      <c r="F38" s="44">
        <v>0.21</v>
      </c>
      <c r="G38" s="327" t="str">
        <f>IFERROR(VLOOKUP("KX12",STOCK!$B$1:$Q$5632,3,FALSE),"SIN STOCK")</f>
        <v>SIN STOCK</v>
      </c>
      <c r="H38" s="27"/>
      <c r="I38" s="27"/>
      <c r="J38" s="27"/>
      <c r="K38" s="315"/>
      <c r="L38" s="27"/>
      <c r="M38" s="27"/>
      <c r="N38" s="27"/>
      <c r="O38" s="27"/>
      <c r="P38" s="27"/>
      <c r="Q38" s="27"/>
      <c r="R38" s="27"/>
      <c r="S38" s="27"/>
      <c r="T38" s="27"/>
      <c r="U38" s="27"/>
      <c r="V38" s="27"/>
      <c r="W38" s="27"/>
      <c r="X38" s="27"/>
      <c r="Y38" s="27"/>
      <c r="Z38" s="27"/>
    </row>
    <row r="39" ht="15.75" customHeight="1">
      <c r="A39" s="28" t="s">
        <v>6936</v>
      </c>
      <c r="B39" s="29"/>
      <c r="C39" s="29"/>
      <c r="D39" s="31"/>
      <c r="E39" s="31"/>
      <c r="F39" s="29"/>
      <c r="G39" s="29"/>
      <c r="H39" s="27"/>
      <c r="I39" s="27"/>
      <c r="J39" s="27"/>
      <c r="K39" s="315"/>
      <c r="L39" s="27"/>
      <c r="M39" s="27"/>
      <c r="N39" s="27"/>
      <c r="O39" s="27"/>
      <c r="P39" s="27"/>
      <c r="Q39" s="27"/>
      <c r="R39" s="27"/>
      <c r="S39" s="27"/>
      <c r="T39" s="27"/>
      <c r="U39" s="27"/>
      <c r="V39" s="27"/>
      <c r="W39" s="27"/>
      <c r="X39" s="27"/>
      <c r="Y39" s="27"/>
      <c r="Z39" s="27"/>
    </row>
    <row r="40" ht="15.75" customHeight="1">
      <c r="A40" s="40" t="s">
        <v>6831</v>
      </c>
      <c r="B40" s="41" t="s">
        <v>6937</v>
      </c>
      <c r="C40" s="42" t="s">
        <v>6938</v>
      </c>
      <c r="D40" s="96" t="s">
        <v>6939</v>
      </c>
      <c r="E40" s="96" t="s">
        <v>6940</v>
      </c>
      <c r="F40" s="44">
        <v>0.21</v>
      </c>
      <c r="G40" s="321" t="str">
        <f>IFERROR(VLOOKUP("KH2 I",STOCK!$B$1:$Q$5632,3,FALSE),"SIN STOCK")</f>
        <v>Menor a 5</v>
      </c>
      <c r="H40" s="27"/>
      <c r="I40" s="27"/>
      <c r="J40" s="27"/>
      <c r="K40" s="315"/>
      <c r="L40" s="27"/>
      <c r="M40" s="27"/>
      <c r="N40" s="27"/>
      <c r="O40" s="27"/>
      <c r="P40" s="27"/>
      <c r="Q40" s="27"/>
      <c r="R40" s="27"/>
      <c r="S40" s="27"/>
      <c r="T40" s="27"/>
      <c r="U40" s="27"/>
      <c r="V40" s="27"/>
      <c r="W40" s="27"/>
      <c r="X40" s="27"/>
      <c r="Y40" s="27"/>
      <c r="Z40" s="27"/>
    </row>
    <row r="41" ht="15.75" customHeight="1">
      <c r="A41" s="33" t="s">
        <v>6831</v>
      </c>
      <c r="B41" s="45" t="s">
        <v>6941</v>
      </c>
      <c r="C41" s="34" t="s">
        <v>6938</v>
      </c>
      <c r="D41" s="101" t="s">
        <v>6942</v>
      </c>
      <c r="E41" s="101" t="s">
        <v>6943</v>
      </c>
      <c r="F41" s="37">
        <v>0.21</v>
      </c>
      <c r="G41" s="330" t="str">
        <f>IFERROR(VLOOKUP("KH2P I",STOCK!$B$1:$Q$5632,3,FALSE),"SIN STOCK")</f>
        <v>Mayor a 5</v>
      </c>
      <c r="H41" s="27"/>
      <c r="I41" s="27"/>
      <c r="J41" s="27"/>
      <c r="K41" s="315"/>
      <c r="L41" s="27"/>
      <c r="M41" s="27"/>
      <c r="N41" s="27"/>
      <c r="O41" s="27"/>
      <c r="P41" s="27"/>
      <c r="Q41" s="27"/>
      <c r="R41" s="27"/>
      <c r="S41" s="27"/>
      <c r="T41" s="27"/>
      <c r="U41" s="27"/>
      <c r="V41" s="27"/>
      <c r="W41" s="27"/>
      <c r="X41" s="27"/>
      <c r="Y41" s="27"/>
      <c r="Z41" s="27"/>
    </row>
    <row r="42" ht="15.75" customHeight="1">
      <c r="A42" s="40" t="s">
        <v>6831</v>
      </c>
      <c r="B42" s="41" t="s">
        <v>6944</v>
      </c>
      <c r="C42" s="42" t="s">
        <v>6945</v>
      </c>
      <c r="D42" s="96" t="s">
        <v>6946</v>
      </c>
      <c r="E42" s="96" t="s">
        <v>6947</v>
      </c>
      <c r="F42" s="44">
        <v>0.21</v>
      </c>
      <c r="G42" s="327" t="str">
        <f>IFERROR(VLOOKUP("KH3",STOCK!$B$1:$Q$5632,3,FALSE),"SIN STOCK")</f>
        <v>SIN STOCK</v>
      </c>
      <c r="H42" s="27"/>
      <c r="I42" s="27"/>
      <c r="J42" s="27"/>
      <c r="K42" s="315"/>
      <c r="L42" s="27"/>
      <c r="M42" s="27"/>
      <c r="N42" s="27"/>
      <c r="O42" s="27"/>
      <c r="P42" s="27"/>
      <c r="Q42" s="27"/>
      <c r="R42" s="27"/>
      <c r="S42" s="27"/>
      <c r="T42" s="27"/>
      <c r="U42" s="27"/>
      <c r="V42" s="27"/>
      <c r="W42" s="27"/>
      <c r="X42" s="27"/>
      <c r="Y42" s="27"/>
      <c r="Z42" s="27"/>
    </row>
    <row r="43" ht="15.75" customHeight="1">
      <c r="A43" s="33" t="s">
        <v>6831</v>
      </c>
      <c r="B43" s="45" t="s">
        <v>6948</v>
      </c>
      <c r="C43" s="34" t="s">
        <v>6949</v>
      </c>
      <c r="D43" s="101" t="s">
        <v>6950</v>
      </c>
      <c r="E43" s="101" t="s">
        <v>6951</v>
      </c>
      <c r="F43" s="37">
        <v>0.21</v>
      </c>
      <c r="G43" s="327" t="str">
        <f>IFERROR(VLOOKUP("KH5",STOCK!$B$1:$Q$5632,3,FALSE),"SIN STOCK")</f>
        <v>SIN STOCK</v>
      </c>
      <c r="H43" s="27"/>
      <c r="I43" s="27"/>
      <c r="J43" s="27"/>
      <c r="K43" s="315"/>
      <c r="L43" s="27"/>
      <c r="M43" s="27"/>
      <c r="N43" s="27"/>
      <c r="O43" s="27"/>
      <c r="P43" s="27"/>
      <c r="Q43" s="27"/>
      <c r="R43" s="27"/>
      <c r="S43" s="27"/>
      <c r="T43" s="27"/>
      <c r="U43" s="27"/>
      <c r="V43" s="27"/>
      <c r="W43" s="27"/>
      <c r="X43" s="27"/>
      <c r="Y43" s="27"/>
      <c r="Z43" s="27"/>
    </row>
    <row r="44" ht="15.75" customHeight="1">
      <c r="A44" s="28" t="s">
        <v>6952</v>
      </c>
      <c r="B44" s="29"/>
      <c r="C44" s="29"/>
      <c r="D44" s="31"/>
      <c r="E44" s="31"/>
      <c r="F44" s="29"/>
      <c r="G44" s="29"/>
      <c r="H44" s="27"/>
      <c r="I44" s="27"/>
      <c r="J44" s="27"/>
      <c r="K44" s="315"/>
      <c r="L44" s="27"/>
      <c r="M44" s="27"/>
      <c r="N44" s="27"/>
      <c r="O44" s="27"/>
      <c r="P44" s="27"/>
      <c r="Q44" s="27"/>
      <c r="R44" s="27"/>
      <c r="S44" s="27"/>
      <c r="T44" s="27"/>
      <c r="U44" s="27"/>
      <c r="V44" s="27"/>
      <c r="W44" s="27"/>
      <c r="X44" s="27"/>
      <c r="Y44" s="27"/>
      <c r="Z44" s="27"/>
    </row>
    <row r="45" ht="15.75" customHeight="1">
      <c r="A45" s="40" t="s">
        <v>6831</v>
      </c>
      <c r="B45" s="41" t="s">
        <v>6953</v>
      </c>
      <c r="C45" s="42" t="s">
        <v>6954</v>
      </c>
      <c r="D45" s="96" t="s">
        <v>6955</v>
      </c>
      <c r="E45" s="96" t="s">
        <v>6956</v>
      </c>
      <c r="F45" s="44">
        <v>0.21</v>
      </c>
      <c r="G45" s="327" t="str">
        <f>IFERROR(VLOOKUP("KH7",STOCK!$B$1:$Q$5632,3,FALSE),"SIN STOCK")</f>
        <v>SIN STOCK</v>
      </c>
      <c r="H45" s="27"/>
      <c r="I45" s="27"/>
      <c r="J45" s="27"/>
      <c r="K45" s="315"/>
      <c r="L45" s="27"/>
      <c r="M45" s="27"/>
      <c r="N45" s="27"/>
      <c r="O45" s="27"/>
      <c r="P45" s="27"/>
      <c r="Q45" s="27"/>
      <c r="R45" s="27"/>
      <c r="S45" s="27"/>
      <c r="T45" s="27"/>
      <c r="U45" s="27"/>
      <c r="V45" s="27"/>
      <c r="W45" s="27"/>
      <c r="X45" s="27"/>
      <c r="Y45" s="27"/>
      <c r="Z45" s="27"/>
    </row>
    <row r="46" ht="15.75" customHeight="1">
      <c r="A46" s="243" t="s">
        <v>6957</v>
      </c>
      <c r="B46" s="328"/>
      <c r="C46" s="328"/>
      <c r="D46" s="90"/>
      <c r="E46" s="90"/>
      <c r="F46" s="328"/>
      <c r="G46" s="328"/>
      <c r="H46" s="27"/>
      <c r="I46" s="27"/>
      <c r="J46" s="27"/>
      <c r="K46" s="315"/>
      <c r="L46" s="27"/>
      <c r="M46" s="27"/>
      <c r="N46" s="27"/>
      <c r="O46" s="27"/>
      <c r="P46" s="27"/>
      <c r="Q46" s="27"/>
      <c r="R46" s="27"/>
      <c r="S46" s="27"/>
      <c r="T46" s="27"/>
      <c r="U46" s="27"/>
      <c r="V46" s="27"/>
      <c r="W46" s="27"/>
      <c r="X46" s="27"/>
      <c r="Y46" s="27"/>
      <c r="Z46" s="27"/>
    </row>
    <row r="47" ht="15.75" customHeight="1">
      <c r="A47" s="28" t="s">
        <v>6958</v>
      </c>
      <c r="B47" s="29"/>
      <c r="C47" s="29"/>
      <c r="D47" s="31"/>
      <c r="E47" s="31"/>
      <c r="F47" s="29"/>
      <c r="G47" s="29"/>
      <c r="H47" s="27"/>
      <c r="I47" s="27"/>
      <c r="J47" s="27"/>
      <c r="K47" s="315"/>
      <c r="L47" s="27"/>
      <c r="M47" s="27"/>
      <c r="N47" s="27"/>
      <c r="O47" s="27"/>
      <c r="P47" s="27"/>
      <c r="Q47" s="27"/>
      <c r="R47" s="27"/>
      <c r="S47" s="27"/>
      <c r="T47" s="27"/>
      <c r="U47" s="27"/>
      <c r="V47" s="27"/>
      <c r="W47" s="27"/>
      <c r="X47" s="27"/>
      <c r="Y47" s="27"/>
      <c r="Z47" s="27"/>
    </row>
    <row r="48" ht="15.75" customHeight="1">
      <c r="A48" s="40" t="s">
        <v>6831</v>
      </c>
      <c r="B48" s="41" t="s">
        <v>6959</v>
      </c>
      <c r="C48" s="42" t="s">
        <v>6960</v>
      </c>
      <c r="D48" s="96" t="s">
        <v>6961</v>
      </c>
      <c r="E48" s="96" t="s">
        <v>6962</v>
      </c>
      <c r="F48" s="44">
        <v>0.21</v>
      </c>
      <c r="G48" s="327" t="str">
        <f>IFERROR(VLOOKUP("KTR24",STOCK!$B$1:$Q$5632,3,FALSE),"SIN STOCK")</f>
        <v>SIN STOCK</v>
      </c>
      <c r="H48" s="27"/>
      <c r="I48" s="27"/>
      <c r="J48" s="27"/>
      <c r="K48" s="315"/>
      <c r="L48" s="27"/>
      <c r="M48" s="27"/>
      <c r="N48" s="27"/>
      <c r="O48" s="27"/>
      <c r="P48" s="27"/>
      <c r="Q48" s="27"/>
      <c r="R48" s="27"/>
      <c r="S48" s="27"/>
      <c r="T48" s="27"/>
      <c r="U48" s="27"/>
      <c r="V48" s="27"/>
      <c r="W48" s="27"/>
      <c r="X48" s="27"/>
      <c r="Y48" s="27"/>
      <c r="Z48" s="27"/>
    </row>
    <row r="49" ht="15.75" customHeight="1">
      <c r="A49" s="33" t="s">
        <v>6831</v>
      </c>
      <c r="B49" s="45" t="s">
        <v>6963</v>
      </c>
      <c r="C49" s="34" t="s">
        <v>6964</v>
      </c>
      <c r="D49" s="101" t="s">
        <v>6965</v>
      </c>
      <c r="E49" s="101" t="s">
        <v>6966</v>
      </c>
      <c r="F49" s="37">
        <v>0.21</v>
      </c>
      <c r="G49" s="327" t="str">
        <f>IFERROR(VLOOKUP("KTR25",STOCK!$B$1:$Q$5632,3,FALSE),"SIN STOCK")</f>
        <v>Menor a 5</v>
      </c>
      <c r="H49" s="27"/>
      <c r="I49" s="27"/>
      <c r="J49" s="27"/>
      <c r="K49" s="315"/>
      <c r="L49" s="27"/>
      <c r="M49" s="27"/>
      <c r="N49" s="27"/>
      <c r="O49" s="27"/>
      <c r="P49" s="27"/>
      <c r="Q49" s="27"/>
      <c r="R49" s="27"/>
      <c r="S49" s="27"/>
      <c r="T49" s="27"/>
      <c r="U49" s="27"/>
      <c r="V49" s="27"/>
      <c r="W49" s="27"/>
      <c r="X49" s="27"/>
      <c r="Y49" s="27"/>
      <c r="Z49" s="27"/>
    </row>
    <row r="50" ht="15.75" customHeight="1">
      <c r="A50" s="40" t="s">
        <v>6831</v>
      </c>
      <c r="B50" s="41" t="s">
        <v>6967</v>
      </c>
      <c r="C50" s="42" t="s">
        <v>6968</v>
      </c>
      <c r="D50" s="96" t="s">
        <v>6969</v>
      </c>
      <c r="E50" s="96" t="s">
        <v>6970</v>
      </c>
      <c r="F50" s="44">
        <v>0.21</v>
      </c>
      <c r="G50" s="327" t="str">
        <f>IFERROR(VLOOKUP("KTR26",STOCK!$B$1:$Q$5632,3,FALSE),"SIN STOCK")</f>
        <v>Menor a 5</v>
      </c>
      <c r="H50" s="27"/>
      <c r="I50" s="27"/>
      <c r="J50" s="27"/>
      <c r="K50" s="315"/>
      <c r="L50" s="27"/>
      <c r="M50" s="27"/>
      <c r="N50" s="27"/>
      <c r="O50" s="27"/>
      <c r="P50" s="27"/>
      <c r="Q50" s="27"/>
      <c r="R50" s="27"/>
      <c r="S50" s="27"/>
      <c r="T50" s="27"/>
      <c r="U50" s="27"/>
      <c r="V50" s="27"/>
      <c r="W50" s="27"/>
      <c r="X50" s="27"/>
      <c r="Y50" s="27"/>
      <c r="Z50" s="27"/>
    </row>
    <row r="51" ht="15.75" customHeight="1">
      <c r="A51" s="28" t="s">
        <v>6971</v>
      </c>
      <c r="B51" s="29"/>
      <c r="C51" s="29"/>
      <c r="D51" s="31"/>
      <c r="E51" s="31"/>
      <c r="F51" s="29"/>
      <c r="G51" s="29"/>
      <c r="H51" s="27"/>
      <c r="I51" s="27"/>
      <c r="J51" s="27"/>
      <c r="K51" s="315"/>
      <c r="L51" s="27"/>
      <c r="M51" s="27"/>
      <c r="N51" s="27"/>
      <c r="O51" s="27"/>
      <c r="P51" s="27"/>
      <c r="Q51" s="27"/>
      <c r="R51" s="27"/>
      <c r="S51" s="27"/>
      <c r="T51" s="27"/>
      <c r="U51" s="27"/>
      <c r="V51" s="27"/>
      <c r="W51" s="27"/>
      <c r="X51" s="27"/>
      <c r="Y51" s="27"/>
      <c r="Z51" s="27"/>
    </row>
    <row r="52" ht="15.75" customHeight="1">
      <c r="A52" s="40" t="s">
        <v>6831</v>
      </c>
      <c r="B52" s="41" t="s">
        <v>6972</v>
      </c>
      <c r="C52" s="42" t="s">
        <v>6973</v>
      </c>
      <c r="D52" s="96" t="s">
        <v>6974</v>
      </c>
      <c r="E52" s="96" t="s">
        <v>6975</v>
      </c>
      <c r="F52" s="44">
        <v>0.21</v>
      </c>
      <c r="G52" s="327" t="str">
        <f>IFERROR(VLOOKUP("KU44",STOCK!$B$1:$Q$5632,3,FALSE),"SIN STOCK")</f>
        <v>SIN STOCK</v>
      </c>
      <c r="H52" s="27"/>
      <c r="I52" s="27"/>
      <c r="J52" s="27"/>
      <c r="K52" s="315"/>
      <c r="L52" s="27"/>
      <c r="M52" s="27"/>
      <c r="N52" s="27"/>
      <c r="O52" s="27"/>
      <c r="P52" s="27"/>
      <c r="Q52" s="27"/>
      <c r="R52" s="27"/>
      <c r="S52" s="27"/>
      <c r="T52" s="27"/>
      <c r="U52" s="27"/>
      <c r="V52" s="27"/>
      <c r="W52" s="27"/>
      <c r="X52" s="27"/>
      <c r="Y52" s="27"/>
      <c r="Z52" s="27"/>
    </row>
    <row r="53" ht="15.75" customHeight="1">
      <c r="A53" s="33" t="s">
        <v>6831</v>
      </c>
      <c r="B53" s="45" t="s">
        <v>6976</v>
      </c>
      <c r="C53" s="34" t="s">
        <v>6977</v>
      </c>
      <c r="D53" s="101" t="s">
        <v>6891</v>
      </c>
      <c r="E53" s="101" t="s">
        <v>6892</v>
      </c>
      <c r="F53" s="37">
        <v>0.21</v>
      </c>
      <c r="G53" s="327" t="str">
        <f>IFERROR(VLOOKUP("KU26",STOCK!$B$1:$Q$5632,3,FALSE),"SIN STOCK")</f>
        <v>Menor a 5</v>
      </c>
      <c r="H53" s="27"/>
      <c r="I53" s="27"/>
      <c r="J53" s="27"/>
      <c r="K53" s="315"/>
      <c r="L53" s="27"/>
      <c r="M53" s="27"/>
      <c r="N53" s="27"/>
      <c r="O53" s="27"/>
      <c r="P53" s="27"/>
      <c r="Q53" s="27"/>
      <c r="R53" s="27"/>
      <c r="S53" s="27"/>
      <c r="T53" s="27"/>
      <c r="U53" s="27"/>
      <c r="V53" s="27"/>
      <c r="W53" s="27"/>
      <c r="X53" s="27"/>
      <c r="Y53" s="27"/>
      <c r="Z53" s="27"/>
    </row>
    <row r="54" ht="15.75" customHeight="1">
      <c r="A54" s="40" t="s">
        <v>6831</v>
      </c>
      <c r="B54" s="41" t="s">
        <v>6978</v>
      </c>
      <c r="C54" s="42" t="s">
        <v>6979</v>
      </c>
      <c r="D54" s="96" t="s">
        <v>6905</v>
      </c>
      <c r="E54" s="96" t="s">
        <v>6906</v>
      </c>
      <c r="F54" s="44">
        <v>0.21</v>
      </c>
      <c r="G54" s="327" t="str">
        <f>IFERROR(VLOOKUP("KU210",STOCK!$B$1:$Q$5632,3,FALSE),"SIN STOCK")</f>
        <v>Menor a 5</v>
      </c>
      <c r="H54" s="27"/>
      <c r="I54" s="27"/>
      <c r="J54" s="27"/>
      <c r="K54" s="315"/>
      <c r="L54" s="27"/>
      <c r="M54" s="27"/>
      <c r="N54" s="27"/>
      <c r="O54" s="27"/>
      <c r="P54" s="27"/>
      <c r="Q54" s="27"/>
      <c r="R54" s="27"/>
      <c r="S54" s="27"/>
      <c r="T54" s="27"/>
      <c r="U54" s="27"/>
      <c r="V54" s="27"/>
      <c r="W54" s="27"/>
      <c r="X54" s="27"/>
      <c r="Y54" s="27"/>
      <c r="Z54" s="27"/>
    </row>
    <row r="55" ht="15.75" customHeight="1">
      <c r="A55" s="33" t="s">
        <v>6831</v>
      </c>
      <c r="B55" s="45" t="s">
        <v>6980</v>
      </c>
      <c r="C55" s="34" t="s">
        <v>6981</v>
      </c>
      <c r="D55" s="101" t="s">
        <v>6982</v>
      </c>
      <c r="E55" s="101" t="s">
        <v>6983</v>
      </c>
      <c r="F55" s="37">
        <v>0.21</v>
      </c>
      <c r="G55" s="327" t="str">
        <f>IFERROR(VLOOKUP("KU212",STOCK!$B$1:$Q$5632,3,FALSE),"SIN STOCK")</f>
        <v>Menor a 5</v>
      </c>
      <c r="H55" s="27"/>
      <c r="I55" s="27"/>
      <c r="J55" s="27"/>
      <c r="K55" s="315"/>
      <c r="L55" s="27"/>
      <c r="M55" s="27"/>
      <c r="N55" s="27"/>
      <c r="O55" s="27"/>
      <c r="P55" s="27"/>
      <c r="Q55" s="27"/>
      <c r="R55" s="27"/>
      <c r="S55" s="27"/>
      <c r="T55" s="27"/>
      <c r="U55" s="27"/>
      <c r="V55" s="27"/>
      <c r="W55" s="27"/>
      <c r="X55" s="27"/>
      <c r="Y55" s="27"/>
      <c r="Z55" s="27"/>
    </row>
    <row r="56" ht="15.75" customHeight="1">
      <c r="A56" s="28" t="s">
        <v>6984</v>
      </c>
      <c r="B56" s="29"/>
      <c r="C56" s="29"/>
      <c r="D56" s="31"/>
      <c r="E56" s="31"/>
      <c r="F56" s="29"/>
      <c r="G56" s="29"/>
      <c r="H56" s="27"/>
      <c r="I56" s="27"/>
      <c r="J56" s="27"/>
      <c r="K56" s="315"/>
      <c r="L56" s="27"/>
      <c r="M56" s="27"/>
      <c r="N56" s="27"/>
      <c r="O56" s="27"/>
      <c r="P56" s="27"/>
      <c r="Q56" s="27"/>
      <c r="R56" s="27"/>
      <c r="S56" s="27"/>
      <c r="T56" s="27"/>
      <c r="U56" s="27"/>
      <c r="V56" s="27"/>
      <c r="W56" s="27"/>
      <c r="X56" s="27"/>
      <c r="Y56" s="27"/>
      <c r="Z56" s="27"/>
    </row>
    <row r="57" ht="15.75" customHeight="1">
      <c r="A57" s="40" t="s">
        <v>6831</v>
      </c>
      <c r="B57" s="41" t="s">
        <v>6985</v>
      </c>
      <c r="C57" s="42" t="s">
        <v>6986</v>
      </c>
      <c r="D57" s="96" t="s">
        <v>6987</v>
      </c>
      <c r="E57" s="96" t="s">
        <v>6988</v>
      </c>
      <c r="F57" s="44">
        <v>0.21</v>
      </c>
      <c r="G57" s="321" t="str">
        <f>IFERROR(VLOOKUP("KS3 I",STOCK!$B$1:$Q$5632,3,FALSE),"SIN STOCK")</f>
        <v>Menor a 5</v>
      </c>
      <c r="H57" s="27"/>
      <c r="I57" s="27"/>
      <c r="J57" s="27"/>
      <c r="K57" s="315"/>
      <c r="L57" s="27"/>
      <c r="M57" s="27"/>
      <c r="N57" s="27"/>
      <c r="O57" s="27"/>
      <c r="P57" s="27"/>
      <c r="Q57" s="27"/>
      <c r="R57" s="27"/>
      <c r="S57" s="27"/>
      <c r="T57" s="27"/>
      <c r="U57" s="27"/>
      <c r="V57" s="27"/>
      <c r="W57" s="27"/>
      <c r="X57" s="27"/>
      <c r="Y57" s="27"/>
      <c r="Z57" s="27"/>
    </row>
    <row r="58" ht="15.75" customHeight="1">
      <c r="A58" s="33" t="s">
        <v>6831</v>
      </c>
      <c r="B58" s="45" t="s">
        <v>6989</v>
      </c>
      <c r="C58" s="34" t="s">
        <v>6990</v>
      </c>
      <c r="D58" s="101" t="s">
        <v>4130</v>
      </c>
      <c r="E58" s="101" t="s">
        <v>6909</v>
      </c>
      <c r="F58" s="37">
        <v>0.21</v>
      </c>
      <c r="G58" s="321" t="str">
        <f>IFERROR(VLOOKUP("KS3P I",STOCK!$B$1:$Q$5632,3,FALSE),"SIN STOCK")</f>
        <v>Menor a 5</v>
      </c>
      <c r="H58" s="27"/>
      <c r="I58" s="27"/>
      <c r="J58" s="27"/>
      <c r="K58" s="315"/>
      <c r="L58" s="27"/>
      <c r="M58" s="27"/>
      <c r="N58" s="27"/>
      <c r="O58" s="27"/>
      <c r="P58" s="27"/>
      <c r="Q58" s="27"/>
      <c r="R58" s="27"/>
      <c r="S58" s="27"/>
      <c r="T58" s="27"/>
      <c r="U58" s="27"/>
      <c r="V58" s="27"/>
      <c r="W58" s="27"/>
      <c r="X58" s="27"/>
      <c r="Y58" s="27"/>
      <c r="Z58" s="27"/>
    </row>
    <row r="59" ht="15.75" customHeight="1">
      <c r="A59" s="40" t="s">
        <v>6831</v>
      </c>
      <c r="B59" s="41" t="s">
        <v>6991</v>
      </c>
      <c r="C59" s="42" t="s">
        <v>6992</v>
      </c>
      <c r="D59" s="96" t="s">
        <v>6993</v>
      </c>
      <c r="E59" s="96" t="s">
        <v>6994</v>
      </c>
      <c r="F59" s="44">
        <v>0.21</v>
      </c>
      <c r="G59" s="327" t="str">
        <f>IFERROR(VLOOKUP("KS5",STOCK!$B$1:$Q$5632,3,FALSE),"SIN STOCK")</f>
        <v>SIN STOCK</v>
      </c>
      <c r="H59" s="27"/>
      <c r="I59" s="27"/>
      <c r="J59" s="27"/>
      <c r="K59" s="315"/>
      <c r="L59" s="27"/>
      <c r="M59" s="27"/>
      <c r="N59" s="27"/>
      <c r="O59" s="27"/>
      <c r="P59" s="27"/>
      <c r="Q59" s="27"/>
      <c r="R59" s="27"/>
      <c r="S59" s="27"/>
      <c r="T59" s="27"/>
      <c r="U59" s="27"/>
      <c r="V59" s="27"/>
      <c r="W59" s="27"/>
      <c r="X59" s="27"/>
      <c r="Y59" s="27"/>
      <c r="Z59" s="27"/>
    </row>
    <row r="60" ht="15.75" customHeight="1">
      <c r="A60" s="33" t="s">
        <v>6831</v>
      </c>
      <c r="B60" s="45" t="s">
        <v>6995</v>
      </c>
      <c r="C60" s="34" t="s">
        <v>6996</v>
      </c>
      <c r="D60" s="101" t="s">
        <v>6997</v>
      </c>
      <c r="E60" s="101" t="s">
        <v>6998</v>
      </c>
      <c r="F60" s="37">
        <v>0.21</v>
      </c>
      <c r="G60" s="327" t="str">
        <f>IFERROR(VLOOKUP("KS7",STOCK!$B$1:$Q$5632,3,FALSE),"SIN STOCK")</f>
        <v>SIN STOCK</v>
      </c>
      <c r="H60" s="27"/>
      <c r="I60" s="27"/>
      <c r="J60" s="27"/>
      <c r="K60" s="315"/>
      <c r="L60" s="27"/>
      <c r="M60" s="27"/>
      <c r="N60" s="27"/>
      <c r="O60" s="27"/>
      <c r="P60" s="27"/>
      <c r="Q60" s="27"/>
      <c r="R60" s="27"/>
      <c r="S60" s="27"/>
      <c r="T60" s="27"/>
      <c r="U60" s="27"/>
      <c r="V60" s="27"/>
      <c r="W60" s="27"/>
      <c r="X60" s="27"/>
      <c r="Y60" s="27"/>
      <c r="Z60" s="27"/>
    </row>
    <row r="61" ht="15.75" customHeight="1">
      <c r="A61" s="40" t="s">
        <v>6831</v>
      </c>
      <c r="B61" s="41" t="s">
        <v>6999</v>
      </c>
      <c r="C61" s="42" t="s">
        <v>7000</v>
      </c>
      <c r="D61" s="96" t="s">
        <v>7001</v>
      </c>
      <c r="E61" s="96" t="s">
        <v>7002</v>
      </c>
      <c r="F61" s="44">
        <v>0.21</v>
      </c>
      <c r="G61" s="327" t="str">
        <f>IFERROR(VLOOKUP("KMT12 I",STOCK!$B$1:$Q$5632,3,FALSE),"SIN STOCK")</f>
        <v>Menor a 5</v>
      </c>
      <c r="H61" s="27"/>
      <c r="I61" s="27"/>
      <c r="J61" s="27"/>
      <c r="K61" s="315"/>
      <c r="L61" s="27"/>
      <c r="M61" s="27"/>
      <c r="N61" s="27"/>
      <c r="O61" s="27"/>
      <c r="P61" s="27"/>
      <c r="Q61" s="27"/>
      <c r="R61" s="27"/>
      <c r="S61" s="27"/>
      <c r="T61" s="27"/>
      <c r="U61" s="27"/>
      <c r="V61" s="27"/>
      <c r="W61" s="27"/>
      <c r="X61" s="27"/>
      <c r="Y61" s="27"/>
      <c r="Z61" s="27"/>
    </row>
    <row r="62" ht="15.75" customHeight="1">
      <c r="A62" s="33" t="s">
        <v>6831</v>
      </c>
      <c r="B62" s="45" t="s">
        <v>7003</v>
      </c>
      <c r="C62" s="34" t="s">
        <v>7004</v>
      </c>
      <c r="D62" s="101" t="s">
        <v>6982</v>
      </c>
      <c r="E62" s="101" t="s">
        <v>6983</v>
      </c>
      <c r="F62" s="37">
        <v>0.21</v>
      </c>
      <c r="G62" s="321" t="str">
        <f>IFERROR(VLOOKUP("K-HCFLY2 I",STOCK!$B$1:$Q$5632,3,FALSE),"SIN STOCK")</f>
        <v>Menor a 5</v>
      </c>
      <c r="H62" s="27"/>
      <c r="I62" s="27"/>
      <c r="J62" s="27"/>
      <c r="K62" s="315"/>
      <c r="L62" s="27"/>
      <c r="M62" s="27"/>
      <c r="N62" s="27"/>
      <c r="O62" s="27"/>
      <c r="P62" s="27"/>
      <c r="Q62" s="27"/>
      <c r="R62" s="27"/>
      <c r="S62" s="27"/>
      <c r="T62" s="27"/>
      <c r="U62" s="27"/>
      <c r="V62" s="27"/>
      <c r="W62" s="27"/>
      <c r="X62" s="27"/>
      <c r="Y62" s="27"/>
      <c r="Z62" s="27"/>
    </row>
    <row r="63" ht="15.75" customHeight="1">
      <c r="A63" s="331" t="s">
        <v>7005</v>
      </c>
      <c r="B63" s="328"/>
      <c r="C63" s="328"/>
      <c r="D63" s="90"/>
      <c r="E63" s="90"/>
      <c r="F63" s="328"/>
      <c r="G63" s="328"/>
      <c r="H63" s="27"/>
      <c r="I63" s="27"/>
      <c r="J63" s="27"/>
      <c r="K63" s="315"/>
      <c r="L63" s="27"/>
      <c r="M63" s="27"/>
      <c r="N63" s="27"/>
      <c r="O63" s="27"/>
      <c r="P63" s="27"/>
      <c r="Q63" s="27"/>
      <c r="R63" s="27"/>
      <c r="S63" s="27"/>
      <c r="T63" s="27"/>
      <c r="U63" s="27"/>
      <c r="V63" s="27"/>
      <c r="W63" s="27"/>
      <c r="X63" s="27"/>
      <c r="Y63" s="27"/>
      <c r="Z63" s="27"/>
    </row>
    <row r="64" ht="15.75" customHeight="1">
      <c r="A64" s="28" t="s">
        <v>7006</v>
      </c>
      <c r="B64" s="29"/>
      <c r="C64" s="29"/>
      <c r="D64" s="31"/>
      <c r="E64" s="31"/>
      <c r="F64" s="29"/>
      <c r="G64" s="29"/>
      <c r="H64" s="27"/>
      <c r="I64" s="27"/>
      <c r="J64" s="27"/>
      <c r="K64" s="315"/>
      <c r="L64" s="27"/>
      <c r="M64" s="27"/>
      <c r="N64" s="27"/>
      <c r="O64" s="27"/>
      <c r="P64" s="27"/>
      <c r="Q64" s="27"/>
      <c r="R64" s="27"/>
      <c r="S64" s="27"/>
      <c r="T64" s="27"/>
      <c r="U64" s="27"/>
      <c r="V64" s="27"/>
      <c r="W64" s="27"/>
      <c r="X64" s="27"/>
      <c r="Y64" s="27"/>
      <c r="Z64" s="27"/>
    </row>
    <row r="65" ht="15.75" customHeight="1">
      <c r="A65" s="40" t="s">
        <v>6831</v>
      </c>
      <c r="B65" s="41" t="s">
        <v>7007</v>
      </c>
      <c r="C65" s="42" t="s">
        <v>7008</v>
      </c>
      <c r="D65" s="96" t="s">
        <v>7009</v>
      </c>
      <c r="E65" s="96" t="s">
        <v>7010</v>
      </c>
      <c r="F65" s="44">
        <v>0.21</v>
      </c>
      <c r="G65" s="321" t="str">
        <f>IFERROR(VLOOKUP("KRM33",STOCK!$B$1:$Q$5632,3,FALSE),"SIN STOCK")</f>
        <v>Menor a 5</v>
      </c>
      <c r="H65" s="27"/>
      <c r="I65" s="27"/>
      <c r="J65" s="27"/>
      <c r="K65" s="315"/>
      <c r="L65" s="27"/>
      <c r="M65" s="27"/>
      <c r="N65" s="27"/>
      <c r="O65" s="27"/>
      <c r="P65" s="27"/>
      <c r="Q65" s="27"/>
      <c r="R65" s="27"/>
      <c r="S65" s="27"/>
      <c r="T65" s="27"/>
      <c r="U65" s="27"/>
      <c r="V65" s="27"/>
      <c r="W65" s="27"/>
      <c r="X65" s="27"/>
      <c r="Y65" s="27"/>
      <c r="Z65" s="27"/>
    </row>
    <row r="66" ht="15.75" customHeight="1">
      <c r="A66" s="33" t="s">
        <v>6831</v>
      </c>
      <c r="B66" s="45" t="s">
        <v>7011</v>
      </c>
      <c r="C66" s="34" t="s">
        <v>7012</v>
      </c>
      <c r="D66" s="101" t="s">
        <v>6974</v>
      </c>
      <c r="E66" s="101" t="s">
        <v>6975</v>
      </c>
      <c r="F66" s="37">
        <v>0.21</v>
      </c>
      <c r="G66" s="327" t="str">
        <f>IFERROR(VLOOKUP("KRM33P",STOCK!$B$1:$Q$5632,3,FALSE),"SIN STOCK")</f>
        <v>SIN STOCK</v>
      </c>
      <c r="H66" s="27"/>
      <c r="I66" s="27"/>
      <c r="J66" s="27"/>
      <c r="K66" s="315"/>
      <c r="L66" s="27"/>
      <c r="M66" s="27"/>
      <c r="N66" s="27"/>
      <c r="O66" s="27"/>
      <c r="P66" s="27"/>
      <c r="Q66" s="27"/>
      <c r="R66" s="27"/>
      <c r="S66" s="27"/>
      <c r="T66" s="27"/>
      <c r="U66" s="27"/>
      <c r="V66" s="27"/>
      <c r="W66" s="27"/>
      <c r="X66" s="27"/>
      <c r="Y66" s="27"/>
      <c r="Z66" s="27"/>
    </row>
    <row r="67" ht="15.75" customHeight="1">
      <c r="A67" s="28" t="s">
        <v>7013</v>
      </c>
      <c r="B67" s="29"/>
      <c r="C67" s="29"/>
      <c r="D67" s="31"/>
      <c r="E67" s="31"/>
      <c r="F67" s="29"/>
      <c r="G67" s="29"/>
      <c r="H67" s="27"/>
      <c r="I67" s="27"/>
      <c r="J67" s="27"/>
      <c r="K67" s="315"/>
      <c r="L67" s="27"/>
      <c r="M67" s="27"/>
      <c r="N67" s="27"/>
      <c r="O67" s="27"/>
      <c r="P67" s="27"/>
      <c r="Q67" s="27"/>
      <c r="R67" s="27"/>
      <c r="S67" s="27"/>
      <c r="T67" s="27"/>
      <c r="U67" s="27"/>
      <c r="V67" s="27"/>
      <c r="W67" s="27"/>
      <c r="X67" s="27"/>
      <c r="Y67" s="27"/>
      <c r="Z67" s="27"/>
    </row>
    <row r="68" ht="15.75" customHeight="1">
      <c r="A68" s="40" t="s">
        <v>6831</v>
      </c>
      <c r="B68" s="41" t="s">
        <v>7014</v>
      </c>
      <c r="C68" s="42" t="s">
        <v>7015</v>
      </c>
      <c r="D68" s="96" t="s">
        <v>2068</v>
      </c>
      <c r="E68" s="96" t="s">
        <v>2068</v>
      </c>
      <c r="F68" s="44">
        <v>0.21</v>
      </c>
      <c r="G68" s="327" t="str">
        <f>IFERROR(VLOOKUP("KM112",STOCK!$B$1:$Q$5632,3,FALSE),"SIN STOCK")</f>
        <v>SIN STOCK</v>
      </c>
      <c r="H68" s="27"/>
      <c r="I68" s="27"/>
      <c r="J68" s="27"/>
      <c r="K68" s="315"/>
      <c r="L68" s="27"/>
      <c r="M68" s="27"/>
      <c r="N68" s="27"/>
      <c r="O68" s="27"/>
      <c r="P68" s="27"/>
      <c r="Q68" s="27"/>
      <c r="R68" s="27"/>
      <c r="S68" s="27"/>
      <c r="T68" s="27"/>
      <c r="U68" s="27"/>
      <c r="V68" s="27"/>
      <c r="W68" s="27"/>
      <c r="X68" s="27"/>
      <c r="Y68" s="27"/>
      <c r="Z68" s="27"/>
    </row>
    <row r="69" ht="15.75" customHeight="1">
      <c r="A69" s="33" t="s">
        <v>6831</v>
      </c>
      <c r="B69" s="45" t="s">
        <v>7016</v>
      </c>
      <c r="C69" s="34" t="s">
        <v>7017</v>
      </c>
      <c r="D69" s="101" t="s">
        <v>7018</v>
      </c>
      <c r="E69" s="101" t="s">
        <v>7019</v>
      </c>
      <c r="F69" s="37">
        <v>0.21</v>
      </c>
      <c r="G69" s="327" t="str">
        <f>IFERROR(VLOOKUP("KM112P",STOCK!$B$1:$Q$5632,3,FALSE),"SIN STOCK")</f>
        <v>Menor a 5</v>
      </c>
      <c r="H69" s="27"/>
      <c r="I69" s="27"/>
      <c r="J69" s="27"/>
      <c r="K69" s="315"/>
      <c r="L69" s="27"/>
      <c r="M69" s="27"/>
      <c r="N69" s="27"/>
      <c r="O69" s="27"/>
      <c r="P69" s="27"/>
      <c r="Q69" s="27"/>
      <c r="R69" s="27"/>
      <c r="S69" s="27"/>
      <c r="T69" s="27"/>
      <c r="U69" s="27"/>
      <c r="V69" s="27"/>
      <c r="W69" s="27"/>
      <c r="X69" s="27"/>
      <c r="Y69" s="27"/>
      <c r="Z69" s="27"/>
    </row>
    <row r="70" ht="15.75" customHeight="1">
      <c r="A70" s="40" t="s">
        <v>6831</v>
      </c>
      <c r="B70" s="41" t="s">
        <v>7020</v>
      </c>
      <c r="C70" s="42" t="s">
        <v>7021</v>
      </c>
      <c r="D70" s="96" t="s">
        <v>2068</v>
      </c>
      <c r="E70" s="96" t="s">
        <v>2068</v>
      </c>
      <c r="F70" s="44">
        <v>0.21</v>
      </c>
      <c r="G70" s="327" t="str">
        <f>IFERROR(VLOOKUP("KM312",STOCK!$B$1:$Q$5632,3,FALSE),"SIN STOCK")</f>
        <v>SIN STOCK</v>
      </c>
      <c r="H70" s="27"/>
      <c r="I70" s="27"/>
      <c r="J70" s="27"/>
      <c r="K70" s="315"/>
      <c r="L70" s="27"/>
      <c r="M70" s="27"/>
      <c r="N70" s="27"/>
      <c r="O70" s="27"/>
      <c r="P70" s="27"/>
      <c r="Q70" s="27"/>
      <c r="R70" s="27"/>
      <c r="S70" s="27"/>
      <c r="T70" s="27"/>
      <c r="U70" s="27"/>
      <c r="V70" s="27"/>
      <c r="W70" s="27"/>
      <c r="X70" s="27"/>
      <c r="Y70" s="27"/>
      <c r="Z70" s="27"/>
    </row>
    <row r="71" ht="15.75" customHeight="1">
      <c r="A71" s="33" t="s">
        <v>6831</v>
      </c>
      <c r="B71" s="45" t="s">
        <v>7022</v>
      </c>
      <c r="C71" s="34" t="s">
        <v>7023</v>
      </c>
      <c r="D71" s="101" t="s">
        <v>6942</v>
      </c>
      <c r="E71" s="101" t="s">
        <v>6943</v>
      </c>
      <c r="F71" s="37">
        <v>0.21</v>
      </c>
      <c r="G71" s="327" t="str">
        <f>IFERROR(VLOOKUP("KM312P",STOCK!$B$1:$Q$5632,3,FALSE),"SIN STOCK")</f>
        <v>SIN STOCK</v>
      </c>
      <c r="H71" s="27"/>
      <c r="I71" s="27"/>
      <c r="J71" s="27"/>
      <c r="K71" s="315"/>
      <c r="L71" s="27"/>
      <c r="M71" s="27"/>
      <c r="N71" s="27"/>
      <c r="O71" s="27"/>
      <c r="P71" s="27"/>
      <c r="Q71" s="27"/>
      <c r="R71" s="27"/>
      <c r="S71" s="27"/>
      <c r="T71" s="27"/>
      <c r="U71" s="27"/>
      <c r="V71" s="27"/>
      <c r="W71" s="27"/>
      <c r="X71" s="27"/>
      <c r="Y71" s="27"/>
      <c r="Z71" s="27"/>
    </row>
    <row r="72" ht="15.75" customHeight="1">
      <c r="A72" s="331" t="s">
        <v>7024</v>
      </c>
      <c r="B72" s="328"/>
      <c r="C72" s="328"/>
      <c r="D72" s="90"/>
      <c r="E72" s="90"/>
      <c r="F72" s="328"/>
      <c r="G72" s="328"/>
      <c r="H72" s="27"/>
      <c r="I72" s="27"/>
      <c r="J72" s="27"/>
      <c r="K72" s="315"/>
      <c r="L72" s="27"/>
      <c r="M72" s="27"/>
      <c r="N72" s="27"/>
      <c r="O72" s="27"/>
      <c r="P72" s="27"/>
      <c r="Q72" s="27"/>
      <c r="R72" s="27"/>
      <c r="S72" s="27"/>
      <c r="T72" s="27"/>
      <c r="U72" s="27"/>
      <c r="V72" s="27"/>
      <c r="W72" s="27"/>
      <c r="X72" s="27"/>
      <c r="Y72" s="27"/>
      <c r="Z72" s="27"/>
    </row>
    <row r="73" ht="15.75" customHeight="1">
      <c r="A73" s="54" t="s">
        <v>7025</v>
      </c>
      <c r="B73" s="29"/>
      <c r="C73" s="29"/>
      <c r="D73" s="31"/>
      <c r="E73" s="31"/>
      <c r="F73" s="29"/>
      <c r="G73" s="29"/>
      <c r="H73" s="27"/>
      <c r="I73" s="27"/>
      <c r="J73" s="27"/>
      <c r="K73" s="315"/>
      <c r="L73" s="27"/>
      <c r="M73" s="27"/>
      <c r="N73" s="27"/>
      <c r="O73" s="27"/>
      <c r="P73" s="27"/>
      <c r="Q73" s="27"/>
      <c r="R73" s="27"/>
      <c r="S73" s="27"/>
      <c r="T73" s="27"/>
      <c r="U73" s="27"/>
      <c r="V73" s="27"/>
      <c r="W73" s="27"/>
      <c r="X73" s="27"/>
      <c r="Y73" s="27"/>
      <c r="Z73" s="27"/>
    </row>
    <row r="74" ht="15.75" customHeight="1">
      <c r="A74" s="40" t="s">
        <v>6831</v>
      </c>
      <c r="B74" s="41" t="s">
        <v>7026</v>
      </c>
      <c r="C74" s="42" t="s">
        <v>7027</v>
      </c>
      <c r="D74" s="96" t="s">
        <v>6896</v>
      </c>
      <c r="E74" s="96" t="s">
        <v>6897</v>
      </c>
      <c r="F74" s="44">
        <v>0.21</v>
      </c>
      <c r="G74" s="327" t="str">
        <f>IFERROR(VLOOKUP("KA02",STOCK!$B$1:$Q$5632,3,FALSE),"SIN STOCK")</f>
        <v>Menor a 5</v>
      </c>
      <c r="H74" s="27"/>
      <c r="I74" s="27"/>
      <c r="J74" s="27"/>
      <c r="K74" s="315"/>
      <c r="L74" s="27"/>
      <c r="M74" s="27"/>
      <c r="N74" s="27"/>
      <c r="O74" s="27"/>
      <c r="P74" s="27"/>
      <c r="Q74" s="27"/>
      <c r="R74" s="27"/>
      <c r="S74" s="27"/>
      <c r="T74" s="27"/>
      <c r="U74" s="27"/>
      <c r="V74" s="27"/>
      <c r="W74" s="27"/>
      <c r="X74" s="27"/>
      <c r="Y74" s="27"/>
      <c r="Z74" s="27"/>
    </row>
    <row r="75" ht="15.75" customHeight="1">
      <c r="A75" s="40" t="s">
        <v>6831</v>
      </c>
      <c r="B75" s="41" t="s">
        <v>7028</v>
      </c>
      <c r="C75" s="42" t="s">
        <v>7029</v>
      </c>
      <c r="D75" s="96" t="s">
        <v>7030</v>
      </c>
      <c r="E75" s="96" t="s">
        <v>7031</v>
      </c>
      <c r="F75" s="44">
        <v>0.21</v>
      </c>
      <c r="G75" s="321" t="str">
        <f>IFERROR(VLOOKUP("KA14 I",STOCK!$B$1:$Q$5632,3,FALSE),"SIN STOCK")</f>
        <v>Menor a 5</v>
      </c>
      <c r="H75" s="325"/>
      <c r="I75" s="325"/>
      <c r="J75" s="325"/>
      <c r="K75" s="326"/>
      <c r="L75" s="325"/>
      <c r="M75" s="325"/>
      <c r="N75" s="325"/>
      <c r="O75" s="325"/>
      <c r="P75" s="325"/>
      <c r="Q75" s="325"/>
      <c r="R75" s="325"/>
      <c r="S75" s="325"/>
      <c r="T75" s="325"/>
      <c r="U75" s="325"/>
      <c r="V75" s="325"/>
      <c r="W75" s="325"/>
      <c r="X75" s="325"/>
      <c r="Y75" s="325"/>
      <c r="Z75" s="325"/>
    </row>
    <row r="76" ht="15.75" customHeight="1">
      <c r="A76" s="33" t="s">
        <v>6831</v>
      </c>
      <c r="B76" s="45" t="s">
        <v>7032</v>
      </c>
      <c r="C76" s="34" t="s">
        <v>7033</v>
      </c>
      <c r="D76" s="101" t="s">
        <v>7034</v>
      </c>
      <c r="E76" s="101" t="s">
        <v>7035</v>
      </c>
      <c r="F76" s="37">
        <v>0.21</v>
      </c>
      <c r="G76" s="327" t="str">
        <f>IFERROR(VLOOKUP("KA24",STOCK!$B$1:$Q$5632,3,FALSE),"SIN STOCK")</f>
        <v>Menor a 5</v>
      </c>
      <c r="H76" s="27"/>
      <c r="I76" s="27"/>
      <c r="J76" s="27"/>
      <c r="K76" s="315"/>
      <c r="L76" s="27"/>
      <c r="M76" s="27"/>
      <c r="N76" s="27"/>
      <c r="O76" s="27"/>
      <c r="P76" s="27"/>
      <c r="Q76" s="27"/>
      <c r="R76" s="27"/>
      <c r="S76" s="27"/>
      <c r="T76" s="27"/>
      <c r="U76" s="27"/>
      <c r="V76" s="27"/>
      <c r="W76" s="27"/>
      <c r="X76" s="27"/>
      <c r="Y76" s="27"/>
      <c r="Z76" s="27"/>
    </row>
    <row r="77" ht="15.75" customHeight="1">
      <c r="A77" s="40" t="s">
        <v>6831</v>
      </c>
      <c r="B77" s="41" t="s">
        <v>7036</v>
      </c>
      <c r="C77" s="42" t="s">
        <v>7037</v>
      </c>
      <c r="D77" s="96" t="s">
        <v>6851</v>
      </c>
      <c r="E77" s="96" t="s">
        <v>6852</v>
      </c>
      <c r="F77" s="44">
        <v>0.21</v>
      </c>
      <c r="G77" s="321" t="str">
        <f>IFERROR(VLOOKUP("KA34",STOCK!$B$1:$Q$5632,3,FALSE),"SIN STOCK")</f>
        <v>Menor a 5</v>
      </c>
      <c r="H77" s="325"/>
      <c r="I77" s="325"/>
      <c r="J77" s="325"/>
      <c r="K77" s="326"/>
      <c r="L77" s="325"/>
      <c r="M77" s="325"/>
      <c r="N77" s="325"/>
      <c r="O77" s="325"/>
      <c r="P77" s="325"/>
      <c r="Q77" s="325"/>
      <c r="R77" s="325"/>
      <c r="S77" s="325"/>
      <c r="T77" s="325"/>
      <c r="U77" s="325"/>
      <c r="V77" s="325"/>
      <c r="W77" s="325"/>
      <c r="X77" s="325"/>
      <c r="Y77" s="325"/>
      <c r="Z77" s="325"/>
    </row>
    <row r="78" ht="15.75" customHeight="1">
      <c r="A78" s="27"/>
      <c r="B78" s="27"/>
      <c r="C78" s="27"/>
      <c r="D78" s="114"/>
      <c r="E78" s="114"/>
      <c r="F78" s="27"/>
      <c r="G78" s="27"/>
      <c r="H78" s="27"/>
      <c r="I78" s="27"/>
      <c r="J78" s="27"/>
      <c r="K78" s="27"/>
      <c r="L78" s="27"/>
      <c r="M78" s="27"/>
      <c r="N78" s="27"/>
      <c r="O78" s="27"/>
      <c r="P78" s="27"/>
      <c r="Q78" s="27"/>
      <c r="R78" s="27"/>
      <c r="S78" s="27"/>
      <c r="T78" s="27"/>
      <c r="U78" s="27"/>
      <c r="V78" s="27"/>
      <c r="W78" s="27"/>
      <c r="X78" s="27"/>
      <c r="Y78" s="27"/>
      <c r="Z78" s="27"/>
    </row>
    <row r="79" ht="15.75" customHeight="1">
      <c r="A79" s="27"/>
      <c r="B79" s="27"/>
      <c r="C79" s="27"/>
      <c r="D79" s="114"/>
      <c r="E79" s="114"/>
      <c r="F79" s="27"/>
      <c r="G79" s="27"/>
      <c r="H79" s="27"/>
      <c r="I79" s="27"/>
      <c r="J79" s="27"/>
      <c r="K79" s="27"/>
      <c r="L79" s="27"/>
      <c r="M79" s="27"/>
      <c r="N79" s="27"/>
      <c r="O79" s="27"/>
      <c r="P79" s="27"/>
      <c r="Q79" s="27"/>
      <c r="R79" s="27"/>
      <c r="S79" s="27"/>
      <c r="T79" s="27"/>
      <c r="U79" s="27"/>
      <c r="V79" s="27"/>
      <c r="W79" s="27"/>
      <c r="X79" s="27"/>
      <c r="Y79" s="27"/>
      <c r="Z79" s="27"/>
    </row>
    <row r="80" ht="15.75" customHeight="1">
      <c r="A80" s="27"/>
      <c r="B80" s="27"/>
      <c r="C80" s="27"/>
      <c r="D80" s="114"/>
      <c r="E80" s="114"/>
      <c r="F80" s="27"/>
      <c r="G80" s="27"/>
      <c r="H80" s="27"/>
      <c r="I80" s="27"/>
      <c r="J80" s="27"/>
      <c r="K80" s="27"/>
      <c r="L80" s="27"/>
      <c r="M80" s="27"/>
      <c r="N80" s="27"/>
      <c r="O80" s="27"/>
      <c r="P80" s="27"/>
      <c r="Q80" s="27"/>
      <c r="R80" s="27"/>
      <c r="S80" s="27"/>
      <c r="T80" s="27"/>
      <c r="U80" s="27"/>
      <c r="V80" s="27"/>
      <c r="W80" s="27"/>
      <c r="X80" s="27"/>
      <c r="Y80" s="27"/>
      <c r="Z80" s="27"/>
    </row>
    <row r="81" ht="15.75" customHeight="1">
      <c r="A81" s="27"/>
      <c r="B81" s="27"/>
      <c r="C81" s="27"/>
      <c r="D81" s="114"/>
      <c r="E81" s="114"/>
      <c r="F81" s="27"/>
      <c r="G81" s="27"/>
      <c r="H81" s="27"/>
      <c r="I81" s="27"/>
      <c r="J81" s="27"/>
      <c r="K81" s="27"/>
      <c r="L81" s="27"/>
      <c r="M81" s="27"/>
      <c r="N81" s="27"/>
      <c r="O81" s="27"/>
      <c r="P81" s="27"/>
      <c r="Q81" s="27"/>
      <c r="R81" s="27"/>
      <c r="S81" s="27"/>
      <c r="T81" s="27"/>
      <c r="U81" s="27"/>
      <c r="V81" s="27"/>
      <c r="W81" s="27"/>
      <c r="X81" s="27"/>
      <c r="Y81" s="27"/>
      <c r="Z81" s="27"/>
    </row>
    <row r="82" ht="15.75" customHeight="1">
      <c r="A82" s="27"/>
      <c r="B82" s="27"/>
      <c r="C82" s="27"/>
      <c r="D82" s="114"/>
      <c r="E82" s="114"/>
      <c r="F82" s="27"/>
      <c r="G82" s="27"/>
      <c r="H82" s="27"/>
      <c r="I82" s="27"/>
      <c r="J82" s="27"/>
      <c r="K82" s="27"/>
      <c r="L82" s="27"/>
      <c r="M82" s="27"/>
      <c r="N82" s="27"/>
      <c r="O82" s="27"/>
      <c r="P82" s="27"/>
      <c r="Q82" s="27"/>
      <c r="R82" s="27"/>
      <c r="S82" s="27"/>
      <c r="T82" s="27"/>
      <c r="U82" s="27"/>
      <c r="V82" s="27"/>
      <c r="W82" s="27"/>
      <c r="X82" s="27"/>
      <c r="Y82" s="27"/>
      <c r="Z82" s="27"/>
    </row>
    <row r="83" ht="15.75" customHeight="1">
      <c r="A83" s="27"/>
      <c r="B83" s="27"/>
      <c r="C83" s="27"/>
      <c r="D83" s="114"/>
      <c r="E83" s="114"/>
      <c r="F83" s="27"/>
      <c r="G83" s="27"/>
      <c r="H83" s="27"/>
      <c r="I83" s="27"/>
      <c r="J83" s="27"/>
      <c r="K83" s="27"/>
      <c r="L83" s="27"/>
      <c r="M83" s="27"/>
      <c r="N83" s="27"/>
      <c r="O83" s="27"/>
      <c r="P83" s="27"/>
      <c r="Q83" s="27"/>
      <c r="R83" s="27"/>
      <c r="S83" s="27"/>
      <c r="T83" s="27"/>
      <c r="U83" s="27"/>
      <c r="V83" s="27"/>
      <c r="W83" s="27"/>
      <c r="X83" s="27"/>
      <c r="Y83" s="27"/>
      <c r="Z83" s="27"/>
    </row>
    <row r="84" ht="15.75" customHeight="1">
      <c r="A84" s="27"/>
      <c r="B84" s="27"/>
      <c r="C84" s="27"/>
      <c r="D84" s="114"/>
      <c r="E84" s="114"/>
      <c r="F84" s="27"/>
      <c r="G84" s="27"/>
      <c r="H84" s="27"/>
      <c r="I84" s="27"/>
      <c r="J84" s="27"/>
      <c r="K84" s="27"/>
      <c r="L84" s="27"/>
      <c r="M84" s="27"/>
      <c r="N84" s="27"/>
      <c r="O84" s="27"/>
      <c r="P84" s="27"/>
      <c r="Q84" s="27"/>
      <c r="R84" s="27"/>
      <c r="S84" s="27"/>
      <c r="T84" s="27"/>
      <c r="U84" s="27"/>
      <c r="V84" s="27"/>
      <c r="W84" s="27"/>
      <c r="X84" s="27"/>
      <c r="Y84" s="27"/>
      <c r="Z84" s="27"/>
    </row>
    <row r="85" ht="15.75" customHeight="1">
      <c r="A85" s="27"/>
      <c r="B85" s="27"/>
      <c r="C85" s="27"/>
      <c r="D85" s="114"/>
      <c r="E85" s="114"/>
      <c r="F85" s="27"/>
      <c r="G85" s="27"/>
      <c r="H85" s="27"/>
      <c r="I85" s="27"/>
      <c r="J85" s="27"/>
      <c r="K85" s="27"/>
      <c r="L85" s="27"/>
      <c r="M85" s="27"/>
      <c r="N85" s="27"/>
      <c r="O85" s="27"/>
      <c r="P85" s="27"/>
      <c r="Q85" s="27"/>
      <c r="R85" s="27"/>
      <c r="S85" s="27"/>
      <c r="T85" s="27"/>
      <c r="U85" s="27"/>
      <c r="V85" s="27"/>
      <c r="W85" s="27"/>
      <c r="X85" s="27"/>
      <c r="Y85" s="27"/>
      <c r="Z85" s="27"/>
    </row>
    <row r="86" ht="15.75" customHeight="1">
      <c r="A86" s="27"/>
      <c r="B86" s="27"/>
      <c r="C86" s="27"/>
      <c r="D86" s="114"/>
      <c r="E86" s="114"/>
      <c r="F86" s="27"/>
      <c r="G86" s="27"/>
      <c r="H86" s="27"/>
      <c r="I86" s="27"/>
      <c r="J86" s="27"/>
      <c r="K86" s="27"/>
      <c r="L86" s="27"/>
      <c r="M86" s="27"/>
      <c r="N86" s="27"/>
      <c r="O86" s="27"/>
      <c r="P86" s="27"/>
      <c r="Q86" s="27"/>
      <c r="R86" s="27"/>
      <c r="S86" s="27"/>
      <c r="T86" s="27"/>
      <c r="U86" s="27"/>
      <c r="V86" s="27"/>
      <c r="W86" s="27"/>
      <c r="X86" s="27"/>
      <c r="Y86" s="27"/>
      <c r="Z86" s="27"/>
    </row>
    <row r="87" ht="15.75" customHeight="1">
      <c r="A87" s="27"/>
      <c r="B87" s="27"/>
      <c r="C87" s="27"/>
      <c r="D87" s="114"/>
      <c r="E87" s="114"/>
      <c r="F87" s="27"/>
      <c r="G87" s="27"/>
      <c r="H87" s="27"/>
      <c r="I87" s="27"/>
      <c r="J87" s="27"/>
      <c r="K87" s="27"/>
      <c r="L87" s="27"/>
      <c r="M87" s="27"/>
      <c r="N87" s="27"/>
      <c r="O87" s="27"/>
      <c r="P87" s="27"/>
      <c r="Q87" s="27"/>
      <c r="R87" s="27"/>
      <c r="S87" s="27"/>
      <c r="T87" s="27"/>
      <c r="U87" s="27"/>
      <c r="V87" s="27"/>
      <c r="W87" s="27"/>
      <c r="X87" s="27"/>
      <c r="Y87" s="27"/>
      <c r="Z87" s="27"/>
    </row>
    <row r="88" ht="15.75" customHeight="1">
      <c r="A88" s="27"/>
      <c r="B88" s="27"/>
      <c r="C88" s="27"/>
      <c r="D88" s="114"/>
      <c r="E88" s="114"/>
      <c r="F88" s="27"/>
      <c r="G88" s="27"/>
      <c r="H88" s="27"/>
      <c r="I88" s="27"/>
      <c r="J88" s="27"/>
      <c r="K88" s="27"/>
      <c r="L88" s="27"/>
      <c r="M88" s="27"/>
      <c r="N88" s="27"/>
      <c r="O88" s="27"/>
      <c r="P88" s="27"/>
      <c r="Q88" s="27"/>
      <c r="R88" s="27"/>
      <c r="S88" s="27"/>
      <c r="T88" s="27"/>
      <c r="U88" s="27"/>
      <c r="V88" s="27"/>
      <c r="W88" s="27"/>
      <c r="X88" s="27"/>
      <c r="Y88" s="27"/>
      <c r="Z88" s="27"/>
    </row>
    <row r="89" ht="15.75" customHeight="1">
      <c r="A89" s="27"/>
      <c r="B89" s="27"/>
      <c r="C89" s="27"/>
      <c r="D89" s="114"/>
      <c r="E89" s="114"/>
      <c r="F89" s="27"/>
      <c r="G89" s="27"/>
      <c r="H89" s="27"/>
      <c r="I89" s="27"/>
      <c r="J89" s="27"/>
      <c r="K89" s="27"/>
      <c r="L89" s="27"/>
      <c r="M89" s="27"/>
      <c r="N89" s="27"/>
      <c r="O89" s="27"/>
      <c r="P89" s="27"/>
      <c r="Q89" s="27"/>
      <c r="R89" s="27"/>
      <c r="S89" s="27"/>
      <c r="T89" s="27"/>
      <c r="U89" s="27"/>
      <c r="V89" s="27"/>
      <c r="W89" s="27"/>
      <c r="X89" s="27"/>
      <c r="Y89" s="27"/>
      <c r="Z89" s="27"/>
    </row>
    <row r="90" ht="15.75" customHeight="1">
      <c r="A90" s="27"/>
      <c r="B90" s="27"/>
      <c r="C90" s="27"/>
      <c r="D90" s="114"/>
      <c r="E90" s="114"/>
      <c r="F90" s="27"/>
      <c r="G90" s="27"/>
      <c r="H90" s="27"/>
      <c r="I90" s="27"/>
      <c r="J90" s="27"/>
      <c r="K90" s="27"/>
      <c r="L90" s="27"/>
      <c r="M90" s="27"/>
      <c r="N90" s="27"/>
      <c r="O90" s="27"/>
      <c r="P90" s="27"/>
      <c r="Q90" s="27"/>
      <c r="R90" s="27"/>
      <c r="S90" s="27"/>
      <c r="T90" s="27"/>
      <c r="U90" s="27"/>
      <c r="V90" s="27"/>
      <c r="W90" s="27"/>
      <c r="X90" s="27"/>
      <c r="Y90" s="27"/>
      <c r="Z90" s="27"/>
    </row>
    <row r="91" ht="15.75" customHeight="1">
      <c r="A91" s="27"/>
      <c r="B91" s="27"/>
      <c r="C91" s="27"/>
      <c r="D91" s="114"/>
      <c r="E91" s="114"/>
      <c r="F91" s="27"/>
      <c r="G91" s="27"/>
      <c r="H91" s="27"/>
      <c r="I91" s="27"/>
      <c r="J91" s="27"/>
      <c r="K91" s="27"/>
      <c r="L91" s="27"/>
      <c r="M91" s="27"/>
      <c r="N91" s="27"/>
      <c r="O91" s="27"/>
      <c r="P91" s="27"/>
      <c r="Q91" s="27"/>
      <c r="R91" s="27"/>
      <c r="S91" s="27"/>
      <c r="T91" s="27"/>
      <c r="U91" s="27"/>
      <c r="V91" s="27"/>
      <c r="W91" s="27"/>
      <c r="X91" s="27"/>
      <c r="Y91" s="27"/>
      <c r="Z91" s="27"/>
    </row>
    <row r="92" ht="15.75" customHeight="1">
      <c r="A92" s="27"/>
      <c r="B92" s="27"/>
      <c r="C92" s="27"/>
      <c r="D92" s="114"/>
      <c r="E92" s="114"/>
      <c r="F92" s="27"/>
      <c r="G92" s="27"/>
      <c r="H92" s="27"/>
      <c r="I92" s="27"/>
      <c r="J92" s="27"/>
      <c r="K92" s="27"/>
      <c r="L92" s="27"/>
      <c r="M92" s="27"/>
      <c r="N92" s="27"/>
      <c r="O92" s="27"/>
      <c r="P92" s="27"/>
      <c r="Q92" s="27"/>
      <c r="R92" s="27"/>
      <c r="S92" s="27"/>
      <c r="T92" s="27"/>
      <c r="U92" s="27"/>
      <c r="V92" s="27"/>
      <c r="W92" s="27"/>
      <c r="X92" s="27"/>
      <c r="Y92" s="27"/>
      <c r="Z92" s="27"/>
    </row>
    <row r="93" ht="15.75" customHeight="1">
      <c r="A93" s="27"/>
      <c r="B93" s="27"/>
      <c r="C93" s="27"/>
      <c r="D93" s="114"/>
      <c r="E93" s="114"/>
      <c r="F93" s="27"/>
      <c r="G93" s="27"/>
      <c r="H93" s="27"/>
      <c r="I93" s="27"/>
      <c r="J93" s="27"/>
      <c r="K93" s="27"/>
      <c r="L93" s="27"/>
      <c r="M93" s="27"/>
      <c r="N93" s="27"/>
      <c r="O93" s="27"/>
      <c r="P93" s="27"/>
      <c r="Q93" s="27"/>
      <c r="R93" s="27"/>
      <c r="S93" s="27"/>
      <c r="T93" s="27"/>
      <c r="U93" s="27"/>
      <c r="V93" s="27"/>
      <c r="W93" s="27"/>
      <c r="X93" s="27"/>
      <c r="Y93" s="27"/>
      <c r="Z93" s="27"/>
    </row>
    <row r="94" ht="15.75" customHeight="1">
      <c r="A94" s="27"/>
      <c r="B94" s="27"/>
      <c r="C94" s="27"/>
      <c r="D94" s="114"/>
      <c r="E94" s="114"/>
      <c r="F94" s="27"/>
      <c r="G94" s="27"/>
      <c r="H94" s="27"/>
      <c r="I94" s="27"/>
      <c r="J94" s="27"/>
      <c r="K94" s="27"/>
      <c r="L94" s="27"/>
      <c r="M94" s="27"/>
      <c r="N94" s="27"/>
      <c r="O94" s="27"/>
      <c r="P94" s="27"/>
      <c r="Q94" s="27"/>
      <c r="R94" s="27"/>
      <c r="S94" s="27"/>
      <c r="T94" s="27"/>
      <c r="U94" s="27"/>
      <c r="V94" s="27"/>
      <c r="W94" s="27"/>
      <c r="X94" s="27"/>
      <c r="Y94" s="27"/>
      <c r="Z94" s="27"/>
    </row>
    <row r="95" ht="15.75" customHeight="1">
      <c r="A95" s="27"/>
      <c r="B95" s="27"/>
      <c r="C95" s="27"/>
      <c r="D95" s="114"/>
      <c r="E95" s="114"/>
      <c r="F95" s="27"/>
      <c r="G95" s="27"/>
      <c r="H95" s="27"/>
      <c r="I95" s="27"/>
      <c r="J95" s="27"/>
      <c r="K95" s="27"/>
      <c r="L95" s="27"/>
      <c r="M95" s="27"/>
      <c r="N95" s="27"/>
      <c r="O95" s="27"/>
      <c r="P95" s="27"/>
      <c r="Q95" s="27"/>
      <c r="R95" s="27"/>
      <c r="S95" s="27"/>
      <c r="T95" s="27"/>
      <c r="U95" s="27"/>
      <c r="V95" s="27"/>
      <c r="W95" s="27"/>
      <c r="X95" s="27"/>
      <c r="Y95" s="27"/>
      <c r="Z95" s="27"/>
    </row>
    <row r="96" ht="15.75" customHeight="1">
      <c r="A96" s="27"/>
      <c r="B96" s="27"/>
      <c r="C96" s="27"/>
      <c r="D96" s="114"/>
      <c r="E96" s="114"/>
      <c r="F96" s="27"/>
      <c r="G96" s="27"/>
      <c r="H96" s="27"/>
      <c r="I96" s="27"/>
      <c r="J96" s="27"/>
      <c r="K96" s="27"/>
      <c r="L96" s="27"/>
      <c r="M96" s="27"/>
      <c r="N96" s="27"/>
      <c r="O96" s="27"/>
      <c r="P96" s="27"/>
      <c r="Q96" s="27"/>
      <c r="R96" s="27"/>
      <c r="S96" s="27"/>
      <c r="T96" s="27"/>
      <c r="U96" s="27"/>
      <c r="V96" s="27"/>
      <c r="W96" s="27"/>
      <c r="X96" s="27"/>
      <c r="Y96" s="27"/>
      <c r="Z96" s="27"/>
    </row>
    <row r="97" ht="15.75" customHeight="1">
      <c r="A97" s="27"/>
      <c r="B97" s="27"/>
      <c r="C97" s="27"/>
      <c r="D97" s="114"/>
      <c r="E97" s="114"/>
      <c r="F97" s="27"/>
      <c r="G97" s="27"/>
      <c r="H97" s="27"/>
      <c r="I97" s="27"/>
      <c r="J97" s="27"/>
      <c r="K97" s="27"/>
      <c r="L97" s="27"/>
      <c r="M97" s="27"/>
      <c r="N97" s="27"/>
      <c r="O97" s="27"/>
      <c r="P97" s="27"/>
      <c r="Q97" s="27"/>
      <c r="R97" s="27"/>
      <c r="S97" s="27"/>
      <c r="T97" s="27"/>
      <c r="U97" s="27"/>
      <c r="V97" s="27"/>
      <c r="W97" s="27"/>
      <c r="X97" s="27"/>
      <c r="Y97" s="27"/>
      <c r="Z97" s="27"/>
    </row>
    <row r="98" ht="15.75" customHeight="1">
      <c r="A98" s="27"/>
      <c r="B98" s="27"/>
      <c r="C98" s="27"/>
      <c r="D98" s="114"/>
      <c r="E98" s="114"/>
      <c r="F98" s="27"/>
      <c r="G98" s="27"/>
      <c r="H98" s="27"/>
      <c r="I98" s="27"/>
      <c r="J98" s="27"/>
      <c r="K98" s="27"/>
      <c r="L98" s="27"/>
      <c r="M98" s="27"/>
      <c r="N98" s="27"/>
      <c r="O98" s="27"/>
      <c r="P98" s="27"/>
      <c r="Q98" s="27"/>
      <c r="R98" s="27"/>
      <c r="S98" s="27"/>
      <c r="T98" s="27"/>
      <c r="U98" s="27"/>
      <c r="V98" s="27"/>
      <c r="W98" s="27"/>
      <c r="X98" s="27"/>
      <c r="Y98" s="27"/>
      <c r="Z98" s="27"/>
    </row>
    <row r="99" ht="15.75" customHeight="1">
      <c r="A99" s="27"/>
      <c r="B99" s="27"/>
      <c r="C99" s="27"/>
      <c r="D99" s="114"/>
      <c r="E99" s="114"/>
      <c r="F99" s="27"/>
      <c r="G99" s="27"/>
      <c r="H99" s="27"/>
      <c r="I99" s="27"/>
      <c r="J99" s="27"/>
      <c r="K99" s="27"/>
      <c r="L99" s="27"/>
      <c r="M99" s="27"/>
      <c r="N99" s="27"/>
      <c r="O99" s="27"/>
      <c r="P99" s="27"/>
      <c r="Q99" s="27"/>
      <c r="R99" s="27"/>
      <c r="S99" s="27"/>
      <c r="T99" s="27"/>
      <c r="U99" s="27"/>
      <c r="V99" s="27"/>
      <c r="W99" s="27"/>
      <c r="X99" s="27"/>
      <c r="Y99" s="27"/>
      <c r="Z99" s="27"/>
    </row>
    <row r="100" ht="15.75" customHeight="1">
      <c r="A100" s="27"/>
      <c r="B100" s="27"/>
      <c r="C100" s="27"/>
      <c r="D100" s="114"/>
      <c r="E100" s="114"/>
      <c r="F100" s="27"/>
      <c r="G100" s="27"/>
      <c r="H100" s="27"/>
      <c r="I100" s="27"/>
      <c r="J100" s="27"/>
      <c r="K100" s="27"/>
      <c r="L100" s="27"/>
      <c r="M100" s="27"/>
      <c r="N100" s="27"/>
      <c r="O100" s="27"/>
      <c r="P100" s="27"/>
      <c r="Q100" s="27"/>
      <c r="R100" s="27"/>
      <c r="S100" s="27"/>
      <c r="T100" s="27"/>
      <c r="U100" s="27"/>
      <c r="V100" s="27"/>
      <c r="W100" s="27"/>
      <c r="X100" s="27"/>
      <c r="Y100" s="27"/>
      <c r="Z100" s="27"/>
    </row>
    <row r="101" ht="15.75" customHeight="1">
      <c r="A101" s="27"/>
      <c r="B101" s="27"/>
      <c r="C101" s="27"/>
      <c r="D101" s="114"/>
      <c r="E101" s="114"/>
      <c r="F101" s="27"/>
      <c r="G101" s="27"/>
      <c r="H101" s="27"/>
      <c r="I101" s="27"/>
      <c r="J101" s="27"/>
      <c r="K101" s="27"/>
      <c r="L101" s="27"/>
      <c r="M101" s="27"/>
      <c r="N101" s="27"/>
      <c r="O101" s="27"/>
      <c r="P101" s="27"/>
      <c r="Q101" s="27"/>
      <c r="R101" s="27"/>
      <c r="S101" s="27"/>
      <c r="T101" s="27"/>
      <c r="U101" s="27"/>
      <c r="V101" s="27"/>
      <c r="W101" s="27"/>
      <c r="X101" s="27"/>
      <c r="Y101" s="27"/>
      <c r="Z101" s="27"/>
    </row>
    <row r="102" ht="15.75" customHeight="1">
      <c r="A102" s="27"/>
      <c r="B102" s="27"/>
      <c r="C102" s="27"/>
      <c r="D102" s="114"/>
      <c r="E102" s="114"/>
      <c r="F102" s="27"/>
      <c r="G102" s="27"/>
      <c r="H102" s="27"/>
      <c r="I102" s="27"/>
      <c r="J102" s="27"/>
      <c r="K102" s="27"/>
      <c r="L102" s="27"/>
      <c r="M102" s="27"/>
      <c r="N102" s="27"/>
      <c r="O102" s="27"/>
      <c r="P102" s="27"/>
      <c r="Q102" s="27"/>
      <c r="R102" s="27"/>
      <c r="S102" s="27"/>
      <c r="T102" s="27"/>
      <c r="U102" s="27"/>
      <c r="V102" s="27"/>
      <c r="W102" s="27"/>
      <c r="X102" s="27"/>
      <c r="Y102" s="27"/>
      <c r="Z102" s="27"/>
    </row>
    <row r="103" ht="15.75" customHeight="1">
      <c r="A103" s="27"/>
      <c r="B103" s="27"/>
      <c r="C103" s="27"/>
      <c r="D103" s="114"/>
      <c r="E103" s="114"/>
      <c r="F103" s="27"/>
      <c r="G103" s="27"/>
      <c r="H103" s="27"/>
      <c r="I103" s="27"/>
      <c r="J103" s="27"/>
      <c r="K103" s="27"/>
      <c r="L103" s="27"/>
      <c r="M103" s="27"/>
      <c r="N103" s="27"/>
      <c r="O103" s="27"/>
      <c r="P103" s="27"/>
      <c r="Q103" s="27"/>
      <c r="R103" s="27"/>
      <c r="S103" s="27"/>
      <c r="T103" s="27"/>
      <c r="U103" s="27"/>
      <c r="V103" s="27"/>
      <c r="W103" s="27"/>
      <c r="X103" s="27"/>
      <c r="Y103" s="27"/>
      <c r="Z103" s="27"/>
    </row>
    <row r="104" ht="15.75" customHeight="1">
      <c r="A104" s="27"/>
      <c r="B104" s="27"/>
      <c r="C104" s="27"/>
      <c r="D104" s="114"/>
      <c r="E104" s="114"/>
      <c r="F104" s="27"/>
      <c r="G104" s="27"/>
      <c r="H104" s="27"/>
      <c r="I104" s="27"/>
      <c r="J104" s="27"/>
      <c r="K104" s="27"/>
      <c r="L104" s="27"/>
      <c r="M104" s="27"/>
      <c r="N104" s="27"/>
      <c r="O104" s="27"/>
      <c r="P104" s="27"/>
      <c r="Q104" s="27"/>
      <c r="R104" s="27"/>
      <c r="S104" s="27"/>
      <c r="T104" s="27"/>
      <c r="U104" s="27"/>
      <c r="V104" s="27"/>
      <c r="W104" s="27"/>
      <c r="X104" s="27"/>
      <c r="Y104" s="27"/>
      <c r="Z104" s="27"/>
    </row>
    <row r="105" ht="15.75" customHeight="1">
      <c r="A105" s="27"/>
      <c r="B105" s="27"/>
      <c r="C105" s="27"/>
      <c r="D105" s="114"/>
      <c r="E105" s="114"/>
      <c r="F105" s="27"/>
      <c r="G105" s="27"/>
      <c r="H105" s="27"/>
      <c r="I105" s="27"/>
      <c r="J105" s="27"/>
      <c r="K105" s="27"/>
      <c r="L105" s="27"/>
      <c r="M105" s="27"/>
      <c r="N105" s="27"/>
      <c r="O105" s="27"/>
      <c r="P105" s="27"/>
      <c r="Q105" s="27"/>
      <c r="R105" s="27"/>
      <c r="S105" s="27"/>
      <c r="T105" s="27"/>
      <c r="U105" s="27"/>
      <c r="V105" s="27"/>
      <c r="W105" s="27"/>
      <c r="X105" s="27"/>
      <c r="Y105" s="27"/>
      <c r="Z105" s="27"/>
    </row>
    <row r="106" ht="15.75" customHeight="1">
      <c r="A106" s="27"/>
      <c r="B106" s="27"/>
      <c r="C106" s="27"/>
      <c r="D106" s="114"/>
      <c r="E106" s="114"/>
      <c r="F106" s="27"/>
      <c r="G106" s="27"/>
      <c r="H106" s="27"/>
      <c r="I106" s="27"/>
      <c r="J106" s="27"/>
      <c r="K106" s="27"/>
      <c r="L106" s="27"/>
      <c r="M106" s="27"/>
      <c r="N106" s="27"/>
      <c r="O106" s="27"/>
      <c r="P106" s="27"/>
      <c r="Q106" s="27"/>
      <c r="R106" s="27"/>
      <c r="S106" s="27"/>
      <c r="T106" s="27"/>
      <c r="U106" s="27"/>
      <c r="V106" s="27"/>
      <c r="W106" s="27"/>
      <c r="X106" s="27"/>
      <c r="Y106" s="27"/>
      <c r="Z106" s="27"/>
    </row>
    <row r="107" ht="15.75" customHeight="1">
      <c r="A107" s="27"/>
      <c r="B107" s="27"/>
      <c r="C107" s="27"/>
      <c r="D107" s="114"/>
      <c r="E107" s="114"/>
      <c r="F107" s="27"/>
      <c r="G107" s="27"/>
      <c r="H107" s="27"/>
      <c r="I107" s="27"/>
      <c r="J107" s="27"/>
      <c r="K107" s="27"/>
      <c r="L107" s="27"/>
      <c r="M107" s="27"/>
      <c r="N107" s="27"/>
      <c r="O107" s="27"/>
      <c r="P107" s="27"/>
      <c r="Q107" s="27"/>
      <c r="R107" s="27"/>
      <c r="S107" s="27"/>
      <c r="T107" s="27"/>
      <c r="U107" s="27"/>
      <c r="V107" s="27"/>
      <c r="W107" s="27"/>
      <c r="X107" s="27"/>
      <c r="Y107" s="27"/>
      <c r="Z107" s="27"/>
    </row>
    <row r="108" ht="15.75" customHeight="1">
      <c r="A108" s="27"/>
      <c r="B108" s="27"/>
      <c r="C108" s="27"/>
      <c r="D108" s="114"/>
      <c r="E108" s="114"/>
      <c r="F108" s="27"/>
      <c r="G108" s="27"/>
      <c r="H108" s="27"/>
      <c r="I108" s="27"/>
      <c r="J108" s="27"/>
      <c r="K108" s="27"/>
      <c r="L108" s="27"/>
      <c r="M108" s="27"/>
      <c r="N108" s="27"/>
      <c r="O108" s="27"/>
      <c r="P108" s="27"/>
      <c r="Q108" s="27"/>
      <c r="R108" s="27"/>
      <c r="S108" s="27"/>
      <c r="T108" s="27"/>
      <c r="U108" s="27"/>
      <c r="V108" s="27"/>
      <c r="W108" s="27"/>
      <c r="X108" s="27"/>
      <c r="Y108" s="27"/>
      <c r="Z108" s="27"/>
    </row>
    <row r="109" ht="15.75" customHeight="1">
      <c r="A109" s="27"/>
      <c r="B109" s="27"/>
      <c r="C109" s="27"/>
      <c r="D109" s="114"/>
      <c r="E109" s="114"/>
      <c r="F109" s="27"/>
      <c r="G109" s="27"/>
      <c r="H109" s="27"/>
      <c r="I109" s="27"/>
      <c r="J109" s="27"/>
      <c r="K109" s="27"/>
      <c r="L109" s="27"/>
      <c r="M109" s="27"/>
      <c r="N109" s="27"/>
      <c r="O109" s="27"/>
      <c r="P109" s="27"/>
      <c r="Q109" s="27"/>
      <c r="R109" s="27"/>
      <c r="S109" s="27"/>
      <c r="T109" s="27"/>
      <c r="U109" s="27"/>
      <c r="V109" s="27"/>
      <c r="W109" s="27"/>
      <c r="X109" s="27"/>
      <c r="Y109" s="27"/>
      <c r="Z109" s="27"/>
    </row>
    <row r="110" ht="15.75" customHeight="1">
      <c r="A110" s="27"/>
      <c r="B110" s="27"/>
      <c r="C110" s="27"/>
      <c r="D110" s="114"/>
      <c r="E110" s="114"/>
      <c r="F110" s="27"/>
      <c r="G110" s="27"/>
      <c r="H110" s="27"/>
      <c r="I110" s="27"/>
      <c r="J110" s="27"/>
      <c r="K110" s="27"/>
      <c r="L110" s="27"/>
      <c r="M110" s="27"/>
      <c r="N110" s="27"/>
      <c r="O110" s="27"/>
      <c r="P110" s="27"/>
      <c r="Q110" s="27"/>
      <c r="R110" s="27"/>
      <c r="S110" s="27"/>
      <c r="T110" s="27"/>
      <c r="U110" s="27"/>
      <c r="V110" s="27"/>
      <c r="W110" s="27"/>
      <c r="X110" s="27"/>
      <c r="Y110" s="27"/>
      <c r="Z110" s="27"/>
    </row>
    <row r="111" ht="15.75" customHeight="1">
      <c r="A111" s="27"/>
      <c r="B111" s="27"/>
      <c r="C111" s="27"/>
      <c r="D111" s="114"/>
      <c r="E111" s="114"/>
      <c r="F111" s="27"/>
      <c r="G111" s="27"/>
      <c r="H111" s="27"/>
      <c r="I111" s="27"/>
      <c r="J111" s="27"/>
      <c r="K111" s="27"/>
      <c r="L111" s="27"/>
      <c r="M111" s="27"/>
      <c r="N111" s="27"/>
      <c r="O111" s="27"/>
      <c r="P111" s="27"/>
      <c r="Q111" s="27"/>
      <c r="R111" s="27"/>
      <c r="S111" s="27"/>
      <c r="T111" s="27"/>
      <c r="U111" s="27"/>
      <c r="V111" s="27"/>
      <c r="W111" s="27"/>
      <c r="X111" s="27"/>
      <c r="Y111" s="27"/>
      <c r="Z111" s="27"/>
    </row>
    <row r="112" ht="15.75" customHeight="1">
      <c r="A112" s="27"/>
      <c r="B112" s="27"/>
      <c r="C112" s="27"/>
      <c r="D112" s="114"/>
      <c r="E112" s="114"/>
      <c r="F112" s="27"/>
      <c r="G112" s="27"/>
      <c r="H112" s="27"/>
      <c r="I112" s="27"/>
      <c r="J112" s="27"/>
      <c r="K112" s="27"/>
      <c r="L112" s="27"/>
      <c r="M112" s="27"/>
      <c r="N112" s="27"/>
      <c r="O112" s="27"/>
      <c r="P112" s="27"/>
      <c r="Q112" s="27"/>
      <c r="R112" s="27"/>
      <c r="S112" s="27"/>
      <c r="T112" s="27"/>
      <c r="U112" s="27"/>
      <c r="V112" s="27"/>
      <c r="W112" s="27"/>
      <c r="X112" s="27"/>
      <c r="Y112" s="27"/>
      <c r="Z112" s="27"/>
    </row>
    <row r="113" ht="15.75" customHeight="1">
      <c r="A113" s="27"/>
      <c r="B113" s="27"/>
      <c r="C113" s="27"/>
      <c r="D113" s="114"/>
      <c r="E113" s="114"/>
      <c r="F113" s="27"/>
      <c r="G113" s="27"/>
      <c r="H113" s="27"/>
      <c r="I113" s="27"/>
      <c r="J113" s="27"/>
      <c r="K113" s="27"/>
      <c r="L113" s="27"/>
      <c r="M113" s="27"/>
      <c r="N113" s="27"/>
      <c r="O113" s="27"/>
      <c r="P113" s="27"/>
      <c r="Q113" s="27"/>
      <c r="R113" s="27"/>
      <c r="S113" s="27"/>
      <c r="T113" s="27"/>
      <c r="U113" s="27"/>
      <c r="V113" s="27"/>
      <c r="W113" s="27"/>
      <c r="X113" s="27"/>
      <c r="Y113" s="27"/>
      <c r="Z113" s="27"/>
    </row>
    <row r="114" ht="15.75" customHeight="1">
      <c r="A114" s="27"/>
      <c r="B114" s="27"/>
      <c r="C114" s="27"/>
      <c r="D114" s="114"/>
      <c r="E114" s="114"/>
      <c r="F114" s="27"/>
      <c r="G114" s="27"/>
      <c r="H114" s="27"/>
      <c r="I114" s="27"/>
      <c r="J114" s="27"/>
      <c r="K114" s="27"/>
      <c r="L114" s="27"/>
      <c r="M114" s="27"/>
      <c r="N114" s="27"/>
      <c r="O114" s="27"/>
      <c r="P114" s="27"/>
      <c r="Q114" s="27"/>
      <c r="R114" s="27"/>
      <c r="S114" s="27"/>
      <c r="T114" s="27"/>
      <c r="U114" s="27"/>
      <c r="V114" s="27"/>
      <c r="W114" s="27"/>
      <c r="X114" s="27"/>
      <c r="Y114" s="27"/>
      <c r="Z114" s="27"/>
    </row>
    <row r="115" ht="15.75" customHeight="1">
      <c r="A115" s="27"/>
      <c r="B115" s="27"/>
      <c r="C115" s="27"/>
      <c r="D115" s="114"/>
      <c r="E115" s="114"/>
      <c r="F115" s="27"/>
      <c r="G115" s="27"/>
      <c r="H115" s="27"/>
      <c r="I115" s="27"/>
      <c r="J115" s="27"/>
      <c r="K115" s="27"/>
      <c r="L115" s="27"/>
      <c r="M115" s="27"/>
      <c r="N115" s="27"/>
      <c r="O115" s="27"/>
      <c r="P115" s="27"/>
      <c r="Q115" s="27"/>
      <c r="R115" s="27"/>
      <c r="S115" s="27"/>
      <c r="T115" s="27"/>
      <c r="U115" s="27"/>
      <c r="V115" s="27"/>
      <c r="W115" s="27"/>
      <c r="X115" s="27"/>
      <c r="Y115" s="27"/>
      <c r="Z115" s="27"/>
    </row>
    <row r="116" ht="15.75" customHeight="1">
      <c r="A116" s="27"/>
      <c r="B116" s="27"/>
      <c r="C116" s="27"/>
      <c r="D116" s="114"/>
      <c r="E116" s="114"/>
      <c r="F116" s="27"/>
      <c r="G116" s="27"/>
      <c r="H116" s="27"/>
      <c r="I116" s="27"/>
      <c r="J116" s="27"/>
      <c r="K116" s="27"/>
      <c r="L116" s="27"/>
      <c r="M116" s="27"/>
      <c r="N116" s="27"/>
      <c r="O116" s="27"/>
      <c r="P116" s="27"/>
      <c r="Q116" s="27"/>
      <c r="R116" s="27"/>
      <c r="S116" s="27"/>
      <c r="T116" s="27"/>
      <c r="U116" s="27"/>
      <c r="V116" s="27"/>
      <c r="W116" s="27"/>
      <c r="X116" s="27"/>
      <c r="Y116" s="27"/>
      <c r="Z116" s="27"/>
    </row>
    <row r="117" ht="15.75" customHeight="1">
      <c r="A117" s="27"/>
      <c r="B117" s="27"/>
      <c r="C117" s="27"/>
      <c r="D117" s="114"/>
      <c r="E117" s="114"/>
      <c r="F117" s="27"/>
      <c r="G117" s="27"/>
      <c r="H117" s="27"/>
      <c r="I117" s="27"/>
      <c r="J117" s="27"/>
      <c r="K117" s="27"/>
      <c r="L117" s="27"/>
      <c r="M117" s="27"/>
      <c r="N117" s="27"/>
      <c r="O117" s="27"/>
      <c r="P117" s="27"/>
      <c r="Q117" s="27"/>
      <c r="R117" s="27"/>
      <c r="S117" s="27"/>
      <c r="T117" s="27"/>
      <c r="U117" s="27"/>
      <c r="V117" s="27"/>
      <c r="W117" s="27"/>
      <c r="X117" s="27"/>
      <c r="Y117" s="27"/>
      <c r="Z117" s="27"/>
    </row>
    <row r="118" ht="15.75" customHeight="1">
      <c r="A118" s="27"/>
      <c r="B118" s="27"/>
      <c r="C118" s="27"/>
      <c r="D118" s="114"/>
      <c r="E118" s="114"/>
      <c r="F118" s="27"/>
      <c r="G118" s="27"/>
      <c r="H118" s="27"/>
      <c r="I118" s="27"/>
      <c r="J118" s="27"/>
      <c r="K118" s="27"/>
      <c r="L118" s="27"/>
      <c r="M118" s="27"/>
      <c r="N118" s="27"/>
      <c r="O118" s="27"/>
      <c r="P118" s="27"/>
      <c r="Q118" s="27"/>
      <c r="R118" s="27"/>
      <c r="S118" s="27"/>
      <c r="T118" s="27"/>
      <c r="U118" s="27"/>
      <c r="V118" s="27"/>
      <c r="W118" s="27"/>
      <c r="X118" s="27"/>
      <c r="Y118" s="27"/>
      <c r="Z118" s="27"/>
    </row>
    <row r="119" ht="15.75" customHeight="1">
      <c r="A119" s="27"/>
      <c r="B119" s="27"/>
      <c r="C119" s="27"/>
      <c r="D119" s="114"/>
      <c r="E119" s="114"/>
      <c r="F119" s="27"/>
      <c r="G119" s="27"/>
      <c r="H119" s="27"/>
      <c r="I119" s="27"/>
      <c r="J119" s="27"/>
      <c r="K119" s="27"/>
      <c r="L119" s="27"/>
      <c r="M119" s="27"/>
      <c r="N119" s="27"/>
      <c r="O119" s="27"/>
      <c r="P119" s="27"/>
      <c r="Q119" s="27"/>
      <c r="R119" s="27"/>
      <c r="S119" s="27"/>
      <c r="T119" s="27"/>
      <c r="U119" s="27"/>
      <c r="V119" s="27"/>
      <c r="W119" s="27"/>
      <c r="X119" s="27"/>
      <c r="Y119" s="27"/>
      <c r="Z119" s="27"/>
    </row>
    <row r="120" ht="15.75" customHeight="1">
      <c r="A120" s="27"/>
      <c r="B120" s="27"/>
      <c r="C120" s="27"/>
      <c r="D120" s="114"/>
      <c r="E120" s="114"/>
      <c r="F120" s="27"/>
      <c r="G120" s="27"/>
      <c r="H120" s="27"/>
      <c r="I120" s="27"/>
      <c r="J120" s="27"/>
      <c r="K120" s="27"/>
      <c r="L120" s="27"/>
      <c r="M120" s="27"/>
      <c r="N120" s="27"/>
      <c r="O120" s="27"/>
      <c r="P120" s="27"/>
      <c r="Q120" s="27"/>
      <c r="R120" s="27"/>
      <c r="S120" s="27"/>
      <c r="T120" s="27"/>
      <c r="U120" s="27"/>
      <c r="V120" s="27"/>
      <c r="W120" s="27"/>
      <c r="X120" s="27"/>
      <c r="Y120" s="27"/>
      <c r="Z120" s="27"/>
    </row>
    <row r="121" ht="15.75" customHeight="1">
      <c r="A121" s="27"/>
      <c r="B121" s="27"/>
      <c r="C121" s="27"/>
      <c r="D121" s="114"/>
      <c r="E121" s="114"/>
      <c r="F121" s="27"/>
      <c r="G121" s="27"/>
      <c r="H121" s="27"/>
      <c r="I121" s="27"/>
      <c r="J121" s="27"/>
      <c r="K121" s="27"/>
      <c r="L121" s="27"/>
      <c r="M121" s="27"/>
      <c r="N121" s="27"/>
      <c r="O121" s="27"/>
      <c r="P121" s="27"/>
      <c r="Q121" s="27"/>
      <c r="R121" s="27"/>
      <c r="S121" s="27"/>
      <c r="T121" s="27"/>
      <c r="U121" s="27"/>
      <c r="V121" s="27"/>
      <c r="W121" s="27"/>
      <c r="X121" s="27"/>
      <c r="Y121" s="27"/>
      <c r="Z121" s="27"/>
    </row>
    <row r="122" ht="15.75" customHeight="1">
      <c r="A122" s="27"/>
      <c r="B122" s="27"/>
      <c r="C122" s="27"/>
      <c r="D122" s="114"/>
      <c r="E122" s="114"/>
      <c r="F122" s="27"/>
      <c r="G122" s="27"/>
      <c r="H122" s="27"/>
      <c r="I122" s="27"/>
      <c r="J122" s="27"/>
      <c r="K122" s="27"/>
      <c r="L122" s="27"/>
      <c r="M122" s="27"/>
      <c r="N122" s="27"/>
      <c r="O122" s="27"/>
      <c r="P122" s="27"/>
      <c r="Q122" s="27"/>
      <c r="R122" s="27"/>
      <c r="S122" s="27"/>
      <c r="T122" s="27"/>
      <c r="U122" s="27"/>
      <c r="V122" s="27"/>
      <c r="W122" s="27"/>
      <c r="X122" s="27"/>
      <c r="Y122" s="27"/>
      <c r="Z122" s="27"/>
    </row>
    <row r="123" ht="15.75" customHeight="1">
      <c r="A123" s="27"/>
      <c r="B123" s="27"/>
      <c r="C123" s="27"/>
      <c r="D123" s="114"/>
      <c r="E123" s="114"/>
      <c r="F123" s="27"/>
      <c r="G123" s="27"/>
      <c r="H123" s="27"/>
      <c r="I123" s="27"/>
      <c r="J123" s="27"/>
      <c r="K123" s="27"/>
      <c r="L123" s="27"/>
      <c r="M123" s="27"/>
      <c r="N123" s="27"/>
      <c r="O123" s="27"/>
      <c r="P123" s="27"/>
      <c r="Q123" s="27"/>
      <c r="R123" s="27"/>
      <c r="S123" s="27"/>
      <c r="T123" s="27"/>
      <c r="U123" s="27"/>
      <c r="V123" s="27"/>
      <c r="W123" s="27"/>
      <c r="X123" s="27"/>
      <c r="Y123" s="27"/>
      <c r="Z123" s="27"/>
    </row>
    <row r="124" ht="15.75" customHeight="1">
      <c r="A124" s="27"/>
      <c r="B124" s="27"/>
      <c r="C124" s="27"/>
      <c r="D124" s="114"/>
      <c r="E124" s="114"/>
      <c r="F124" s="27"/>
      <c r="G124" s="27"/>
      <c r="H124" s="27"/>
      <c r="I124" s="27"/>
      <c r="J124" s="27"/>
      <c r="K124" s="27"/>
      <c r="L124" s="27"/>
      <c r="M124" s="27"/>
      <c r="N124" s="27"/>
      <c r="O124" s="27"/>
      <c r="P124" s="27"/>
      <c r="Q124" s="27"/>
      <c r="R124" s="27"/>
      <c r="S124" s="27"/>
      <c r="T124" s="27"/>
      <c r="U124" s="27"/>
      <c r="V124" s="27"/>
      <c r="W124" s="27"/>
      <c r="X124" s="27"/>
      <c r="Y124" s="27"/>
      <c r="Z124" s="27"/>
    </row>
    <row r="125" ht="15.75" customHeight="1">
      <c r="A125" s="27"/>
      <c r="B125" s="27"/>
      <c r="C125" s="27"/>
      <c r="D125" s="114"/>
      <c r="E125" s="114"/>
      <c r="F125" s="27"/>
      <c r="G125" s="27"/>
      <c r="H125" s="27"/>
      <c r="I125" s="27"/>
      <c r="J125" s="27"/>
      <c r="K125" s="27"/>
      <c r="L125" s="27"/>
      <c r="M125" s="27"/>
      <c r="N125" s="27"/>
      <c r="O125" s="27"/>
      <c r="P125" s="27"/>
      <c r="Q125" s="27"/>
      <c r="R125" s="27"/>
      <c r="S125" s="27"/>
      <c r="T125" s="27"/>
      <c r="U125" s="27"/>
      <c r="V125" s="27"/>
      <c r="W125" s="27"/>
      <c r="X125" s="27"/>
      <c r="Y125" s="27"/>
      <c r="Z125" s="27"/>
    </row>
    <row r="126" ht="15.75" customHeight="1">
      <c r="A126" s="27"/>
      <c r="B126" s="27"/>
      <c r="C126" s="27"/>
      <c r="D126" s="114"/>
      <c r="E126" s="114"/>
      <c r="F126" s="27"/>
      <c r="G126" s="27"/>
      <c r="H126" s="27"/>
      <c r="I126" s="27"/>
      <c r="J126" s="27"/>
      <c r="K126" s="27"/>
      <c r="L126" s="27"/>
      <c r="M126" s="27"/>
      <c r="N126" s="27"/>
      <c r="O126" s="27"/>
      <c r="P126" s="27"/>
      <c r="Q126" s="27"/>
      <c r="R126" s="27"/>
      <c r="S126" s="27"/>
      <c r="T126" s="27"/>
      <c r="U126" s="27"/>
      <c r="V126" s="27"/>
      <c r="W126" s="27"/>
      <c r="X126" s="27"/>
      <c r="Y126" s="27"/>
      <c r="Z126" s="27"/>
    </row>
    <row r="127" ht="15.75" customHeight="1">
      <c r="A127" s="27"/>
      <c r="B127" s="27"/>
      <c r="C127" s="27"/>
      <c r="D127" s="114"/>
      <c r="E127" s="114"/>
      <c r="F127" s="27"/>
      <c r="G127" s="27"/>
      <c r="H127" s="27"/>
      <c r="I127" s="27"/>
      <c r="J127" s="27"/>
      <c r="K127" s="27"/>
      <c r="L127" s="27"/>
      <c r="M127" s="27"/>
      <c r="N127" s="27"/>
      <c r="O127" s="27"/>
      <c r="P127" s="27"/>
      <c r="Q127" s="27"/>
      <c r="R127" s="27"/>
      <c r="S127" s="27"/>
      <c r="T127" s="27"/>
      <c r="U127" s="27"/>
      <c r="V127" s="27"/>
      <c r="W127" s="27"/>
      <c r="X127" s="27"/>
      <c r="Y127" s="27"/>
      <c r="Z127" s="27"/>
    </row>
    <row r="128" ht="15.75" customHeight="1">
      <c r="A128" s="27"/>
      <c r="B128" s="27"/>
      <c r="C128" s="27"/>
      <c r="D128" s="114"/>
      <c r="E128" s="114"/>
      <c r="F128" s="27"/>
      <c r="G128" s="27"/>
      <c r="H128" s="27"/>
      <c r="I128" s="27"/>
      <c r="J128" s="27"/>
      <c r="K128" s="27"/>
      <c r="L128" s="27"/>
      <c r="M128" s="27"/>
      <c r="N128" s="27"/>
      <c r="O128" s="27"/>
      <c r="P128" s="27"/>
      <c r="Q128" s="27"/>
      <c r="R128" s="27"/>
      <c r="S128" s="27"/>
      <c r="T128" s="27"/>
      <c r="U128" s="27"/>
      <c r="V128" s="27"/>
      <c r="W128" s="27"/>
      <c r="X128" s="27"/>
      <c r="Y128" s="27"/>
      <c r="Z128" s="27"/>
    </row>
    <row r="129" ht="15.75" customHeight="1">
      <c r="A129" s="27"/>
      <c r="B129" s="27"/>
      <c r="C129" s="27"/>
      <c r="D129" s="114"/>
      <c r="E129" s="114"/>
      <c r="F129" s="27"/>
      <c r="G129" s="27"/>
      <c r="H129" s="27"/>
      <c r="I129" s="27"/>
      <c r="J129" s="27"/>
      <c r="K129" s="27"/>
      <c r="L129" s="27"/>
      <c r="M129" s="27"/>
      <c r="N129" s="27"/>
      <c r="O129" s="27"/>
      <c r="P129" s="27"/>
      <c r="Q129" s="27"/>
      <c r="R129" s="27"/>
      <c r="S129" s="27"/>
      <c r="T129" s="27"/>
      <c r="U129" s="27"/>
      <c r="V129" s="27"/>
      <c r="W129" s="27"/>
      <c r="X129" s="27"/>
      <c r="Y129" s="27"/>
      <c r="Z129" s="27"/>
    </row>
    <row r="130" ht="15.75" customHeight="1">
      <c r="A130" s="27"/>
      <c r="B130" s="27"/>
      <c r="C130" s="27"/>
      <c r="D130" s="114"/>
      <c r="E130" s="114"/>
      <c r="F130" s="27"/>
      <c r="G130" s="27"/>
      <c r="H130" s="27"/>
      <c r="I130" s="27"/>
      <c r="J130" s="27"/>
      <c r="K130" s="27"/>
      <c r="L130" s="27"/>
      <c r="M130" s="27"/>
      <c r="N130" s="27"/>
      <c r="O130" s="27"/>
      <c r="P130" s="27"/>
      <c r="Q130" s="27"/>
      <c r="R130" s="27"/>
      <c r="S130" s="27"/>
      <c r="T130" s="27"/>
      <c r="U130" s="27"/>
      <c r="V130" s="27"/>
      <c r="W130" s="27"/>
      <c r="X130" s="27"/>
      <c r="Y130" s="27"/>
      <c r="Z130" s="27"/>
    </row>
    <row r="131" ht="15.75" customHeight="1">
      <c r="A131" s="27"/>
      <c r="B131" s="27"/>
      <c r="C131" s="27"/>
      <c r="D131" s="114"/>
      <c r="E131" s="114"/>
      <c r="F131" s="27"/>
      <c r="G131" s="27"/>
      <c r="H131" s="27"/>
      <c r="I131" s="27"/>
      <c r="J131" s="27"/>
      <c r="K131" s="27"/>
      <c r="L131" s="27"/>
      <c r="M131" s="27"/>
      <c r="N131" s="27"/>
      <c r="O131" s="27"/>
      <c r="P131" s="27"/>
      <c r="Q131" s="27"/>
      <c r="R131" s="27"/>
      <c r="S131" s="27"/>
      <c r="T131" s="27"/>
      <c r="U131" s="27"/>
      <c r="V131" s="27"/>
      <c r="W131" s="27"/>
      <c r="X131" s="27"/>
      <c r="Y131" s="27"/>
      <c r="Z131" s="27"/>
    </row>
    <row r="132" ht="15.75" customHeight="1">
      <c r="A132" s="27"/>
      <c r="B132" s="27"/>
      <c r="C132" s="27"/>
      <c r="D132" s="114"/>
      <c r="E132" s="114"/>
      <c r="F132" s="27"/>
      <c r="G132" s="27"/>
      <c r="H132" s="27"/>
      <c r="I132" s="27"/>
      <c r="J132" s="27"/>
      <c r="K132" s="27"/>
      <c r="L132" s="27"/>
      <c r="M132" s="27"/>
      <c r="N132" s="27"/>
      <c r="O132" s="27"/>
      <c r="P132" s="27"/>
      <c r="Q132" s="27"/>
      <c r="R132" s="27"/>
      <c r="S132" s="27"/>
      <c r="T132" s="27"/>
      <c r="U132" s="27"/>
      <c r="V132" s="27"/>
      <c r="W132" s="27"/>
      <c r="X132" s="27"/>
      <c r="Y132" s="27"/>
      <c r="Z132" s="27"/>
    </row>
    <row r="133" ht="15.75" customHeight="1">
      <c r="A133" s="27"/>
      <c r="B133" s="27"/>
      <c r="C133" s="27"/>
      <c r="D133" s="114"/>
      <c r="E133" s="114"/>
      <c r="F133" s="27"/>
      <c r="G133" s="27"/>
      <c r="H133" s="27"/>
      <c r="I133" s="27"/>
      <c r="J133" s="27"/>
      <c r="K133" s="27"/>
      <c r="L133" s="27"/>
      <c r="M133" s="27"/>
      <c r="N133" s="27"/>
      <c r="O133" s="27"/>
      <c r="P133" s="27"/>
      <c r="Q133" s="27"/>
      <c r="R133" s="27"/>
      <c r="S133" s="27"/>
      <c r="T133" s="27"/>
      <c r="U133" s="27"/>
      <c r="V133" s="27"/>
      <c r="W133" s="27"/>
      <c r="X133" s="27"/>
      <c r="Y133" s="27"/>
      <c r="Z133" s="27"/>
    </row>
    <row r="134" ht="15.75" customHeight="1">
      <c r="A134" s="27"/>
      <c r="B134" s="27"/>
      <c r="C134" s="27"/>
      <c r="D134" s="114"/>
      <c r="E134" s="114"/>
      <c r="F134" s="27"/>
      <c r="G134" s="27"/>
      <c r="H134" s="27"/>
      <c r="I134" s="27"/>
      <c r="J134" s="27"/>
      <c r="K134" s="27"/>
      <c r="L134" s="27"/>
      <c r="M134" s="27"/>
      <c r="N134" s="27"/>
      <c r="O134" s="27"/>
      <c r="P134" s="27"/>
      <c r="Q134" s="27"/>
      <c r="R134" s="27"/>
      <c r="S134" s="27"/>
      <c r="T134" s="27"/>
      <c r="U134" s="27"/>
      <c r="V134" s="27"/>
      <c r="W134" s="27"/>
      <c r="X134" s="27"/>
      <c r="Y134" s="27"/>
      <c r="Z134" s="27"/>
    </row>
    <row r="135" ht="15.75" customHeight="1">
      <c r="A135" s="27"/>
      <c r="B135" s="27"/>
      <c r="C135" s="27"/>
      <c r="D135" s="114"/>
      <c r="E135" s="114"/>
      <c r="F135" s="27"/>
      <c r="G135" s="27"/>
      <c r="H135" s="27"/>
      <c r="I135" s="27"/>
      <c r="J135" s="27"/>
      <c r="K135" s="27"/>
      <c r="L135" s="27"/>
      <c r="M135" s="27"/>
      <c r="N135" s="27"/>
      <c r="O135" s="27"/>
      <c r="P135" s="27"/>
      <c r="Q135" s="27"/>
      <c r="R135" s="27"/>
      <c r="S135" s="27"/>
      <c r="T135" s="27"/>
      <c r="U135" s="27"/>
      <c r="V135" s="27"/>
      <c r="W135" s="27"/>
      <c r="X135" s="27"/>
      <c r="Y135" s="27"/>
      <c r="Z135" s="27"/>
    </row>
    <row r="136" ht="15.75" customHeight="1">
      <c r="A136" s="27"/>
      <c r="B136" s="27"/>
      <c r="C136" s="27"/>
      <c r="D136" s="114"/>
      <c r="E136" s="114"/>
      <c r="F136" s="27"/>
      <c r="G136" s="27"/>
      <c r="H136" s="27"/>
      <c r="I136" s="27"/>
      <c r="J136" s="27"/>
      <c r="K136" s="27"/>
      <c r="L136" s="27"/>
      <c r="M136" s="27"/>
      <c r="N136" s="27"/>
      <c r="O136" s="27"/>
      <c r="P136" s="27"/>
      <c r="Q136" s="27"/>
      <c r="R136" s="27"/>
      <c r="S136" s="27"/>
      <c r="T136" s="27"/>
      <c r="U136" s="27"/>
      <c r="V136" s="27"/>
      <c r="W136" s="27"/>
      <c r="X136" s="27"/>
      <c r="Y136" s="27"/>
      <c r="Z136" s="27"/>
    </row>
    <row r="137" ht="15.75" customHeight="1">
      <c r="A137" s="27"/>
      <c r="B137" s="27"/>
      <c r="C137" s="27"/>
      <c r="D137" s="114"/>
      <c r="E137" s="114"/>
      <c r="F137" s="27"/>
      <c r="G137" s="27"/>
      <c r="H137" s="27"/>
      <c r="I137" s="27"/>
      <c r="J137" s="27"/>
      <c r="K137" s="27"/>
      <c r="L137" s="27"/>
      <c r="M137" s="27"/>
      <c r="N137" s="27"/>
      <c r="O137" s="27"/>
      <c r="P137" s="27"/>
      <c r="Q137" s="27"/>
      <c r="R137" s="27"/>
      <c r="S137" s="27"/>
      <c r="T137" s="27"/>
      <c r="U137" s="27"/>
      <c r="V137" s="27"/>
      <c r="W137" s="27"/>
      <c r="X137" s="27"/>
      <c r="Y137" s="27"/>
      <c r="Z137" s="27"/>
    </row>
    <row r="138" ht="15.75" customHeight="1">
      <c r="A138" s="27"/>
      <c r="B138" s="27"/>
      <c r="C138" s="27"/>
      <c r="D138" s="114"/>
      <c r="E138" s="114"/>
      <c r="F138" s="27"/>
      <c r="G138" s="27"/>
      <c r="H138" s="27"/>
      <c r="I138" s="27"/>
      <c r="J138" s="27"/>
      <c r="K138" s="27"/>
      <c r="L138" s="27"/>
      <c r="M138" s="27"/>
      <c r="N138" s="27"/>
      <c r="O138" s="27"/>
      <c r="P138" s="27"/>
      <c r="Q138" s="27"/>
      <c r="R138" s="27"/>
      <c r="S138" s="27"/>
      <c r="T138" s="27"/>
      <c r="U138" s="27"/>
      <c r="V138" s="27"/>
      <c r="W138" s="27"/>
      <c r="X138" s="27"/>
      <c r="Y138" s="27"/>
      <c r="Z138" s="27"/>
    </row>
    <row r="139" ht="15.75" customHeight="1">
      <c r="A139" s="27"/>
      <c r="B139" s="27"/>
      <c r="C139" s="27"/>
      <c r="D139" s="114"/>
      <c r="E139" s="114"/>
      <c r="F139" s="27"/>
      <c r="G139" s="27"/>
      <c r="H139" s="27"/>
      <c r="I139" s="27"/>
      <c r="J139" s="27"/>
      <c r="K139" s="27"/>
      <c r="L139" s="27"/>
      <c r="M139" s="27"/>
      <c r="N139" s="27"/>
      <c r="O139" s="27"/>
      <c r="P139" s="27"/>
      <c r="Q139" s="27"/>
      <c r="R139" s="27"/>
      <c r="S139" s="27"/>
      <c r="T139" s="27"/>
      <c r="U139" s="27"/>
      <c r="V139" s="27"/>
      <c r="W139" s="27"/>
      <c r="X139" s="27"/>
      <c r="Y139" s="27"/>
      <c r="Z139" s="27"/>
    </row>
    <row r="140" ht="15.75" customHeight="1">
      <c r="A140" s="27"/>
      <c r="B140" s="27"/>
      <c r="C140" s="27"/>
      <c r="D140" s="114"/>
      <c r="E140" s="114"/>
      <c r="F140" s="27"/>
      <c r="G140" s="27"/>
      <c r="H140" s="27"/>
      <c r="I140" s="27"/>
      <c r="J140" s="27"/>
      <c r="K140" s="27"/>
      <c r="L140" s="27"/>
      <c r="M140" s="27"/>
      <c r="N140" s="27"/>
      <c r="O140" s="27"/>
      <c r="P140" s="27"/>
      <c r="Q140" s="27"/>
      <c r="R140" s="27"/>
      <c r="S140" s="27"/>
      <c r="T140" s="27"/>
      <c r="U140" s="27"/>
      <c r="V140" s="27"/>
      <c r="W140" s="27"/>
      <c r="X140" s="27"/>
      <c r="Y140" s="27"/>
      <c r="Z140" s="27"/>
    </row>
    <row r="141" ht="15.75" customHeight="1">
      <c r="A141" s="27"/>
      <c r="B141" s="27"/>
      <c r="C141" s="27"/>
      <c r="D141" s="114"/>
      <c r="E141" s="114"/>
      <c r="F141" s="27"/>
      <c r="G141" s="27"/>
      <c r="H141" s="27"/>
      <c r="I141" s="27"/>
      <c r="J141" s="27"/>
      <c r="K141" s="27"/>
      <c r="L141" s="27"/>
      <c r="M141" s="27"/>
      <c r="N141" s="27"/>
      <c r="O141" s="27"/>
      <c r="P141" s="27"/>
      <c r="Q141" s="27"/>
      <c r="R141" s="27"/>
      <c r="S141" s="27"/>
      <c r="T141" s="27"/>
      <c r="U141" s="27"/>
      <c r="V141" s="27"/>
      <c r="W141" s="27"/>
      <c r="X141" s="27"/>
      <c r="Y141" s="27"/>
      <c r="Z141" s="27"/>
    </row>
    <row r="142" ht="15.75" customHeight="1">
      <c r="A142" s="27"/>
      <c r="B142" s="27"/>
      <c r="C142" s="27"/>
      <c r="D142" s="114"/>
      <c r="E142" s="114"/>
      <c r="F142" s="27"/>
      <c r="G142" s="27"/>
      <c r="H142" s="27"/>
      <c r="I142" s="27"/>
      <c r="J142" s="27"/>
      <c r="K142" s="27"/>
      <c r="L142" s="27"/>
      <c r="M142" s="27"/>
      <c r="N142" s="27"/>
      <c r="O142" s="27"/>
      <c r="P142" s="27"/>
      <c r="Q142" s="27"/>
      <c r="R142" s="27"/>
      <c r="S142" s="27"/>
      <c r="T142" s="27"/>
      <c r="U142" s="27"/>
      <c r="V142" s="27"/>
      <c r="W142" s="27"/>
      <c r="X142" s="27"/>
      <c r="Y142" s="27"/>
      <c r="Z142" s="27"/>
    </row>
    <row r="143" ht="15.75" customHeight="1">
      <c r="A143" s="27"/>
      <c r="B143" s="27"/>
      <c r="C143" s="27"/>
      <c r="D143" s="114"/>
      <c r="E143" s="114"/>
      <c r="F143" s="27"/>
      <c r="G143" s="27"/>
      <c r="H143" s="27"/>
      <c r="I143" s="27"/>
      <c r="J143" s="27"/>
      <c r="K143" s="27"/>
      <c r="L143" s="27"/>
      <c r="M143" s="27"/>
      <c r="N143" s="27"/>
      <c r="O143" s="27"/>
      <c r="P143" s="27"/>
      <c r="Q143" s="27"/>
      <c r="R143" s="27"/>
      <c r="S143" s="27"/>
      <c r="T143" s="27"/>
      <c r="U143" s="27"/>
      <c r="V143" s="27"/>
      <c r="W143" s="27"/>
      <c r="X143" s="27"/>
      <c r="Y143" s="27"/>
      <c r="Z143" s="27"/>
    </row>
    <row r="144" ht="15.75" customHeight="1">
      <c r="A144" s="27"/>
      <c r="B144" s="27"/>
      <c r="C144" s="27"/>
      <c r="D144" s="114"/>
      <c r="E144" s="114"/>
      <c r="F144" s="27"/>
      <c r="G144" s="27"/>
      <c r="H144" s="27"/>
      <c r="I144" s="27"/>
      <c r="J144" s="27"/>
      <c r="K144" s="27"/>
      <c r="L144" s="27"/>
      <c r="M144" s="27"/>
      <c r="N144" s="27"/>
      <c r="O144" s="27"/>
      <c r="P144" s="27"/>
      <c r="Q144" s="27"/>
      <c r="R144" s="27"/>
      <c r="S144" s="27"/>
      <c r="T144" s="27"/>
      <c r="U144" s="27"/>
      <c r="V144" s="27"/>
      <c r="W144" s="27"/>
      <c r="X144" s="27"/>
      <c r="Y144" s="27"/>
      <c r="Z144" s="27"/>
    </row>
    <row r="145" ht="15.75" customHeight="1">
      <c r="A145" s="27"/>
      <c r="B145" s="27"/>
      <c r="C145" s="27"/>
      <c r="D145" s="114"/>
      <c r="E145" s="114"/>
      <c r="F145" s="27"/>
      <c r="G145" s="27"/>
      <c r="H145" s="27"/>
      <c r="I145" s="27"/>
      <c r="J145" s="27"/>
      <c r="K145" s="27"/>
      <c r="L145" s="27"/>
      <c r="M145" s="27"/>
      <c r="N145" s="27"/>
      <c r="O145" s="27"/>
      <c r="P145" s="27"/>
      <c r="Q145" s="27"/>
      <c r="R145" s="27"/>
      <c r="S145" s="27"/>
      <c r="T145" s="27"/>
      <c r="U145" s="27"/>
      <c r="V145" s="27"/>
      <c r="W145" s="27"/>
      <c r="X145" s="27"/>
      <c r="Y145" s="27"/>
      <c r="Z145" s="27"/>
    </row>
    <row r="146" ht="15.75" customHeight="1">
      <c r="A146" s="27"/>
      <c r="B146" s="27"/>
      <c r="C146" s="27"/>
      <c r="D146" s="114"/>
      <c r="E146" s="114"/>
      <c r="F146" s="27"/>
      <c r="G146" s="27"/>
      <c r="H146" s="27"/>
      <c r="I146" s="27"/>
      <c r="J146" s="27"/>
      <c r="K146" s="27"/>
      <c r="L146" s="27"/>
      <c r="M146" s="27"/>
      <c r="N146" s="27"/>
      <c r="O146" s="27"/>
      <c r="P146" s="27"/>
      <c r="Q146" s="27"/>
      <c r="R146" s="27"/>
      <c r="S146" s="27"/>
      <c r="T146" s="27"/>
      <c r="U146" s="27"/>
      <c r="V146" s="27"/>
      <c r="W146" s="27"/>
      <c r="X146" s="27"/>
      <c r="Y146" s="27"/>
      <c r="Z146" s="27"/>
    </row>
    <row r="147" ht="15.75" customHeight="1">
      <c r="A147" s="27"/>
      <c r="B147" s="27"/>
      <c r="C147" s="27"/>
      <c r="D147" s="114"/>
      <c r="E147" s="114"/>
      <c r="F147" s="27"/>
      <c r="G147" s="27"/>
      <c r="H147" s="27"/>
      <c r="I147" s="27"/>
      <c r="J147" s="27"/>
      <c r="K147" s="27"/>
      <c r="L147" s="27"/>
      <c r="M147" s="27"/>
      <c r="N147" s="27"/>
      <c r="O147" s="27"/>
      <c r="P147" s="27"/>
      <c r="Q147" s="27"/>
      <c r="R147" s="27"/>
      <c r="S147" s="27"/>
      <c r="T147" s="27"/>
      <c r="U147" s="27"/>
      <c r="V147" s="27"/>
      <c r="W147" s="27"/>
      <c r="X147" s="27"/>
      <c r="Y147" s="27"/>
      <c r="Z147" s="27"/>
    </row>
    <row r="148" ht="15.75" customHeight="1">
      <c r="A148" s="27"/>
      <c r="B148" s="27"/>
      <c r="C148" s="27"/>
      <c r="D148" s="114"/>
      <c r="E148" s="114"/>
      <c r="F148" s="27"/>
      <c r="G148" s="27"/>
      <c r="H148" s="27"/>
      <c r="I148" s="27"/>
      <c r="J148" s="27"/>
      <c r="K148" s="27"/>
      <c r="L148" s="27"/>
      <c r="M148" s="27"/>
      <c r="N148" s="27"/>
      <c r="O148" s="27"/>
      <c r="P148" s="27"/>
      <c r="Q148" s="27"/>
      <c r="R148" s="27"/>
      <c r="S148" s="27"/>
      <c r="T148" s="27"/>
      <c r="U148" s="27"/>
      <c r="V148" s="27"/>
      <c r="W148" s="27"/>
      <c r="X148" s="27"/>
      <c r="Y148" s="27"/>
      <c r="Z148" s="27"/>
    </row>
    <row r="149" ht="15.75" customHeight="1">
      <c r="A149" s="27"/>
      <c r="B149" s="27"/>
      <c r="C149" s="27"/>
      <c r="D149" s="114"/>
      <c r="E149" s="114"/>
      <c r="F149" s="27"/>
      <c r="G149" s="27"/>
      <c r="H149" s="27"/>
      <c r="I149" s="27"/>
      <c r="J149" s="27"/>
      <c r="K149" s="27"/>
      <c r="L149" s="27"/>
      <c r="M149" s="27"/>
      <c r="N149" s="27"/>
      <c r="O149" s="27"/>
      <c r="P149" s="27"/>
      <c r="Q149" s="27"/>
      <c r="R149" s="27"/>
      <c r="S149" s="27"/>
      <c r="T149" s="27"/>
      <c r="U149" s="27"/>
      <c r="V149" s="27"/>
      <c r="W149" s="27"/>
      <c r="X149" s="27"/>
      <c r="Y149" s="27"/>
      <c r="Z149" s="27"/>
    </row>
    <row r="150" ht="15.75" customHeight="1">
      <c r="A150" s="27"/>
      <c r="B150" s="27"/>
      <c r="C150" s="27"/>
      <c r="D150" s="114"/>
      <c r="E150" s="114"/>
      <c r="F150" s="27"/>
      <c r="G150" s="27"/>
      <c r="H150" s="27"/>
      <c r="I150" s="27"/>
      <c r="J150" s="27"/>
      <c r="K150" s="27"/>
      <c r="L150" s="27"/>
      <c r="M150" s="27"/>
      <c r="N150" s="27"/>
      <c r="O150" s="27"/>
      <c r="P150" s="27"/>
      <c r="Q150" s="27"/>
      <c r="R150" s="27"/>
      <c r="S150" s="27"/>
      <c r="T150" s="27"/>
      <c r="U150" s="27"/>
      <c r="V150" s="27"/>
      <c r="W150" s="27"/>
      <c r="X150" s="27"/>
      <c r="Y150" s="27"/>
      <c r="Z150" s="27"/>
    </row>
    <row r="151" ht="15.75" customHeight="1">
      <c r="A151" s="27"/>
      <c r="B151" s="27"/>
      <c r="C151" s="27"/>
      <c r="D151" s="114"/>
      <c r="E151" s="114"/>
      <c r="F151" s="27"/>
      <c r="G151" s="27"/>
      <c r="H151" s="27"/>
      <c r="I151" s="27"/>
      <c r="J151" s="27"/>
      <c r="K151" s="27"/>
      <c r="L151" s="27"/>
      <c r="M151" s="27"/>
      <c r="N151" s="27"/>
      <c r="O151" s="27"/>
      <c r="P151" s="27"/>
      <c r="Q151" s="27"/>
      <c r="R151" s="27"/>
      <c r="S151" s="27"/>
      <c r="T151" s="27"/>
      <c r="U151" s="27"/>
      <c r="V151" s="27"/>
      <c r="W151" s="27"/>
      <c r="X151" s="27"/>
      <c r="Y151" s="27"/>
      <c r="Z151" s="27"/>
    </row>
    <row r="152" ht="15.75" customHeight="1">
      <c r="A152" s="27"/>
      <c r="B152" s="27"/>
      <c r="C152" s="27"/>
      <c r="D152" s="114"/>
      <c r="E152" s="114"/>
      <c r="F152" s="27"/>
      <c r="G152" s="27"/>
      <c r="H152" s="27"/>
      <c r="I152" s="27"/>
      <c r="J152" s="27"/>
      <c r="K152" s="27"/>
      <c r="L152" s="27"/>
      <c r="M152" s="27"/>
      <c r="N152" s="27"/>
      <c r="O152" s="27"/>
      <c r="P152" s="27"/>
      <c r="Q152" s="27"/>
      <c r="R152" s="27"/>
      <c r="S152" s="27"/>
      <c r="T152" s="27"/>
      <c r="U152" s="27"/>
      <c r="V152" s="27"/>
      <c r="W152" s="27"/>
      <c r="X152" s="27"/>
      <c r="Y152" s="27"/>
      <c r="Z152" s="27"/>
    </row>
    <row r="153" ht="15.75" customHeight="1">
      <c r="A153" s="27"/>
      <c r="B153" s="27"/>
      <c r="C153" s="27"/>
      <c r="D153" s="114"/>
      <c r="E153" s="114"/>
      <c r="F153" s="27"/>
      <c r="G153" s="27"/>
      <c r="H153" s="27"/>
      <c r="I153" s="27"/>
      <c r="J153" s="27"/>
      <c r="K153" s="27"/>
      <c r="L153" s="27"/>
      <c r="M153" s="27"/>
      <c r="N153" s="27"/>
      <c r="O153" s="27"/>
      <c r="P153" s="27"/>
      <c r="Q153" s="27"/>
      <c r="R153" s="27"/>
      <c r="S153" s="27"/>
      <c r="T153" s="27"/>
      <c r="U153" s="27"/>
      <c r="V153" s="27"/>
      <c r="W153" s="27"/>
      <c r="X153" s="27"/>
      <c r="Y153" s="27"/>
      <c r="Z153" s="27"/>
    </row>
    <row r="154" ht="15.75" customHeight="1">
      <c r="A154" s="27"/>
      <c r="B154" s="27"/>
      <c r="C154" s="27"/>
      <c r="D154" s="114"/>
      <c r="E154" s="114"/>
      <c r="F154" s="27"/>
      <c r="G154" s="27"/>
      <c r="H154" s="27"/>
      <c r="I154" s="27"/>
      <c r="J154" s="27"/>
      <c r="K154" s="27"/>
      <c r="L154" s="27"/>
      <c r="M154" s="27"/>
      <c r="N154" s="27"/>
      <c r="O154" s="27"/>
      <c r="P154" s="27"/>
      <c r="Q154" s="27"/>
      <c r="R154" s="27"/>
      <c r="S154" s="27"/>
      <c r="T154" s="27"/>
      <c r="U154" s="27"/>
      <c r="V154" s="27"/>
      <c r="W154" s="27"/>
      <c r="X154" s="27"/>
      <c r="Y154" s="27"/>
      <c r="Z154" s="27"/>
    </row>
    <row r="155" ht="15.75" customHeight="1">
      <c r="A155" s="27"/>
      <c r="B155" s="27"/>
      <c r="C155" s="27"/>
      <c r="D155" s="114"/>
      <c r="E155" s="114"/>
      <c r="F155" s="27"/>
      <c r="G155" s="27"/>
      <c r="H155" s="27"/>
      <c r="I155" s="27"/>
      <c r="J155" s="27"/>
      <c r="K155" s="27"/>
      <c r="L155" s="27"/>
      <c r="M155" s="27"/>
      <c r="N155" s="27"/>
      <c r="O155" s="27"/>
      <c r="P155" s="27"/>
      <c r="Q155" s="27"/>
      <c r="R155" s="27"/>
      <c r="S155" s="27"/>
      <c r="T155" s="27"/>
      <c r="U155" s="27"/>
      <c r="V155" s="27"/>
      <c r="W155" s="27"/>
      <c r="X155" s="27"/>
      <c r="Y155" s="27"/>
      <c r="Z155" s="27"/>
    </row>
    <row r="156" ht="15.75" customHeight="1">
      <c r="A156" s="27"/>
      <c r="B156" s="27"/>
      <c r="C156" s="27"/>
      <c r="D156" s="114"/>
      <c r="E156" s="114"/>
      <c r="F156" s="27"/>
      <c r="G156" s="27"/>
      <c r="H156" s="27"/>
      <c r="I156" s="27"/>
      <c r="J156" s="27"/>
      <c r="K156" s="27"/>
      <c r="L156" s="27"/>
      <c r="M156" s="27"/>
      <c r="N156" s="27"/>
      <c r="O156" s="27"/>
      <c r="P156" s="27"/>
      <c r="Q156" s="27"/>
      <c r="R156" s="27"/>
      <c r="S156" s="27"/>
      <c r="T156" s="27"/>
      <c r="U156" s="27"/>
      <c r="V156" s="27"/>
      <c r="W156" s="27"/>
      <c r="X156" s="27"/>
      <c r="Y156" s="27"/>
      <c r="Z156" s="27"/>
    </row>
    <row r="157" ht="15.75" customHeight="1">
      <c r="A157" s="27"/>
      <c r="B157" s="27"/>
      <c r="C157" s="27"/>
      <c r="D157" s="114"/>
      <c r="E157" s="114"/>
      <c r="F157" s="27"/>
      <c r="G157" s="27"/>
      <c r="H157" s="27"/>
      <c r="I157" s="27"/>
      <c r="J157" s="27"/>
      <c r="K157" s="27"/>
      <c r="L157" s="27"/>
      <c r="M157" s="27"/>
      <c r="N157" s="27"/>
      <c r="O157" s="27"/>
      <c r="P157" s="27"/>
      <c r="Q157" s="27"/>
      <c r="R157" s="27"/>
      <c r="S157" s="27"/>
      <c r="T157" s="27"/>
      <c r="U157" s="27"/>
      <c r="V157" s="27"/>
      <c r="W157" s="27"/>
      <c r="X157" s="27"/>
      <c r="Y157" s="27"/>
      <c r="Z157" s="27"/>
    </row>
    <row r="158" ht="15.75" customHeight="1">
      <c r="A158" s="27"/>
      <c r="B158" s="27"/>
      <c r="C158" s="27"/>
      <c r="D158" s="114"/>
      <c r="E158" s="114"/>
      <c r="F158" s="27"/>
      <c r="G158" s="27"/>
      <c r="H158" s="27"/>
      <c r="I158" s="27"/>
      <c r="J158" s="27"/>
      <c r="K158" s="27"/>
      <c r="L158" s="27"/>
      <c r="M158" s="27"/>
      <c r="N158" s="27"/>
      <c r="O158" s="27"/>
      <c r="P158" s="27"/>
      <c r="Q158" s="27"/>
      <c r="R158" s="27"/>
      <c r="S158" s="27"/>
      <c r="T158" s="27"/>
      <c r="U158" s="27"/>
      <c r="V158" s="27"/>
      <c r="W158" s="27"/>
      <c r="X158" s="27"/>
      <c r="Y158" s="27"/>
      <c r="Z158" s="27"/>
    </row>
    <row r="159" ht="15.75" customHeight="1">
      <c r="A159" s="27"/>
      <c r="B159" s="27"/>
      <c r="C159" s="27"/>
      <c r="D159" s="114"/>
      <c r="E159" s="114"/>
      <c r="F159" s="27"/>
      <c r="G159" s="27"/>
      <c r="H159" s="27"/>
      <c r="I159" s="27"/>
      <c r="J159" s="27"/>
      <c r="K159" s="27"/>
      <c r="L159" s="27"/>
      <c r="M159" s="27"/>
      <c r="N159" s="27"/>
      <c r="O159" s="27"/>
      <c r="P159" s="27"/>
      <c r="Q159" s="27"/>
      <c r="R159" s="27"/>
      <c r="S159" s="27"/>
      <c r="T159" s="27"/>
      <c r="U159" s="27"/>
      <c r="V159" s="27"/>
      <c r="W159" s="27"/>
      <c r="X159" s="27"/>
      <c r="Y159" s="27"/>
      <c r="Z159" s="27"/>
    </row>
    <row r="160" ht="15.75" customHeight="1">
      <c r="A160" s="27"/>
      <c r="B160" s="27"/>
      <c r="C160" s="27"/>
      <c r="D160" s="114"/>
      <c r="E160" s="114"/>
      <c r="F160" s="27"/>
      <c r="G160" s="27"/>
      <c r="H160" s="27"/>
      <c r="I160" s="27"/>
      <c r="J160" s="27"/>
      <c r="K160" s="27"/>
      <c r="L160" s="27"/>
      <c r="M160" s="27"/>
      <c r="N160" s="27"/>
      <c r="O160" s="27"/>
      <c r="P160" s="27"/>
      <c r="Q160" s="27"/>
      <c r="R160" s="27"/>
      <c r="S160" s="27"/>
      <c r="T160" s="27"/>
      <c r="U160" s="27"/>
      <c r="V160" s="27"/>
      <c r="W160" s="27"/>
      <c r="X160" s="27"/>
      <c r="Y160" s="27"/>
      <c r="Z160" s="27"/>
    </row>
    <row r="161" ht="15.75" customHeight="1">
      <c r="A161" s="27"/>
      <c r="B161" s="27"/>
      <c r="C161" s="27"/>
      <c r="D161" s="114"/>
      <c r="E161" s="114"/>
      <c r="F161" s="27"/>
      <c r="G161" s="27"/>
      <c r="H161" s="27"/>
      <c r="I161" s="27"/>
      <c r="J161" s="27"/>
      <c r="K161" s="27"/>
      <c r="L161" s="27"/>
      <c r="M161" s="27"/>
      <c r="N161" s="27"/>
      <c r="O161" s="27"/>
      <c r="P161" s="27"/>
      <c r="Q161" s="27"/>
      <c r="R161" s="27"/>
      <c r="S161" s="27"/>
      <c r="T161" s="27"/>
      <c r="U161" s="27"/>
      <c r="V161" s="27"/>
      <c r="W161" s="27"/>
      <c r="X161" s="27"/>
      <c r="Y161" s="27"/>
      <c r="Z161" s="27"/>
    </row>
    <row r="162" ht="15.75" customHeight="1">
      <c r="A162" s="27"/>
      <c r="B162" s="27"/>
      <c r="C162" s="27"/>
      <c r="D162" s="114"/>
      <c r="E162" s="114"/>
      <c r="F162" s="27"/>
      <c r="G162" s="27"/>
      <c r="H162" s="27"/>
      <c r="I162" s="27"/>
      <c r="J162" s="27"/>
      <c r="K162" s="27"/>
      <c r="L162" s="27"/>
      <c r="M162" s="27"/>
      <c r="N162" s="27"/>
      <c r="O162" s="27"/>
      <c r="P162" s="27"/>
      <c r="Q162" s="27"/>
      <c r="R162" s="27"/>
      <c r="S162" s="27"/>
      <c r="T162" s="27"/>
      <c r="U162" s="27"/>
      <c r="V162" s="27"/>
      <c r="W162" s="27"/>
      <c r="X162" s="27"/>
      <c r="Y162" s="27"/>
      <c r="Z162" s="27"/>
    </row>
    <row r="163" ht="15.75" customHeight="1">
      <c r="A163" s="27"/>
      <c r="B163" s="27"/>
      <c r="C163" s="27"/>
      <c r="D163" s="114"/>
      <c r="E163" s="114"/>
      <c r="F163" s="27"/>
      <c r="G163" s="27"/>
      <c r="H163" s="27"/>
      <c r="I163" s="27"/>
      <c r="J163" s="27"/>
      <c r="K163" s="27"/>
      <c r="L163" s="27"/>
      <c r="M163" s="27"/>
      <c r="N163" s="27"/>
      <c r="O163" s="27"/>
      <c r="P163" s="27"/>
      <c r="Q163" s="27"/>
      <c r="R163" s="27"/>
      <c r="S163" s="27"/>
      <c r="T163" s="27"/>
      <c r="U163" s="27"/>
      <c r="V163" s="27"/>
      <c r="W163" s="27"/>
      <c r="X163" s="27"/>
      <c r="Y163" s="27"/>
      <c r="Z163" s="27"/>
    </row>
    <row r="164" ht="15.75" customHeight="1">
      <c r="A164" s="27"/>
      <c r="B164" s="27"/>
      <c r="C164" s="27"/>
      <c r="D164" s="114"/>
      <c r="E164" s="114"/>
      <c r="F164" s="27"/>
      <c r="G164" s="27"/>
      <c r="H164" s="27"/>
      <c r="I164" s="27"/>
      <c r="J164" s="27"/>
      <c r="K164" s="27"/>
      <c r="L164" s="27"/>
      <c r="M164" s="27"/>
      <c r="N164" s="27"/>
      <c r="O164" s="27"/>
      <c r="P164" s="27"/>
      <c r="Q164" s="27"/>
      <c r="R164" s="27"/>
      <c r="S164" s="27"/>
      <c r="T164" s="27"/>
      <c r="U164" s="27"/>
      <c r="V164" s="27"/>
      <c r="W164" s="27"/>
      <c r="X164" s="27"/>
      <c r="Y164" s="27"/>
      <c r="Z164" s="27"/>
    </row>
    <row r="165" ht="15.75" customHeight="1">
      <c r="A165" s="27"/>
      <c r="B165" s="27"/>
      <c r="C165" s="27"/>
      <c r="D165" s="114"/>
      <c r="E165" s="114"/>
      <c r="F165" s="27"/>
      <c r="G165" s="27"/>
      <c r="H165" s="27"/>
      <c r="I165" s="27"/>
      <c r="J165" s="27"/>
      <c r="K165" s="27"/>
      <c r="L165" s="27"/>
      <c r="M165" s="27"/>
      <c r="N165" s="27"/>
      <c r="O165" s="27"/>
      <c r="P165" s="27"/>
      <c r="Q165" s="27"/>
      <c r="R165" s="27"/>
      <c r="S165" s="27"/>
      <c r="T165" s="27"/>
      <c r="U165" s="27"/>
      <c r="V165" s="27"/>
      <c r="W165" s="27"/>
      <c r="X165" s="27"/>
      <c r="Y165" s="27"/>
      <c r="Z165" s="27"/>
    </row>
    <row r="166" ht="15.75" customHeight="1">
      <c r="A166" s="27"/>
      <c r="B166" s="27"/>
      <c r="C166" s="27"/>
      <c r="D166" s="114"/>
      <c r="E166" s="114"/>
      <c r="F166" s="27"/>
      <c r="G166" s="27"/>
      <c r="H166" s="27"/>
      <c r="I166" s="27"/>
      <c r="J166" s="27"/>
      <c r="K166" s="27"/>
      <c r="L166" s="27"/>
      <c r="M166" s="27"/>
      <c r="N166" s="27"/>
      <c r="O166" s="27"/>
      <c r="P166" s="27"/>
      <c r="Q166" s="27"/>
      <c r="R166" s="27"/>
      <c r="S166" s="27"/>
      <c r="T166" s="27"/>
      <c r="U166" s="27"/>
      <c r="V166" s="27"/>
      <c r="W166" s="27"/>
      <c r="X166" s="27"/>
      <c r="Y166" s="27"/>
      <c r="Z166" s="27"/>
    </row>
    <row r="167" ht="15.75" customHeight="1">
      <c r="A167" s="27"/>
      <c r="B167" s="27"/>
      <c r="C167" s="27"/>
      <c r="D167" s="114"/>
      <c r="E167" s="114"/>
      <c r="F167" s="27"/>
      <c r="G167" s="27"/>
      <c r="H167" s="27"/>
      <c r="I167" s="27"/>
      <c r="J167" s="27"/>
      <c r="K167" s="27"/>
      <c r="L167" s="27"/>
      <c r="M167" s="27"/>
      <c r="N167" s="27"/>
      <c r="O167" s="27"/>
      <c r="P167" s="27"/>
      <c r="Q167" s="27"/>
      <c r="R167" s="27"/>
      <c r="S167" s="27"/>
      <c r="T167" s="27"/>
      <c r="U167" s="27"/>
      <c r="V167" s="27"/>
      <c r="W167" s="27"/>
      <c r="X167" s="27"/>
      <c r="Y167" s="27"/>
      <c r="Z167" s="27"/>
    </row>
    <row r="168" ht="15.75" customHeight="1">
      <c r="A168" s="27"/>
      <c r="B168" s="27"/>
      <c r="C168" s="27"/>
      <c r="D168" s="114"/>
      <c r="E168" s="114"/>
      <c r="F168" s="27"/>
      <c r="G168" s="27"/>
      <c r="H168" s="27"/>
      <c r="I168" s="27"/>
      <c r="J168" s="27"/>
      <c r="K168" s="27"/>
      <c r="L168" s="27"/>
      <c r="M168" s="27"/>
      <c r="N168" s="27"/>
      <c r="O168" s="27"/>
      <c r="P168" s="27"/>
      <c r="Q168" s="27"/>
      <c r="R168" s="27"/>
      <c r="S168" s="27"/>
      <c r="T168" s="27"/>
      <c r="U168" s="27"/>
      <c r="V168" s="27"/>
      <c r="W168" s="27"/>
      <c r="X168" s="27"/>
      <c r="Y168" s="27"/>
      <c r="Z168" s="27"/>
    </row>
    <row r="169" ht="15.75" customHeight="1">
      <c r="A169" s="27"/>
      <c r="B169" s="27"/>
      <c r="C169" s="27"/>
      <c r="D169" s="114"/>
      <c r="E169" s="114"/>
      <c r="F169" s="27"/>
      <c r="G169" s="27"/>
      <c r="H169" s="27"/>
      <c r="I169" s="27"/>
      <c r="J169" s="27"/>
      <c r="K169" s="27"/>
      <c r="L169" s="27"/>
      <c r="M169" s="27"/>
      <c r="N169" s="27"/>
      <c r="O169" s="27"/>
      <c r="P169" s="27"/>
      <c r="Q169" s="27"/>
      <c r="R169" s="27"/>
      <c r="S169" s="27"/>
      <c r="T169" s="27"/>
      <c r="U169" s="27"/>
      <c r="V169" s="27"/>
      <c r="W169" s="27"/>
      <c r="X169" s="27"/>
      <c r="Y169" s="27"/>
      <c r="Z169" s="27"/>
    </row>
    <row r="170" ht="15.75" customHeight="1">
      <c r="A170" s="27"/>
      <c r="B170" s="27"/>
      <c r="C170" s="27"/>
      <c r="D170" s="114"/>
      <c r="E170" s="114"/>
      <c r="F170" s="27"/>
      <c r="G170" s="27"/>
      <c r="H170" s="27"/>
      <c r="I170" s="27"/>
      <c r="J170" s="27"/>
      <c r="K170" s="27"/>
      <c r="L170" s="27"/>
      <c r="M170" s="27"/>
      <c r="N170" s="27"/>
      <c r="O170" s="27"/>
      <c r="P170" s="27"/>
      <c r="Q170" s="27"/>
      <c r="R170" s="27"/>
      <c r="S170" s="27"/>
      <c r="T170" s="27"/>
      <c r="U170" s="27"/>
      <c r="V170" s="27"/>
      <c r="W170" s="27"/>
      <c r="X170" s="27"/>
      <c r="Y170" s="27"/>
      <c r="Z170" s="27"/>
    </row>
    <row r="171" ht="15.75" customHeight="1">
      <c r="A171" s="27"/>
      <c r="B171" s="27"/>
      <c r="C171" s="27"/>
      <c r="D171" s="114"/>
      <c r="E171" s="114"/>
      <c r="F171" s="27"/>
      <c r="G171" s="27"/>
      <c r="H171" s="27"/>
      <c r="I171" s="27"/>
      <c r="J171" s="27"/>
      <c r="K171" s="27"/>
      <c r="L171" s="27"/>
      <c r="M171" s="27"/>
      <c r="N171" s="27"/>
      <c r="O171" s="27"/>
      <c r="P171" s="27"/>
      <c r="Q171" s="27"/>
      <c r="R171" s="27"/>
      <c r="S171" s="27"/>
      <c r="T171" s="27"/>
      <c r="U171" s="27"/>
      <c r="V171" s="27"/>
      <c r="W171" s="27"/>
      <c r="X171" s="27"/>
      <c r="Y171" s="27"/>
      <c r="Z171" s="27"/>
    </row>
    <row r="172" ht="15.75" customHeight="1">
      <c r="A172" s="27"/>
      <c r="B172" s="27"/>
      <c r="C172" s="27"/>
      <c r="D172" s="114"/>
      <c r="E172" s="114"/>
      <c r="F172" s="27"/>
      <c r="G172" s="27"/>
      <c r="H172" s="27"/>
      <c r="I172" s="27"/>
      <c r="J172" s="27"/>
      <c r="K172" s="27"/>
      <c r="L172" s="27"/>
      <c r="M172" s="27"/>
      <c r="N172" s="27"/>
      <c r="O172" s="27"/>
      <c r="P172" s="27"/>
      <c r="Q172" s="27"/>
      <c r="R172" s="27"/>
      <c r="S172" s="27"/>
      <c r="T172" s="27"/>
      <c r="U172" s="27"/>
      <c r="V172" s="27"/>
      <c r="W172" s="27"/>
      <c r="X172" s="27"/>
      <c r="Y172" s="27"/>
      <c r="Z172" s="27"/>
    </row>
    <row r="173" ht="15.75" customHeight="1">
      <c r="A173" s="27"/>
      <c r="B173" s="27"/>
      <c r="C173" s="27"/>
      <c r="D173" s="114"/>
      <c r="E173" s="114"/>
      <c r="F173" s="27"/>
      <c r="G173" s="27"/>
      <c r="H173" s="27"/>
      <c r="I173" s="27"/>
      <c r="J173" s="27"/>
      <c r="K173" s="27"/>
      <c r="L173" s="27"/>
      <c r="M173" s="27"/>
      <c r="N173" s="27"/>
      <c r="O173" s="27"/>
      <c r="P173" s="27"/>
      <c r="Q173" s="27"/>
      <c r="R173" s="27"/>
      <c r="S173" s="27"/>
      <c r="T173" s="27"/>
      <c r="U173" s="27"/>
      <c r="V173" s="27"/>
      <c r="W173" s="27"/>
      <c r="X173" s="27"/>
      <c r="Y173" s="27"/>
      <c r="Z173" s="27"/>
    </row>
    <row r="174" ht="15.75" customHeight="1">
      <c r="A174" s="27"/>
      <c r="B174" s="27"/>
      <c r="C174" s="27"/>
      <c r="D174" s="114"/>
      <c r="E174" s="114"/>
      <c r="F174" s="27"/>
      <c r="G174" s="27"/>
      <c r="H174" s="27"/>
      <c r="I174" s="27"/>
      <c r="J174" s="27"/>
      <c r="K174" s="27"/>
      <c r="L174" s="27"/>
      <c r="M174" s="27"/>
      <c r="N174" s="27"/>
      <c r="O174" s="27"/>
      <c r="P174" s="27"/>
      <c r="Q174" s="27"/>
      <c r="R174" s="27"/>
      <c r="S174" s="27"/>
      <c r="T174" s="27"/>
      <c r="U174" s="27"/>
      <c r="V174" s="27"/>
      <c r="W174" s="27"/>
      <c r="X174" s="27"/>
      <c r="Y174" s="27"/>
      <c r="Z174" s="27"/>
    </row>
    <row r="175" ht="15.75" customHeight="1">
      <c r="A175" s="27"/>
      <c r="B175" s="27"/>
      <c r="C175" s="27"/>
      <c r="D175" s="114"/>
      <c r="E175" s="114"/>
      <c r="F175" s="27"/>
      <c r="G175" s="27"/>
      <c r="H175" s="27"/>
      <c r="I175" s="27"/>
      <c r="J175" s="27"/>
      <c r="K175" s="27"/>
      <c r="L175" s="27"/>
      <c r="M175" s="27"/>
      <c r="N175" s="27"/>
      <c r="O175" s="27"/>
      <c r="P175" s="27"/>
      <c r="Q175" s="27"/>
      <c r="R175" s="27"/>
      <c r="S175" s="27"/>
      <c r="T175" s="27"/>
      <c r="U175" s="27"/>
      <c r="V175" s="27"/>
      <c r="W175" s="27"/>
      <c r="X175" s="27"/>
      <c r="Y175" s="27"/>
      <c r="Z175" s="27"/>
    </row>
    <row r="176" ht="15.75" customHeight="1">
      <c r="A176" s="27"/>
      <c r="B176" s="27"/>
      <c r="C176" s="27"/>
      <c r="D176" s="114"/>
      <c r="E176" s="114"/>
      <c r="F176" s="27"/>
      <c r="G176" s="27"/>
      <c r="H176" s="27"/>
      <c r="I176" s="27"/>
      <c r="J176" s="27"/>
      <c r="K176" s="27"/>
      <c r="L176" s="27"/>
      <c r="M176" s="27"/>
      <c r="N176" s="27"/>
      <c r="O176" s="27"/>
      <c r="P176" s="27"/>
      <c r="Q176" s="27"/>
      <c r="R176" s="27"/>
      <c r="S176" s="27"/>
      <c r="T176" s="27"/>
      <c r="U176" s="27"/>
      <c r="V176" s="27"/>
      <c r="W176" s="27"/>
      <c r="X176" s="27"/>
      <c r="Y176" s="27"/>
      <c r="Z176" s="27"/>
    </row>
    <row r="177" ht="15.75" customHeight="1">
      <c r="A177" s="27"/>
      <c r="B177" s="27"/>
      <c r="C177" s="27"/>
      <c r="D177" s="114"/>
      <c r="E177" s="114"/>
      <c r="F177" s="27"/>
      <c r="G177" s="27"/>
      <c r="H177" s="27"/>
      <c r="I177" s="27"/>
      <c r="J177" s="27"/>
      <c r="K177" s="27"/>
      <c r="L177" s="27"/>
      <c r="M177" s="27"/>
      <c r="N177" s="27"/>
      <c r="O177" s="27"/>
      <c r="P177" s="27"/>
      <c r="Q177" s="27"/>
      <c r="R177" s="27"/>
      <c r="S177" s="27"/>
      <c r="T177" s="27"/>
      <c r="U177" s="27"/>
      <c r="V177" s="27"/>
      <c r="W177" s="27"/>
      <c r="X177" s="27"/>
      <c r="Y177" s="27"/>
      <c r="Z177" s="27"/>
    </row>
    <row r="178" ht="15.75" customHeight="1">
      <c r="A178" s="27"/>
      <c r="B178" s="27"/>
      <c r="C178" s="27"/>
      <c r="D178" s="114"/>
      <c r="E178" s="114"/>
      <c r="F178" s="27"/>
      <c r="G178" s="27"/>
      <c r="H178" s="27"/>
      <c r="I178" s="27"/>
      <c r="J178" s="27"/>
      <c r="K178" s="27"/>
      <c r="L178" s="27"/>
      <c r="M178" s="27"/>
      <c r="N178" s="27"/>
      <c r="O178" s="27"/>
      <c r="P178" s="27"/>
      <c r="Q178" s="27"/>
      <c r="R178" s="27"/>
      <c r="S178" s="27"/>
      <c r="T178" s="27"/>
      <c r="U178" s="27"/>
      <c r="V178" s="27"/>
      <c r="W178" s="27"/>
      <c r="X178" s="27"/>
      <c r="Y178" s="27"/>
      <c r="Z178" s="27"/>
    </row>
    <row r="179" ht="15.75" customHeight="1">
      <c r="A179" s="27"/>
      <c r="B179" s="27"/>
      <c r="C179" s="27"/>
      <c r="D179" s="114"/>
      <c r="E179" s="114"/>
      <c r="F179" s="27"/>
      <c r="G179" s="27"/>
      <c r="H179" s="27"/>
      <c r="I179" s="27"/>
      <c r="J179" s="27"/>
      <c r="K179" s="27"/>
      <c r="L179" s="27"/>
      <c r="M179" s="27"/>
      <c r="N179" s="27"/>
      <c r="O179" s="27"/>
      <c r="P179" s="27"/>
      <c r="Q179" s="27"/>
      <c r="R179" s="27"/>
      <c r="S179" s="27"/>
      <c r="T179" s="27"/>
      <c r="U179" s="27"/>
      <c r="V179" s="27"/>
      <c r="W179" s="27"/>
      <c r="X179" s="27"/>
      <c r="Y179" s="27"/>
      <c r="Z179" s="27"/>
    </row>
    <row r="180" ht="15.75" customHeight="1">
      <c r="A180" s="27"/>
      <c r="B180" s="27"/>
      <c r="C180" s="27"/>
      <c r="D180" s="114"/>
      <c r="E180" s="114"/>
      <c r="F180" s="27"/>
      <c r="G180" s="27"/>
      <c r="H180" s="27"/>
      <c r="I180" s="27"/>
      <c r="J180" s="27"/>
      <c r="K180" s="27"/>
      <c r="L180" s="27"/>
      <c r="M180" s="27"/>
      <c r="N180" s="27"/>
      <c r="O180" s="27"/>
      <c r="P180" s="27"/>
      <c r="Q180" s="27"/>
      <c r="R180" s="27"/>
      <c r="S180" s="27"/>
      <c r="T180" s="27"/>
      <c r="U180" s="27"/>
      <c r="V180" s="27"/>
      <c r="W180" s="27"/>
      <c r="X180" s="27"/>
      <c r="Y180" s="27"/>
      <c r="Z180" s="27"/>
    </row>
    <row r="181" ht="15.75" customHeight="1">
      <c r="A181" s="27"/>
      <c r="B181" s="27"/>
      <c r="C181" s="27"/>
      <c r="D181" s="114"/>
      <c r="E181" s="114"/>
      <c r="F181" s="27"/>
      <c r="G181" s="27"/>
      <c r="H181" s="27"/>
      <c r="I181" s="27"/>
      <c r="J181" s="27"/>
      <c r="K181" s="27"/>
      <c r="L181" s="27"/>
      <c r="M181" s="27"/>
      <c r="N181" s="27"/>
      <c r="O181" s="27"/>
      <c r="P181" s="27"/>
      <c r="Q181" s="27"/>
      <c r="R181" s="27"/>
      <c r="S181" s="27"/>
      <c r="T181" s="27"/>
      <c r="U181" s="27"/>
      <c r="V181" s="27"/>
      <c r="W181" s="27"/>
      <c r="X181" s="27"/>
      <c r="Y181" s="27"/>
      <c r="Z181" s="27"/>
    </row>
    <row r="182" ht="15.75" customHeight="1">
      <c r="A182" s="27"/>
      <c r="B182" s="27"/>
      <c r="C182" s="27"/>
      <c r="D182" s="114"/>
      <c r="E182" s="114"/>
      <c r="F182" s="27"/>
      <c r="G182" s="27"/>
      <c r="H182" s="27"/>
      <c r="I182" s="27"/>
      <c r="J182" s="27"/>
      <c r="K182" s="27"/>
      <c r="L182" s="27"/>
      <c r="M182" s="27"/>
      <c r="N182" s="27"/>
      <c r="O182" s="27"/>
      <c r="P182" s="27"/>
      <c r="Q182" s="27"/>
      <c r="R182" s="27"/>
      <c r="S182" s="27"/>
      <c r="T182" s="27"/>
      <c r="U182" s="27"/>
      <c r="V182" s="27"/>
      <c r="W182" s="27"/>
      <c r="X182" s="27"/>
      <c r="Y182" s="27"/>
      <c r="Z182" s="27"/>
    </row>
    <row r="183" ht="15.75" customHeight="1">
      <c r="A183" s="27"/>
      <c r="B183" s="27"/>
      <c r="C183" s="27"/>
      <c r="D183" s="114"/>
      <c r="E183" s="114"/>
      <c r="F183" s="27"/>
      <c r="G183" s="27"/>
      <c r="H183" s="27"/>
      <c r="I183" s="27"/>
      <c r="J183" s="27"/>
      <c r="K183" s="27"/>
      <c r="L183" s="27"/>
      <c r="M183" s="27"/>
      <c r="N183" s="27"/>
      <c r="O183" s="27"/>
      <c r="P183" s="27"/>
      <c r="Q183" s="27"/>
      <c r="R183" s="27"/>
      <c r="S183" s="27"/>
      <c r="T183" s="27"/>
      <c r="U183" s="27"/>
      <c r="V183" s="27"/>
      <c r="W183" s="27"/>
      <c r="X183" s="27"/>
      <c r="Y183" s="27"/>
      <c r="Z183" s="27"/>
    </row>
    <row r="184" ht="15.75" customHeight="1">
      <c r="A184" s="27"/>
      <c r="B184" s="27"/>
      <c r="C184" s="27"/>
      <c r="D184" s="114"/>
      <c r="E184" s="114"/>
      <c r="F184" s="27"/>
      <c r="G184" s="27"/>
      <c r="H184" s="27"/>
      <c r="I184" s="27"/>
      <c r="J184" s="27"/>
      <c r="K184" s="27"/>
      <c r="L184" s="27"/>
      <c r="M184" s="27"/>
      <c r="N184" s="27"/>
      <c r="O184" s="27"/>
      <c r="P184" s="27"/>
      <c r="Q184" s="27"/>
      <c r="R184" s="27"/>
      <c r="S184" s="27"/>
      <c r="T184" s="27"/>
      <c r="U184" s="27"/>
      <c r="V184" s="27"/>
      <c r="W184" s="27"/>
      <c r="X184" s="27"/>
      <c r="Y184" s="27"/>
      <c r="Z184" s="27"/>
    </row>
    <row r="185" ht="15.75" customHeight="1">
      <c r="A185" s="27"/>
      <c r="B185" s="27"/>
      <c r="C185" s="27"/>
      <c r="D185" s="114"/>
      <c r="E185" s="114"/>
      <c r="F185" s="27"/>
      <c r="G185" s="27"/>
      <c r="H185" s="27"/>
      <c r="I185" s="27"/>
      <c r="J185" s="27"/>
      <c r="K185" s="27"/>
      <c r="L185" s="27"/>
      <c r="M185" s="27"/>
      <c r="N185" s="27"/>
      <c r="O185" s="27"/>
      <c r="P185" s="27"/>
      <c r="Q185" s="27"/>
      <c r="R185" s="27"/>
      <c r="S185" s="27"/>
      <c r="T185" s="27"/>
      <c r="U185" s="27"/>
      <c r="V185" s="27"/>
      <c r="W185" s="27"/>
      <c r="X185" s="27"/>
      <c r="Y185" s="27"/>
      <c r="Z185" s="27"/>
    </row>
    <row r="186" ht="15.75" customHeight="1">
      <c r="A186" s="27"/>
      <c r="B186" s="27"/>
      <c r="C186" s="27"/>
      <c r="D186" s="114"/>
      <c r="E186" s="114"/>
      <c r="F186" s="27"/>
      <c r="G186" s="27"/>
      <c r="H186" s="27"/>
      <c r="I186" s="27"/>
      <c r="J186" s="27"/>
      <c r="K186" s="27"/>
      <c r="L186" s="27"/>
      <c r="M186" s="27"/>
      <c r="N186" s="27"/>
      <c r="O186" s="27"/>
      <c r="P186" s="27"/>
      <c r="Q186" s="27"/>
      <c r="R186" s="27"/>
      <c r="S186" s="27"/>
      <c r="T186" s="27"/>
      <c r="U186" s="27"/>
      <c r="V186" s="27"/>
      <c r="W186" s="27"/>
      <c r="X186" s="27"/>
      <c r="Y186" s="27"/>
      <c r="Z186" s="27"/>
    </row>
    <row r="187" ht="15.75" customHeight="1">
      <c r="A187" s="27"/>
      <c r="B187" s="27"/>
      <c r="C187" s="27"/>
      <c r="D187" s="114"/>
      <c r="E187" s="114"/>
      <c r="F187" s="27"/>
      <c r="G187" s="27"/>
      <c r="H187" s="27"/>
      <c r="I187" s="27"/>
      <c r="J187" s="27"/>
      <c r="K187" s="27"/>
      <c r="L187" s="27"/>
      <c r="M187" s="27"/>
      <c r="N187" s="27"/>
      <c r="O187" s="27"/>
      <c r="P187" s="27"/>
      <c r="Q187" s="27"/>
      <c r="R187" s="27"/>
      <c r="S187" s="27"/>
      <c r="T187" s="27"/>
      <c r="U187" s="27"/>
      <c r="V187" s="27"/>
      <c r="W187" s="27"/>
      <c r="X187" s="27"/>
      <c r="Y187" s="27"/>
      <c r="Z187" s="27"/>
    </row>
    <row r="188" ht="15.75" customHeight="1">
      <c r="A188" s="27"/>
      <c r="B188" s="27"/>
      <c r="C188" s="27"/>
      <c r="D188" s="114"/>
      <c r="E188" s="114"/>
      <c r="F188" s="27"/>
      <c r="G188" s="27"/>
      <c r="H188" s="27"/>
      <c r="I188" s="27"/>
      <c r="J188" s="27"/>
      <c r="K188" s="27"/>
      <c r="L188" s="27"/>
      <c r="M188" s="27"/>
      <c r="N188" s="27"/>
      <c r="O188" s="27"/>
      <c r="P188" s="27"/>
      <c r="Q188" s="27"/>
      <c r="R188" s="27"/>
      <c r="S188" s="27"/>
      <c r="T188" s="27"/>
      <c r="U188" s="27"/>
      <c r="V188" s="27"/>
      <c r="W188" s="27"/>
      <c r="X188" s="27"/>
      <c r="Y188" s="27"/>
      <c r="Z188" s="27"/>
    </row>
    <row r="189" ht="15.75" customHeight="1">
      <c r="A189" s="27"/>
      <c r="B189" s="27"/>
      <c r="C189" s="27"/>
      <c r="D189" s="114"/>
      <c r="E189" s="114"/>
      <c r="F189" s="27"/>
      <c r="G189" s="27"/>
      <c r="H189" s="27"/>
      <c r="I189" s="27"/>
      <c r="J189" s="27"/>
      <c r="K189" s="27"/>
      <c r="L189" s="27"/>
      <c r="M189" s="27"/>
      <c r="N189" s="27"/>
      <c r="O189" s="27"/>
      <c r="P189" s="27"/>
      <c r="Q189" s="27"/>
      <c r="R189" s="27"/>
      <c r="S189" s="27"/>
      <c r="T189" s="27"/>
      <c r="U189" s="27"/>
      <c r="V189" s="27"/>
      <c r="W189" s="27"/>
      <c r="X189" s="27"/>
      <c r="Y189" s="27"/>
      <c r="Z189" s="27"/>
    </row>
    <row r="190" ht="15.75" customHeight="1">
      <c r="A190" s="27"/>
      <c r="B190" s="27"/>
      <c r="C190" s="27"/>
      <c r="D190" s="114"/>
      <c r="E190" s="114"/>
      <c r="F190" s="27"/>
      <c r="G190" s="27"/>
      <c r="H190" s="27"/>
      <c r="I190" s="27"/>
      <c r="J190" s="27"/>
      <c r="K190" s="27"/>
      <c r="L190" s="27"/>
      <c r="M190" s="27"/>
      <c r="N190" s="27"/>
      <c r="O190" s="27"/>
      <c r="P190" s="27"/>
      <c r="Q190" s="27"/>
      <c r="R190" s="27"/>
      <c r="S190" s="27"/>
      <c r="T190" s="27"/>
      <c r="U190" s="27"/>
      <c r="V190" s="27"/>
      <c r="W190" s="27"/>
      <c r="X190" s="27"/>
      <c r="Y190" s="27"/>
      <c r="Z190" s="27"/>
    </row>
    <row r="191" ht="15.75" customHeight="1">
      <c r="A191" s="27"/>
      <c r="B191" s="27"/>
      <c r="C191" s="27"/>
      <c r="D191" s="114"/>
      <c r="E191" s="114"/>
      <c r="F191" s="27"/>
      <c r="G191" s="27"/>
      <c r="H191" s="27"/>
      <c r="I191" s="27"/>
      <c r="J191" s="27"/>
      <c r="K191" s="27"/>
      <c r="L191" s="27"/>
      <c r="M191" s="27"/>
      <c r="N191" s="27"/>
      <c r="O191" s="27"/>
      <c r="P191" s="27"/>
      <c r="Q191" s="27"/>
      <c r="R191" s="27"/>
      <c r="S191" s="27"/>
      <c r="T191" s="27"/>
      <c r="U191" s="27"/>
      <c r="V191" s="27"/>
      <c r="W191" s="27"/>
      <c r="X191" s="27"/>
      <c r="Y191" s="27"/>
      <c r="Z191" s="27"/>
    </row>
    <row r="192" ht="15.75" customHeight="1">
      <c r="A192" s="27"/>
      <c r="B192" s="27"/>
      <c r="C192" s="27"/>
      <c r="D192" s="114"/>
      <c r="E192" s="114"/>
      <c r="F192" s="27"/>
      <c r="G192" s="27"/>
      <c r="H192" s="27"/>
      <c r="I192" s="27"/>
      <c r="J192" s="27"/>
      <c r="K192" s="27"/>
      <c r="L192" s="27"/>
      <c r="M192" s="27"/>
      <c r="N192" s="27"/>
      <c r="O192" s="27"/>
      <c r="P192" s="27"/>
      <c r="Q192" s="27"/>
      <c r="R192" s="27"/>
      <c r="S192" s="27"/>
      <c r="T192" s="27"/>
      <c r="U192" s="27"/>
      <c r="V192" s="27"/>
      <c r="W192" s="27"/>
      <c r="X192" s="27"/>
      <c r="Y192" s="27"/>
      <c r="Z192" s="27"/>
    </row>
    <row r="193" ht="15.75" customHeight="1">
      <c r="A193" s="27"/>
      <c r="B193" s="27"/>
      <c r="C193" s="27"/>
      <c r="D193" s="114"/>
      <c r="E193" s="114"/>
      <c r="F193" s="27"/>
      <c r="G193" s="27"/>
      <c r="H193" s="27"/>
      <c r="I193" s="27"/>
      <c r="J193" s="27"/>
      <c r="K193" s="27"/>
      <c r="L193" s="27"/>
      <c r="M193" s="27"/>
      <c r="N193" s="27"/>
      <c r="O193" s="27"/>
      <c r="P193" s="27"/>
      <c r="Q193" s="27"/>
      <c r="R193" s="27"/>
      <c r="S193" s="27"/>
      <c r="T193" s="27"/>
      <c r="U193" s="27"/>
      <c r="V193" s="27"/>
      <c r="W193" s="27"/>
      <c r="X193" s="27"/>
      <c r="Y193" s="27"/>
      <c r="Z193" s="27"/>
    </row>
    <row r="194" ht="15.75" customHeight="1">
      <c r="A194" s="27"/>
      <c r="B194" s="27"/>
      <c r="C194" s="27"/>
      <c r="D194" s="114"/>
      <c r="E194" s="114"/>
      <c r="F194" s="27"/>
      <c r="G194" s="27"/>
      <c r="H194" s="27"/>
      <c r="I194" s="27"/>
      <c r="J194" s="27"/>
      <c r="K194" s="27"/>
      <c r="L194" s="27"/>
      <c r="M194" s="27"/>
      <c r="N194" s="27"/>
      <c r="O194" s="27"/>
      <c r="P194" s="27"/>
      <c r="Q194" s="27"/>
      <c r="R194" s="27"/>
      <c r="S194" s="27"/>
      <c r="T194" s="27"/>
      <c r="U194" s="27"/>
      <c r="V194" s="27"/>
      <c r="W194" s="27"/>
      <c r="X194" s="27"/>
      <c r="Y194" s="27"/>
      <c r="Z194" s="27"/>
    </row>
    <row r="195" ht="15.75" customHeight="1">
      <c r="A195" s="27"/>
      <c r="B195" s="27"/>
      <c r="C195" s="27"/>
      <c r="D195" s="114"/>
      <c r="E195" s="114"/>
      <c r="F195" s="27"/>
      <c r="G195" s="27"/>
      <c r="H195" s="27"/>
      <c r="I195" s="27"/>
      <c r="J195" s="27"/>
      <c r="K195" s="27"/>
      <c r="L195" s="27"/>
      <c r="M195" s="27"/>
      <c r="N195" s="27"/>
      <c r="O195" s="27"/>
      <c r="P195" s="27"/>
      <c r="Q195" s="27"/>
      <c r="R195" s="27"/>
      <c r="S195" s="27"/>
      <c r="T195" s="27"/>
      <c r="U195" s="27"/>
      <c r="V195" s="27"/>
      <c r="W195" s="27"/>
      <c r="X195" s="27"/>
      <c r="Y195" s="27"/>
      <c r="Z195" s="27"/>
    </row>
    <row r="196" ht="15.75" customHeight="1">
      <c r="A196" s="27"/>
      <c r="B196" s="27"/>
      <c r="C196" s="27"/>
      <c r="D196" s="114"/>
      <c r="E196" s="114"/>
      <c r="F196" s="27"/>
      <c r="G196" s="27"/>
      <c r="H196" s="27"/>
      <c r="I196" s="27"/>
      <c r="J196" s="27"/>
      <c r="K196" s="27"/>
      <c r="L196" s="27"/>
      <c r="M196" s="27"/>
      <c r="N196" s="27"/>
      <c r="O196" s="27"/>
      <c r="P196" s="27"/>
      <c r="Q196" s="27"/>
      <c r="R196" s="27"/>
      <c r="S196" s="27"/>
      <c r="T196" s="27"/>
      <c r="U196" s="27"/>
      <c r="V196" s="27"/>
      <c r="W196" s="27"/>
      <c r="X196" s="27"/>
      <c r="Y196" s="27"/>
      <c r="Z196" s="27"/>
    </row>
    <row r="197" ht="15.75" customHeight="1">
      <c r="A197" s="27"/>
      <c r="B197" s="27"/>
      <c r="C197" s="27"/>
      <c r="D197" s="114"/>
      <c r="E197" s="114"/>
      <c r="F197" s="27"/>
      <c r="G197" s="27"/>
      <c r="H197" s="27"/>
      <c r="I197" s="27"/>
      <c r="J197" s="27"/>
      <c r="K197" s="27"/>
      <c r="L197" s="27"/>
      <c r="M197" s="27"/>
      <c r="N197" s="27"/>
      <c r="O197" s="27"/>
      <c r="P197" s="27"/>
      <c r="Q197" s="27"/>
      <c r="R197" s="27"/>
      <c r="S197" s="27"/>
      <c r="T197" s="27"/>
      <c r="U197" s="27"/>
      <c r="V197" s="27"/>
      <c r="W197" s="27"/>
      <c r="X197" s="27"/>
      <c r="Y197" s="27"/>
      <c r="Z197" s="27"/>
    </row>
    <row r="198" ht="15.75" customHeight="1">
      <c r="A198" s="27"/>
      <c r="B198" s="27"/>
      <c r="C198" s="27"/>
      <c r="D198" s="114"/>
      <c r="E198" s="114"/>
      <c r="F198" s="27"/>
      <c r="G198" s="27"/>
      <c r="H198" s="27"/>
      <c r="I198" s="27"/>
      <c r="J198" s="27"/>
      <c r="K198" s="27"/>
      <c r="L198" s="27"/>
      <c r="M198" s="27"/>
      <c r="N198" s="27"/>
      <c r="O198" s="27"/>
      <c r="P198" s="27"/>
      <c r="Q198" s="27"/>
      <c r="R198" s="27"/>
      <c r="S198" s="27"/>
      <c r="T198" s="27"/>
      <c r="U198" s="27"/>
      <c r="V198" s="27"/>
      <c r="W198" s="27"/>
      <c r="X198" s="27"/>
      <c r="Y198" s="27"/>
      <c r="Z198" s="27"/>
    </row>
    <row r="199" ht="15.75" customHeight="1">
      <c r="A199" s="27"/>
      <c r="B199" s="27"/>
      <c r="C199" s="27"/>
      <c r="D199" s="114"/>
      <c r="E199" s="114"/>
      <c r="F199" s="27"/>
      <c r="G199" s="27"/>
      <c r="H199" s="27"/>
      <c r="I199" s="27"/>
      <c r="J199" s="27"/>
      <c r="K199" s="27"/>
      <c r="L199" s="27"/>
      <c r="M199" s="27"/>
      <c r="N199" s="27"/>
      <c r="O199" s="27"/>
      <c r="P199" s="27"/>
      <c r="Q199" s="27"/>
      <c r="R199" s="27"/>
      <c r="S199" s="27"/>
      <c r="T199" s="27"/>
      <c r="U199" s="27"/>
      <c r="V199" s="27"/>
      <c r="W199" s="27"/>
      <c r="X199" s="27"/>
      <c r="Y199" s="27"/>
      <c r="Z199" s="27"/>
    </row>
    <row r="200" ht="15.75" customHeight="1">
      <c r="A200" s="27"/>
      <c r="B200" s="27"/>
      <c r="C200" s="27"/>
      <c r="D200" s="114"/>
      <c r="E200" s="114"/>
      <c r="F200" s="27"/>
      <c r="G200" s="27"/>
      <c r="H200" s="27"/>
      <c r="I200" s="27"/>
      <c r="J200" s="27"/>
      <c r="K200" s="27"/>
      <c r="L200" s="27"/>
      <c r="M200" s="27"/>
      <c r="N200" s="27"/>
      <c r="O200" s="27"/>
      <c r="P200" s="27"/>
      <c r="Q200" s="27"/>
      <c r="R200" s="27"/>
      <c r="S200" s="27"/>
      <c r="T200" s="27"/>
      <c r="U200" s="27"/>
      <c r="V200" s="27"/>
      <c r="W200" s="27"/>
      <c r="X200" s="27"/>
      <c r="Y200" s="27"/>
      <c r="Z200" s="27"/>
    </row>
    <row r="201" ht="15.75" customHeight="1">
      <c r="A201" s="27"/>
      <c r="B201" s="27"/>
      <c r="C201" s="27"/>
      <c r="D201" s="114"/>
      <c r="E201" s="114"/>
      <c r="F201" s="27"/>
      <c r="G201" s="27"/>
      <c r="H201" s="27"/>
      <c r="I201" s="27"/>
      <c r="J201" s="27"/>
      <c r="K201" s="27"/>
      <c r="L201" s="27"/>
      <c r="M201" s="27"/>
      <c r="N201" s="27"/>
      <c r="O201" s="27"/>
      <c r="P201" s="27"/>
      <c r="Q201" s="27"/>
      <c r="R201" s="27"/>
      <c r="S201" s="27"/>
      <c r="T201" s="27"/>
      <c r="U201" s="27"/>
      <c r="V201" s="27"/>
      <c r="W201" s="27"/>
      <c r="X201" s="27"/>
      <c r="Y201" s="27"/>
      <c r="Z201" s="27"/>
    </row>
    <row r="202" ht="15.75" customHeight="1">
      <c r="A202" s="27"/>
      <c r="B202" s="27"/>
      <c r="C202" s="27"/>
      <c r="D202" s="114"/>
      <c r="E202" s="114"/>
      <c r="F202" s="27"/>
      <c r="G202" s="27"/>
      <c r="H202" s="27"/>
      <c r="I202" s="27"/>
      <c r="J202" s="27"/>
      <c r="K202" s="27"/>
      <c r="L202" s="27"/>
      <c r="M202" s="27"/>
      <c r="N202" s="27"/>
      <c r="O202" s="27"/>
      <c r="P202" s="27"/>
      <c r="Q202" s="27"/>
      <c r="R202" s="27"/>
      <c r="S202" s="27"/>
      <c r="T202" s="27"/>
      <c r="U202" s="27"/>
      <c r="V202" s="27"/>
      <c r="W202" s="27"/>
      <c r="X202" s="27"/>
      <c r="Y202" s="27"/>
      <c r="Z202" s="27"/>
    </row>
    <row r="203" ht="15.75" customHeight="1">
      <c r="A203" s="27"/>
      <c r="B203" s="27"/>
      <c r="C203" s="27"/>
      <c r="D203" s="114"/>
      <c r="E203" s="114"/>
      <c r="F203" s="27"/>
      <c r="G203" s="27"/>
      <c r="H203" s="332"/>
      <c r="I203" s="332"/>
      <c r="J203" s="332"/>
      <c r="K203" s="332"/>
      <c r="L203" s="332"/>
      <c r="M203" s="332"/>
      <c r="N203" s="332"/>
      <c r="O203" s="332"/>
      <c r="P203" s="332"/>
      <c r="Q203" s="332"/>
      <c r="R203" s="332"/>
      <c r="S203" s="332"/>
      <c r="T203" s="332"/>
      <c r="U203" s="332"/>
      <c r="V203" s="332"/>
      <c r="W203" s="332"/>
      <c r="X203" s="332"/>
      <c r="Y203" s="332"/>
      <c r="Z203" s="332"/>
    </row>
    <row r="204" ht="15.75" customHeight="1">
      <c r="A204" s="27"/>
      <c r="B204" s="27"/>
      <c r="C204" s="27"/>
      <c r="D204" s="114"/>
      <c r="E204" s="114"/>
      <c r="F204" s="27"/>
      <c r="G204" s="27"/>
      <c r="H204" s="332"/>
      <c r="I204" s="332"/>
      <c r="J204" s="332"/>
      <c r="K204" s="332"/>
      <c r="L204" s="332"/>
      <c r="M204" s="332"/>
      <c r="N204" s="332"/>
      <c r="O204" s="332"/>
      <c r="P204" s="332"/>
      <c r="Q204" s="332"/>
      <c r="R204" s="332"/>
      <c r="S204" s="332"/>
      <c r="T204" s="332"/>
      <c r="U204" s="332"/>
      <c r="V204" s="332"/>
      <c r="W204" s="332"/>
      <c r="X204" s="332"/>
      <c r="Y204" s="332"/>
      <c r="Z204" s="332"/>
    </row>
    <row r="205" ht="15.75" customHeight="1">
      <c r="A205" s="27"/>
      <c r="B205" s="27"/>
      <c r="C205" s="27"/>
      <c r="D205" s="114"/>
      <c r="E205" s="114"/>
      <c r="F205" s="27"/>
      <c r="G205" s="27"/>
      <c r="H205" s="332"/>
      <c r="I205" s="332"/>
      <c r="J205" s="332"/>
      <c r="K205" s="332"/>
      <c r="L205" s="332"/>
      <c r="M205" s="332"/>
      <c r="N205" s="332"/>
      <c r="O205" s="332"/>
      <c r="P205" s="332"/>
      <c r="Q205" s="332"/>
      <c r="R205" s="332"/>
      <c r="S205" s="332"/>
      <c r="T205" s="332"/>
      <c r="U205" s="332"/>
      <c r="V205" s="332"/>
      <c r="W205" s="332"/>
      <c r="X205" s="332"/>
      <c r="Y205" s="332"/>
      <c r="Z205" s="332"/>
    </row>
    <row r="206" ht="15.75" customHeight="1">
      <c r="A206" s="27"/>
      <c r="B206" s="27"/>
      <c r="C206" s="27"/>
      <c r="D206" s="114"/>
      <c r="E206" s="114"/>
      <c r="F206" s="27"/>
      <c r="G206" s="27"/>
      <c r="H206" s="332"/>
      <c r="I206" s="332"/>
      <c r="J206" s="332"/>
      <c r="K206" s="332"/>
      <c r="L206" s="332"/>
      <c r="M206" s="332"/>
      <c r="N206" s="332"/>
      <c r="O206" s="332"/>
      <c r="P206" s="332"/>
      <c r="Q206" s="332"/>
      <c r="R206" s="332"/>
      <c r="S206" s="332"/>
      <c r="T206" s="332"/>
      <c r="U206" s="332"/>
      <c r="V206" s="332"/>
      <c r="W206" s="332"/>
      <c r="X206" s="332"/>
      <c r="Y206" s="332"/>
      <c r="Z206" s="332"/>
    </row>
    <row r="207" ht="15.75" customHeight="1">
      <c r="A207" s="27"/>
      <c r="B207" s="27"/>
      <c r="C207" s="27"/>
      <c r="D207" s="114"/>
      <c r="E207" s="114"/>
      <c r="F207" s="27"/>
      <c r="G207" s="27"/>
      <c r="H207" s="332"/>
      <c r="I207" s="332"/>
      <c r="J207" s="332"/>
      <c r="K207" s="332"/>
      <c r="L207" s="332"/>
      <c r="M207" s="332"/>
      <c r="N207" s="332"/>
      <c r="O207" s="332"/>
      <c r="P207" s="332"/>
      <c r="Q207" s="332"/>
      <c r="R207" s="332"/>
      <c r="S207" s="332"/>
      <c r="T207" s="332"/>
      <c r="U207" s="332"/>
      <c r="V207" s="332"/>
      <c r="W207" s="332"/>
      <c r="X207" s="332"/>
      <c r="Y207" s="332"/>
      <c r="Z207" s="332"/>
    </row>
    <row r="208" ht="15.75" customHeight="1">
      <c r="A208" s="27"/>
      <c r="B208" s="27"/>
      <c r="C208" s="27"/>
      <c r="D208" s="114"/>
      <c r="E208" s="114"/>
      <c r="F208" s="27"/>
      <c r="G208" s="27"/>
      <c r="H208" s="332"/>
      <c r="I208" s="332"/>
      <c r="J208" s="332"/>
      <c r="K208" s="332"/>
      <c r="L208" s="332"/>
      <c r="M208" s="332"/>
      <c r="N208" s="332"/>
      <c r="O208" s="332"/>
      <c r="P208" s="332"/>
      <c r="Q208" s="332"/>
      <c r="R208" s="332"/>
      <c r="S208" s="332"/>
      <c r="T208" s="332"/>
      <c r="U208" s="332"/>
      <c r="V208" s="332"/>
      <c r="W208" s="332"/>
      <c r="X208" s="332"/>
      <c r="Y208" s="332"/>
      <c r="Z208" s="332"/>
    </row>
    <row r="209" ht="15.75" customHeight="1">
      <c r="A209" s="27"/>
      <c r="B209" s="27"/>
      <c r="C209" s="27"/>
      <c r="D209" s="114"/>
      <c r="E209" s="114"/>
      <c r="F209" s="27"/>
      <c r="G209" s="27"/>
      <c r="H209" s="332"/>
      <c r="I209" s="332"/>
      <c r="J209" s="332"/>
      <c r="K209" s="332"/>
      <c r="L209" s="332"/>
      <c r="M209" s="332"/>
      <c r="N209" s="332"/>
      <c r="O209" s="332"/>
      <c r="P209" s="332"/>
      <c r="Q209" s="332"/>
      <c r="R209" s="332"/>
      <c r="S209" s="332"/>
      <c r="T209" s="332"/>
      <c r="U209" s="332"/>
      <c r="V209" s="332"/>
      <c r="W209" s="332"/>
      <c r="X209" s="332"/>
      <c r="Y209" s="332"/>
      <c r="Z209" s="332"/>
    </row>
    <row r="210" ht="15.75" customHeight="1">
      <c r="A210" s="27"/>
      <c r="B210" s="27"/>
      <c r="C210" s="27"/>
      <c r="D210" s="114"/>
      <c r="E210" s="114"/>
      <c r="F210" s="27"/>
      <c r="G210" s="27"/>
      <c r="H210" s="332"/>
      <c r="I210" s="332"/>
      <c r="J210" s="332"/>
      <c r="K210" s="332"/>
      <c r="L210" s="332"/>
      <c r="M210" s="332"/>
      <c r="N210" s="332"/>
      <c r="O210" s="332"/>
      <c r="P210" s="332"/>
      <c r="Q210" s="332"/>
      <c r="R210" s="332"/>
      <c r="S210" s="332"/>
      <c r="T210" s="332"/>
      <c r="U210" s="332"/>
      <c r="V210" s="332"/>
      <c r="W210" s="332"/>
      <c r="X210" s="332"/>
      <c r="Y210" s="332"/>
      <c r="Z210" s="332"/>
    </row>
    <row r="211" ht="15.75" customHeight="1">
      <c r="A211" s="27"/>
      <c r="B211" s="27"/>
      <c r="C211" s="27"/>
      <c r="D211" s="114"/>
      <c r="E211" s="114"/>
      <c r="F211" s="27"/>
      <c r="G211" s="27"/>
      <c r="H211" s="332"/>
      <c r="I211" s="332"/>
      <c r="J211" s="332"/>
      <c r="K211" s="332"/>
      <c r="L211" s="332"/>
      <c r="M211" s="332"/>
      <c r="N211" s="332"/>
      <c r="O211" s="332"/>
      <c r="P211" s="332"/>
      <c r="Q211" s="332"/>
      <c r="R211" s="332"/>
      <c r="S211" s="332"/>
      <c r="T211" s="332"/>
      <c r="U211" s="332"/>
      <c r="V211" s="332"/>
      <c r="W211" s="332"/>
      <c r="X211" s="332"/>
      <c r="Y211" s="332"/>
      <c r="Z211" s="332"/>
    </row>
    <row r="212" ht="15.75" customHeight="1">
      <c r="A212" s="27"/>
      <c r="B212" s="27"/>
      <c r="C212" s="27"/>
      <c r="D212" s="114"/>
      <c r="E212" s="114"/>
      <c r="F212" s="27"/>
      <c r="G212" s="27"/>
      <c r="H212" s="332"/>
      <c r="I212" s="332"/>
      <c r="J212" s="332"/>
      <c r="K212" s="332"/>
      <c r="L212" s="332"/>
      <c r="M212" s="332"/>
      <c r="N212" s="332"/>
      <c r="O212" s="332"/>
      <c r="P212" s="332"/>
      <c r="Q212" s="332"/>
      <c r="R212" s="332"/>
      <c r="S212" s="332"/>
      <c r="T212" s="332"/>
      <c r="U212" s="332"/>
      <c r="V212" s="332"/>
      <c r="W212" s="332"/>
      <c r="X212" s="332"/>
      <c r="Y212" s="332"/>
      <c r="Z212" s="332"/>
    </row>
    <row r="213" ht="15.75" customHeight="1">
      <c r="A213" s="27"/>
      <c r="B213" s="27"/>
      <c r="C213" s="27"/>
      <c r="D213" s="114"/>
      <c r="E213" s="114"/>
      <c r="F213" s="27"/>
      <c r="G213" s="27"/>
      <c r="H213" s="332"/>
      <c r="I213" s="332"/>
      <c r="J213" s="332"/>
      <c r="K213" s="332"/>
      <c r="L213" s="332"/>
      <c r="M213" s="332"/>
      <c r="N213" s="332"/>
      <c r="O213" s="332"/>
      <c r="P213" s="332"/>
      <c r="Q213" s="332"/>
      <c r="R213" s="332"/>
      <c r="S213" s="332"/>
      <c r="T213" s="332"/>
      <c r="U213" s="332"/>
      <c r="V213" s="332"/>
      <c r="W213" s="332"/>
      <c r="X213" s="332"/>
      <c r="Y213" s="332"/>
      <c r="Z213" s="332"/>
    </row>
    <row r="214" ht="15.75" customHeight="1">
      <c r="A214" s="27"/>
      <c r="B214" s="27"/>
      <c r="C214" s="27"/>
      <c r="D214" s="114"/>
      <c r="E214" s="114"/>
      <c r="F214" s="27"/>
      <c r="G214" s="27"/>
      <c r="H214" s="332"/>
      <c r="I214" s="332"/>
      <c r="J214" s="332"/>
      <c r="K214" s="332"/>
      <c r="L214" s="332"/>
      <c r="M214" s="332"/>
      <c r="N214" s="332"/>
      <c r="O214" s="332"/>
      <c r="P214" s="332"/>
      <c r="Q214" s="332"/>
      <c r="R214" s="332"/>
      <c r="S214" s="332"/>
      <c r="T214" s="332"/>
      <c r="U214" s="332"/>
      <c r="V214" s="332"/>
      <c r="W214" s="332"/>
      <c r="X214" s="332"/>
      <c r="Y214" s="332"/>
      <c r="Z214" s="332"/>
    </row>
    <row r="215" ht="15.75" customHeight="1">
      <c r="A215" s="27"/>
      <c r="B215" s="27"/>
      <c r="C215" s="27"/>
      <c r="D215" s="114"/>
      <c r="E215" s="114"/>
      <c r="F215" s="27"/>
      <c r="G215" s="27"/>
      <c r="H215" s="332"/>
      <c r="I215" s="332"/>
      <c r="J215" s="332"/>
      <c r="K215" s="332"/>
      <c r="L215" s="332"/>
      <c r="M215" s="332"/>
      <c r="N215" s="332"/>
      <c r="O215" s="332"/>
      <c r="P215" s="332"/>
      <c r="Q215" s="332"/>
      <c r="R215" s="332"/>
      <c r="S215" s="332"/>
      <c r="T215" s="332"/>
      <c r="U215" s="332"/>
      <c r="V215" s="332"/>
      <c r="W215" s="332"/>
      <c r="X215" s="332"/>
      <c r="Y215" s="332"/>
      <c r="Z215" s="332"/>
    </row>
    <row r="216" ht="15.75" customHeight="1">
      <c r="A216" s="27"/>
      <c r="B216" s="27"/>
      <c r="C216" s="27"/>
      <c r="D216" s="114"/>
      <c r="E216" s="114"/>
      <c r="F216" s="27"/>
      <c r="G216" s="27"/>
      <c r="H216" s="332"/>
      <c r="I216" s="332"/>
      <c r="J216" s="332"/>
      <c r="K216" s="332"/>
      <c r="L216" s="332"/>
      <c r="M216" s="332"/>
      <c r="N216" s="332"/>
      <c r="O216" s="332"/>
      <c r="P216" s="332"/>
      <c r="Q216" s="332"/>
      <c r="R216" s="332"/>
      <c r="S216" s="332"/>
      <c r="T216" s="332"/>
      <c r="U216" s="332"/>
      <c r="V216" s="332"/>
      <c r="W216" s="332"/>
      <c r="X216" s="332"/>
      <c r="Y216" s="332"/>
      <c r="Z216" s="332"/>
    </row>
    <row r="217" ht="15.75" customHeight="1">
      <c r="A217" s="27"/>
      <c r="B217" s="27"/>
      <c r="C217" s="27"/>
      <c r="D217" s="114"/>
      <c r="E217" s="114"/>
      <c r="F217" s="27"/>
      <c r="G217" s="27"/>
      <c r="H217" s="332"/>
      <c r="I217" s="332"/>
      <c r="J217" s="332"/>
      <c r="K217" s="332"/>
      <c r="L217" s="332"/>
      <c r="M217" s="332"/>
      <c r="N217" s="332"/>
      <c r="O217" s="332"/>
      <c r="P217" s="332"/>
      <c r="Q217" s="332"/>
      <c r="R217" s="332"/>
      <c r="S217" s="332"/>
      <c r="T217" s="332"/>
      <c r="U217" s="332"/>
      <c r="V217" s="332"/>
      <c r="W217" s="332"/>
      <c r="X217" s="332"/>
      <c r="Y217" s="332"/>
      <c r="Z217" s="332"/>
    </row>
    <row r="218" ht="15.75" customHeight="1">
      <c r="A218" s="27"/>
      <c r="B218" s="27"/>
      <c r="C218" s="27"/>
      <c r="D218" s="114"/>
      <c r="E218" s="114"/>
      <c r="F218" s="27"/>
      <c r="G218" s="27"/>
      <c r="H218" s="332"/>
      <c r="I218" s="332"/>
      <c r="J218" s="332"/>
      <c r="K218" s="332"/>
      <c r="L218" s="332"/>
      <c r="M218" s="332"/>
      <c r="N218" s="332"/>
      <c r="O218" s="332"/>
      <c r="P218" s="332"/>
      <c r="Q218" s="332"/>
      <c r="R218" s="332"/>
      <c r="S218" s="332"/>
      <c r="T218" s="332"/>
      <c r="U218" s="332"/>
      <c r="V218" s="332"/>
      <c r="W218" s="332"/>
      <c r="X218" s="332"/>
      <c r="Y218" s="332"/>
      <c r="Z218" s="332"/>
    </row>
    <row r="219" ht="15.75" customHeight="1">
      <c r="A219" s="27"/>
      <c r="B219" s="27"/>
      <c r="C219" s="27"/>
      <c r="D219" s="114"/>
      <c r="E219" s="114"/>
      <c r="F219" s="27"/>
      <c r="G219" s="27"/>
      <c r="H219" s="332"/>
      <c r="I219" s="332"/>
      <c r="J219" s="332"/>
      <c r="K219" s="332"/>
      <c r="L219" s="332"/>
      <c r="M219" s="332"/>
      <c r="N219" s="332"/>
      <c r="O219" s="332"/>
      <c r="P219" s="332"/>
      <c r="Q219" s="332"/>
      <c r="R219" s="332"/>
      <c r="S219" s="332"/>
      <c r="T219" s="332"/>
      <c r="U219" s="332"/>
      <c r="V219" s="332"/>
      <c r="W219" s="332"/>
      <c r="X219" s="332"/>
      <c r="Y219" s="332"/>
      <c r="Z219" s="332"/>
    </row>
    <row r="220" ht="15.75" customHeight="1">
      <c r="A220" s="27"/>
      <c r="B220" s="27"/>
      <c r="C220" s="27"/>
      <c r="D220" s="114"/>
      <c r="E220" s="114"/>
      <c r="F220" s="27"/>
      <c r="G220" s="27"/>
      <c r="H220" s="332"/>
      <c r="I220" s="332"/>
      <c r="J220" s="332"/>
      <c r="K220" s="332"/>
      <c r="L220" s="332"/>
      <c r="M220" s="332"/>
      <c r="N220" s="332"/>
      <c r="O220" s="332"/>
      <c r="P220" s="332"/>
      <c r="Q220" s="332"/>
      <c r="R220" s="332"/>
      <c r="S220" s="332"/>
      <c r="T220" s="332"/>
      <c r="U220" s="332"/>
      <c r="V220" s="332"/>
      <c r="W220" s="332"/>
      <c r="X220" s="332"/>
      <c r="Y220" s="332"/>
      <c r="Z220" s="332"/>
    </row>
    <row r="221" ht="15.75" customHeight="1">
      <c r="A221" s="27"/>
      <c r="B221" s="27"/>
      <c r="C221" s="27"/>
      <c r="D221" s="114"/>
      <c r="E221" s="114"/>
      <c r="F221" s="27"/>
      <c r="G221" s="27"/>
      <c r="H221" s="332"/>
      <c r="I221" s="332"/>
      <c r="J221" s="332"/>
      <c r="K221" s="332"/>
      <c r="L221" s="332"/>
      <c r="M221" s="332"/>
      <c r="N221" s="332"/>
      <c r="O221" s="332"/>
      <c r="P221" s="332"/>
      <c r="Q221" s="332"/>
      <c r="R221" s="332"/>
      <c r="S221" s="332"/>
      <c r="T221" s="332"/>
      <c r="U221" s="332"/>
      <c r="V221" s="332"/>
      <c r="W221" s="332"/>
      <c r="X221" s="332"/>
      <c r="Y221" s="332"/>
      <c r="Z221" s="332"/>
    </row>
    <row r="222" ht="15.75" customHeight="1">
      <c r="A222" s="27"/>
      <c r="B222" s="27"/>
      <c r="C222" s="27"/>
      <c r="D222" s="114"/>
      <c r="E222" s="114"/>
      <c r="F222" s="27"/>
      <c r="G222" s="27"/>
      <c r="H222" s="332"/>
      <c r="I222" s="332"/>
      <c r="J222" s="332"/>
      <c r="K222" s="332"/>
      <c r="L222" s="332"/>
      <c r="M222" s="332"/>
      <c r="N222" s="332"/>
      <c r="O222" s="332"/>
      <c r="P222" s="332"/>
      <c r="Q222" s="332"/>
      <c r="R222" s="332"/>
      <c r="S222" s="332"/>
      <c r="T222" s="332"/>
      <c r="U222" s="332"/>
      <c r="V222" s="332"/>
      <c r="W222" s="332"/>
      <c r="X222" s="332"/>
      <c r="Y222" s="332"/>
      <c r="Z222" s="332"/>
    </row>
    <row r="223" ht="15.75" customHeight="1">
      <c r="A223" s="27"/>
      <c r="B223" s="27"/>
      <c r="C223" s="27"/>
      <c r="D223" s="114"/>
      <c r="E223" s="114"/>
      <c r="F223" s="27"/>
      <c r="G223" s="27"/>
      <c r="H223" s="332"/>
      <c r="I223" s="332"/>
      <c r="J223" s="332"/>
      <c r="K223" s="332"/>
      <c r="L223" s="332"/>
      <c r="M223" s="332"/>
      <c r="N223" s="332"/>
      <c r="O223" s="332"/>
      <c r="P223" s="332"/>
      <c r="Q223" s="332"/>
      <c r="R223" s="332"/>
      <c r="S223" s="332"/>
      <c r="T223" s="332"/>
      <c r="U223" s="332"/>
      <c r="V223" s="332"/>
      <c r="W223" s="332"/>
      <c r="X223" s="332"/>
      <c r="Y223" s="332"/>
      <c r="Z223" s="332"/>
    </row>
    <row r="224" ht="15.75" customHeight="1">
      <c r="A224" s="27"/>
      <c r="B224" s="27"/>
      <c r="C224" s="27"/>
      <c r="D224" s="114"/>
      <c r="E224" s="114"/>
      <c r="F224" s="27"/>
      <c r="G224" s="27"/>
      <c r="H224" s="332"/>
      <c r="I224" s="332"/>
      <c r="J224" s="332"/>
      <c r="K224" s="332"/>
      <c r="L224" s="332"/>
      <c r="M224" s="332"/>
      <c r="N224" s="332"/>
      <c r="O224" s="332"/>
      <c r="P224" s="332"/>
      <c r="Q224" s="332"/>
      <c r="R224" s="332"/>
      <c r="S224" s="332"/>
      <c r="T224" s="332"/>
      <c r="U224" s="332"/>
      <c r="V224" s="332"/>
      <c r="W224" s="332"/>
      <c r="X224" s="332"/>
      <c r="Y224" s="332"/>
      <c r="Z224" s="332"/>
    </row>
    <row r="225" ht="15.75" customHeight="1">
      <c r="A225" s="27"/>
      <c r="B225" s="27"/>
      <c r="C225" s="27"/>
      <c r="D225" s="114"/>
      <c r="E225" s="114"/>
      <c r="F225" s="27"/>
      <c r="G225" s="27"/>
      <c r="H225" s="332"/>
      <c r="I225" s="332"/>
      <c r="J225" s="332"/>
      <c r="K225" s="332"/>
      <c r="L225" s="332"/>
      <c r="M225" s="332"/>
      <c r="N225" s="332"/>
      <c r="O225" s="332"/>
      <c r="P225" s="332"/>
      <c r="Q225" s="332"/>
      <c r="R225" s="332"/>
      <c r="S225" s="332"/>
      <c r="T225" s="332"/>
      <c r="U225" s="332"/>
      <c r="V225" s="332"/>
      <c r="W225" s="332"/>
      <c r="X225" s="332"/>
      <c r="Y225" s="332"/>
      <c r="Z225" s="332"/>
    </row>
    <row r="226" ht="15.75" customHeight="1">
      <c r="A226" s="27"/>
      <c r="B226" s="27"/>
      <c r="C226" s="27"/>
      <c r="D226" s="114"/>
      <c r="E226" s="114"/>
      <c r="F226" s="27"/>
      <c r="G226" s="27"/>
      <c r="H226" s="332"/>
      <c r="I226" s="332"/>
      <c r="J226" s="332"/>
      <c r="K226" s="332"/>
      <c r="L226" s="332"/>
      <c r="M226" s="332"/>
      <c r="N226" s="332"/>
      <c r="O226" s="332"/>
      <c r="P226" s="332"/>
      <c r="Q226" s="332"/>
      <c r="R226" s="332"/>
      <c r="S226" s="332"/>
      <c r="T226" s="332"/>
      <c r="U226" s="332"/>
      <c r="V226" s="332"/>
      <c r="W226" s="332"/>
      <c r="X226" s="332"/>
      <c r="Y226" s="332"/>
      <c r="Z226" s="332"/>
    </row>
    <row r="227" ht="15.75" customHeight="1">
      <c r="A227" s="27"/>
      <c r="B227" s="27"/>
      <c r="C227" s="27"/>
      <c r="D227" s="114"/>
      <c r="E227" s="114"/>
      <c r="F227" s="27"/>
      <c r="G227" s="27"/>
      <c r="H227" s="332"/>
      <c r="I227" s="332"/>
      <c r="J227" s="332"/>
      <c r="K227" s="332"/>
      <c r="L227" s="332"/>
      <c r="M227" s="332"/>
      <c r="N227" s="332"/>
      <c r="O227" s="332"/>
      <c r="P227" s="332"/>
      <c r="Q227" s="332"/>
      <c r="R227" s="332"/>
      <c r="S227" s="332"/>
      <c r="T227" s="332"/>
      <c r="U227" s="332"/>
      <c r="V227" s="332"/>
      <c r="W227" s="332"/>
      <c r="X227" s="332"/>
      <c r="Y227" s="332"/>
      <c r="Z227" s="332"/>
    </row>
    <row r="228" ht="15.75" customHeight="1">
      <c r="A228" s="27"/>
      <c r="B228" s="27"/>
      <c r="C228" s="27"/>
      <c r="D228" s="114"/>
      <c r="E228" s="114"/>
      <c r="F228" s="27"/>
      <c r="G228" s="27"/>
      <c r="H228" s="332"/>
      <c r="I228" s="332"/>
      <c r="J228" s="332"/>
      <c r="K228" s="332"/>
      <c r="L228" s="332"/>
      <c r="M228" s="332"/>
      <c r="N228" s="332"/>
      <c r="O228" s="332"/>
      <c r="P228" s="332"/>
      <c r="Q228" s="332"/>
      <c r="R228" s="332"/>
      <c r="S228" s="332"/>
      <c r="T228" s="332"/>
      <c r="U228" s="332"/>
      <c r="V228" s="332"/>
      <c r="W228" s="332"/>
      <c r="X228" s="332"/>
      <c r="Y228" s="332"/>
      <c r="Z228" s="332"/>
    </row>
    <row r="229" ht="15.75" customHeight="1">
      <c r="A229" s="27"/>
      <c r="B229" s="27"/>
      <c r="C229" s="27"/>
      <c r="D229" s="114"/>
      <c r="E229" s="114"/>
      <c r="F229" s="27"/>
      <c r="G229" s="27"/>
      <c r="H229" s="332"/>
      <c r="I229" s="332"/>
      <c r="J229" s="332"/>
      <c r="K229" s="332"/>
      <c r="L229" s="332"/>
      <c r="M229" s="332"/>
      <c r="N229" s="332"/>
      <c r="O229" s="332"/>
      <c r="P229" s="332"/>
      <c r="Q229" s="332"/>
      <c r="R229" s="332"/>
      <c r="S229" s="332"/>
      <c r="T229" s="332"/>
      <c r="U229" s="332"/>
      <c r="V229" s="332"/>
      <c r="W229" s="332"/>
      <c r="X229" s="332"/>
      <c r="Y229" s="332"/>
      <c r="Z229" s="332"/>
    </row>
    <row r="230" ht="15.75" customHeight="1">
      <c r="A230" s="27"/>
      <c r="B230" s="27"/>
      <c r="C230" s="27"/>
      <c r="D230" s="114"/>
      <c r="E230" s="114"/>
      <c r="F230" s="27"/>
      <c r="G230" s="27"/>
      <c r="H230" s="332"/>
      <c r="I230" s="332"/>
      <c r="J230" s="332"/>
      <c r="K230" s="332"/>
      <c r="L230" s="332"/>
      <c r="M230" s="332"/>
      <c r="N230" s="332"/>
      <c r="O230" s="332"/>
      <c r="P230" s="332"/>
      <c r="Q230" s="332"/>
      <c r="R230" s="332"/>
      <c r="S230" s="332"/>
      <c r="T230" s="332"/>
      <c r="U230" s="332"/>
      <c r="V230" s="332"/>
      <c r="W230" s="332"/>
      <c r="X230" s="332"/>
      <c r="Y230" s="332"/>
      <c r="Z230" s="332"/>
    </row>
    <row r="231" ht="15.75" customHeight="1">
      <c r="A231" s="27"/>
      <c r="B231" s="27"/>
      <c r="C231" s="27"/>
      <c r="D231" s="114"/>
      <c r="E231" s="114"/>
      <c r="F231" s="27"/>
      <c r="G231" s="27"/>
      <c r="H231" s="332"/>
      <c r="I231" s="332"/>
      <c r="J231" s="332"/>
      <c r="K231" s="332"/>
      <c r="L231" s="332"/>
      <c r="M231" s="332"/>
      <c r="N231" s="332"/>
      <c r="O231" s="332"/>
      <c r="P231" s="332"/>
      <c r="Q231" s="332"/>
      <c r="R231" s="332"/>
      <c r="S231" s="332"/>
      <c r="T231" s="332"/>
      <c r="U231" s="332"/>
      <c r="V231" s="332"/>
      <c r="W231" s="332"/>
      <c r="X231" s="332"/>
      <c r="Y231" s="332"/>
      <c r="Z231" s="332"/>
    </row>
    <row r="232" ht="15.75" customHeight="1">
      <c r="A232" s="27"/>
      <c r="B232" s="27"/>
      <c r="C232" s="27"/>
      <c r="D232" s="114"/>
      <c r="E232" s="114"/>
      <c r="F232" s="27"/>
      <c r="G232" s="27"/>
      <c r="H232" s="332"/>
      <c r="I232" s="332"/>
      <c r="J232" s="332"/>
      <c r="K232" s="332"/>
      <c r="L232" s="332"/>
      <c r="M232" s="332"/>
      <c r="N232" s="332"/>
      <c r="O232" s="332"/>
      <c r="P232" s="332"/>
      <c r="Q232" s="332"/>
      <c r="R232" s="332"/>
      <c r="S232" s="332"/>
      <c r="T232" s="332"/>
      <c r="U232" s="332"/>
      <c r="V232" s="332"/>
      <c r="W232" s="332"/>
      <c r="X232" s="332"/>
      <c r="Y232" s="332"/>
      <c r="Z232" s="332"/>
    </row>
    <row r="233" ht="15.75" customHeight="1">
      <c r="A233" s="27"/>
      <c r="B233" s="27"/>
      <c r="C233" s="27"/>
      <c r="D233" s="114"/>
      <c r="E233" s="114"/>
      <c r="F233" s="27"/>
      <c r="G233" s="27"/>
      <c r="H233" s="332"/>
      <c r="I233" s="332"/>
      <c r="J233" s="332"/>
      <c r="K233" s="332"/>
      <c r="L233" s="332"/>
      <c r="M233" s="332"/>
      <c r="N233" s="332"/>
      <c r="O233" s="332"/>
      <c r="P233" s="332"/>
      <c r="Q233" s="332"/>
      <c r="R233" s="332"/>
      <c r="S233" s="332"/>
      <c r="T233" s="332"/>
      <c r="U233" s="332"/>
      <c r="V233" s="332"/>
      <c r="W233" s="332"/>
      <c r="X233" s="332"/>
      <c r="Y233" s="332"/>
      <c r="Z233" s="332"/>
    </row>
    <row r="234" ht="15.75" customHeight="1">
      <c r="A234" s="27"/>
      <c r="B234" s="27"/>
      <c r="C234" s="27"/>
      <c r="D234" s="114"/>
      <c r="E234" s="114"/>
      <c r="F234" s="27"/>
      <c r="G234" s="27"/>
      <c r="H234" s="332"/>
      <c r="I234" s="332"/>
      <c r="J234" s="332"/>
      <c r="K234" s="332"/>
      <c r="L234" s="332"/>
      <c r="M234" s="332"/>
      <c r="N234" s="332"/>
      <c r="O234" s="332"/>
      <c r="P234" s="332"/>
      <c r="Q234" s="332"/>
      <c r="R234" s="332"/>
      <c r="S234" s="332"/>
      <c r="T234" s="332"/>
      <c r="U234" s="332"/>
      <c r="V234" s="332"/>
      <c r="W234" s="332"/>
      <c r="X234" s="332"/>
      <c r="Y234" s="332"/>
      <c r="Z234" s="332"/>
    </row>
    <row r="235" ht="15.75" customHeight="1">
      <c r="A235" s="27"/>
      <c r="B235" s="27"/>
      <c r="C235" s="27"/>
      <c r="D235" s="114"/>
      <c r="E235" s="114"/>
      <c r="F235" s="27"/>
      <c r="G235" s="27"/>
      <c r="H235" s="332"/>
      <c r="I235" s="332"/>
      <c r="J235" s="332"/>
      <c r="K235" s="332"/>
      <c r="L235" s="332"/>
      <c r="M235" s="332"/>
      <c r="N235" s="332"/>
      <c r="O235" s="332"/>
      <c r="P235" s="332"/>
      <c r="Q235" s="332"/>
      <c r="R235" s="332"/>
      <c r="S235" s="332"/>
      <c r="T235" s="332"/>
      <c r="U235" s="332"/>
      <c r="V235" s="332"/>
      <c r="W235" s="332"/>
      <c r="X235" s="332"/>
      <c r="Y235" s="332"/>
      <c r="Z235" s="332"/>
    </row>
    <row r="236" ht="15.75" customHeight="1">
      <c r="A236" s="27"/>
      <c r="B236" s="27"/>
      <c r="C236" s="27"/>
      <c r="D236" s="114"/>
      <c r="E236" s="114"/>
      <c r="F236" s="27"/>
      <c r="G236" s="27"/>
      <c r="H236" s="332"/>
      <c r="I236" s="332"/>
      <c r="J236" s="332"/>
      <c r="K236" s="332"/>
      <c r="L236" s="332"/>
      <c r="M236" s="332"/>
      <c r="N236" s="332"/>
      <c r="O236" s="332"/>
      <c r="P236" s="332"/>
      <c r="Q236" s="332"/>
      <c r="R236" s="332"/>
      <c r="S236" s="332"/>
      <c r="T236" s="332"/>
      <c r="U236" s="332"/>
      <c r="V236" s="332"/>
      <c r="W236" s="332"/>
      <c r="X236" s="332"/>
      <c r="Y236" s="332"/>
      <c r="Z236" s="332"/>
    </row>
    <row r="237" ht="15.75" customHeight="1">
      <c r="A237" s="27"/>
      <c r="B237" s="27"/>
      <c r="C237" s="27"/>
      <c r="D237" s="114"/>
      <c r="E237" s="114"/>
      <c r="F237" s="27"/>
      <c r="G237" s="27"/>
      <c r="H237" s="332"/>
      <c r="I237" s="332"/>
      <c r="J237" s="332"/>
      <c r="K237" s="332"/>
      <c r="L237" s="332"/>
      <c r="M237" s="332"/>
      <c r="N237" s="332"/>
      <c r="O237" s="332"/>
      <c r="P237" s="332"/>
      <c r="Q237" s="332"/>
      <c r="R237" s="332"/>
      <c r="S237" s="332"/>
      <c r="T237" s="332"/>
      <c r="U237" s="332"/>
      <c r="V237" s="332"/>
      <c r="W237" s="332"/>
      <c r="X237" s="332"/>
      <c r="Y237" s="332"/>
      <c r="Z237" s="332"/>
    </row>
    <row r="238" ht="15.75" customHeight="1">
      <c r="A238" s="27"/>
      <c r="B238" s="27"/>
      <c r="C238" s="27"/>
      <c r="D238" s="114"/>
      <c r="E238" s="114"/>
      <c r="F238" s="27"/>
      <c r="G238" s="27"/>
      <c r="H238" s="332"/>
      <c r="I238" s="332"/>
      <c r="J238" s="332"/>
      <c r="K238" s="332"/>
      <c r="L238" s="332"/>
      <c r="M238" s="332"/>
      <c r="N238" s="332"/>
      <c r="O238" s="332"/>
      <c r="P238" s="332"/>
      <c r="Q238" s="332"/>
      <c r="R238" s="332"/>
      <c r="S238" s="332"/>
      <c r="T238" s="332"/>
      <c r="U238" s="332"/>
      <c r="V238" s="332"/>
      <c r="W238" s="332"/>
      <c r="X238" s="332"/>
      <c r="Y238" s="332"/>
      <c r="Z238" s="332"/>
    </row>
    <row r="239" ht="15.75" customHeight="1">
      <c r="A239" s="27"/>
      <c r="B239" s="27"/>
      <c r="C239" s="27"/>
      <c r="D239" s="114"/>
      <c r="E239" s="114"/>
      <c r="F239" s="27"/>
      <c r="G239" s="27"/>
      <c r="H239" s="332"/>
      <c r="I239" s="332"/>
      <c r="J239" s="332"/>
      <c r="K239" s="332"/>
      <c r="L239" s="332"/>
      <c r="M239" s="332"/>
      <c r="N239" s="332"/>
      <c r="O239" s="332"/>
      <c r="P239" s="332"/>
      <c r="Q239" s="332"/>
      <c r="R239" s="332"/>
      <c r="S239" s="332"/>
      <c r="T239" s="332"/>
      <c r="U239" s="332"/>
      <c r="V239" s="332"/>
      <c r="W239" s="332"/>
      <c r="X239" s="332"/>
      <c r="Y239" s="332"/>
      <c r="Z239" s="332"/>
    </row>
    <row r="240" ht="15.75" customHeight="1">
      <c r="A240" s="27"/>
      <c r="B240" s="27"/>
      <c r="C240" s="27"/>
      <c r="D240" s="114"/>
      <c r="E240" s="114"/>
      <c r="F240" s="27"/>
      <c r="G240" s="27"/>
      <c r="H240" s="332"/>
      <c r="I240" s="332"/>
      <c r="J240" s="332"/>
      <c r="K240" s="332"/>
      <c r="L240" s="332"/>
      <c r="M240" s="332"/>
      <c r="N240" s="332"/>
      <c r="O240" s="332"/>
      <c r="P240" s="332"/>
      <c r="Q240" s="332"/>
      <c r="R240" s="332"/>
      <c r="S240" s="332"/>
      <c r="T240" s="332"/>
      <c r="U240" s="332"/>
      <c r="V240" s="332"/>
      <c r="W240" s="332"/>
      <c r="X240" s="332"/>
      <c r="Y240" s="332"/>
      <c r="Z240" s="332"/>
    </row>
    <row r="241" ht="15.75" customHeight="1">
      <c r="A241" s="27"/>
      <c r="B241" s="27"/>
      <c r="C241" s="27"/>
      <c r="D241" s="114"/>
      <c r="E241" s="114"/>
      <c r="F241" s="27"/>
      <c r="G241" s="27"/>
      <c r="H241" s="332"/>
      <c r="I241" s="332"/>
      <c r="J241" s="332"/>
      <c r="K241" s="332"/>
      <c r="L241" s="332"/>
      <c r="M241" s="332"/>
      <c r="N241" s="332"/>
      <c r="O241" s="332"/>
      <c r="P241" s="332"/>
      <c r="Q241" s="332"/>
      <c r="R241" s="332"/>
      <c r="S241" s="332"/>
      <c r="T241" s="332"/>
      <c r="U241" s="332"/>
      <c r="V241" s="332"/>
      <c r="W241" s="332"/>
      <c r="X241" s="332"/>
      <c r="Y241" s="332"/>
      <c r="Z241" s="332"/>
    </row>
    <row r="242" ht="15.75" customHeight="1">
      <c r="A242" s="27"/>
      <c r="B242" s="27"/>
      <c r="C242" s="27"/>
      <c r="D242" s="114"/>
      <c r="E242" s="114"/>
      <c r="F242" s="27"/>
      <c r="G242" s="27"/>
      <c r="H242" s="332"/>
      <c r="I242" s="332"/>
      <c r="J242" s="332"/>
      <c r="K242" s="332"/>
      <c r="L242" s="332"/>
      <c r="M242" s="332"/>
      <c r="N242" s="332"/>
      <c r="O242" s="332"/>
      <c r="P242" s="332"/>
      <c r="Q242" s="332"/>
      <c r="R242" s="332"/>
      <c r="S242" s="332"/>
      <c r="T242" s="332"/>
      <c r="U242" s="332"/>
      <c r="V242" s="332"/>
      <c r="W242" s="332"/>
      <c r="X242" s="332"/>
      <c r="Y242" s="332"/>
      <c r="Z242" s="332"/>
    </row>
    <row r="243" ht="15.75" customHeight="1">
      <c r="A243" s="27"/>
      <c r="B243" s="27"/>
      <c r="C243" s="27"/>
      <c r="D243" s="114"/>
      <c r="E243" s="114"/>
      <c r="F243" s="27"/>
      <c r="G243" s="27"/>
      <c r="H243" s="332"/>
      <c r="I243" s="332"/>
      <c r="J243" s="332"/>
      <c r="K243" s="332"/>
      <c r="L243" s="332"/>
      <c r="M243" s="332"/>
      <c r="N243" s="332"/>
      <c r="O243" s="332"/>
      <c r="P243" s="332"/>
      <c r="Q243" s="332"/>
      <c r="R243" s="332"/>
      <c r="S243" s="332"/>
      <c r="T243" s="332"/>
      <c r="U243" s="332"/>
      <c r="V243" s="332"/>
      <c r="W243" s="332"/>
      <c r="X243" s="332"/>
      <c r="Y243" s="332"/>
      <c r="Z243" s="332"/>
    </row>
    <row r="244" ht="15.75" customHeight="1">
      <c r="A244" s="27"/>
      <c r="B244" s="27"/>
      <c r="C244" s="27"/>
      <c r="D244" s="114"/>
      <c r="E244" s="114"/>
      <c r="F244" s="27"/>
      <c r="G244" s="27"/>
      <c r="H244" s="332"/>
      <c r="I244" s="332"/>
      <c r="J244" s="332"/>
      <c r="K244" s="332"/>
      <c r="L244" s="332"/>
      <c r="M244" s="332"/>
      <c r="N244" s="332"/>
      <c r="O244" s="332"/>
      <c r="P244" s="332"/>
      <c r="Q244" s="332"/>
      <c r="R244" s="332"/>
      <c r="S244" s="332"/>
      <c r="T244" s="332"/>
      <c r="U244" s="332"/>
      <c r="V244" s="332"/>
      <c r="W244" s="332"/>
      <c r="X244" s="332"/>
      <c r="Y244" s="332"/>
      <c r="Z244" s="332"/>
    </row>
    <row r="245" ht="15.75" customHeight="1">
      <c r="A245" s="27"/>
      <c r="B245" s="27"/>
      <c r="C245" s="27"/>
      <c r="D245" s="114"/>
      <c r="E245" s="114"/>
      <c r="F245" s="27"/>
      <c r="G245" s="27"/>
      <c r="H245" s="332"/>
      <c r="I245" s="332"/>
      <c r="J245" s="332"/>
      <c r="K245" s="332"/>
      <c r="L245" s="332"/>
      <c r="M245" s="332"/>
      <c r="N245" s="332"/>
      <c r="O245" s="332"/>
      <c r="P245" s="332"/>
      <c r="Q245" s="332"/>
      <c r="R245" s="332"/>
      <c r="S245" s="332"/>
      <c r="T245" s="332"/>
      <c r="U245" s="332"/>
      <c r="V245" s="332"/>
      <c r="W245" s="332"/>
      <c r="X245" s="332"/>
      <c r="Y245" s="332"/>
      <c r="Z245" s="332"/>
    </row>
    <row r="246" ht="15.75" customHeight="1">
      <c r="A246" s="27"/>
      <c r="B246" s="27"/>
      <c r="C246" s="27"/>
      <c r="D246" s="114"/>
      <c r="E246" s="114"/>
      <c r="F246" s="27"/>
      <c r="G246" s="27"/>
      <c r="H246" s="332"/>
      <c r="I246" s="332"/>
      <c r="J246" s="332"/>
      <c r="K246" s="332"/>
      <c r="L246" s="332"/>
      <c r="M246" s="332"/>
      <c r="N246" s="332"/>
      <c r="O246" s="332"/>
      <c r="P246" s="332"/>
      <c r="Q246" s="332"/>
      <c r="R246" s="332"/>
      <c r="S246" s="332"/>
      <c r="T246" s="332"/>
      <c r="U246" s="332"/>
      <c r="V246" s="332"/>
      <c r="W246" s="332"/>
      <c r="X246" s="332"/>
      <c r="Y246" s="332"/>
      <c r="Z246" s="332"/>
    </row>
    <row r="247" ht="15.75" customHeight="1">
      <c r="A247" s="27"/>
      <c r="B247" s="27"/>
      <c r="C247" s="27"/>
      <c r="D247" s="114"/>
      <c r="E247" s="114"/>
      <c r="F247" s="27"/>
      <c r="G247" s="27"/>
      <c r="H247" s="332"/>
      <c r="I247" s="332"/>
      <c r="J247" s="332"/>
      <c r="K247" s="332"/>
      <c r="L247" s="332"/>
      <c r="M247" s="332"/>
      <c r="N247" s="332"/>
      <c r="O247" s="332"/>
      <c r="P247" s="332"/>
      <c r="Q247" s="332"/>
      <c r="R247" s="332"/>
      <c r="S247" s="332"/>
      <c r="T247" s="332"/>
      <c r="U247" s="332"/>
      <c r="V247" s="332"/>
      <c r="W247" s="332"/>
      <c r="X247" s="332"/>
      <c r="Y247" s="332"/>
      <c r="Z247" s="332"/>
    </row>
    <row r="248" ht="15.75" customHeight="1">
      <c r="A248" s="27"/>
      <c r="B248" s="27"/>
      <c r="C248" s="27"/>
      <c r="D248" s="114"/>
      <c r="E248" s="114"/>
      <c r="F248" s="27"/>
      <c r="G248" s="27"/>
      <c r="H248" s="332"/>
      <c r="I248" s="332"/>
      <c r="J248" s="332"/>
      <c r="K248" s="332"/>
      <c r="L248" s="332"/>
      <c r="M248" s="332"/>
      <c r="N248" s="332"/>
      <c r="O248" s="332"/>
      <c r="P248" s="332"/>
      <c r="Q248" s="332"/>
      <c r="R248" s="332"/>
      <c r="S248" s="332"/>
      <c r="T248" s="332"/>
      <c r="U248" s="332"/>
      <c r="V248" s="332"/>
      <c r="W248" s="332"/>
      <c r="X248" s="332"/>
      <c r="Y248" s="332"/>
      <c r="Z248" s="332"/>
    </row>
    <row r="249" ht="15.75" customHeight="1">
      <c r="A249" s="27"/>
      <c r="B249" s="27"/>
      <c r="C249" s="27"/>
      <c r="D249" s="114"/>
      <c r="E249" s="114"/>
      <c r="F249" s="27"/>
      <c r="G249" s="27"/>
      <c r="H249" s="332"/>
      <c r="I249" s="332"/>
      <c r="J249" s="332"/>
      <c r="K249" s="332"/>
      <c r="L249" s="332"/>
      <c r="M249" s="332"/>
      <c r="N249" s="332"/>
      <c r="O249" s="332"/>
      <c r="P249" s="332"/>
      <c r="Q249" s="332"/>
      <c r="R249" s="332"/>
      <c r="S249" s="332"/>
      <c r="T249" s="332"/>
      <c r="U249" s="332"/>
      <c r="V249" s="332"/>
      <c r="W249" s="332"/>
      <c r="X249" s="332"/>
      <c r="Y249" s="332"/>
      <c r="Z249" s="332"/>
    </row>
    <row r="250" ht="15.75" customHeight="1">
      <c r="A250" s="27"/>
      <c r="B250" s="27"/>
      <c r="C250" s="27"/>
      <c r="D250" s="114"/>
      <c r="E250" s="114"/>
      <c r="F250" s="27"/>
      <c r="G250" s="27"/>
      <c r="H250" s="332"/>
      <c r="I250" s="332"/>
      <c r="J250" s="332"/>
      <c r="K250" s="332"/>
      <c r="L250" s="332"/>
      <c r="M250" s="332"/>
      <c r="N250" s="332"/>
      <c r="O250" s="332"/>
      <c r="P250" s="332"/>
      <c r="Q250" s="332"/>
      <c r="R250" s="332"/>
      <c r="S250" s="332"/>
      <c r="T250" s="332"/>
      <c r="U250" s="332"/>
      <c r="V250" s="332"/>
      <c r="W250" s="332"/>
      <c r="X250" s="332"/>
      <c r="Y250" s="332"/>
      <c r="Z250" s="332"/>
    </row>
    <row r="251" ht="15.75" customHeight="1">
      <c r="A251" s="27"/>
      <c r="B251" s="27"/>
      <c r="C251" s="27"/>
      <c r="D251" s="114"/>
      <c r="E251" s="114"/>
      <c r="F251" s="27"/>
      <c r="G251" s="27"/>
      <c r="H251" s="332"/>
      <c r="I251" s="332"/>
      <c r="J251" s="332"/>
      <c r="K251" s="332"/>
      <c r="L251" s="332"/>
      <c r="M251" s="332"/>
      <c r="N251" s="332"/>
      <c r="O251" s="332"/>
      <c r="P251" s="332"/>
      <c r="Q251" s="332"/>
      <c r="R251" s="332"/>
      <c r="S251" s="332"/>
      <c r="T251" s="332"/>
      <c r="U251" s="332"/>
      <c r="V251" s="332"/>
      <c r="W251" s="332"/>
      <c r="X251" s="332"/>
      <c r="Y251" s="332"/>
      <c r="Z251" s="332"/>
    </row>
    <row r="252" ht="15.75" customHeight="1">
      <c r="A252" s="27"/>
      <c r="B252" s="27"/>
      <c r="C252" s="27"/>
      <c r="D252" s="114"/>
      <c r="E252" s="114"/>
      <c r="F252" s="27"/>
      <c r="G252" s="27"/>
      <c r="H252" s="332"/>
      <c r="I252" s="332"/>
      <c r="J252" s="332"/>
      <c r="K252" s="332"/>
      <c r="L252" s="332"/>
      <c r="M252" s="332"/>
      <c r="N252" s="332"/>
      <c r="O252" s="332"/>
      <c r="P252" s="332"/>
      <c r="Q252" s="332"/>
      <c r="R252" s="332"/>
      <c r="S252" s="332"/>
      <c r="T252" s="332"/>
      <c r="U252" s="332"/>
      <c r="V252" s="332"/>
      <c r="W252" s="332"/>
      <c r="X252" s="332"/>
      <c r="Y252" s="332"/>
      <c r="Z252" s="332"/>
    </row>
    <row r="253" ht="15.75" customHeight="1">
      <c r="A253" s="27"/>
      <c r="B253" s="27"/>
      <c r="C253" s="27"/>
      <c r="D253" s="114"/>
      <c r="E253" s="114"/>
      <c r="F253" s="27"/>
      <c r="G253" s="27"/>
      <c r="H253" s="332"/>
      <c r="I253" s="332"/>
      <c r="J253" s="332"/>
      <c r="K253" s="332"/>
      <c r="L253" s="332"/>
      <c r="M253" s="332"/>
      <c r="N253" s="332"/>
      <c r="O253" s="332"/>
      <c r="P253" s="332"/>
      <c r="Q253" s="332"/>
      <c r="R253" s="332"/>
      <c r="S253" s="332"/>
      <c r="T253" s="332"/>
      <c r="U253" s="332"/>
      <c r="V253" s="332"/>
      <c r="W253" s="332"/>
      <c r="X253" s="332"/>
      <c r="Y253" s="332"/>
      <c r="Z253" s="332"/>
    </row>
    <row r="254" ht="15.75" customHeight="1">
      <c r="A254" s="27"/>
      <c r="B254" s="27"/>
      <c r="C254" s="27"/>
      <c r="D254" s="114"/>
      <c r="E254" s="114"/>
      <c r="F254" s="27"/>
      <c r="G254" s="27"/>
      <c r="H254" s="332"/>
      <c r="I254" s="332"/>
      <c r="J254" s="332"/>
      <c r="K254" s="332"/>
      <c r="L254" s="332"/>
      <c r="M254" s="332"/>
      <c r="N254" s="332"/>
      <c r="O254" s="332"/>
      <c r="P254" s="332"/>
      <c r="Q254" s="332"/>
      <c r="R254" s="332"/>
      <c r="S254" s="332"/>
      <c r="T254" s="332"/>
      <c r="U254" s="332"/>
      <c r="V254" s="332"/>
      <c r="W254" s="332"/>
      <c r="X254" s="332"/>
      <c r="Y254" s="332"/>
      <c r="Z254" s="332"/>
    </row>
    <row r="255" ht="15.75" customHeight="1">
      <c r="A255" s="27"/>
      <c r="B255" s="27"/>
      <c r="C255" s="27"/>
      <c r="D255" s="114"/>
      <c r="E255" s="114"/>
      <c r="F255" s="27"/>
      <c r="G255" s="27"/>
      <c r="H255" s="332"/>
      <c r="I255" s="332"/>
      <c r="J255" s="332"/>
      <c r="K255" s="332"/>
      <c r="L255" s="332"/>
      <c r="M255" s="332"/>
      <c r="N255" s="332"/>
      <c r="O255" s="332"/>
      <c r="P255" s="332"/>
      <c r="Q255" s="332"/>
      <c r="R255" s="332"/>
      <c r="S255" s="332"/>
      <c r="T255" s="332"/>
      <c r="U255" s="332"/>
      <c r="V255" s="332"/>
      <c r="W255" s="332"/>
      <c r="X255" s="332"/>
      <c r="Y255" s="332"/>
      <c r="Z255" s="332"/>
    </row>
    <row r="256" ht="15.75" customHeight="1">
      <c r="A256" s="27"/>
      <c r="B256" s="27"/>
      <c r="C256" s="27"/>
      <c r="D256" s="114"/>
      <c r="E256" s="114"/>
      <c r="F256" s="27"/>
      <c r="G256" s="27"/>
      <c r="H256" s="332"/>
      <c r="I256" s="332"/>
      <c r="J256" s="332"/>
      <c r="K256" s="332"/>
      <c r="L256" s="332"/>
      <c r="M256" s="332"/>
      <c r="N256" s="332"/>
      <c r="O256" s="332"/>
      <c r="P256" s="332"/>
      <c r="Q256" s="332"/>
      <c r="R256" s="332"/>
      <c r="S256" s="332"/>
      <c r="T256" s="332"/>
      <c r="U256" s="332"/>
      <c r="V256" s="332"/>
      <c r="W256" s="332"/>
      <c r="X256" s="332"/>
      <c r="Y256" s="332"/>
      <c r="Z256" s="332"/>
    </row>
    <row r="257" ht="15.75" customHeight="1">
      <c r="A257" s="27"/>
      <c r="B257" s="27"/>
      <c r="C257" s="27"/>
      <c r="D257" s="114"/>
      <c r="E257" s="114"/>
      <c r="F257" s="27"/>
      <c r="G257" s="27"/>
      <c r="H257" s="332"/>
      <c r="I257" s="332"/>
      <c r="J257" s="332"/>
      <c r="K257" s="332"/>
      <c r="L257" s="332"/>
      <c r="M257" s="332"/>
      <c r="N257" s="332"/>
      <c r="O257" s="332"/>
      <c r="P257" s="332"/>
      <c r="Q257" s="332"/>
      <c r="R257" s="332"/>
      <c r="S257" s="332"/>
      <c r="T257" s="332"/>
      <c r="U257" s="332"/>
      <c r="V257" s="332"/>
      <c r="W257" s="332"/>
      <c r="X257" s="332"/>
      <c r="Y257" s="332"/>
      <c r="Z257" s="332"/>
    </row>
    <row r="258" ht="15.75" customHeight="1">
      <c r="A258" s="27"/>
      <c r="B258" s="27"/>
      <c r="C258" s="27"/>
      <c r="D258" s="114"/>
      <c r="E258" s="114"/>
      <c r="F258" s="27"/>
      <c r="G258" s="27"/>
      <c r="H258" s="332"/>
      <c r="I258" s="332"/>
      <c r="J258" s="332"/>
      <c r="K258" s="332"/>
      <c r="L258" s="332"/>
      <c r="M258" s="332"/>
      <c r="N258" s="332"/>
      <c r="O258" s="332"/>
      <c r="P258" s="332"/>
      <c r="Q258" s="332"/>
      <c r="R258" s="332"/>
      <c r="S258" s="332"/>
      <c r="T258" s="332"/>
      <c r="U258" s="332"/>
      <c r="V258" s="332"/>
      <c r="W258" s="332"/>
      <c r="X258" s="332"/>
      <c r="Y258" s="332"/>
      <c r="Z258" s="332"/>
    </row>
    <row r="259" ht="15.75" customHeight="1">
      <c r="A259" s="27"/>
      <c r="B259" s="27"/>
      <c r="C259" s="27"/>
      <c r="D259" s="114"/>
      <c r="E259" s="114"/>
      <c r="F259" s="27"/>
      <c r="G259" s="27"/>
      <c r="H259" s="332"/>
      <c r="I259" s="332"/>
      <c r="J259" s="332"/>
      <c r="K259" s="332"/>
      <c r="L259" s="332"/>
      <c r="M259" s="332"/>
      <c r="N259" s="332"/>
      <c r="O259" s="332"/>
      <c r="P259" s="332"/>
      <c r="Q259" s="332"/>
      <c r="R259" s="332"/>
      <c r="S259" s="332"/>
      <c r="T259" s="332"/>
      <c r="U259" s="332"/>
      <c r="V259" s="332"/>
      <c r="W259" s="332"/>
      <c r="X259" s="332"/>
      <c r="Y259" s="332"/>
      <c r="Z259" s="332"/>
    </row>
    <row r="260" ht="15.75" customHeight="1">
      <c r="A260" s="27"/>
      <c r="B260" s="27"/>
      <c r="C260" s="27"/>
      <c r="D260" s="114"/>
      <c r="E260" s="114"/>
      <c r="F260" s="27"/>
      <c r="G260" s="27"/>
      <c r="H260" s="332"/>
      <c r="I260" s="332"/>
      <c r="J260" s="332"/>
      <c r="K260" s="332"/>
      <c r="L260" s="332"/>
      <c r="M260" s="332"/>
      <c r="N260" s="332"/>
      <c r="O260" s="332"/>
      <c r="P260" s="332"/>
      <c r="Q260" s="332"/>
      <c r="R260" s="332"/>
      <c r="S260" s="332"/>
      <c r="T260" s="332"/>
      <c r="U260" s="332"/>
      <c r="V260" s="332"/>
      <c r="W260" s="332"/>
      <c r="X260" s="332"/>
      <c r="Y260" s="332"/>
      <c r="Z260" s="332"/>
    </row>
    <row r="261" ht="15.75" customHeight="1">
      <c r="A261" s="27"/>
      <c r="B261" s="27"/>
      <c r="C261" s="27"/>
      <c r="D261" s="114"/>
      <c r="E261" s="114"/>
      <c r="F261" s="27"/>
      <c r="G261" s="27"/>
      <c r="H261" s="332"/>
      <c r="I261" s="332"/>
      <c r="J261" s="332"/>
      <c r="K261" s="332"/>
      <c r="L261" s="332"/>
      <c r="M261" s="332"/>
      <c r="N261" s="332"/>
      <c r="O261" s="332"/>
      <c r="P261" s="332"/>
      <c r="Q261" s="332"/>
      <c r="R261" s="332"/>
      <c r="S261" s="332"/>
      <c r="T261" s="332"/>
      <c r="U261" s="332"/>
      <c r="V261" s="332"/>
      <c r="W261" s="332"/>
      <c r="X261" s="332"/>
      <c r="Y261" s="332"/>
      <c r="Z261" s="332"/>
    </row>
    <row r="262" ht="15.75" customHeight="1">
      <c r="A262" s="27"/>
      <c r="B262" s="27"/>
      <c r="C262" s="27"/>
      <c r="D262" s="114"/>
      <c r="E262" s="114"/>
      <c r="F262" s="27"/>
      <c r="G262" s="27"/>
      <c r="H262" s="332"/>
      <c r="I262" s="332"/>
      <c r="J262" s="332"/>
      <c r="K262" s="332"/>
      <c r="L262" s="332"/>
      <c r="M262" s="332"/>
      <c r="N262" s="332"/>
      <c r="O262" s="332"/>
      <c r="P262" s="332"/>
      <c r="Q262" s="332"/>
      <c r="R262" s="332"/>
      <c r="S262" s="332"/>
      <c r="T262" s="332"/>
      <c r="U262" s="332"/>
      <c r="V262" s="332"/>
      <c r="W262" s="332"/>
      <c r="X262" s="332"/>
      <c r="Y262" s="332"/>
      <c r="Z262" s="332"/>
    </row>
    <row r="263" ht="15.75" customHeight="1">
      <c r="A263" s="27"/>
      <c r="B263" s="27"/>
      <c r="C263" s="27"/>
      <c r="D263" s="114"/>
      <c r="E263" s="114"/>
      <c r="F263" s="27"/>
      <c r="G263" s="27"/>
      <c r="H263" s="332"/>
      <c r="I263" s="332"/>
      <c r="J263" s="332"/>
      <c r="K263" s="332"/>
      <c r="L263" s="332"/>
      <c r="M263" s="332"/>
      <c r="N263" s="332"/>
      <c r="O263" s="332"/>
      <c r="P263" s="332"/>
      <c r="Q263" s="332"/>
      <c r="R263" s="332"/>
      <c r="S263" s="332"/>
      <c r="T263" s="332"/>
      <c r="U263" s="332"/>
      <c r="V263" s="332"/>
      <c r="W263" s="332"/>
      <c r="X263" s="332"/>
      <c r="Y263" s="332"/>
      <c r="Z263" s="332"/>
    </row>
    <row r="264" ht="15.75" customHeight="1">
      <c r="A264" s="27"/>
      <c r="B264" s="27"/>
      <c r="C264" s="27"/>
      <c r="D264" s="114"/>
      <c r="E264" s="114"/>
      <c r="F264" s="27"/>
      <c r="G264" s="27"/>
      <c r="H264" s="332"/>
      <c r="I264" s="332"/>
      <c r="J264" s="332"/>
      <c r="K264" s="332"/>
      <c r="L264" s="332"/>
      <c r="M264" s="332"/>
      <c r="N264" s="332"/>
      <c r="O264" s="332"/>
      <c r="P264" s="332"/>
      <c r="Q264" s="332"/>
      <c r="R264" s="332"/>
      <c r="S264" s="332"/>
      <c r="T264" s="332"/>
      <c r="U264" s="332"/>
      <c r="V264" s="332"/>
      <c r="W264" s="332"/>
      <c r="X264" s="332"/>
      <c r="Y264" s="332"/>
      <c r="Z264" s="332"/>
    </row>
    <row r="265" ht="15.75" customHeight="1">
      <c r="A265" s="27"/>
      <c r="B265" s="27"/>
      <c r="C265" s="27"/>
      <c r="D265" s="114"/>
      <c r="E265" s="114"/>
      <c r="F265" s="27"/>
      <c r="G265" s="27"/>
      <c r="H265" s="332"/>
      <c r="I265" s="332"/>
      <c r="J265" s="332"/>
      <c r="K265" s="332"/>
      <c r="L265" s="332"/>
      <c r="M265" s="332"/>
      <c r="N265" s="332"/>
      <c r="O265" s="332"/>
      <c r="P265" s="332"/>
      <c r="Q265" s="332"/>
      <c r="R265" s="332"/>
      <c r="S265" s="332"/>
      <c r="T265" s="332"/>
      <c r="U265" s="332"/>
      <c r="V265" s="332"/>
      <c r="W265" s="332"/>
      <c r="X265" s="332"/>
      <c r="Y265" s="332"/>
      <c r="Z265" s="332"/>
    </row>
    <row r="266" ht="15.75" customHeight="1">
      <c r="A266" s="27"/>
      <c r="B266" s="27"/>
      <c r="C266" s="27"/>
      <c r="D266" s="114"/>
      <c r="E266" s="114"/>
      <c r="F266" s="27"/>
      <c r="G266" s="27"/>
      <c r="H266" s="332"/>
      <c r="I266" s="332"/>
      <c r="J266" s="332"/>
      <c r="K266" s="332"/>
      <c r="L266" s="332"/>
      <c r="M266" s="332"/>
      <c r="N266" s="332"/>
      <c r="O266" s="332"/>
      <c r="P266" s="332"/>
      <c r="Q266" s="332"/>
      <c r="R266" s="332"/>
      <c r="S266" s="332"/>
      <c r="T266" s="332"/>
      <c r="U266" s="332"/>
      <c r="V266" s="332"/>
      <c r="W266" s="332"/>
      <c r="X266" s="332"/>
      <c r="Y266" s="332"/>
      <c r="Z266" s="332"/>
    </row>
    <row r="267" ht="15.75" customHeight="1">
      <c r="A267" s="27"/>
      <c r="B267" s="27"/>
      <c r="C267" s="27"/>
      <c r="D267" s="114"/>
      <c r="E267" s="114"/>
      <c r="F267" s="27"/>
      <c r="G267" s="27"/>
      <c r="H267" s="332"/>
      <c r="I267" s="332"/>
      <c r="J267" s="332"/>
      <c r="K267" s="332"/>
      <c r="L267" s="332"/>
      <c r="M267" s="332"/>
      <c r="N267" s="332"/>
      <c r="O267" s="332"/>
      <c r="P267" s="332"/>
      <c r="Q267" s="332"/>
      <c r="R267" s="332"/>
      <c r="S267" s="332"/>
      <c r="T267" s="332"/>
      <c r="U267" s="332"/>
      <c r="V267" s="332"/>
      <c r="W267" s="332"/>
      <c r="X267" s="332"/>
      <c r="Y267" s="332"/>
      <c r="Z267" s="332"/>
    </row>
    <row r="268" ht="15.75" customHeight="1">
      <c r="A268" s="27"/>
      <c r="B268" s="27"/>
      <c r="C268" s="27"/>
      <c r="D268" s="114"/>
      <c r="E268" s="114"/>
      <c r="F268" s="27"/>
      <c r="G268" s="27"/>
      <c r="H268" s="332"/>
      <c r="I268" s="332"/>
      <c r="J268" s="332"/>
      <c r="K268" s="332"/>
      <c r="L268" s="332"/>
      <c r="M268" s="332"/>
      <c r="N268" s="332"/>
      <c r="O268" s="332"/>
      <c r="P268" s="332"/>
      <c r="Q268" s="332"/>
      <c r="R268" s="332"/>
      <c r="S268" s="332"/>
      <c r="T268" s="332"/>
      <c r="U268" s="332"/>
      <c r="V268" s="332"/>
      <c r="W268" s="332"/>
      <c r="X268" s="332"/>
      <c r="Y268" s="332"/>
      <c r="Z268" s="332"/>
    </row>
    <row r="269" ht="15.75" customHeight="1">
      <c r="A269" s="27"/>
      <c r="B269" s="27"/>
      <c r="C269" s="27"/>
      <c r="D269" s="114"/>
      <c r="E269" s="114"/>
      <c r="F269" s="27"/>
      <c r="G269" s="27"/>
      <c r="H269" s="332"/>
      <c r="I269" s="332"/>
      <c r="J269" s="332"/>
      <c r="K269" s="332"/>
      <c r="L269" s="332"/>
      <c r="M269" s="332"/>
      <c r="N269" s="332"/>
      <c r="O269" s="332"/>
      <c r="P269" s="332"/>
      <c r="Q269" s="332"/>
      <c r="R269" s="332"/>
      <c r="S269" s="332"/>
      <c r="T269" s="332"/>
      <c r="U269" s="332"/>
      <c r="V269" s="332"/>
      <c r="W269" s="332"/>
      <c r="X269" s="332"/>
      <c r="Y269" s="332"/>
      <c r="Z269" s="332"/>
    </row>
    <row r="270" ht="15.75" customHeight="1">
      <c r="A270" s="27"/>
      <c r="B270" s="27"/>
      <c r="C270" s="27"/>
      <c r="D270" s="114"/>
      <c r="E270" s="114"/>
      <c r="F270" s="27"/>
      <c r="G270" s="27"/>
      <c r="H270" s="332"/>
      <c r="I270" s="332"/>
      <c r="J270" s="332"/>
      <c r="K270" s="332"/>
      <c r="L270" s="332"/>
      <c r="M270" s="332"/>
      <c r="N270" s="332"/>
      <c r="O270" s="332"/>
      <c r="P270" s="332"/>
      <c r="Q270" s="332"/>
      <c r="R270" s="332"/>
      <c r="S270" s="332"/>
      <c r="T270" s="332"/>
      <c r="U270" s="332"/>
      <c r="V270" s="332"/>
      <c r="W270" s="332"/>
      <c r="X270" s="332"/>
      <c r="Y270" s="332"/>
      <c r="Z270" s="332"/>
    </row>
    <row r="271" ht="15.75" customHeight="1">
      <c r="A271" s="27"/>
      <c r="B271" s="27"/>
      <c r="C271" s="27"/>
      <c r="D271" s="114"/>
      <c r="E271" s="114"/>
      <c r="F271" s="27"/>
      <c r="G271" s="27"/>
      <c r="H271" s="332"/>
      <c r="I271" s="332"/>
      <c r="J271" s="332"/>
      <c r="K271" s="332"/>
      <c r="L271" s="332"/>
      <c r="M271" s="332"/>
      <c r="N271" s="332"/>
      <c r="O271" s="332"/>
      <c r="P271" s="332"/>
      <c r="Q271" s="332"/>
      <c r="R271" s="332"/>
      <c r="S271" s="332"/>
      <c r="T271" s="332"/>
      <c r="U271" s="332"/>
      <c r="V271" s="332"/>
      <c r="W271" s="332"/>
      <c r="X271" s="332"/>
      <c r="Y271" s="332"/>
      <c r="Z271" s="332"/>
    </row>
    <row r="272" ht="15.75" customHeight="1">
      <c r="A272" s="27"/>
      <c r="B272" s="27"/>
      <c r="C272" s="27"/>
      <c r="D272" s="114"/>
      <c r="E272" s="114"/>
      <c r="F272" s="27"/>
      <c r="G272" s="27"/>
      <c r="H272" s="332"/>
      <c r="I272" s="332"/>
      <c r="J272" s="332"/>
      <c r="K272" s="332"/>
      <c r="L272" s="332"/>
      <c r="M272" s="332"/>
      <c r="N272" s="332"/>
      <c r="O272" s="332"/>
      <c r="P272" s="332"/>
      <c r="Q272" s="332"/>
      <c r="R272" s="332"/>
      <c r="S272" s="332"/>
      <c r="T272" s="332"/>
      <c r="U272" s="332"/>
      <c r="V272" s="332"/>
      <c r="W272" s="332"/>
      <c r="X272" s="332"/>
      <c r="Y272" s="332"/>
      <c r="Z272" s="332"/>
    </row>
    <row r="273" ht="15.75" customHeight="1">
      <c r="A273" s="27"/>
      <c r="B273" s="27"/>
      <c r="C273" s="27"/>
      <c r="D273" s="114"/>
      <c r="E273" s="114"/>
      <c r="F273" s="27"/>
      <c r="G273" s="27"/>
      <c r="H273" s="332"/>
      <c r="I273" s="332"/>
      <c r="J273" s="332"/>
      <c r="K273" s="332"/>
      <c r="L273" s="332"/>
      <c r="M273" s="332"/>
      <c r="N273" s="332"/>
      <c r="O273" s="332"/>
      <c r="P273" s="332"/>
      <c r="Q273" s="332"/>
      <c r="R273" s="332"/>
      <c r="S273" s="332"/>
      <c r="T273" s="332"/>
      <c r="U273" s="332"/>
      <c r="V273" s="332"/>
      <c r="W273" s="332"/>
      <c r="X273" s="332"/>
      <c r="Y273" s="332"/>
      <c r="Z273" s="332"/>
    </row>
    <row r="274" ht="15.75" customHeight="1">
      <c r="A274" s="27"/>
      <c r="B274" s="27"/>
      <c r="C274" s="27"/>
      <c r="D274" s="114"/>
      <c r="E274" s="114"/>
      <c r="F274" s="27"/>
      <c r="G274" s="27"/>
      <c r="H274" s="332"/>
      <c r="I274" s="332"/>
      <c r="J274" s="332"/>
      <c r="K274" s="332"/>
      <c r="L274" s="332"/>
      <c r="M274" s="332"/>
      <c r="N274" s="332"/>
      <c r="O274" s="332"/>
      <c r="P274" s="332"/>
      <c r="Q274" s="332"/>
      <c r="R274" s="332"/>
      <c r="S274" s="332"/>
      <c r="T274" s="332"/>
      <c r="U274" s="332"/>
      <c r="V274" s="332"/>
      <c r="W274" s="332"/>
      <c r="X274" s="332"/>
      <c r="Y274" s="332"/>
      <c r="Z274" s="332"/>
    </row>
    <row r="275" ht="15.75" customHeight="1">
      <c r="A275" s="27"/>
      <c r="B275" s="27"/>
      <c r="C275" s="27"/>
      <c r="D275" s="114"/>
      <c r="E275" s="114"/>
      <c r="F275" s="27"/>
      <c r="G275" s="27"/>
      <c r="H275" s="332"/>
      <c r="I275" s="332"/>
      <c r="J275" s="332"/>
      <c r="K275" s="332"/>
      <c r="L275" s="332"/>
      <c r="M275" s="332"/>
      <c r="N275" s="332"/>
      <c r="O275" s="332"/>
      <c r="P275" s="332"/>
      <c r="Q275" s="332"/>
      <c r="R275" s="332"/>
      <c r="S275" s="332"/>
      <c r="T275" s="332"/>
      <c r="U275" s="332"/>
      <c r="V275" s="332"/>
      <c r="W275" s="332"/>
      <c r="X275" s="332"/>
      <c r="Y275" s="332"/>
      <c r="Z275" s="332"/>
    </row>
    <row r="276" ht="15.75" customHeight="1">
      <c r="A276" s="27"/>
      <c r="B276" s="27"/>
      <c r="C276" s="27"/>
      <c r="D276" s="114"/>
      <c r="E276" s="114"/>
      <c r="F276" s="27"/>
      <c r="G276" s="27"/>
      <c r="H276" s="332"/>
      <c r="I276" s="332"/>
      <c r="J276" s="332"/>
      <c r="K276" s="332"/>
      <c r="L276" s="332"/>
      <c r="M276" s="332"/>
      <c r="N276" s="332"/>
      <c r="O276" s="332"/>
      <c r="P276" s="332"/>
      <c r="Q276" s="332"/>
      <c r="R276" s="332"/>
      <c r="S276" s="332"/>
      <c r="T276" s="332"/>
      <c r="U276" s="332"/>
      <c r="V276" s="332"/>
      <c r="W276" s="332"/>
      <c r="X276" s="332"/>
      <c r="Y276" s="332"/>
      <c r="Z276" s="332"/>
    </row>
    <row r="277" ht="15.75" customHeight="1">
      <c r="A277" s="27"/>
      <c r="B277" s="27"/>
      <c r="C277" s="27"/>
      <c r="D277" s="114"/>
      <c r="E277" s="114"/>
      <c r="F277" s="27"/>
      <c r="G277" s="27"/>
      <c r="H277" s="332"/>
      <c r="I277" s="332"/>
      <c r="J277" s="332"/>
      <c r="K277" s="332"/>
      <c r="L277" s="332"/>
      <c r="M277" s="332"/>
      <c r="N277" s="332"/>
      <c r="O277" s="332"/>
      <c r="P277" s="332"/>
      <c r="Q277" s="332"/>
      <c r="R277" s="332"/>
      <c r="S277" s="332"/>
      <c r="T277" s="332"/>
      <c r="U277" s="332"/>
      <c r="V277" s="332"/>
      <c r="W277" s="332"/>
      <c r="X277" s="332"/>
      <c r="Y277" s="332"/>
      <c r="Z277" s="332"/>
    </row>
    <row r="278" ht="15.75" customHeight="1">
      <c r="A278" s="27"/>
      <c r="B278" s="27"/>
      <c r="C278" s="27"/>
      <c r="D278" s="114"/>
      <c r="E278" s="114"/>
      <c r="F278" s="27"/>
      <c r="G278" s="27"/>
      <c r="H278" s="332"/>
      <c r="I278" s="332"/>
      <c r="J278" s="332"/>
      <c r="K278" s="332"/>
      <c r="L278" s="332"/>
      <c r="M278" s="332"/>
      <c r="N278" s="332"/>
      <c r="O278" s="332"/>
      <c r="P278" s="332"/>
      <c r="Q278" s="332"/>
      <c r="R278" s="332"/>
      <c r="S278" s="332"/>
      <c r="T278" s="332"/>
      <c r="U278" s="332"/>
      <c r="V278" s="332"/>
      <c r="W278" s="332"/>
      <c r="X278" s="332"/>
      <c r="Y278" s="332"/>
      <c r="Z278" s="332"/>
    </row>
    <row r="279" ht="15.75" customHeight="1">
      <c r="A279" s="27"/>
      <c r="B279" s="27"/>
      <c r="C279" s="27"/>
      <c r="D279" s="114"/>
      <c r="E279" s="114"/>
      <c r="F279" s="27"/>
      <c r="G279" s="27"/>
      <c r="H279" s="332"/>
      <c r="I279" s="332"/>
      <c r="J279" s="332"/>
      <c r="K279" s="332"/>
      <c r="L279" s="332"/>
      <c r="M279" s="332"/>
      <c r="N279" s="332"/>
      <c r="O279" s="332"/>
      <c r="P279" s="332"/>
      <c r="Q279" s="332"/>
      <c r="R279" s="332"/>
      <c r="S279" s="332"/>
      <c r="T279" s="332"/>
      <c r="U279" s="332"/>
      <c r="V279" s="332"/>
      <c r="W279" s="332"/>
      <c r="X279" s="332"/>
      <c r="Y279" s="332"/>
      <c r="Z279" s="332"/>
    </row>
    <row r="280" ht="15.75" customHeight="1">
      <c r="A280" s="27"/>
      <c r="B280" s="27"/>
      <c r="C280" s="27"/>
      <c r="D280" s="114"/>
      <c r="E280" s="114"/>
      <c r="F280" s="27"/>
      <c r="G280" s="27"/>
      <c r="H280" s="332"/>
      <c r="I280" s="332"/>
      <c r="J280" s="332"/>
      <c r="K280" s="332"/>
      <c r="L280" s="332"/>
      <c r="M280" s="332"/>
      <c r="N280" s="332"/>
      <c r="O280" s="332"/>
      <c r="P280" s="332"/>
      <c r="Q280" s="332"/>
      <c r="R280" s="332"/>
      <c r="S280" s="332"/>
      <c r="T280" s="332"/>
      <c r="U280" s="332"/>
      <c r="V280" s="332"/>
      <c r="W280" s="332"/>
      <c r="X280" s="332"/>
      <c r="Y280" s="332"/>
      <c r="Z280" s="332"/>
    </row>
    <row r="281" ht="15.75" customHeight="1">
      <c r="A281" s="27"/>
      <c r="B281" s="27"/>
      <c r="C281" s="27"/>
      <c r="D281" s="114"/>
      <c r="E281" s="114"/>
      <c r="F281" s="27"/>
      <c r="G281" s="27"/>
      <c r="H281" s="332"/>
      <c r="I281" s="332"/>
      <c r="J281" s="332"/>
      <c r="K281" s="332"/>
      <c r="L281" s="332"/>
      <c r="M281" s="332"/>
      <c r="N281" s="332"/>
      <c r="O281" s="332"/>
      <c r="P281" s="332"/>
      <c r="Q281" s="332"/>
      <c r="R281" s="332"/>
      <c r="S281" s="332"/>
      <c r="T281" s="332"/>
      <c r="U281" s="332"/>
      <c r="V281" s="332"/>
      <c r="W281" s="332"/>
      <c r="X281" s="332"/>
      <c r="Y281" s="332"/>
      <c r="Z281" s="332"/>
    </row>
    <row r="282" ht="15.75" customHeight="1">
      <c r="A282" s="27"/>
      <c r="B282" s="27"/>
      <c r="C282" s="27"/>
      <c r="D282" s="114"/>
      <c r="E282" s="114"/>
      <c r="F282" s="27"/>
      <c r="G282" s="27"/>
      <c r="H282" s="332"/>
      <c r="I282" s="332"/>
      <c r="J282" s="332"/>
      <c r="K282" s="332"/>
      <c r="L282" s="332"/>
      <c r="M282" s="332"/>
      <c r="N282" s="332"/>
      <c r="O282" s="332"/>
      <c r="P282" s="332"/>
      <c r="Q282" s="332"/>
      <c r="R282" s="332"/>
      <c r="S282" s="332"/>
      <c r="T282" s="332"/>
      <c r="U282" s="332"/>
      <c r="V282" s="332"/>
      <c r="W282" s="332"/>
      <c r="X282" s="332"/>
      <c r="Y282" s="332"/>
      <c r="Z282" s="332"/>
    </row>
    <row r="283" ht="15.75" customHeight="1">
      <c r="A283" s="27"/>
      <c r="B283" s="27"/>
      <c r="C283" s="27"/>
      <c r="D283" s="114"/>
      <c r="E283" s="114"/>
      <c r="F283" s="27"/>
      <c r="G283" s="27"/>
      <c r="H283" s="332"/>
      <c r="I283" s="332"/>
      <c r="J283" s="332"/>
      <c r="K283" s="332"/>
      <c r="L283" s="332"/>
      <c r="M283" s="332"/>
      <c r="N283" s="332"/>
      <c r="O283" s="332"/>
      <c r="P283" s="332"/>
      <c r="Q283" s="332"/>
      <c r="R283" s="332"/>
      <c r="S283" s="332"/>
      <c r="T283" s="332"/>
      <c r="U283" s="332"/>
      <c r="V283" s="332"/>
      <c r="W283" s="332"/>
      <c r="X283" s="332"/>
      <c r="Y283" s="332"/>
      <c r="Z283" s="332"/>
    </row>
    <row r="284" ht="15.75" customHeight="1">
      <c r="A284" s="27"/>
      <c r="B284" s="27"/>
      <c r="C284" s="27"/>
      <c r="D284" s="114"/>
      <c r="E284" s="114"/>
      <c r="F284" s="27"/>
      <c r="G284" s="27"/>
      <c r="H284" s="332"/>
      <c r="I284" s="332"/>
      <c r="J284" s="332"/>
      <c r="K284" s="332"/>
      <c r="L284" s="332"/>
      <c r="M284" s="332"/>
      <c r="N284" s="332"/>
      <c r="O284" s="332"/>
      <c r="P284" s="332"/>
      <c r="Q284" s="332"/>
      <c r="R284" s="332"/>
      <c r="S284" s="332"/>
      <c r="T284" s="332"/>
      <c r="U284" s="332"/>
      <c r="V284" s="332"/>
      <c r="W284" s="332"/>
      <c r="X284" s="332"/>
      <c r="Y284" s="332"/>
      <c r="Z284" s="332"/>
    </row>
    <row r="285" ht="15.75" customHeight="1">
      <c r="A285" s="27"/>
      <c r="B285" s="27"/>
      <c r="C285" s="27"/>
      <c r="D285" s="114"/>
      <c r="E285" s="114"/>
      <c r="F285" s="27"/>
      <c r="G285" s="27"/>
      <c r="H285" s="332"/>
      <c r="I285" s="332"/>
      <c r="J285" s="332"/>
      <c r="K285" s="332"/>
      <c r="L285" s="332"/>
      <c r="M285" s="332"/>
      <c r="N285" s="332"/>
      <c r="O285" s="332"/>
      <c r="P285" s="332"/>
      <c r="Q285" s="332"/>
      <c r="R285" s="332"/>
      <c r="S285" s="332"/>
      <c r="T285" s="332"/>
      <c r="U285" s="332"/>
      <c r="V285" s="332"/>
      <c r="W285" s="332"/>
      <c r="X285" s="332"/>
      <c r="Y285" s="332"/>
      <c r="Z285" s="332"/>
    </row>
    <row r="286" ht="15.75" customHeight="1">
      <c r="A286" s="27"/>
      <c r="B286" s="27"/>
      <c r="C286" s="27"/>
      <c r="D286" s="114"/>
      <c r="E286" s="114"/>
      <c r="F286" s="27"/>
      <c r="G286" s="27"/>
      <c r="H286" s="332"/>
      <c r="I286" s="332"/>
      <c r="J286" s="332"/>
      <c r="K286" s="332"/>
      <c r="L286" s="332"/>
      <c r="M286" s="332"/>
      <c r="N286" s="332"/>
      <c r="O286" s="332"/>
      <c r="P286" s="332"/>
      <c r="Q286" s="332"/>
      <c r="R286" s="332"/>
      <c r="S286" s="332"/>
      <c r="T286" s="332"/>
      <c r="U286" s="332"/>
      <c r="V286" s="332"/>
      <c r="W286" s="332"/>
      <c r="X286" s="332"/>
      <c r="Y286" s="332"/>
      <c r="Z286" s="332"/>
    </row>
    <row r="287" ht="15.75" customHeight="1">
      <c r="A287" s="27"/>
      <c r="B287" s="27"/>
      <c r="C287" s="27"/>
      <c r="D287" s="114"/>
      <c r="E287" s="114"/>
      <c r="F287" s="27"/>
      <c r="G287" s="27"/>
      <c r="H287" s="332"/>
      <c r="I287" s="332"/>
      <c r="J287" s="332"/>
      <c r="K287" s="332"/>
      <c r="L287" s="332"/>
      <c r="M287" s="332"/>
      <c r="N287" s="332"/>
      <c r="O287" s="332"/>
      <c r="P287" s="332"/>
      <c r="Q287" s="332"/>
      <c r="R287" s="332"/>
      <c r="S287" s="332"/>
      <c r="T287" s="332"/>
      <c r="U287" s="332"/>
      <c r="V287" s="332"/>
      <c r="W287" s="332"/>
      <c r="X287" s="332"/>
      <c r="Y287" s="332"/>
      <c r="Z287" s="332"/>
    </row>
    <row r="288" ht="15.75" customHeight="1">
      <c r="A288" s="27"/>
      <c r="B288" s="27"/>
      <c r="C288" s="27"/>
      <c r="D288" s="114"/>
      <c r="E288" s="114"/>
      <c r="F288" s="27"/>
      <c r="G288" s="27"/>
      <c r="H288" s="332"/>
      <c r="I288" s="332"/>
      <c r="J288" s="332"/>
      <c r="K288" s="332"/>
      <c r="L288" s="332"/>
      <c r="M288" s="332"/>
      <c r="N288" s="332"/>
      <c r="O288" s="332"/>
      <c r="P288" s="332"/>
      <c r="Q288" s="332"/>
      <c r="R288" s="332"/>
      <c r="S288" s="332"/>
      <c r="T288" s="332"/>
      <c r="U288" s="332"/>
      <c r="V288" s="332"/>
      <c r="W288" s="332"/>
      <c r="X288" s="332"/>
      <c r="Y288" s="332"/>
      <c r="Z288" s="332"/>
    </row>
    <row r="289" ht="15.75" customHeight="1">
      <c r="A289" s="27"/>
      <c r="B289" s="27"/>
      <c r="C289" s="27"/>
      <c r="D289" s="114"/>
      <c r="E289" s="114"/>
      <c r="F289" s="27"/>
      <c r="G289" s="27"/>
      <c r="H289" s="332"/>
      <c r="I289" s="332"/>
      <c r="J289" s="332"/>
      <c r="K289" s="332"/>
      <c r="L289" s="332"/>
      <c r="M289" s="332"/>
      <c r="N289" s="332"/>
      <c r="O289" s="332"/>
      <c r="P289" s="332"/>
      <c r="Q289" s="332"/>
      <c r="R289" s="332"/>
      <c r="S289" s="332"/>
      <c r="T289" s="332"/>
      <c r="U289" s="332"/>
      <c r="V289" s="332"/>
      <c r="W289" s="332"/>
      <c r="X289" s="332"/>
      <c r="Y289" s="332"/>
      <c r="Z289" s="332"/>
    </row>
    <row r="290" ht="15.75" customHeight="1">
      <c r="A290" s="27"/>
      <c r="B290" s="27"/>
      <c r="C290" s="27"/>
      <c r="D290" s="114"/>
      <c r="E290" s="114"/>
      <c r="F290" s="27"/>
      <c r="G290" s="27"/>
      <c r="H290" s="332"/>
      <c r="I290" s="332"/>
      <c r="J290" s="332"/>
      <c r="K290" s="332"/>
      <c r="L290" s="332"/>
      <c r="M290" s="332"/>
      <c r="N290" s="332"/>
      <c r="O290" s="332"/>
      <c r="P290" s="332"/>
      <c r="Q290" s="332"/>
      <c r="R290" s="332"/>
      <c r="S290" s="332"/>
      <c r="T290" s="332"/>
      <c r="U290" s="332"/>
      <c r="V290" s="332"/>
      <c r="W290" s="332"/>
      <c r="X290" s="332"/>
      <c r="Y290" s="332"/>
      <c r="Z290" s="332"/>
    </row>
    <row r="291" ht="15.75" customHeight="1">
      <c r="A291" s="27"/>
      <c r="B291" s="27"/>
      <c r="C291" s="27"/>
      <c r="D291" s="114"/>
      <c r="E291" s="114"/>
      <c r="F291" s="27"/>
      <c r="G291" s="27"/>
      <c r="H291" s="332"/>
      <c r="I291" s="332"/>
      <c r="J291" s="332"/>
      <c r="K291" s="332"/>
      <c r="L291" s="332"/>
      <c r="M291" s="332"/>
      <c r="N291" s="332"/>
      <c r="O291" s="332"/>
      <c r="P291" s="332"/>
      <c r="Q291" s="332"/>
      <c r="R291" s="332"/>
      <c r="S291" s="332"/>
      <c r="T291" s="332"/>
      <c r="U291" s="332"/>
      <c r="V291" s="332"/>
      <c r="W291" s="332"/>
      <c r="X291" s="332"/>
      <c r="Y291" s="332"/>
      <c r="Z291" s="332"/>
    </row>
    <row r="292" ht="15.75" customHeight="1">
      <c r="A292" s="27"/>
      <c r="B292" s="27"/>
      <c r="C292" s="27"/>
      <c r="D292" s="114"/>
      <c r="E292" s="114"/>
      <c r="F292" s="27"/>
      <c r="G292" s="27"/>
      <c r="H292" s="332"/>
      <c r="I292" s="332"/>
      <c r="J292" s="332"/>
      <c r="K292" s="332"/>
      <c r="L292" s="332"/>
      <c r="M292" s="332"/>
      <c r="N292" s="332"/>
      <c r="O292" s="332"/>
      <c r="P292" s="332"/>
      <c r="Q292" s="332"/>
      <c r="R292" s="332"/>
      <c r="S292" s="332"/>
      <c r="T292" s="332"/>
      <c r="U292" s="332"/>
      <c r="V292" s="332"/>
      <c r="W292" s="332"/>
      <c r="X292" s="332"/>
      <c r="Y292" s="332"/>
      <c r="Z292" s="332"/>
    </row>
    <row r="293" ht="15.75" customHeight="1">
      <c r="A293" s="27"/>
      <c r="B293" s="27"/>
      <c r="C293" s="27"/>
      <c r="D293" s="114"/>
      <c r="E293" s="114"/>
      <c r="F293" s="27"/>
      <c r="G293" s="27"/>
      <c r="H293" s="332"/>
      <c r="I293" s="332"/>
      <c r="J293" s="332"/>
      <c r="K293" s="332"/>
      <c r="L293" s="332"/>
      <c r="M293" s="332"/>
      <c r="N293" s="332"/>
      <c r="O293" s="332"/>
      <c r="P293" s="332"/>
      <c r="Q293" s="332"/>
      <c r="R293" s="332"/>
      <c r="S293" s="332"/>
      <c r="T293" s="332"/>
      <c r="U293" s="332"/>
      <c r="V293" s="332"/>
      <c r="W293" s="332"/>
      <c r="X293" s="332"/>
      <c r="Y293" s="332"/>
      <c r="Z293" s="332"/>
    </row>
    <row r="294" ht="15.75" customHeight="1">
      <c r="A294" s="27"/>
      <c r="B294" s="27"/>
      <c r="C294" s="27"/>
      <c r="D294" s="114"/>
      <c r="E294" s="114"/>
      <c r="F294" s="27"/>
      <c r="G294" s="27"/>
      <c r="H294" s="332"/>
      <c r="I294" s="332"/>
      <c r="J294" s="332"/>
      <c r="K294" s="332"/>
      <c r="L294" s="332"/>
      <c r="M294" s="332"/>
      <c r="N294" s="332"/>
      <c r="O294" s="332"/>
      <c r="P294" s="332"/>
      <c r="Q294" s="332"/>
      <c r="R294" s="332"/>
      <c r="S294" s="332"/>
      <c r="T294" s="332"/>
      <c r="U294" s="332"/>
      <c r="V294" s="332"/>
      <c r="W294" s="332"/>
      <c r="X294" s="332"/>
      <c r="Y294" s="332"/>
      <c r="Z294" s="332"/>
    </row>
    <row r="295" ht="15.75" customHeight="1">
      <c r="A295" s="27"/>
      <c r="B295" s="27"/>
      <c r="C295" s="27"/>
      <c r="D295" s="114"/>
      <c r="E295" s="114"/>
      <c r="F295" s="27"/>
      <c r="G295" s="27"/>
      <c r="H295" s="332"/>
      <c r="I295" s="332"/>
      <c r="J295" s="332"/>
      <c r="K295" s="332"/>
      <c r="L295" s="332"/>
      <c r="M295" s="332"/>
      <c r="N295" s="332"/>
      <c r="O295" s="332"/>
      <c r="P295" s="332"/>
      <c r="Q295" s="332"/>
      <c r="R295" s="332"/>
      <c r="S295" s="332"/>
      <c r="T295" s="332"/>
      <c r="U295" s="332"/>
      <c r="V295" s="332"/>
      <c r="W295" s="332"/>
      <c r="X295" s="332"/>
      <c r="Y295" s="332"/>
      <c r="Z295" s="332"/>
    </row>
    <row r="296" ht="15.75" customHeight="1">
      <c r="A296" s="27"/>
      <c r="B296" s="27"/>
      <c r="C296" s="27"/>
      <c r="D296" s="114"/>
      <c r="E296" s="114"/>
      <c r="F296" s="27"/>
      <c r="G296" s="27"/>
      <c r="H296" s="332"/>
      <c r="I296" s="332"/>
      <c r="J296" s="332"/>
      <c r="K296" s="332"/>
      <c r="L296" s="332"/>
      <c r="M296" s="332"/>
      <c r="N296" s="332"/>
      <c r="O296" s="332"/>
      <c r="P296" s="332"/>
      <c r="Q296" s="332"/>
      <c r="R296" s="332"/>
      <c r="S296" s="332"/>
      <c r="T296" s="332"/>
      <c r="U296" s="332"/>
      <c r="V296" s="332"/>
      <c r="W296" s="332"/>
      <c r="X296" s="332"/>
      <c r="Y296" s="332"/>
      <c r="Z296" s="332"/>
    </row>
    <row r="297" ht="15.75" customHeight="1">
      <c r="A297" s="27"/>
      <c r="B297" s="27"/>
      <c r="C297" s="27"/>
      <c r="D297" s="114"/>
      <c r="E297" s="114"/>
      <c r="F297" s="27"/>
      <c r="G297" s="27"/>
      <c r="H297" s="332"/>
      <c r="I297" s="332"/>
      <c r="J297" s="332"/>
      <c r="K297" s="332"/>
      <c r="L297" s="332"/>
      <c r="M297" s="332"/>
      <c r="N297" s="332"/>
      <c r="O297" s="332"/>
      <c r="P297" s="332"/>
      <c r="Q297" s="332"/>
      <c r="R297" s="332"/>
      <c r="S297" s="332"/>
      <c r="T297" s="332"/>
      <c r="U297" s="332"/>
      <c r="V297" s="332"/>
      <c r="W297" s="332"/>
      <c r="X297" s="332"/>
      <c r="Y297" s="332"/>
      <c r="Z297" s="332"/>
    </row>
    <row r="298" ht="15.75" customHeight="1">
      <c r="A298" s="27"/>
      <c r="B298" s="27"/>
      <c r="C298" s="27"/>
      <c r="D298" s="114"/>
      <c r="E298" s="114"/>
      <c r="F298" s="27"/>
      <c r="G298" s="27"/>
      <c r="H298" s="332"/>
      <c r="I298" s="332"/>
      <c r="J298" s="332"/>
      <c r="K298" s="332"/>
      <c r="L298" s="332"/>
      <c r="M298" s="332"/>
      <c r="N298" s="332"/>
      <c r="O298" s="332"/>
      <c r="P298" s="332"/>
      <c r="Q298" s="332"/>
      <c r="R298" s="332"/>
      <c r="S298" s="332"/>
      <c r="T298" s="332"/>
      <c r="U298" s="332"/>
      <c r="V298" s="332"/>
      <c r="W298" s="332"/>
      <c r="X298" s="332"/>
      <c r="Y298" s="332"/>
      <c r="Z298" s="332"/>
    </row>
    <row r="299" ht="15.75" customHeight="1">
      <c r="A299" s="27"/>
      <c r="B299" s="27"/>
      <c r="C299" s="27"/>
      <c r="D299" s="114"/>
      <c r="E299" s="114"/>
      <c r="F299" s="27"/>
      <c r="G299" s="27"/>
      <c r="H299" s="332"/>
      <c r="I299" s="332"/>
      <c r="J299" s="332"/>
      <c r="K299" s="332"/>
      <c r="L299" s="332"/>
      <c r="M299" s="332"/>
      <c r="N299" s="332"/>
      <c r="O299" s="332"/>
      <c r="P299" s="332"/>
      <c r="Q299" s="332"/>
      <c r="R299" s="332"/>
      <c r="S299" s="332"/>
      <c r="T299" s="332"/>
      <c r="U299" s="332"/>
      <c r="V299" s="332"/>
      <c r="W299" s="332"/>
      <c r="X299" s="332"/>
      <c r="Y299" s="332"/>
      <c r="Z299" s="332"/>
    </row>
    <row r="300" ht="15.75" customHeight="1">
      <c r="A300" s="27"/>
      <c r="B300" s="27"/>
      <c r="C300" s="27"/>
      <c r="D300" s="114"/>
      <c r="E300" s="114"/>
      <c r="F300" s="27"/>
      <c r="G300" s="27"/>
      <c r="H300" s="332"/>
      <c r="I300" s="332"/>
      <c r="J300" s="332"/>
      <c r="K300" s="332"/>
      <c r="L300" s="332"/>
      <c r="M300" s="332"/>
      <c r="N300" s="332"/>
      <c r="O300" s="332"/>
      <c r="P300" s="332"/>
      <c r="Q300" s="332"/>
      <c r="R300" s="332"/>
      <c r="S300" s="332"/>
      <c r="T300" s="332"/>
      <c r="U300" s="332"/>
      <c r="V300" s="332"/>
      <c r="W300" s="332"/>
      <c r="X300" s="332"/>
      <c r="Y300" s="332"/>
      <c r="Z300" s="332"/>
    </row>
    <row r="301" ht="15.75" customHeight="1">
      <c r="A301" s="27"/>
      <c r="B301" s="27"/>
      <c r="C301" s="27"/>
      <c r="D301" s="114"/>
      <c r="E301" s="114"/>
      <c r="F301" s="27"/>
      <c r="G301" s="27"/>
      <c r="H301" s="332"/>
      <c r="I301" s="332"/>
      <c r="J301" s="332"/>
      <c r="K301" s="332"/>
      <c r="L301" s="332"/>
      <c r="M301" s="332"/>
      <c r="N301" s="332"/>
      <c r="O301" s="332"/>
      <c r="P301" s="332"/>
      <c r="Q301" s="332"/>
      <c r="R301" s="332"/>
      <c r="S301" s="332"/>
      <c r="T301" s="332"/>
      <c r="U301" s="332"/>
      <c r="V301" s="332"/>
      <c r="W301" s="332"/>
      <c r="X301" s="332"/>
      <c r="Y301" s="332"/>
      <c r="Z301" s="332"/>
    </row>
    <row r="302" ht="15.75" customHeight="1">
      <c r="A302" s="27"/>
      <c r="B302" s="27"/>
      <c r="C302" s="27"/>
      <c r="D302" s="114"/>
      <c r="E302" s="114"/>
      <c r="F302" s="27"/>
      <c r="G302" s="27"/>
      <c r="H302" s="332"/>
      <c r="I302" s="332"/>
      <c r="J302" s="332"/>
      <c r="K302" s="332"/>
      <c r="L302" s="332"/>
      <c r="M302" s="332"/>
      <c r="N302" s="332"/>
      <c r="O302" s="332"/>
      <c r="P302" s="332"/>
      <c r="Q302" s="332"/>
      <c r="R302" s="332"/>
      <c r="S302" s="332"/>
      <c r="T302" s="332"/>
      <c r="U302" s="332"/>
      <c r="V302" s="332"/>
      <c r="W302" s="332"/>
      <c r="X302" s="332"/>
      <c r="Y302" s="332"/>
      <c r="Z302" s="332"/>
    </row>
    <row r="303" ht="15.75" customHeight="1">
      <c r="A303" s="27"/>
      <c r="B303" s="27"/>
      <c r="C303" s="27"/>
      <c r="D303" s="114"/>
      <c r="E303" s="114"/>
      <c r="F303" s="27"/>
      <c r="G303" s="27"/>
      <c r="H303" s="332"/>
      <c r="I303" s="332"/>
      <c r="J303" s="332"/>
      <c r="K303" s="332"/>
      <c r="L303" s="332"/>
      <c r="M303" s="332"/>
      <c r="N303" s="332"/>
      <c r="O303" s="332"/>
      <c r="P303" s="332"/>
      <c r="Q303" s="332"/>
      <c r="R303" s="332"/>
      <c r="S303" s="332"/>
      <c r="T303" s="332"/>
      <c r="U303" s="332"/>
      <c r="V303" s="332"/>
      <c r="W303" s="332"/>
      <c r="X303" s="332"/>
      <c r="Y303" s="332"/>
      <c r="Z303" s="332"/>
    </row>
    <row r="304" ht="15.75" customHeight="1">
      <c r="A304" s="27"/>
      <c r="B304" s="27"/>
      <c r="C304" s="27"/>
      <c r="D304" s="114"/>
      <c r="E304" s="114"/>
      <c r="F304" s="27"/>
      <c r="G304" s="27"/>
      <c r="H304" s="332"/>
      <c r="I304" s="332"/>
      <c r="J304" s="332"/>
      <c r="K304" s="332"/>
      <c r="L304" s="332"/>
      <c r="M304" s="332"/>
      <c r="N304" s="332"/>
      <c r="O304" s="332"/>
      <c r="P304" s="332"/>
      <c r="Q304" s="332"/>
      <c r="R304" s="332"/>
      <c r="S304" s="332"/>
      <c r="T304" s="332"/>
      <c r="U304" s="332"/>
      <c r="V304" s="332"/>
      <c r="W304" s="332"/>
      <c r="X304" s="332"/>
      <c r="Y304" s="332"/>
      <c r="Z304" s="332"/>
    </row>
    <row r="305" ht="15.75" customHeight="1">
      <c r="A305" s="27"/>
      <c r="B305" s="27"/>
      <c r="C305" s="27"/>
      <c r="D305" s="114"/>
      <c r="E305" s="114"/>
      <c r="F305" s="27"/>
      <c r="G305" s="27"/>
      <c r="H305" s="332"/>
      <c r="I305" s="332"/>
      <c r="J305" s="332"/>
      <c r="K305" s="332"/>
      <c r="L305" s="332"/>
      <c r="M305" s="332"/>
      <c r="N305" s="332"/>
      <c r="O305" s="332"/>
      <c r="P305" s="332"/>
      <c r="Q305" s="332"/>
      <c r="R305" s="332"/>
      <c r="S305" s="332"/>
      <c r="T305" s="332"/>
      <c r="U305" s="332"/>
      <c r="V305" s="332"/>
      <c r="W305" s="332"/>
      <c r="X305" s="332"/>
      <c r="Y305" s="332"/>
      <c r="Z305" s="332"/>
    </row>
    <row r="306" ht="15.75" customHeight="1">
      <c r="A306" s="27"/>
      <c r="B306" s="27"/>
      <c r="C306" s="27"/>
      <c r="D306" s="114"/>
      <c r="E306" s="114"/>
      <c r="F306" s="27"/>
      <c r="G306" s="27"/>
      <c r="H306" s="332"/>
      <c r="I306" s="332"/>
      <c r="J306" s="332"/>
      <c r="K306" s="332"/>
      <c r="L306" s="332"/>
      <c r="M306" s="332"/>
      <c r="N306" s="332"/>
      <c r="O306" s="332"/>
      <c r="P306" s="332"/>
      <c r="Q306" s="332"/>
      <c r="R306" s="332"/>
      <c r="S306" s="332"/>
      <c r="T306" s="332"/>
      <c r="U306" s="332"/>
      <c r="V306" s="332"/>
      <c r="W306" s="332"/>
      <c r="X306" s="332"/>
      <c r="Y306" s="332"/>
      <c r="Z306" s="332"/>
    </row>
    <row r="307" ht="15.75" customHeight="1">
      <c r="A307" s="27"/>
      <c r="B307" s="27"/>
      <c r="C307" s="27"/>
      <c r="D307" s="114"/>
      <c r="E307" s="114"/>
      <c r="F307" s="27"/>
      <c r="G307" s="27"/>
      <c r="H307" s="332"/>
      <c r="I307" s="332"/>
      <c r="J307" s="332"/>
      <c r="K307" s="332"/>
      <c r="L307" s="332"/>
      <c r="M307" s="332"/>
      <c r="N307" s="332"/>
      <c r="O307" s="332"/>
      <c r="P307" s="332"/>
      <c r="Q307" s="332"/>
      <c r="R307" s="332"/>
      <c r="S307" s="332"/>
      <c r="T307" s="332"/>
      <c r="U307" s="332"/>
      <c r="V307" s="332"/>
      <c r="W307" s="332"/>
      <c r="X307" s="332"/>
      <c r="Y307" s="332"/>
      <c r="Z307" s="332"/>
    </row>
    <row r="308" ht="15.75" customHeight="1">
      <c r="A308" s="27"/>
      <c r="B308" s="27"/>
      <c r="C308" s="27"/>
      <c r="D308" s="114"/>
      <c r="E308" s="114"/>
      <c r="F308" s="27"/>
      <c r="G308" s="27"/>
      <c r="H308" s="332"/>
      <c r="I308" s="332"/>
      <c r="J308" s="332"/>
      <c r="K308" s="332"/>
      <c r="L308" s="332"/>
      <c r="M308" s="332"/>
      <c r="N308" s="332"/>
      <c r="O308" s="332"/>
      <c r="P308" s="332"/>
      <c r="Q308" s="332"/>
      <c r="R308" s="332"/>
      <c r="S308" s="332"/>
      <c r="T308" s="332"/>
      <c r="U308" s="332"/>
      <c r="V308" s="332"/>
      <c r="W308" s="332"/>
      <c r="X308" s="332"/>
      <c r="Y308" s="332"/>
      <c r="Z308" s="332"/>
    </row>
    <row r="309" ht="15.75" customHeight="1">
      <c r="A309" s="27"/>
      <c r="B309" s="27"/>
      <c r="C309" s="27"/>
      <c r="D309" s="114"/>
      <c r="E309" s="114"/>
      <c r="F309" s="27"/>
      <c r="G309" s="27"/>
      <c r="H309" s="332"/>
      <c r="I309" s="332"/>
      <c r="J309" s="332"/>
      <c r="K309" s="332"/>
      <c r="L309" s="332"/>
      <c r="M309" s="332"/>
      <c r="N309" s="332"/>
      <c r="O309" s="332"/>
      <c r="P309" s="332"/>
      <c r="Q309" s="332"/>
      <c r="R309" s="332"/>
      <c r="S309" s="332"/>
      <c r="T309" s="332"/>
      <c r="U309" s="332"/>
      <c r="V309" s="332"/>
      <c r="W309" s="332"/>
      <c r="X309" s="332"/>
      <c r="Y309" s="332"/>
      <c r="Z309" s="332"/>
    </row>
    <row r="310" ht="15.75" customHeight="1">
      <c r="A310" s="27"/>
      <c r="B310" s="27"/>
      <c r="C310" s="27"/>
      <c r="D310" s="114"/>
      <c r="E310" s="114"/>
      <c r="F310" s="27"/>
      <c r="G310" s="27"/>
      <c r="H310" s="332"/>
      <c r="I310" s="332"/>
      <c r="J310" s="332"/>
      <c r="K310" s="332"/>
      <c r="L310" s="332"/>
      <c r="M310" s="332"/>
      <c r="N310" s="332"/>
      <c r="O310" s="332"/>
      <c r="P310" s="332"/>
      <c r="Q310" s="332"/>
      <c r="R310" s="332"/>
      <c r="S310" s="332"/>
      <c r="T310" s="332"/>
      <c r="U310" s="332"/>
      <c r="V310" s="332"/>
      <c r="W310" s="332"/>
      <c r="X310" s="332"/>
      <c r="Y310" s="332"/>
      <c r="Z310" s="332"/>
    </row>
    <row r="311" ht="15.75" customHeight="1">
      <c r="A311" s="27"/>
      <c r="B311" s="27"/>
      <c r="C311" s="27"/>
      <c r="D311" s="114"/>
      <c r="E311" s="114"/>
      <c r="F311" s="27"/>
      <c r="G311" s="27"/>
      <c r="H311" s="332"/>
      <c r="I311" s="332"/>
      <c r="J311" s="332"/>
      <c r="K311" s="332"/>
      <c r="L311" s="332"/>
      <c r="M311" s="332"/>
      <c r="N311" s="332"/>
      <c r="O311" s="332"/>
      <c r="P311" s="332"/>
      <c r="Q311" s="332"/>
      <c r="R311" s="332"/>
      <c r="S311" s="332"/>
      <c r="T311" s="332"/>
      <c r="U311" s="332"/>
      <c r="V311" s="332"/>
      <c r="W311" s="332"/>
      <c r="X311" s="332"/>
      <c r="Y311" s="332"/>
      <c r="Z311" s="332"/>
    </row>
    <row r="312" ht="15.75" customHeight="1">
      <c r="A312" s="27"/>
      <c r="B312" s="27"/>
      <c r="C312" s="27"/>
      <c r="D312" s="114"/>
      <c r="E312" s="114"/>
      <c r="F312" s="27"/>
      <c r="G312" s="27"/>
      <c r="H312" s="332"/>
      <c r="I312" s="332"/>
      <c r="J312" s="332"/>
      <c r="K312" s="332"/>
      <c r="L312" s="332"/>
      <c r="M312" s="332"/>
      <c r="N312" s="332"/>
      <c r="O312" s="332"/>
      <c r="P312" s="332"/>
      <c r="Q312" s="332"/>
      <c r="R312" s="332"/>
      <c r="S312" s="332"/>
      <c r="T312" s="332"/>
      <c r="U312" s="332"/>
      <c r="V312" s="332"/>
      <c r="W312" s="332"/>
      <c r="X312" s="332"/>
      <c r="Y312" s="332"/>
      <c r="Z312" s="332"/>
    </row>
    <row r="313" ht="15.75" customHeight="1">
      <c r="A313" s="27"/>
      <c r="B313" s="27"/>
      <c r="C313" s="27"/>
      <c r="D313" s="114"/>
      <c r="E313" s="114"/>
      <c r="F313" s="27"/>
      <c r="G313" s="27"/>
      <c r="H313" s="332"/>
      <c r="I313" s="332"/>
      <c r="J313" s="332"/>
      <c r="K313" s="332"/>
      <c r="L313" s="332"/>
      <c r="M313" s="332"/>
      <c r="N313" s="332"/>
      <c r="O313" s="332"/>
      <c r="P313" s="332"/>
      <c r="Q313" s="332"/>
      <c r="R313" s="332"/>
      <c r="S313" s="332"/>
      <c r="T313" s="332"/>
      <c r="U313" s="332"/>
      <c r="V313" s="332"/>
      <c r="W313" s="332"/>
      <c r="X313" s="332"/>
      <c r="Y313" s="332"/>
      <c r="Z313" s="332"/>
    </row>
    <row r="314" ht="15.75" customHeight="1">
      <c r="A314" s="27"/>
      <c r="B314" s="27"/>
      <c r="C314" s="27"/>
      <c r="D314" s="114"/>
      <c r="E314" s="114"/>
      <c r="F314" s="27"/>
      <c r="G314" s="27"/>
      <c r="H314" s="332"/>
      <c r="I314" s="332"/>
      <c r="J314" s="332"/>
      <c r="K314" s="332"/>
      <c r="L314" s="332"/>
      <c r="M314" s="332"/>
      <c r="N314" s="332"/>
      <c r="O314" s="332"/>
      <c r="P314" s="332"/>
      <c r="Q314" s="332"/>
      <c r="R314" s="332"/>
      <c r="S314" s="332"/>
      <c r="T314" s="332"/>
      <c r="U314" s="332"/>
      <c r="V314" s="332"/>
      <c r="W314" s="332"/>
      <c r="X314" s="332"/>
      <c r="Y314" s="332"/>
      <c r="Z314" s="332"/>
    </row>
    <row r="315" ht="15.75" customHeight="1">
      <c r="A315" s="27"/>
      <c r="B315" s="27"/>
      <c r="C315" s="27"/>
      <c r="D315" s="114"/>
      <c r="E315" s="114"/>
      <c r="F315" s="27"/>
      <c r="G315" s="27"/>
      <c r="H315" s="332"/>
      <c r="I315" s="332"/>
      <c r="J315" s="332"/>
      <c r="K315" s="332"/>
      <c r="L315" s="332"/>
      <c r="M315" s="332"/>
      <c r="N315" s="332"/>
      <c r="O315" s="332"/>
      <c r="P315" s="332"/>
      <c r="Q315" s="332"/>
      <c r="R315" s="332"/>
      <c r="S315" s="332"/>
      <c r="T315" s="332"/>
      <c r="U315" s="332"/>
      <c r="V315" s="332"/>
      <c r="W315" s="332"/>
      <c r="X315" s="332"/>
      <c r="Y315" s="332"/>
      <c r="Z315" s="332"/>
    </row>
    <row r="316" ht="15.75" customHeight="1">
      <c r="A316" s="27"/>
      <c r="B316" s="27"/>
      <c r="C316" s="27"/>
      <c r="D316" s="114"/>
      <c r="E316" s="114"/>
      <c r="F316" s="27"/>
      <c r="G316" s="27"/>
      <c r="H316" s="332"/>
      <c r="I316" s="332"/>
      <c r="J316" s="332"/>
      <c r="K316" s="332"/>
      <c r="L316" s="332"/>
      <c r="M316" s="332"/>
      <c r="N316" s="332"/>
      <c r="O316" s="332"/>
      <c r="P316" s="332"/>
      <c r="Q316" s="332"/>
      <c r="R316" s="332"/>
      <c r="S316" s="332"/>
      <c r="T316" s="332"/>
      <c r="U316" s="332"/>
      <c r="V316" s="332"/>
      <c r="W316" s="332"/>
      <c r="X316" s="332"/>
      <c r="Y316" s="332"/>
      <c r="Z316" s="332"/>
    </row>
    <row r="317" ht="15.75" customHeight="1">
      <c r="A317" s="27"/>
      <c r="B317" s="27"/>
      <c r="C317" s="27"/>
      <c r="D317" s="114"/>
      <c r="E317" s="114"/>
      <c r="F317" s="27"/>
      <c r="G317" s="27"/>
      <c r="H317" s="332"/>
      <c r="I317" s="332"/>
      <c r="J317" s="332"/>
      <c r="K317" s="332"/>
      <c r="L317" s="332"/>
      <c r="M317" s="332"/>
      <c r="N317" s="332"/>
      <c r="O317" s="332"/>
      <c r="P317" s="332"/>
      <c r="Q317" s="332"/>
      <c r="R317" s="332"/>
      <c r="S317" s="332"/>
      <c r="T317" s="332"/>
      <c r="U317" s="332"/>
      <c r="V317" s="332"/>
      <c r="W317" s="332"/>
      <c r="X317" s="332"/>
      <c r="Y317" s="332"/>
      <c r="Z317" s="332"/>
    </row>
    <row r="318" ht="15.75" customHeight="1">
      <c r="A318" s="27"/>
      <c r="B318" s="27"/>
      <c r="C318" s="27"/>
      <c r="D318" s="114"/>
      <c r="E318" s="114"/>
      <c r="F318" s="27"/>
      <c r="G318" s="27"/>
      <c r="H318" s="332"/>
      <c r="I318" s="332"/>
      <c r="J318" s="332"/>
      <c r="K318" s="332"/>
      <c r="L318" s="332"/>
      <c r="M318" s="332"/>
      <c r="N318" s="332"/>
      <c r="O318" s="332"/>
      <c r="P318" s="332"/>
      <c r="Q318" s="332"/>
      <c r="R318" s="332"/>
      <c r="S318" s="332"/>
      <c r="T318" s="332"/>
      <c r="U318" s="332"/>
      <c r="V318" s="332"/>
      <c r="W318" s="332"/>
      <c r="X318" s="332"/>
      <c r="Y318" s="332"/>
      <c r="Z318" s="332"/>
    </row>
    <row r="319" ht="15.75" customHeight="1">
      <c r="A319" s="27"/>
      <c r="B319" s="27"/>
      <c r="C319" s="27"/>
      <c r="D319" s="114"/>
      <c r="E319" s="114"/>
      <c r="F319" s="27"/>
      <c r="G319" s="27"/>
      <c r="H319" s="332"/>
      <c r="I319" s="332"/>
      <c r="J319" s="332"/>
      <c r="K319" s="332"/>
      <c r="L319" s="332"/>
      <c r="M319" s="332"/>
      <c r="N319" s="332"/>
      <c r="O319" s="332"/>
      <c r="P319" s="332"/>
      <c r="Q319" s="332"/>
      <c r="R319" s="332"/>
      <c r="S319" s="332"/>
      <c r="T319" s="332"/>
      <c r="U319" s="332"/>
      <c r="V319" s="332"/>
      <c r="W319" s="332"/>
      <c r="X319" s="332"/>
      <c r="Y319" s="332"/>
      <c r="Z319" s="332"/>
    </row>
    <row r="320" ht="15.75" customHeight="1">
      <c r="A320" s="27"/>
      <c r="B320" s="27"/>
      <c r="C320" s="27"/>
      <c r="D320" s="114"/>
      <c r="E320" s="114"/>
      <c r="F320" s="27"/>
      <c r="G320" s="27"/>
      <c r="H320" s="332"/>
      <c r="I320" s="332"/>
      <c r="J320" s="332"/>
      <c r="K320" s="332"/>
      <c r="L320" s="332"/>
      <c r="M320" s="332"/>
      <c r="N320" s="332"/>
      <c r="O320" s="332"/>
      <c r="P320" s="332"/>
      <c r="Q320" s="332"/>
      <c r="R320" s="332"/>
      <c r="S320" s="332"/>
      <c r="T320" s="332"/>
      <c r="U320" s="332"/>
      <c r="V320" s="332"/>
      <c r="W320" s="332"/>
      <c r="X320" s="332"/>
      <c r="Y320" s="332"/>
      <c r="Z320" s="332"/>
    </row>
    <row r="321" ht="15.75" customHeight="1">
      <c r="A321" s="27"/>
      <c r="B321" s="27"/>
      <c r="C321" s="27"/>
      <c r="D321" s="114"/>
      <c r="E321" s="114"/>
      <c r="F321" s="27"/>
      <c r="G321" s="27"/>
      <c r="H321" s="332"/>
      <c r="I321" s="332"/>
      <c r="J321" s="332"/>
      <c r="K321" s="332"/>
      <c r="L321" s="332"/>
      <c r="M321" s="332"/>
      <c r="N321" s="332"/>
      <c r="O321" s="332"/>
      <c r="P321" s="332"/>
      <c r="Q321" s="332"/>
      <c r="R321" s="332"/>
      <c r="S321" s="332"/>
      <c r="T321" s="332"/>
      <c r="U321" s="332"/>
      <c r="V321" s="332"/>
      <c r="W321" s="332"/>
      <c r="X321" s="332"/>
      <c r="Y321" s="332"/>
      <c r="Z321" s="332"/>
    </row>
    <row r="322" ht="15.75" customHeight="1">
      <c r="A322" s="27"/>
      <c r="B322" s="27"/>
      <c r="C322" s="27"/>
      <c r="D322" s="114"/>
      <c r="E322" s="114"/>
      <c r="F322" s="27"/>
      <c r="G322" s="27"/>
      <c r="H322" s="332"/>
      <c r="I322" s="332"/>
      <c r="J322" s="332"/>
      <c r="K322" s="332"/>
      <c r="L322" s="332"/>
      <c r="M322" s="332"/>
      <c r="N322" s="332"/>
      <c r="O322" s="332"/>
      <c r="P322" s="332"/>
      <c r="Q322" s="332"/>
      <c r="R322" s="332"/>
      <c r="S322" s="332"/>
      <c r="T322" s="332"/>
      <c r="U322" s="332"/>
      <c r="V322" s="332"/>
      <c r="W322" s="332"/>
      <c r="X322" s="332"/>
      <c r="Y322" s="332"/>
      <c r="Z322" s="332"/>
    </row>
    <row r="323" ht="15.75" customHeight="1">
      <c r="A323" s="27"/>
      <c r="B323" s="27"/>
      <c r="C323" s="27"/>
      <c r="D323" s="114"/>
      <c r="E323" s="114"/>
      <c r="F323" s="27"/>
      <c r="G323" s="27"/>
      <c r="H323" s="332"/>
      <c r="I323" s="332"/>
      <c r="J323" s="332"/>
      <c r="K323" s="332"/>
      <c r="L323" s="332"/>
      <c r="M323" s="332"/>
      <c r="N323" s="332"/>
      <c r="O323" s="332"/>
      <c r="P323" s="332"/>
      <c r="Q323" s="332"/>
      <c r="R323" s="332"/>
      <c r="S323" s="332"/>
      <c r="T323" s="332"/>
      <c r="U323" s="332"/>
      <c r="V323" s="332"/>
      <c r="W323" s="332"/>
      <c r="X323" s="332"/>
      <c r="Y323" s="332"/>
      <c r="Z323" s="332"/>
    </row>
    <row r="324" ht="15.75" customHeight="1">
      <c r="A324" s="27"/>
      <c r="B324" s="27"/>
      <c r="C324" s="27"/>
      <c r="D324" s="114"/>
      <c r="E324" s="114"/>
      <c r="F324" s="27"/>
      <c r="G324" s="27"/>
      <c r="H324" s="332"/>
      <c r="I324" s="332"/>
      <c r="J324" s="332"/>
      <c r="K324" s="332"/>
      <c r="L324" s="332"/>
      <c r="M324" s="332"/>
      <c r="N324" s="332"/>
      <c r="O324" s="332"/>
      <c r="P324" s="332"/>
      <c r="Q324" s="332"/>
      <c r="R324" s="332"/>
      <c r="S324" s="332"/>
      <c r="T324" s="332"/>
      <c r="U324" s="332"/>
      <c r="V324" s="332"/>
      <c r="W324" s="332"/>
      <c r="X324" s="332"/>
      <c r="Y324" s="332"/>
      <c r="Z324" s="332"/>
    </row>
    <row r="325" ht="15.75" customHeight="1">
      <c r="A325" s="27"/>
      <c r="B325" s="27"/>
      <c r="C325" s="27"/>
      <c r="D325" s="114"/>
      <c r="E325" s="114"/>
      <c r="F325" s="27"/>
      <c r="G325" s="27"/>
      <c r="H325" s="332"/>
      <c r="I325" s="332"/>
      <c r="J325" s="332"/>
      <c r="K325" s="332"/>
      <c r="L325" s="332"/>
      <c r="M325" s="332"/>
      <c r="N325" s="332"/>
      <c r="O325" s="332"/>
      <c r="P325" s="332"/>
      <c r="Q325" s="332"/>
      <c r="R325" s="332"/>
      <c r="S325" s="332"/>
      <c r="T325" s="332"/>
      <c r="U325" s="332"/>
      <c r="V325" s="332"/>
      <c r="W325" s="332"/>
      <c r="X325" s="332"/>
      <c r="Y325" s="332"/>
      <c r="Z325" s="332"/>
    </row>
    <row r="326" ht="15.75" customHeight="1">
      <c r="A326" s="27"/>
      <c r="B326" s="27"/>
      <c r="C326" s="27"/>
      <c r="D326" s="114"/>
      <c r="E326" s="114"/>
      <c r="F326" s="27"/>
      <c r="G326" s="27"/>
      <c r="H326" s="332"/>
      <c r="I326" s="332"/>
      <c r="J326" s="332"/>
      <c r="K326" s="332"/>
      <c r="L326" s="332"/>
      <c r="M326" s="332"/>
      <c r="N326" s="332"/>
      <c r="O326" s="332"/>
      <c r="P326" s="332"/>
      <c r="Q326" s="332"/>
      <c r="R326" s="332"/>
      <c r="S326" s="332"/>
      <c r="T326" s="332"/>
      <c r="U326" s="332"/>
      <c r="V326" s="332"/>
      <c r="W326" s="332"/>
      <c r="X326" s="332"/>
      <c r="Y326" s="332"/>
      <c r="Z326" s="332"/>
    </row>
    <row r="327" ht="15.75" customHeight="1">
      <c r="A327" s="27"/>
      <c r="B327" s="27"/>
      <c r="C327" s="27"/>
      <c r="D327" s="114"/>
      <c r="E327" s="114"/>
      <c r="F327" s="27"/>
      <c r="G327" s="27"/>
      <c r="H327" s="332"/>
      <c r="I327" s="332"/>
      <c r="J327" s="332"/>
      <c r="K327" s="332"/>
      <c r="L327" s="332"/>
      <c r="M327" s="332"/>
      <c r="N327" s="332"/>
      <c r="O327" s="332"/>
      <c r="P327" s="332"/>
      <c r="Q327" s="332"/>
      <c r="R327" s="332"/>
      <c r="S327" s="332"/>
      <c r="T327" s="332"/>
      <c r="U327" s="332"/>
      <c r="V327" s="332"/>
      <c r="W327" s="332"/>
      <c r="X327" s="332"/>
      <c r="Y327" s="332"/>
      <c r="Z327" s="332"/>
    </row>
    <row r="328" ht="15.75" customHeight="1">
      <c r="A328" s="27"/>
      <c r="B328" s="27"/>
      <c r="C328" s="27"/>
      <c r="D328" s="114"/>
      <c r="E328" s="114"/>
      <c r="F328" s="27"/>
      <c r="G328" s="27"/>
      <c r="H328" s="332"/>
      <c r="I328" s="332"/>
      <c r="J328" s="332"/>
      <c r="K328" s="332"/>
      <c r="L328" s="332"/>
      <c r="M328" s="332"/>
      <c r="N328" s="332"/>
      <c r="O328" s="332"/>
      <c r="P328" s="332"/>
      <c r="Q328" s="332"/>
      <c r="R328" s="332"/>
      <c r="S328" s="332"/>
      <c r="T328" s="332"/>
      <c r="U328" s="332"/>
      <c r="V328" s="332"/>
      <c r="W328" s="332"/>
      <c r="X328" s="332"/>
      <c r="Y328" s="332"/>
      <c r="Z328" s="332"/>
    </row>
    <row r="329" ht="15.75" customHeight="1">
      <c r="A329" s="27"/>
      <c r="B329" s="27"/>
      <c r="C329" s="27"/>
      <c r="D329" s="114"/>
      <c r="E329" s="114"/>
      <c r="F329" s="27"/>
      <c r="G329" s="27"/>
      <c r="H329" s="332"/>
      <c r="I329" s="332"/>
      <c r="J329" s="332"/>
      <c r="K329" s="332"/>
      <c r="L329" s="332"/>
      <c r="M329" s="332"/>
      <c r="N329" s="332"/>
      <c r="O329" s="332"/>
      <c r="P329" s="332"/>
      <c r="Q329" s="332"/>
      <c r="R329" s="332"/>
      <c r="S329" s="332"/>
      <c r="T329" s="332"/>
      <c r="U329" s="332"/>
      <c r="V329" s="332"/>
      <c r="W329" s="332"/>
      <c r="X329" s="332"/>
      <c r="Y329" s="332"/>
      <c r="Z329" s="332"/>
    </row>
    <row r="330" ht="15.75" customHeight="1">
      <c r="A330" s="27"/>
      <c r="B330" s="27"/>
      <c r="C330" s="27"/>
      <c r="D330" s="114"/>
      <c r="E330" s="114"/>
      <c r="F330" s="27"/>
      <c r="G330" s="27"/>
      <c r="H330" s="332"/>
      <c r="I330" s="332"/>
      <c r="J330" s="332"/>
      <c r="K330" s="332"/>
      <c r="L330" s="332"/>
      <c r="M330" s="332"/>
      <c r="N330" s="332"/>
      <c r="O330" s="332"/>
      <c r="P330" s="332"/>
      <c r="Q330" s="332"/>
      <c r="R330" s="332"/>
      <c r="S330" s="332"/>
      <c r="T330" s="332"/>
      <c r="U330" s="332"/>
      <c r="V330" s="332"/>
      <c r="W330" s="332"/>
      <c r="X330" s="332"/>
      <c r="Y330" s="332"/>
      <c r="Z330" s="332"/>
    </row>
    <row r="331" ht="15.75" customHeight="1">
      <c r="A331" s="27"/>
      <c r="B331" s="27"/>
      <c r="C331" s="27"/>
      <c r="D331" s="114"/>
      <c r="E331" s="114"/>
      <c r="F331" s="27"/>
      <c r="G331" s="27"/>
      <c r="H331" s="332"/>
      <c r="I331" s="332"/>
      <c r="J331" s="332"/>
      <c r="K331" s="332"/>
      <c r="L331" s="332"/>
      <c r="M331" s="332"/>
      <c r="N331" s="332"/>
      <c r="O331" s="332"/>
      <c r="P331" s="332"/>
      <c r="Q331" s="332"/>
      <c r="R331" s="332"/>
      <c r="S331" s="332"/>
      <c r="T331" s="332"/>
      <c r="U331" s="332"/>
      <c r="V331" s="332"/>
      <c r="W331" s="332"/>
      <c r="X331" s="332"/>
      <c r="Y331" s="332"/>
      <c r="Z331" s="332"/>
    </row>
    <row r="332" ht="15.75" customHeight="1">
      <c r="A332" s="27"/>
      <c r="B332" s="27"/>
      <c r="C332" s="27"/>
      <c r="D332" s="114"/>
      <c r="E332" s="114"/>
      <c r="F332" s="27"/>
      <c r="G332" s="27"/>
      <c r="H332" s="332"/>
      <c r="I332" s="332"/>
      <c r="J332" s="332"/>
      <c r="K332" s="332"/>
      <c r="L332" s="332"/>
      <c r="M332" s="332"/>
      <c r="N332" s="332"/>
      <c r="O332" s="332"/>
      <c r="P332" s="332"/>
      <c r="Q332" s="332"/>
      <c r="R332" s="332"/>
      <c r="S332" s="332"/>
      <c r="T332" s="332"/>
      <c r="U332" s="332"/>
      <c r="V332" s="332"/>
      <c r="W332" s="332"/>
      <c r="X332" s="332"/>
      <c r="Y332" s="332"/>
      <c r="Z332" s="332"/>
    </row>
    <row r="333" ht="15.75" customHeight="1">
      <c r="A333" s="27"/>
      <c r="B333" s="27"/>
      <c r="C333" s="27"/>
      <c r="D333" s="114"/>
      <c r="E333" s="114"/>
      <c r="F333" s="27"/>
      <c r="G333" s="27"/>
      <c r="H333" s="332"/>
      <c r="I333" s="332"/>
      <c r="J333" s="332"/>
      <c r="K333" s="332"/>
      <c r="L333" s="332"/>
      <c r="M333" s="332"/>
      <c r="N333" s="332"/>
      <c r="O333" s="332"/>
      <c r="P333" s="332"/>
      <c r="Q333" s="332"/>
      <c r="R333" s="332"/>
      <c r="S333" s="332"/>
      <c r="T333" s="332"/>
      <c r="U333" s="332"/>
      <c r="V333" s="332"/>
      <c r="W333" s="332"/>
      <c r="X333" s="332"/>
      <c r="Y333" s="332"/>
      <c r="Z333" s="332"/>
    </row>
    <row r="334" ht="15.75" customHeight="1">
      <c r="A334" s="27"/>
      <c r="B334" s="27"/>
      <c r="C334" s="27"/>
      <c r="D334" s="114"/>
      <c r="E334" s="114"/>
      <c r="F334" s="27"/>
      <c r="G334" s="27"/>
      <c r="H334" s="332"/>
      <c r="I334" s="332"/>
      <c r="J334" s="332"/>
      <c r="K334" s="332"/>
      <c r="L334" s="332"/>
      <c r="M334" s="332"/>
      <c r="N334" s="332"/>
      <c r="O334" s="332"/>
      <c r="P334" s="332"/>
      <c r="Q334" s="332"/>
      <c r="R334" s="332"/>
      <c r="S334" s="332"/>
      <c r="T334" s="332"/>
      <c r="U334" s="332"/>
      <c r="V334" s="332"/>
      <c r="W334" s="332"/>
      <c r="X334" s="332"/>
      <c r="Y334" s="332"/>
      <c r="Z334" s="332"/>
    </row>
    <row r="335" ht="15.75" customHeight="1">
      <c r="A335" s="27"/>
      <c r="B335" s="27"/>
      <c r="C335" s="27"/>
      <c r="D335" s="114"/>
      <c r="E335" s="114"/>
      <c r="F335" s="27"/>
      <c r="G335" s="27"/>
      <c r="H335" s="332"/>
      <c r="I335" s="332"/>
      <c r="J335" s="332"/>
      <c r="K335" s="332"/>
      <c r="L335" s="332"/>
      <c r="M335" s="332"/>
      <c r="N335" s="332"/>
      <c r="O335" s="332"/>
      <c r="P335" s="332"/>
      <c r="Q335" s="332"/>
      <c r="R335" s="332"/>
      <c r="S335" s="332"/>
      <c r="T335" s="332"/>
      <c r="U335" s="332"/>
      <c r="V335" s="332"/>
      <c r="W335" s="332"/>
      <c r="X335" s="332"/>
      <c r="Y335" s="332"/>
      <c r="Z335" s="332"/>
    </row>
    <row r="336" ht="15.75" customHeight="1">
      <c r="A336" s="27"/>
      <c r="B336" s="27"/>
      <c r="C336" s="27"/>
      <c r="D336" s="114"/>
      <c r="E336" s="114"/>
      <c r="F336" s="27"/>
      <c r="G336" s="27"/>
      <c r="H336" s="332"/>
      <c r="I336" s="332"/>
      <c r="J336" s="332"/>
      <c r="K336" s="332"/>
      <c r="L336" s="332"/>
      <c r="M336" s="332"/>
      <c r="N336" s="332"/>
      <c r="O336" s="332"/>
      <c r="P336" s="332"/>
      <c r="Q336" s="332"/>
      <c r="R336" s="332"/>
      <c r="S336" s="332"/>
      <c r="T336" s="332"/>
      <c r="U336" s="332"/>
      <c r="V336" s="332"/>
      <c r="W336" s="332"/>
      <c r="X336" s="332"/>
      <c r="Y336" s="332"/>
      <c r="Z336" s="332"/>
    </row>
    <row r="337" ht="15.75" customHeight="1">
      <c r="A337" s="27"/>
      <c r="B337" s="27"/>
      <c r="C337" s="27"/>
      <c r="D337" s="114"/>
      <c r="E337" s="114"/>
      <c r="F337" s="27"/>
      <c r="G337" s="27"/>
      <c r="H337" s="332"/>
      <c r="I337" s="332"/>
      <c r="J337" s="332"/>
      <c r="K337" s="332"/>
      <c r="L337" s="332"/>
      <c r="M337" s="332"/>
      <c r="N337" s="332"/>
      <c r="O337" s="332"/>
      <c r="P337" s="332"/>
      <c r="Q337" s="332"/>
      <c r="R337" s="332"/>
      <c r="S337" s="332"/>
      <c r="T337" s="332"/>
      <c r="U337" s="332"/>
      <c r="V337" s="332"/>
      <c r="W337" s="332"/>
      <c r="X337" s="332"/>
      <c r="Y337" s="332"/>
      <c r="Z337" s="332"/>
    </row>
    <row r="338" ht="15.75" customHeight="1">
      <c r="A338" s="27"/>
      <c r="B338" s="27"/>
      <c r="C338" s="27"/>
      <c r="D338" s="114"/>
      <c r="E338" s="114"/>
      <c r="F338" s="27"/>
      <c r="G338" s="27"/>
      <c r="H338" s="332"/>
      <c r="I338" s="332"/>
      <c r="J338" s="332"/>
      <c r="K338" s="332"/>
      <c r="L338" s="332"/>
      <c r="M338" s="332"/>
      <c r="N338" s="332"/>
      <c r="O338" s="332"/>
      <c r="P338" s="332"/>
      <c r="Q338" s="332"/>
      <c r="R338" s="332"/>
      <c r="S338" s="332"/>
      <c r="T338" s="332"/>
      <c r="U338" s="332"/>
      <c r="V338" s="332"/>
      <c r="W338" s="332"/>
      <c r="X338" s="332"/>
      <c r="Y338" s="332"/>
      <c r="Z338" s="332"/>
    </row>
    <row r="339" ht="15.75" customHeight="1">
      <c r="A339" s="27"/>
      <c r="B339" s="27"/>
      <c r="C339" s="27"/>
      <c r="D339" s="114"/>
      <c r="E339" s="114"/>
      <c r="F339" s="27"/>
      <c r="G339" s="27"/>
      <c r="H339" s="332"/>
      <c r="I339" s="332"/>
      <c r="J339" s="332"/>
      <c r="K339" s="332"/>
      <c r="L339" s="332"/>
      <c r="M339" s="332"/>
      <c r="N339" s="332"/>
      <c r="O339" s="332"/>
      <c r="P339" s="332"/>
      <c r="Q339" s="332"/>
      <c r="R339" s="332"/>
      <c r="S339" s="332"/>
      <c r="T339" s="332"/>
      <c r="U339" s="332"/>
      <c r="V339" s="332"/>
      <c r="W339" s="332"/>
      <c r="X339" s="332"/>
      <c r="Y339" s="332"/>
      <c r="Z339" s="332"/>
    </row>
    <row r="340" ht="15.75" customHeight="1">
      <c r="A340" s="27"/>
      <c r="B340" s="27"/>
      <c r="C340" s="27"/>
      <c r="D340" s="114"/>
      <c r="E340" s="114"/>
      <c r="F340" s="27"/>
      <c r="G340" s="27"/>
      <c r="H340" s="332"/>
      <c r="I340" s="332"/>
      <c r="J340" s="332"/>
      <c r="K340" s="332"/>
      <c r="L340" s="332"/>
      <c r="M340" s="332"/>
      <c r="N340" s="332"/>
      <c r="O340" s="332"/>
      <c r="P340" s="332"/>
      <c r="Q340" s="332"/>
      <c r="R340" s="332"/>
      <c r="S340" s="332"/>
      <c r="T340" s="332"/>
      <c r="U340" s="332"/>
      <c r="V340" s="332"/>
      <c r="W340" s="332"/>
      <c r="X340" s="332"/>
      <c r="Y340" s="332"/>
      <c r="Z340" s="332"/>
    </row>
    <row r="341" ht="15.75" customHeight="1">
      <c r="A341" s="27"/>
      <c r="B341" s="27"/>
      <c r="C341" s="27"/>
      <c r="D341" s="114"/>
      <c r="E341" s="114"/>
      <c r="F341" s="27"/>
      <c r="G341" s="27"/>
      <c r="H341" s="332"/>
      <c r="I341" s="332"/>
      <c r="J341" s="332"/>
      <c r="K341" s="332"/>
      <c r="L341" s="332"/>
      <c r="M341" s="332"/>
      <c r="N341" s="332"/>
      <c r="O341" s="332"/>
      <c r="P341" s="332"/>
      <c r="Q341" s="332"/>
      <c r="R341" s="332"/>
      <c r="S341" s="332"/>
      <c r="T341" s="332"/>
      <c r="U341" s="332"/>
      <c r="V341" s="332"/>
      <c r="W341" s="332"/>
      <c r="X341" s="332"/>
      <c r="Y341" s="332"/>
      <c r="Z341" s="332"/>
    </row>
    <row r="342" ht="15.75" customHeight="1">
      <c r="A342" s="27"/>
      <c r="B342" s="27"/>
      <c r="C342" s="27"/>
      <c r="D342" s="114"/>
      <c r="E342" s="114"/>
      <c r="F342" s="27"/>
      <c r="G342" s="27"/>
      <c r="H342" s="332"/>
      <c r="I342" s="332"/>
      <c r="J342" s="332"/>
      <c r="K342" s="332"/>
      <c r="L342" s="332"/>
      <c r="M342" s="332"/>
      <c r="N342" s="332"/>
      <c r="O342" s="332"/>
      <c r="P342" s="332"/>
      <c r="Q342" s="332"/>
      <c r="R342" s="332"/>
      <c r="S342" s="332"/>
      <c r="T342" s="332"/>
      <c r="U342" s="332"/>
      <c r="V342" s="332"/>
      <c r="W342" s="332"/>
      <c r="X342" s="332"/>
      <c r="Y342" s="332"/>
      <c r="Z342" s="332"/>
    </row>
    <row r="343" ht="15.75" customHeight="1">
      <c r="A343" s="27"/>
      <c r="B343" s="27"/>
      <c r="C343" s="27"/>
      <c r="D343" s="114"/>
      <c r="E343" s="114"/>
      <c r="F343" s="27"/>
      <c r="G343" s="27"/>
      <c r="H343" s="332"/>
      <c r="I343" s="332"/>
      <c r="J343" s="332"/>
      <c r="K343" s="332"/>
      <c r="L343" s="332"/>
      <c r="M343" s="332"/>
      <c r="N343" s="332"/>
      <c r="O343" s="332"/>
      <c r="P343" s="332"/>
      <c r="Q343" s="332"/>
      <c r="R343" s="332"/>
      <c r="S343" s="332"/>
      <c r="T343" s="332"/>
      <c r="U343" s="332"/>
      <c r="V343" s="332"/>
      <c r="W343" s="332"/>
      <c r="X343" s="332"/>
      <c r="Y343" s="332"/>
      <c r="Z343" s="332"/>
    </row>
    <row r="344" ht="15.75" customHeight="1">
      <c r="A344" s="27"/>
      <c r="B344" s="27"/>
      <c r="C344" s="27"/>
      <c r="D344" s="114"/>
      <c r="E344" s="114"/>
      <c r="F344" s="27"/>
      <c r="G344" s="27"/>
      <c r="H344" s="332"/>
      <c r="I344" s="332"/>
      <c r="J344" s="332"/>
      <c r="K344" s="332"/>
      <c r="L344" s="332"/>
      <c r="M344" s="332"/>
      <c r="N344" s="332"/>
      <c r="O344" s="332"/>
      <c r="P344" s="332"/>
      <c r="Q344" s="332"/>
      <c r="R344" s="332"/>
      <c r="S344" s="332"/>
      <c r="T344" s="332"/>
      <c r="U344" s="332"/>
      <c r="V344" s="332"/>
      <c r="W344" s="332"/>
      <c r="X344" s="332"/>
      <c r="Y344" s="332"/>
      <c r="Z344" s="332"/>
    </row>
    <row r="345" ht="15.75" customHeight="1">
      <c r="A345" s="27"/>
      <c r="B345" s="27"/>
      <c r="C345" s="27"/>
      <c r="D345" s="114"/>
      <c r="E345" s="114"/>
      <c r="F345" s="27"/>
      <c r="G345" s="27"/>
      <c r="H345" s="332"/>
      <c r="I345" s="332"/>
      <c r="J345" s="332"/>
      <c r="K345" s="332"/>
      <c r="L345" s="332"/>
      <c r="M345" s="332"/>
      <c r="N345" s="332"/>
      <c r="O345" s="332"/>
      <c r="P345" s="332"/>
      <c r="Q345" s="332"/>
      <c r="R345" s="332"/>
      <c r="S345" s="332"/>
      <c r="T345" s="332"/>
      <c r="U345" s="332"/>
      <c r="V345" s="332"/>
      <c r="W345" s="332"/>
      <c r="X345" s="332"/>
      <c r="Y345" s="332"/>
      <c r="Z345" s="332"/>
    </row>
    <row r="346" ht="15.75" customHeight="1">
      <c r="A346" s="27"/>
      <c r="B346" s="27"/>
      <c r="C346" s="27"/>
      <c r="D346" s="114"/>
      <c r="E346" s="114"/>
      <c r="F346" s="27"/>
      <c r="G346" s="27"/>
      <c r="H346" s="332"/>
      <c r="I346" s="332"/>
      <c r="J346" s="332"/>
      <c r="K346" s="332"/>
      <c r="L346" s="332"/>
      <c r="M346" s="332"/>
      <c r="N346" s="332"/>
      <c r="O346" s="332"/>
      <c r="P346" s="332"/>
      <c r="Q346" s="332"/>
      <c r="R346" s="332"/>
      <c r="S346" s="332"/>
      <c r="T346" s="332"/>
      <c r="U346" s="332"/>
      <c r="V346" s="332"/>
      <c r="W346" s="332"/>
      <c r="X346" s="332"/>
      <c r="Y346" s="332"/>
      <c r="Z346" s="332"/>
    </row>
    <row r="347" ht="15.75" customHeight="1">
      <c r="A347" s="27"/>
      <c r="B347" s="27"/>
      <c r="C347" s="27"/>
      <c r="D347" s="114"/>
      <c r="E347" s="114"/>
      <c r="F347" s="27"/>
      <c r="G347" s="27"/>
      <c r="H347" s="332"/>
      <c r="I347" s="332"/>
      <c r="J347" s="332"/>
      <c r="K347" s="332"/>
      <c r="L347" s="332"/>
      <c r="M347" s="332"/>
      <c r="N347" s="332"/>
      <c r="O347" s="332"/>
      <c r="P347" s="332"/>
      <c r="Q347" s="332"/>
      <c r="R347" s="332"/>
      <c r="S347" s="332"/>
      <c r="T347" s="332"/>
      <c r="U347" s="332"/>
      <c r="V347" s="332"/>
      <c r="W347" s="332"/>
      <c r="X347" s="332"/>
      <c r="Y347" s="332"/>
      <c r="Z347" s="332"/>
    </row>
    <row r="348" ht="15.75" customHeight="1">
      <c r="A348" s="27"/>
      <c r="B348" s="27"/>
      <c r="C348" s="27"/>
      <c r="D348" s="114"/>
      <c r="E348" s="114"/>
      <c r="F348" s="27"/>
      <c r="G348" s="27"/>
      <c r="H348" s="332"/>
      <c r="I348" s="332"/>
      <c r="J348" s="332"/>
      <c r="K348" s="332"/>
      <c r="L348" s="332"/>
      <c r="M348" s="332"/>
      <c r="N348" s="332"/>
      <c r="O348" s="332"/>
      <c r="P348" s="332"/>
      <c r="Q348" s="332"/>
      <c r="R348" s="332"/>
      <c r="S348" s="332"/>
      <c r="T348" s="332"/>
      <c r="U348" s="332"/>
      <c r="V348" s="332"/>
      <c r="W348" s="332"/>
      <c r="X348" s="332"/>
      <c r="Y348" s="332"/>
      <c r="Z348" s="332"/>
    </row>
    <row r="349" ht="15.75" customHeight="1">
      <c r="A349" s="27"/>
      <c r="B349" s="27"/>
      <c r="C349" s="27"/>
      <c r="D349" s="114"/>
      <c r="E349" s="114"/>
      <c r="F349" s="27"/>
      <c r="G349" s="27"/>
      <c r="H349" s="332"/>
      <c r="I349" s="332"/>
      <c r="J349" s="332"/>
      <c r="K349" s="332"/>
      <c r="L349" s="332"/>
      <c r="M349" s="332"/>
      <c r="N349" s="332"/>
      <c r="O349" s="332"/>
      <c r="P349" s="332"/>
      <c r="Q349" s="332"/>
      <c r="R349" s="332"/>
      <c r="S349" s="332"/>
      <c r="T349" s="332"/>
      <c r="U349" s="332"/>
      <c r="V349" s="332"/>
      <c r="W349" s="332"/>
      <c r="X349" s="332"/>
      <c r="Y349" s="332"/>
      <c r="Z349" s="332"/>
    </row>
    <row r="350" ht="15.75" customHeight="1">
      <c r="A350" s="27"/>
      <c r="B350" s="27"/>
      <c r="C350" s="27"/>
      <c r="D350" s="114"/>
      <c r="E350" s="114"/>
      <c r="F350" s="27"/>
      <c r="G350" s="27"/>
      <c r="H350" s="332"/>
      <c r="I350" s="332"/>
      <c r="J350" s="332"/>
      <c r="K350" s="332"/>
      <c r="L350" s="332"/>
      <c r="M350" s="332"/>
      <c r="N350" s="332"/>
      <c r="O350" s="332"/>
      <c r="P350" s="332"/>
      <c r="Q350" s="332"/>
      <c r="R350" s="332"/>
      <c r="S350" s="332"/>
      <c r="T350" s="332"/>
      <c r="U350" s="332"/>
      <c r="V350" s="332"/>
      <c r="W350" s="332"/>
      <c r="X350" s="332"/>
      <c r="Y350" s="332"/>
      <c r="Z350" s="332"/>
    </row>
    <row r="351" ht="15.75" customHeight="1">
      <c r="A351" s="27"/>
      <c r="B351" s="27"/>
      <c r="C351" s="27"/>
      <c r="D351" s="114"/>
      <c r="E351" s="114"/>
      <c r="F351" s="27"/>
      <c r="G351" s="27"/>
      <c r="H351" s="332"/>
      <c r="I351" s="332"/>
      <c r="J351" s="332"/>
      <c r="K351" s="332"/>
      <c r="L351" s="332"/>
      <c r="M351" s="332"/>
      <c r="N351" s="332"/>
      <c r="O351" s="332"/>
      <c r="P351" s="332"/>
      <c r="Q351" s="332"/>
      <c r="R351" s="332"/>
      <c r="S351" s="332"/>
      <c r="T351" s="332"/>
      <c r="U351" s="332"/>
      <c r="V351" s="332"/>
      <c r="W351" s="332"/>
      <c r="X351" s="332"/>
      <c r="Y351" s="332"/>
      <c r="Z351" s="332"/>
    </row>
    <row r="352" ht="15.75" customHeight="1">
      <c r="A352" s="27"/>
      <c r="B352" s="27"/>
      <c r="C352" s="27"/>
      <c r="D352" s="114"/>
      <c r="E352" s="114"/>
      <c r="F352" s="27"/>
      <c r="G352" s="27"/>
      <c r="H352" s="332"/>
      <c r="I352" s="332"/>
      <c r="J352" s="332"/>
      <c r="K352" s="332"/>
      <c r="L352" s="332"/>
      <c r="M352" s="332"/>
      <c r="N352" s="332"/>
      <c r="O352" s="332"/>
      <c r="P352" s="332"/>
      <c r="Q352" s="332"/>
      <c r="R352" s="332"/>
      <c r="S352" s="332"/>
      <c r="T352" s="332"/>
      <c r="U352" s="332"/>
      <c r="V352" s="332"/>
      <c r="W352" s="332"/>
      <c r="X352" s="332"/>
      <c r="Y352" s="332"/>
      <c r="Z352" s="332"/>
    </row>
    <row r="353" ht="15.75" customHeight="1">
      <c r="A353" s="27"/>
      <c r="B353" s="27"/>
      <c r="C353" s="27"/>
      <c r="D353" s="114"/>
      <c r="E353" s="114"/>
      <c r="F353" s="27"/>
      <c r="G353" s="27"/>
      <c r="H353" s="332"/>
      <c r="I353" s="332"/>
      <c r="J353" s="332"/>
      <c r="K353" s="332"/>
      <c r="L353" s="332"/>
      <c r="M353" s="332"/>
      <c r="N353" s="332"/>
      <c r="O353" s="332"/>
      <c r="P353" s="332"/>
      <c r="Q353" s="332"/>
      <c r="R353" s="332"/>
      <c r="S353" s="332"/>
      <c r="T353" s="332"/>
      <c r="U353" s="332"/>
      <c r="V353" s="332"/>
      <c r="W353" s="332"/>
      <c r="X353" s="332"/>
      <c r="Y353" s="332"/>
      <c r="Z353" s="332"/>
    </row>
    <row r="354" ht="15.75" customHeight="1">
      <c r="A354" s="27"/>
      <c r="B354" s="27"/>
      <c r="C354" s="27"/>
      <c r="D354" s="114"/>
      <c r="E354" s="114"/>
      <c r="F354" s="27"/>
      <c r="G354" s="27"/>
      <c r="H354" s="332"/>
      <c r="I354" s="332"/>
      <c r="J354" s="332"/>
      <c r="K354" s="332"/>
      <c r="L354" s="332"/>
      <c r="M354" s="332"/>
      <c r="N354" s="332"/>
      <c r="O354" s="332"/>
      <c r="P354" s="332"/>
      <c r="Q354" s="332"/>
      <c r="R354" s="332"/>
      <c r="S354" s="332"/>
      <c r="T354" s="332"/>
      <c r="U354" s="332"/>
      <c r="V354" s="332"/>
      <c r="W354" s="332"/>
      <c r="X354" s="332"/>
      <c r="Y354" s="332"/>
      <c r="Z354" s="332"/>
    </row>
    <row r="355" ht="15.75" customHeight="1">
      <c r="A355" s="27"/>
      <c r="B355" s="27"/>
      <c r="C355" s="27"/>
      <c r="D355" s="114"/>
      <c r="E355" s="114"/>
      <c r="F355" s="27"/>
      <c r="G355" s="27"/>
      <c r="H355" s="332"/>
      <c r="I355" s="332"/>
      <c r="J355" s="332"/>
      <c r="K355" s="332"/>
      <c r="L355" s="332"/>
      <c r="M355" s="332"/>
      <c r="N355" s="332"/>
      <c r="O355" s="332"/>
      <c r="P355" s="332"/>
      <c r="Q355" s="332"/>
      <c r="R355" s="332"/>
      <c r="S355" s="332"/>
      <c r="T355" s="332"/>
      <c r="U355" s="332"/>
      <c r="V355" s="332"/>
      <c r="W355" s="332"/>
      <c r="X355" s="332"/>
      <c r="Y355" s="332"/>
      <c r="Z355" s="332"/>
    </row>
    <row r="356" ht="15.75" customHeight="1">
      <c r="A356" s="27"/>
      <c r="B356" s="27"/>
      <c r="C356" s="27"/>
      <c r="D356" s="114"/>
      <c r="E356" s="114"/>
      <c r="F356" s="27"/>
      <c r="G356" s="27"/>
      <c r="H356" s="332"/>
      <c r="I356" s="332"/>
      <c r="J356" s="332"/>
      <c r="K356" s="332"/>
      <c r="L356" s="332"/>
      <c r="M356" s="332"/>
      <c r="N356" s="332"/>
      <c r="O356" s="332"/>
      <c r="P356" s="332"/>
      <c r="Q356" s="332"/>
      <c r="R356" s="332"/>
      <c r="S356" s="332"/>
      <c r="T356" s="332"/>
      <c r="U356" s="332"/>
      <c r="V356" s="332"/>
      <c r="W356" s="332"/>
      <c r="X356" s="332"/>
      <c r="Y356" s="332"/>
      <c r="Z356" s="332"/>
    </row>
    <row r="357" ht="15.75" customHeight="1">
      <c r="A357" s="27"/>
      <c r="B357" s="27"/>
      <c r="C357" s="27"/>
      <c r="D357" s="114"/>
      <c r="E357" s="114"/>
      <c r="F357" s="27"/>
      <c r="G357" s="27"/>
      <c r="H357" s="332"/>
      <c r="I357" s="332"/>
      <c r="J357" s="332"/>
      <c r="K357" s="332"/>
      <c r="L357" s="332"/>
      <c r="M357" s="332"/>
      <c r="N357" s="332"/>
      <c r="O357" s="332"/>
      <c r="P357" s="332"/>
      <c r="Q357" s="332"/>
      <c r="R357" s="332"/>
      <c r="S357" s="332"/>
      <c r="T357" s="332"/>
      <c r="U357" s="332"/>
      <c r="V357" s="332"/>
      <c r="W357" s="332"/>
      <c r="X357" s="332"/>
      <c r="Y357" s="332"/>
      <c r="Z357" s="332"/>
    </row>
    <row r="358" ht="15.75" customHeight="1">
      <c r="A358" s="27"/>
      <c r="B358" s="27"/>
      <c r="C358" s="27"/>
      <c r="D358" s="114"/>
      <c r="E358" s="114"/>
      <c r="F358" s="27"/>
      <c r="G358" s="27"/>
      <c r="H358" s="332"/>
      <c r="I358" s="332"/>
      <c r="J358" s="332"/>
      <c r="K358" s="332"/>
      <c r="L358" s="332"/>
      <c r="M358" s="332"/>
      <c r="N358" s="332"/>
      <c r="O358" s="332"/>
      <c r="P358" s="332"/>
      <c r="Q358" s="332"/>
      <c r="R358" s="332"/>
      <c r="S358" s="332"/>
      <c r="T358" s="332"/>
      <c r="U358" s="332"/>
      <c r="V358" s="332"/>
      <c r="W358" s="332"/>
      <c r="X358" s="332"/>
      <c r="Y358" s="332"/>
      <c r="Z358" s="332"/>
    </row>
    <row r="359" ht="15.75" customHeight="1">
      <c r="A359" s="27"/>
      <c r="B359" s="27"/>
      <c r="C359" s="27"/>
      <c r="D359" s="114"/>
      <c r="E359" s="114"/>
      <c r="F359" s="27"/>
      <c r="G359" s="27"/>
      <c r="H359" s="332"/>
      <c r="I359" s="332"/>
      <c r="J359" s="332"/>
      <c r="K359" s="332"/>
      <c r="L359" s="332"/>
      <c r="M359" s="332"/>
      <c r="N359" s="332"/>
      <c r="O359" s="332"/>
      <c r="P359" s="332"/>
      <c r="Q359" s="332"/>
      <c r="R359" s="332"/>
      <c r="S359" s="332"/>
      <c r="T359" s="332"/>
      <c r="U359" s="332"/>
      <c r="V359" s="332"/>
      <c r="W359" s="332"/>
      <c r="X359" s="332"/>
      <c r="Y359" s="332"/>
      <c r="Z359" s="332"/>
    </row>
    <row r="360" ht="15.75" customHeight="1">
      <c r="A360" s="27"/>
      <c r="B360" s="27"/>
      <c r="C360" s="27"/>
      <c r="D360" s="114"/>
      <c r="E360" s="114"/>
      <c r="F360" s="27"/>
      <c r="G360" s="27"/>
      <c r="H360" s="332"/>
      <c r="I360" s="332"/>
      <c r="J360" s="332"/>
      <c r="K360" s="332"/>
      <c r="L360" s="332"/>
      <c r="M360" s="332"/>
      <c r="N360" s="332"/>
      <c r="O360" s="332"/>
      <c r="P360" s="332"/>
      <c r="Q360" s="332"/>
      <c r="R360" s="332"/>
      <c r="S360" s="332"/>
      <c r="T360" s="332"/>
      <c r="U360" s="332"/>
      <c r="V360" s="332"/>
      <c r="W360" s="332"/>
      <c r="X360" s="332"/>
      <c r="Y360" s="332"/>
      <c r="Z360" s="332"/>
    </row>
    <row r="361" ht="15.75" customHeight="1">
      <c r="A361" s="27"/>
      <c r="B361" s="27"/>
      <c r="C361" s="27"/>
      <c r="D361" s="114"/>
      <c r="E361" s="114"/>
      <c r="F361" s="27"/>
      <c r="G361" s="27"/>
      <c r="H361" s="332"/>
      <c r="I361" s="332"/>
      <c r="J361" s="332"/>
      <c r="K361" s="332"/>
      <c r="L361" s="332"/>
      <c r="M361" s="332"/>
      <c r="N361" s="332"/>
      <c r="O361" s="332"/>
      <c r="P361" s="332"/>
      <c r="Q361" s="332"/>
      <c r="R361" s="332"/>
      <c r="S361" s="332"/>
      <c r="T361" s="332"/>
      <c r="U361" s="332"/>
      <c r="V361" s="332"/>
      <c r="W361" s="332"/>
      <c r="X361" s="332"/>
      <c r="Y361" s="332"/>
      <c r="Z361" s="332"/>
    </row>
    <row r="362" ht="15.75" customHeight="1">
      <c r="A362" s="27"/>
      <c r="B362" s="27"/>
      <c r="C362" s="27"/>
      <c r="D362" s="114"/>
      <c r="E362" s="114"/>
      <c r="F362" s="27"/>
      <c r="G362" s="27"/>
      <c r="H362" s="332"/>
      <c r="I362" s="332"/>
      <c r="J362" s="332"/>
      <c r="K362" s="332"/>
      <c r="L362" s="332"/>
      <c r="M362" s="332"/>
      <c r="N362" s="332"/>
      <c r="O362" s="332"/>
      <c r="P362" s="332"/>
      <c r="Q362" s="332"/>
      <c r="R362" s="332"/>
      <c r="S362" s="332"/>
      <c r="T362" s="332"/>
      <c r="U362" s="332"/>
      <c r="V362" s="332"/>
      <c r="W362" s="332"/>
      <c r="X362" s="332"/>
      <c r="Y362" s="332"/>
      <c r="Z362" s="332"/>
    </row>
    <row r="363" ht="15.75" customHeight="1">
      <c r="A363" s="27"/>
      <c r="B363" s="27"/>
      <c r="C363" s="27"/>
      <c r="D363" s="114"/>
      <c r="E363" s="114"/>
      <c r="F363" s="27"/>
      <c r="G363" s="27"/>
      <c r="H363" s="332"/>
      <c r="I363" s="332"/>
      <c r="J363" s="332"/>
      <c r="K363" s="332"/>
      <c r="L363" s="332"/>
      <c r="M363" s="332"/>
      <c r="N363" s="332"/>
      <c r="O363" s="332"/>
      <c r="P363" s="332"/>
      <c r="Q363" s="332"/>
      <c r="R363" s="332"/>
      <c r="S363" s="332"/>
      <c r="T363" s="332"/>
      <c r="U363" s="332"/>
      <c r="V363" s="332"/>
      <c r="W363" s="332"/>
      <c r="X363" s="332"/>
      <c r="Y363" s="332"/>
      <c r="Z363" s="332"/>
    </row>
    <row r="364" ht="15.75" customHeight="1">
      <c r="A364" s="27"/>
      <c r="B364" s="27"/>
      <c r="C364" s="27"/>
      <c r="D364" s="114"/>
      <c r="E364" s="114"/>
      <c r="F364" s="27"/>
      <c r="G364" s="27"/>
      <c r="H364" s="332"/>
      <c r="I364" s="332"/>
      <c r="J364" s="332"/>
      <c r="K364" s="332"/>
      <c r="L364" s="332"/>
      <c r="M364" s="332"/>
      <c r="N364" s="332"/>
      <c r="O364" s="332"/>
      <c r="P364" s="332"/>
      <c r="Q364" s="332"/>
      <c r="R364" s="332"/>
      <c r="S364" s="332"/>
      <c r="T364" s="332"/>
      <c r="U364" s="332"/>
      <c r="V364" s="332"/>
      <c r="W364" s="332"/>
      <c r="X364" s="332"/>
      <c r="Y364" s="332"/>
      <c r="Z364" s="332"/>
    </row>
    <row r="365" ht="15.75" customHeight="1">
      <c r="A365" s="27"/>
      <c r="B365" s="27"/>
      <c r="C365" s="27"/>
      <c r="D365" s="114"/>
      <c r="E365" s="114"/>
      <c r="F365" s="27"/>
      <c r="G365" s="27"/>
      <c r="H365" s="332"/>
      <c r="I365" s="332"/>
      <c r="J365" s="332"/>
      <c r="K365" s="332"/>
      <c r="L365" s="332"/>
      <c r="M365" s="332"/>
      <c r="N365" s="332"/>
      <c r="O365" s="332"/>
      <c r="P365" s="332"/>
      <c r="Q365" s="332"/>
      <c r="R365" s="332"/>
      <c r="S365" s="332"/>
      <c r="T365" s="332"/>
      <c r="U365" s="332"/>
      <c r="V365" s="332"/>
      <c r="W365" s="332"/>
      <c r="X365" s="332"/>
      <c r="Y365" s="332"/>
      <c r="Z365" s="332"/>
    </row>
    <row r="366" ht="15.75" customHeight="1">
      <c r="A366" s="27"/>
      <c r="B366" s="27"/>
      <c r="C366" s="27"/>
      <c r="D366" s="114"/>
      <c r="E366" s="114"/>
      <c r="F366" s="27"/>
      <c r="G366" s="27"/>
      <c r="H366" s="332"/>
      <c r="I366" s="332"/>
      <c r="J366" s="332"/>
      <c r="K366" s="332"/>
      <c r="L366" s="332"/>
      <c r="M366" s="332"/>
      <c r="N366" s="332"/>
      <c r="O366" s="332"/>
      <c r="P366" s="332"/>
      <c r="Q366" s="332"/>
      <c r="R366" s="332"/>
      <c r="S366" s="332"/>
      <c r="T366" s="332"/>
      <c r="U366" s="332"/>
      <c r="V366" s="332"/>
      <c r="W366" s="332"/>
      <c r="X366" s="332"/>
      <c r="Y366" s="332"/>
      <c r="Z366" s="332"/>
    </row>
    <row r="367" ht="15.75" customHeight="1">
      <c r="A367" s="27"/>
      <c r="B367" s="27"/>
      <c r="C367" s="27"/>
      <c r="D367" s="114"/>
      <c r="E367" s="114"/>
      <c r="F367" s="27"/>
      <c r="G367" s="27"/>
      <c r="H367" s="332"/>
      <c r="I367" s="332"/>
      <c r="J367" s="332"/>
      <c r="K367" s="332"/>
      <c r="L367" s="332"/>
      <c r="M367" s="332"/>
      <c r="N367" s="332"/>
      <c r="O367" s="332"/>
      <c r="P367" s="332"/>
      <c r="Q367" s="332"/>
      <c r="R367" s="332"/>
      <c r="S367" s="332"/>
      <c r="T367" s="332"/>
      <c r="U367" s="332"/>
      <c r="V367" s="332"/>
      <c r="W367" s="332"/>
      <c r="X367" s="332"/>
      <c r="Y367" s="332"/>
      <c r="Z367" s="332"/>
    </row>
    <row r="368" ht="15.75" customHeight="1">
      <c r="A368" s="27"/>
      <c r="B368" s="27"/>
      <c r="C368" s="27"/>
      <c r="D368" s="114"/>
      <c r="E368" s="114"/>
      <c r="F368" s="27"/>
      <c r="G368" s="27"/>
      <c r="H368" s="332"/>
      <c r="I368" s="332"/>
      <c r="J368" s="332"/>
      <c r="K368" s="332"/>
      <c r="L368" s="332"/>
      <c r="M368" s="332"/>
      <c r="N368" s="332"/>
      <c r="O368" s="332"/>
      <c r="P368" s="332"/>
      <c r="Q368" s="332"/>
      <c r="R368" s="332"/>
      <c r="S368" s="332"/>
      <c r="T368" s="332"/>
      <c r="U368" s="332"/>
      <c r="V368" s="332"/>
      <c r="W368" s="332"/>
      <c r="X368" s="332"/>
      <c r="Y368" s="332"/>
      <c r="Z368" s="332"/>
    </row>
    <row r="369" ht="15.75" customHeight="1">
      <c r="A369" s="27"/>
      <c r="B369" s="27"/>
      <c r="C369" s="27"/>
      <c r="D369" s="114"/>
      <c r="E369" s="114"/>
      <c r="F369" s="27"/>
      <c r="G369" s="27"/>
      <c r="H369" s="332"/>
      <c r="I369" s="332"/>
      <c r="J369" s="332"/>
      <c r="K369" s="332"/>
      <c r="L369" s="332"/>
      <c r="M369" s="332"/>
      <c r="N369" s="332"/>
      <c r="O369" s="332"/>
      <c r="P369" s="332"/>
      <c r="Q369" s="332"/>
      <c r="R369" s="332"/>
      <c r="S369" s="332"/>
      <c r="T369" s="332"/>
      <c r="U369" s="332"/>
      <c r="V369" s="332"/>
      <c r="W369" s="332"/>
      <c r="X369" s="332"/>
      <c r="Y369" s="332"/>
      <c r="Z369" s="332"/>
    </row>
    <row r="370" ht="15.75" customHeight="1">
      <c r="A370" s="27"/>
      <c r="B370" s="27"/>
      <c r="C370" s="27"/>
      <c r="D370" s="114"/>
      <c r="E370" s="114"/>
      <c r="F370" s="27"/>
      <c r="G370" s="27"/>
      <c r="H370" s="332"/>
      <c r="I370" s="332"/>
      <c r="J370" s="332"/>
      <c r="K370" s="332"/>
      <c r="L370" s="332"/>
      <c r="M370" s="332"/>
      <c r="N370" s="332"/>
      <c r="O370" s="332"/>
      <c r="P370" s="332"/>
      <c r="Q370" s="332"/>
      <c r="R370" s="332"/>
      <c r="S370" s="332"/>
      <c r="T370" s="332"/>
      <c r="U370" s="332"/>
      <c r="V370" s="332"/>
      <c r="W370" s="332"/>
      <c r="X370" s="332"/>
      <c r="Y370" s="332"/>
      <c r="Z370" s="332"/>
    </row>
    <row r="371" ht="15.75" customHeight="1">
      <c r="A371" s="27"/>
      <c r="B371" s="27"/>
      <c r="C371" s="27"/>
      <c r="D371" s="114"/>
      <c r="E371" s="114"/>
      <c r="F371" s="27"/>
      <c r="G371" s="27"/>
      <c r="H371" s="332"/>
      <c r="I371" s="332"/>
      <c r="J371" s="332"/>
      <c r="K371" s="332"/>
      <c r="L371" s="332"/>
      <c r="M371" s="332"/>
      <c r="N371" s="332"/>
      <c r="O371" s="332"/>
      <c r="P371" s="332"/>
      <c r="Q371" s="332"/>
      <c r="R371" s="332"/>
      <c r="S371" s="332"/>
      <c r="T371" s="332"/>
      <c r="U371" s="332"/>
      <c r="V371" s="332"/>
      <c r="W371" s="332"/>
      <c r="X371" s="332"/>
      <c r="Y371" s="332"/>
      <c r="Z371" s="332"/>
    </row>
    <row r="372" ht="15.75" customHeight="1">
      <c r="A372" s="27"/>
      <c r="B372" s="27"/>
      <c r="C372" s="27"/>
      <c r="D372" s="114"/>
      <c r="E372" s="114"/>
      <c r="F372" s="27"/>
      <c r="G372" s="27"/>
      <c r="H372" s="332"/>
      <c r="I372" s="332"/>
      <c r="J372" s="332"/>
      <c r="K372" s="332"/>
      <c r="L372" s="332"/>
      <c r="M372" s="332"/>
      <c r="N372" s="332"/>
      <c r="O372" s="332"/>
      <c r="P372" s="332"/>
      <c r="Q372" s="332"/>
      <c r="R372" s="332"/>
      <c r="S372" s="332"/>
      <c r="T372" s="332"/>
      <c r="U372" s="332"/>
      <c r="V372" s="332"/>
      <c r="W372" s="332"/>
      <c r="X372" s="332"/>
      <c r="Y372" s="332"/>
      <c r="Z372" s="332"/>
    </row>
    <row r="373" ht="15.75" customHeight="1">
      <c r="A373" s="27"/>
      <c r="B373" s="27"/>
      <c r="C373" s="27"/>
      <c r="D373" s="114"/>
      <c r="E373" s="114"/>
      <c r="F373" s="27"/>
      <c r="G373" s="27"/>
      <c r="H373" s="332"/>
      <c r="I373" s="332"/>
      <c r="J373" s="332"/>
      <c r="K373" s="332"/>
      <c r="L373" s="332"/>
      <c r="M373" s="332"/>
      <c r="N373" s="332"/>
      <c r="O373" s="332"/>
      <c r="P373" s="332"/>
      <c r="Q373" s="332"/>
      <c r="R373" s="332"/>
      <c r="S373" s="332"/>
      <c r="T373" s="332"/>
      <c r="U373" s="332"/>
      <c r="V373" s="332"/>
      <c r="W373" s="332"/>
      <c r="X373" s="332"/>
      <c r="Y373" s="332"/>
      <c r="Z373" s="332"/>
    </row>
    <row r="374" ht="15.75" customHeight="1">
      <c r="A374" s="27"/>
      <c r="B374" s="27"/>
      <c r="C374" s="27"/>
      <c r="D374" s="114"/>
      <c r="E374" s="114"/>
      <c r="F374" s="27"/>
      <c r="G374" s="27"/>
      <c r="H374" s="332"/>
      <c r="I374" s="332"/>
      <c r="J374" s="332"/>
      <c r="K374" s="332"/>
      <c r="L374" s="332"/>
      <c r="M374" s="332"/>
      <c r="N374" s="332"/>
      <c r="O374" s="332"/>
      <c r="P374" s="332"/>
      <c r="Q374" s="332"/>
      <c r="R374" s="332"/>
      <c r="S374" s="332"/>
      <c r="T374" s="332"/>
      <c r="U374" s="332"/>
      <c r="V374" s="332"/>
      <c r="W374" s="332"/>
      <c r="X374" s="332"/>
      <c r="Y374" s="332"/>
      <c r="Z374" s="332"/>
    </row>
    <row r="375" ht="15.75" customHeight="1">
      <c r="A375" s="27"/>
      <c r="B375" s="27"/>
      <c r="C375" s="27"/>
      <c r="D375" s="114"/>
      <c r="E375" s="114"/>
      <c r="F375" s="27"/>
      <c r="G375" s="27"/>
      <c r="H375" s="332"/>
      <c r="I375" s="332"/>
      <c r="J375" s="332"/>
      <c r="K375" s="332"/>
      <c r="L375" s="332"/>
      <c r="M375" s="332"/>
      <c r="N375" s="332"/>
      <c r="O375" s="332"/>
      <c r="P375" s="332"/>
      <c r="Q375" s="332"/>
      <c r="R375" s="332"/>
      <c r="S375" s="332"/>
      <c r="T375" s="332"/>
      <c r="U375" s="332"/>
      <c r="V375" s="332"/>
      <c r="W375" s="332"/>
      <c r="X375" s="332"/>
      <c r="Y375" s="332"/>
      <c r="Z375" s="332"/>
    </row>
    <row r="376" ht="15.75" customHeight="1">
      <c r="A376" s="27"/>
      <c r="B376" s="27"/>
      <c r="C376" s="27"/>
      <c r="D376" s="114"/>
      <c r="E376" s="114"/>
      <c r="F376" s="27"/>
      <c r="G376" s="27"/>
      <c r="H376" s="332"/>
      <c r="I376" s="332"/>
      <c r="J376" s="332"/>
      <c r="K376" s="332"/>
      <c r="L376" s="332"/>
      <c r="M376" s="332"/>
      <c r="N376" s="332"/>
      <c r="O376" s="332"/>
      <c r="P376" s="332"/>
      <c r="Q376" s="332"/>
      <c r="R376" s="332"/>
      <c r="S376" s="332"/>
      <c r="T376" s="332"/>
      <c r="U376" s="332"/>
      <c r="V376" s="332"/>
      <c r="W376" s="332"/>
      <c r="X376" s="332"/>
      <c r="Y376" s="332"/>
      <c r="Z376" s="332"/>
    </row>
    <row r="377" ht="15.75" customHeight="1">
      <c r="A377" s="27"/>
      <c r="B377" s="27"/>
      <c r="C377" s="27"/>
      <c r="D377" s="114"/>
      <c r="E377" s="114"/>
      <c r="F377" s="27"/>
      <c r="G377" s="27"/>
      <c r="H377" s="332"/>
      <c r="I377" s="332"/>
      <c r="J377" s="332"/>
      <c r="K377" s="332"/>
      <c r="L377" s="332"/>
      <c r="M377" s="332"/>
      <c r="N377" s="332"/>
      <c r="O377" s="332"/>
      <c r="P377" s="332"/>
      <c r="Q377" s="332"/>
      <c r="R377" s="332"/>
      <c r="S377" s="332"/>
      <c r="T377" s="332"/>
      <c r="U377" s="332"/>
      <c r="V377" s="332"/>
      <c r="W377" s="332"/>
      <c r="X377" s="332"/>
      <c r="Y377" s="332"/>
      <c r="Z377" s="332"/>
    </row>
    <row r="378" ht="15.75" customHeight="1">
      <c r="A378" s="27"/>
      <c r="B378" s="27"/>
      <c r="C378" s="27"/>
      <c r="D378" s="114"/>
      <c r="E378" s="114"/>
      <c r="F378" s="27"/>
      <c r="G378" s="27"/>
      <c r="H378" s="332"/>
      <c r="I378" s="332"/>
      <c r="J378" s="332"/>
      <c r="K378" s="332"/>
      <c r="L378" s="332"/>
      <c r="M378" s="332"/>
      <c r="N378" s="332"/>
      <c r="O378" s="332"/>
      <c r="P378" s="332"/>
      <c r="Q378" s="332"/>
      <c r="R378" s="332"/>
      <c r="S378" s="332"/>
      <c r="T378" s="332"/>
      <c r="U378" s="332"/>
      <c r="V378" s="332"/>
      <c r="W378" s="332"/>
      <c r="X378" s="332"/>
      <c r="Y378" s="332"/>
      <c r="Z378" s="332"/>
    </row>
    <row r="379" ht="15.75" customHeight="1">
      <c r="A379" s="27"/>
      <c r="B379" s="27"/>
      <c r="C379" s="27"/>
      <c r="D379" s="114"/>
      <c r="E379" s="114"/>
      <c r="F379" s="27"/>
      <c r="G379" s="27"/>
      <c r="H379" s="332"/>
      <c r="I379" s="332"/>
      <c r="J379" s="332"/>
      <c r="K379" s="332"/>
      <c r="L379" s="332"/>
      <c r="M379" s="332"/>
      <c r="N379" s="332"/>
      <c r="O379" s="332"/>
      <c r="P379" s="332"/>
      <c r="Q379" s="332"/>
      <c r="R379" s="332"/>
      <c r="S379" s="332"/>
      <c r="T379" s="332"/>
      <c r="U379" s="332"/>
      <c r="V379" s="332"/>
      <c r="W379" s="332"/>
      <c r="X379" s="332"/>
      <c r="Y379" s="332"/>
      <c r="Z379" s="332"/>
    </row>
    <row r="380" ht="15.75" customHeight="1">
      <c r="A380" s="27"/>
      <c r="B380" s="27"/>
      <c r="C380" s="27"/>
      <c r="D380" s="114"/>
      <c r="E380" s="114"/>
      <c r="F380" s="27"/>
      <c r="G380" s="27"/>
      <c r="H380" s="332"/>
      <c r="I380" s="332"/>
      <c r="J380" s="332"/>
      <c r="K380" s="332"/>
      <c r="L380" s="332"/>
      <c r="M380" s="332"/>
      <c r="N380" s="332"/>
      <c r="O380" s="332"/>
      <c r="P380" s="332"/>
      <c r="Q380" s="332"/>
      <c r="R380" s="332"/>
      <c r="S380" s="332"/>
      <c r="T380" s="332"/>
      <c r="U380" s="332"/>
      <c r="V380" s="332"/>
      <c r="W380" s="332"/>
      <c r="X380" s="332"/>
      <c r="Y380" s="332"/>
      <c r="Z380" s="332"/>
    </row>
    <row r="381" ht="15.75" customHeight="1">
      <c r="A381" s="27"/>
      <c r="B381" s="27"/>
      <c r="C381" s="27"/>
      <c r="D381" s="114"/>
      <c r="E381" s="114"/>
      <c r="F381" s="27"/>
      <c r="G381" s="27"/>
      <c r="H381" s="332"/>
      <c r="I381" s="332"/>
      <c r="J381" s="332"/>
      <c r="K381" s="332"/>
      <c r="L381" s="332"/>
      <c r="M381" s="332"/>
      <c r="N381" s="332"/>
      <c r="O381" s="332"/>
      <c r="P381" s="332"/>
      <c r="Q381" s="332"/>
      <c r="R381" s="332"/>
      <c r="S381" s="332"/>
      <c r="T381" s="332"/>
      <c r="U381" s="332"/>
      <c r="V381" s="332"/>
      <c r="W381" s="332"/>
      <c r="X381" s="332"/>
      <c r="Y381" s="332"/>
      <c r="Z381" s="332"/>
    </row>
    <row r="382" ht="15.75" customHeight="1">
      <c r="A382" s="27"/>
      <c r="B382" s="27"/>
      <c r="C382" s="27"/>
      <c r="D382" s="114"/>
      <c r="E382" s="114"/>
      <c r="F382" s="27"/>
      <c r="G382" s="27"/>
      <c r="H382" s="332"/>
      <c r="I382" s="332"/>
      <c r="J382" s="332"/>
      <c r="K382" s="332"/>
      <c r="L382" s="332"/>
      <c r="M382" s="332"/>
      <c r="N382" s="332"/>
      <c r="O382" s="332"/>
      <c r="P382" s="332"/>
      <c r="Q382" s="332"/>
      <c r="R382" s="332"/>
      <c r="S382" s="332"/>
      <c r="T382" s="332"/>
      <c r="U382" s="332"/>
      <c r="V382" s="332"/>
      <c r="W382" s="332"/>
      <c r="X382" s="332"/>
      <c r="Y382" s="332"/>
      <c r="Z382" s="332"/>
    </row>
    <row r="383" ht="15.75" customHeight="1">
      <c r="A383" s="27"/>
      <c r="B383" s="27"/>
      <c r="C383" s="27"/>
      <c r="D383" s="114"/>
      <c r="E383" s="114"/>
      <c r="F383" s="27"/>
      <c r="G383" s="27"/>
      <c r="H383" s="332"/>
      <c r="I383" s="332"/>
      <c r="J383" s="332"/>
      <c r="K383" s="332"/>
      <c r="L383" s="332"/>
      <c r="M383" s="332"/>
      <c r="N383" s="332"/>
      <c r="O383" s="332"/>
      <c r="P383" s="332"/>
      <c r="Q383" s="332"/>
      <c r="R383" s="332"/>
      <c r="S383" s="332"/>
      <c r="T383" s="332"/>
      <c r="U383" s="332"/>
      <c r="V383" s="332"/>
      <c r="W383" s="332"/>
      <c r="X383" s="332"/>
      <c r="Y383" s="332"/>
      <c r="Z383" s="332"/>
    </row>
    <row r="384" ht="15.75" customHeight="1">
      <c r="A384" s="27"/>
      <c r="B384" s="27"/>
      <c r="C384" s="27"/>
      <c r="D384" s="114"/>
      <c r="E384" s="114"/>
      <c r="F384" s="27"/>
      <c r="G384" s="27"/>
      <c r="H384" s="332"/>
      <c r="I384" s="332"/>
      <c r="J384" s="332"/>
      <c r="K384" s="332"/>
      <c r="L384" s="332"/>
      <c r="M384" s="332"/>
      <c r="N384" s="332"/>
      <c r="O384" s="332"/>
      <c r="P384" s="332"/>
      <c r="Q384" s="332"/>
      <c r="R384" s="332"/>
      <c r="S384" s="332"/>
      <c r="T384" s="332"/>
      <c r="U384" s="332"/>
      <c r="V384" s="332"/>
      <c r="W384" s="332"/>
      <c r="X384" s="332"/>
      <c r="Y384" s="332"/>
      <c r="Z384" s="332"/>
    </row>
    <row r="385" ht="15.75" customHeight="1">
      <c r="A385" s="27"/>
      <c r="B385" s="27"/>
      <c r="C385" s="27"/>
      <c r="D385" s="114"/>
      <c r="E385" s="114"/>
      <c r="F385" s="27"/>
      <c r="G385" s="27"/>
      <c r="H385" s="332"/>
      <c r="I385" s="332"/>
      <c r="J385" s="332"/>
      <c r="K385" s="332"/>
      <c r="L385" s="332"/>
      <c r="M385" s="332"/>
      <c r="N385" s="332"/>
      <c r="O385" s="332"/>
      <c r="P385" s="332"/>
      <c r="Q385" s="332"/>
      <c r="R385" s="332"/>
      <c r="S385" s="332"/>
      <c r="T385" s="332"/>
      <c r="U385" s="332"/>
      <c r="V385" s="332"/>
      <c r="W385" s="332"/>
      <c r="X385" s="332"/>
      <c r="Y385" s="332"/>
      <c r="Z385" s="332"/>
    </row>
    <row r="386" ht="15.75" customHeight="1">
      <c r="A386" s="27"/>
      <c r="B386" s="27"/>
      <c r="C386" s="27"/>
      <c r="D386" s="114"/>
      <c r="E386" s="114"/>
      <c r="F386" s="27"/>
      <c r="G386" s="27"/>
      <c r="H386" s="332"/>
      <c r="I386" s="332"/>
      <c r="J386" s="332"/>
      <c r="K386" s="332"/>
      <c r="L386" s="332"/>
      <c r="M386" s="332"/>
      <c r="N386" s="332"/>
      <c r="O386" s="332"/>
      <c r="P386" s="332"/>
      <c r="Q386" s="332"/>
      <c r="R386" s="332"/>
      <c r="S386" s="332"/>
      <c r="T386" s="332"/>
      <c r="U386" s="332"/>
      <c r="V386" s="332"/>
      <c r="W386" s="332"/>
      <c r="X386" s="332"/>
      <c r="Y386" s="332"/>
      <c r="Z386" s="332"/>
    </row>
    <row r="387" ht="15.75" customHeight="1">
      <c r="A387" s="27"/>
      <c r="B387" s="27"/>
      <c r="C387" s="27"/>
      <c r="D387" s="114"/>
      <c r="E387" s="114"/>
      <c r="F387" s="27"/>
      <c r="G387" s="27"/>
      <c r="H387" s="332"/>
      <c r="I387" s="332"/>
      <c r="J387" s="332"/>
      <c r="K387" s="332"/>
      <c r="L387" s="332"/>
      <c r="M387" s="332"/>
      <c r="N387" s="332"/>
      <c r="O387" s="332"/>
      <c r="P387" s="332"/>
      <c r="Q387" s="332"/>
      <c r="R387" s="332"/>
      <c r="S387" s="332"/>
      <c r="T387" s="332"/>
      <c r="U387" s="332"/>
      <c r="V387" s="332"/>
      <c r="W387" s="332"/>
      <c r="X387" s="332"/>
      <c r="Y387" s="332"/>
      <c r="Z387" s="332"/>
    </row>
    <row r="388" ht="15.75" customHeight="1">
      <c r="A388" s="27"/>
      <c r="B388" s="27"/>
      <c r="C388" s="27"/>
      <c r="D388" s="114"/>
      <c r="E388" s="114"/>
      <c r="F388" s="27"/>
      <c r="G388" s="27"/>
      <c r="H388" s="332"/>
      <c r="I388" s="332"/>
      <c r="J388" s="332"/>
      <c r="K388" s="332"/>
      <c r="L388" s="332"/>
      <c r="M388" s="332"/>
      <c r="N388" s="332"/>
      <c r="O388" s="332"/>
      <c r="P388" s="332"/>
      <c r="Q388" s="332"/>
      <c r="R388" s="332"/>
      <c r="S388" s="332"/>
      <c r="T388" s="332"/>
      <c r="U388" s="332"/>
      <c r="V388" s="332"/>
      <c r="W388" s="332"/>
      <c r="X388" s="332"/>
      <c r="Y388" s="332"/>
      <c r="Z388" s="332"/>
    </row>
    <row r="389" ht="15.75" customHeight="1">
      <c r="A389" s="27"/>
      <c r="B389" s="27"/>
      <c r="C389" s="27"/>
      <c r="D389" s="114"/>
      <c r="E389" s="114"/>
      <c r="F389" s="27"/>
      <c r="G389" s="27"/>
      <c r="H389" s="332"/>
      <c r="I389" s="332"/>
      <c r="J389" s="332"/>
      <c r="K389" s="332"/>
      <c r="L389" s="332"/>
      <c r="M389" s="332"/>
      <c r="N389" s="332"/>
      <c r="O389" s="332"/>
      <c r="P389" s="332"/>
      <c r="Q389" s="332"/>
      <c r="R389" s="332"/>
      <c r="S389" s="332"/>
      <c r="T389" s="332"/>
      <c r="U389" s="332"/>
      <c r="V389" s="332"/>
      <c r="W389" s="332"/>
      <c r="X389" s="332"/>
      <c r="Y389" s="332"/>
      <c r="Z389" s="332"/>
    </row>
    <row r="390" ht="15.75" customHeight="1">
      <c r="A390" s="27"/>
      <c r="B390" s="27"/>
      <c r="C390" s="27"/>
      <c r="D390" s="114"/>
      <c r="E390" s="114"/>
      <c r="F390" s="27"/>
      <c r="G390" s="27"/>
      <c r="H390" s="332"/>
      <c r="I390" s="332"/>
      <c r="J390" s="332"/>
      <c r="K390" s="332"/>
      <c r="L390" s="332"/>
      <c r="M390" s="332"/>
      <c r="N390" s="332"/>
      <c r="O390" s="332"/>
      <c r="P390" s="332"/>
      <c r="Q390" s="332"/>
      <c r="R390" s="332"/>
      <c r="S390" s="332"/>
      <c r="T390" s="332"/>
      <c r="U390" s="332"/>
      <c r="V390" s="332"/>
      <c r="W390" s="332"/>
      <c r="X390" s="332"/>
      <c r="Y390" s="332"/>
      <c r="Z390" s="332"/>
    </row>
    <row r="391" ht="15.75" customHeight="1">
      <c r="A391" s="27"/>
      <c r="B391" s="27"/>
      <c r="C391" s="27"/>
      <c r="D391" s="114"/>
      <c r="E391" s="114"/>
      <c r="F391" s="27"/>
      <c r="G391" s="27"/>
      <c r="H391" s="332"/>
      <c r="I391" s="332"/>
      <c r="J391" s="332"/>
      <c r="K391" s="332"/>
      <c r="L391" s="332"/>
      <c r="M391" s="332"/>
      <c r="N391" s="332"/>
      <c r="O391" s="332"/>
      <c r="P391" s="332"/>
      <c r="Q391" s="332"/>
      <c r="R391" s="332"/>
      <c r="S391" s="332"/>
      <c r="T391" s="332"/>
      <c r="U391" s="332"/>
      <c r="V391" s="332"/>
      <c r="W391" s="332"/>
      <c r="X391" s="332"/>
      <c r="Y391" s="332"/>
      <c r="Z391" s="332"/>
    </row>
    <row r="392" ht="15.75" customHeight="1">
      <c r="A392" s="27"/>
      <c r="B392" s="27"/>
      <c r="C392" s="27"/>
      <c r="D392" s="114"/>
      <c r="E392" s="114"/>
      <c r="F392" s="27"/>
      <c r="G392" s="27"/>
      <c r="H392" s="332"/>
      <c r="I392" s="332"/>
      <c r="J392" s="332"/>
      <c r="K392" s="332"/>
      <c r="L392" s="332"/>
      <c r="M392" s="332"/>
      <c r="N392" s="332"/>
      <c r="O392" s="332"/>
      <c r="P392" s="332"/>
      <c r="Q392" s="332"/>
      <c r="R392" s="332"/>
      <c r="S392" s="332"/>
      <c r="T392" s="332"/>
      <c r="U392" s="332"/>
      <c r="V392" s="332"/>
      <c r="W392" s="332"/>
      <c r="X392" s="332"/>
      <c r="Y392" s="332"/>
      <c r="Z392" s="332"/>
    </row>
    <row r="393" ht="15.75" customHeight="1">
      <c r="A393" s="27"/>
      <c r="B393" s="27"/>
      <c r="C393" s="27"/>
      <c r="D393" s="114"/>
      <c r="E393" s="114"/>
      <c r="F393" s="27"/>
      <c r="G393" s="27"/>
      <c r="H393" s="332"/>
      <c r="I393" s="332"/>
      <c r="J393" s="332"/>
      <c r="K393" s="332"/>
      <c r="L393" s="332"/>
      <c r="M393" s="332"/>
      <c r="N393" s="332"/>
      <c r="O393" s="332"/>
      <c r="P393" s="332"/>
      <c r="Q393" s="332"/>
      <c r="R393" s="332"/>
      <c r="S393" s="332"/>
      <c r="T393" s="332"/>
      <c r="U393" s="332"/>
      <c r="V393" s="332"/>
      <c r="W393" s="332"/>
      <c r="X393" s="332"/>
      <c r="Y393" s="332"/>
      <c r="Z393" s="332"/>
    </row>
    <row r="394" ht="15.75" customHeight="1">
      <c r="A394" s="27"/>
      <c r="B394" s="27"/>
      <c r="C394" s="27"/>
      <c r="D394" s="114"/>
      <c r="E394" s="114"/>
      <c r="F394" s="27"/>
      <c r="G394" s="27"/>
      <c r="H394" s="332"/>
      <c r="I394" s="332"/>
      <c r="J394" s="332"/>
      <c r="K394" s="332"/>
      <c r="L394" s="332"/>
      <c r="M394" s="332"/>
      <c r="N394" s="332"/>
      <c r="O394" s="332"/>
      <c r="P394" s="332"/>
      <c r="Q394" s="332"/>
      <c r="R394" s="332"/>
      <c r="S394" s="332"/>
      <c r="T394" s="332"/>
      <c r="U394" s="332"/>
      <c r="V394" s="332"/>
      <c r="W394" s="332"/>
      <c r="X394" s="332"/>
      <c r="Y394" s="332"/>
      <c r="Z394" s="332"/>
    </row>
    <row r="395" ht="15.75" customHeight="1">
      <c r="A395" s="27"/>
      <c r="B395" s="27"/>
      <c r="C395" s="27"/>
      <c r="D395" s="114"/>
      <c r="E395" s="114"/>
      <c r="F395" s="27"/>
      <c r="G395" s="27"/>
      <c r="H395" s="332"/>
      <c r="I395" s="332"/>
      <c r="J395" s="332"/>
      <c r="K395" s="332"/>
      <c r="L395" s="332"/>
      <c r="M395" s="332"/>
      <c r="N395" s="332"/>
      <c r="O395" s="332"/>
      <c r="P395" s="332"/>
      <c r="Q395" s="332"/>
      <c r="R395" s="332"/>
      <c r="S395" s="332"/>
      <c r="T395" s="332"/>
      <c r="U395" s="332"/>
      <c r="V395" s="332"/>
      <c r="W395" s="332"/>
      <c r="X395" s="332"/>
      <c r="Y395" s="332"/>
      <c r="Z395" s="332"/>
    </row>
    <row r="396" ht="15.75" customHeight="1">
      <c r="A396" s="27"/>
      <c r="B396" s="27"/>
      <c r="C396" s="27"/>
      <c r="D396" s="114"/>
      <c r="E396" s="114"/>
      <c r="F396" s="27"/>
      <c r="G396" s="27"/>
      <c r="H396" s="332"/>
      <c r="I396" s="332"/>
      <c r="J396" s="332"/>
      <c r="K396" s="332"/>
      <c r="L396" s="332"/>
      <c r="M396" s="332"/>
      <c r="N396" s="332"/>
      <c r="O396" s="332"/>
      <c r="P396" s="332"/>
      <c r="Q396" s="332"/>
      <c r="R396" s="332"/>
      <c r="S396" s="332"/>
      <c r="T396" s="332"/>
      <c r="U396" s="332"/>
      <c r="V396" s="332"/>
      <c r="W396" s="332"/>
      <c r="X396" s="332"/>
      <c r="Y396" s="332"/>
      <c r="Z396" s="332"/>
    </row>
    <row r="397" ht="15.75" customHeight="1">
      <c r="A397" s="27"/>
      <c r="B397" s="27"/>
      <c r="C397" s="27"/>
      <c r="D397" s="114"/>
      <c r="E397" s="114"/>
      <c r="F397" s="27"/>
      <c r="G397" s="27"/>
      <c r="H397" s="332"/>
      <c r="I397" s="332"/>
      <c r="J397" s="332"/>
      <c r="K397" s="332"/>
      <c r="L397" s="332"/>
      <c r="M397" s="332"/>
      <c r="N397" s="332"/>
      <c r="O397" s="332"/>
      <c r="P397" s="332"/>
      <c r="Q397" s="332"/>
      <c r="R397" s="332"/>
      <c r="S397" s="332"/>
      <c r="T397" s="332"/>
      <c r="U397" s="332"/>
      <c r="V397" s="332"/>
      <c r="W397" s="332"/>
      <c r="X397" s="332"/>
      <c r="Y397" s="332"/>
      <c r="Z397" s="332"/>
    </row>
    <row r="398" ht="15.75" customHeight="1">
      <c r="A398" s="27"/>
      <c r="B398" s="27"/>
      <c r="C398" s="27"/>
      <c r="D398" s="114"/>
      <c r="E398" s="114"/>
      <c r="F398" s="27"/>
      <c r="G398" s="27"/>
      <c r="H398" s="332"/>
      <c r="I398" s="332"/>
      <c r="J398" s="332"/>
      <c r="K398" s="332"/>
      <c r="L398" s="332"/>
      <c r="M398" s="332"/>
      <c r="N398" s="332"/>
      <c r="O398" s="332"/>
      <c r="P398" s="332"/>
      <c r="Q398" s="332"/>
      <c r="R398" s="332"/>
      <c r="S398" s="332"/>
      <c r="T398" s="332"/>
      <c r="U398" s="332"/>
      <c r="V398" s="332"/>
      <c r="W398" s="332"/>
      <c r="X398" s="332"/>
      <c r="Y398" s="332"/>
      <c r="Z398" s="332"/>
    </row>
    <row r="399" ht="15.75" customHeight="1">
      <c r="A399" s="27"/>
      <c r="B399" s="27"/>
      <c r="C399" s="27"/>
      <c r="D399" s="114"/>
      <c r="E399" s="114"/>
      <c r="F399" s="27"/>
      <c r="G399" s="27"/>
      <c r="H399" s="332"/>
      <c r="I399" s="332"/>
      <c r="J399" s="332"/>
      <c r="K399" s="332"/>
      <c r="L399" s="332"/>
      <c r="M399" s="332"/>
      <c r="N399" s="332"/>
      <c r="O399" s="332"/>
      <c r="P399" s="332"/>
      <c r="Q399" s="332"/>
      <c r="R399" s="332"/>
      <c r="S399" s="332"/>
      <c r="T399" s="332"/>
      <c r="U399" s="332"/>
      <c r="V399" s="332"/>
      <c r="W399" s="332"/>
      <c r="X399" s="332"/>
      <c r="Y399" s="332"/>
      <c r="Z399" s="332"/>
    </row>
    <row r="400" ht="15.75" customHeight="1">
      <c r="A400" s="27"/>
      <c r="B400" s="27"/>
      <c r="C400" s="27"/>
      <c r="D400" s="114"/>
      <c r="E400" s="114"/>
      <c r="F400" s="27"/>
      <c r="G400" s="27"/>
      <c r="H400" s="332"/>
      <c r="I400" s="332"/>
      <c r="J400" s="332"/>
      <c r="K400" s="332"/>
      <c r="L400" s="332"/>
      <c r="M400" s="332"/>
      <c r="N400" s="332"/>
      <c r="O400" s="332"/>
      <c r="P400" s="332"/>
      <c r="Q400" s="332"/>
      <c r="R400" s="332"/>
      <c r="S400" s="332"/>
      <c r="T400" s="332"/>
      <c r="U400" s="332"/>
      <c r="V400" s="332"/>
      <c r="W400" s="332"/>
      <c r="X400" s="332"/>
      <c r="Y400" s="332"/>
      <c r="Z400" s="332"/>
    </row>
    <row r="401" ht="15.75" customHeight="1">
      <c r="A401" s="27"/>
      <c r="B401" s="27"/>
      <c r="C401" s="27"/>
      <c r="D401" s="114"/>
      <c r="E401" s="114"/>
      <c r="F401" s="27"/>
      <c r="G401" s="27"/>
      <c r="H401" s="332"/>
      <c r="I401" s="332"/>
      <c r="J401" s="332"/>
      <c r="K401" s="332"/>
      <c r="L401" s="332"/>
      <c r="M401" s="332"/>
      <c r="N401" s="332"/>
      <c r="O401" s="332"/>
      <c r="P401" s="332"/>
      <c r="Q401" s="332"/>
      <c r="R401" s="332"/>
      <c r="S401" s="332"/>
      <c r="T401" s="332"/>
      <c r="U401" s="332"/>
      <c r="V401" s="332"/>
      <c r="W401" s="332"/>
      <c r="X401" s="332"/>
      <c r="Y401" s="332"/>
      <c r="Z401" s="332"/>
    </row>
    <row r="402" ht="15.75" customHeight="1">
      <c r="A402" s="27"/>
      <c r="B402" s="27"/>
      <c r="C402" s="27"/>
      <c r="D402" s="114"/>
      <c r="E402" s="114"/>
      <c r="F402" s="27"/>
      <c r="G402" s="27"/>
      <c r="H402" s="332"/>
      <c r="I402" s="332"/>
      <c r="J402" s="332"/>
      <c r="K402" s="332"/>
      <c r="L402" s="332"/>
      <c r="M402" s="332"/>
      <c r="N402" s="332"/>
      <c r="O402" s="332"/>
      <c r="P402" s="332"/>
      <c r="Q402" s="332"/>
      <c r="R402" s="332"/>
      <c r="S402" s="332"/>
      <c r="T402" s="332"/>
      <c r="U402" s="332"/>
      <c r="V402" s="332"/>
      <c r="W402" s="332"/>
      <c r="X402" s="332"/>
      <c r="Y402" s="332"/>
      <c r="Z402" s="332"/>
    </row>
    <row r="403" ht="15.75" customHeight="1">
      <c r="A403" s="27"/>
      <c r="B403" s="27"/>
      <c r="C403" s="27"/>
      <c r="D403" s="114"/>
      <c r="E403" s="114"/>
      <c r="F403" s="27"/>
      <c r="G403" s="27"/>
      <c r="H403" s="332"/>
      <c r="I403" s="332"/>
      <c r="J403" s="332"/>
      <c r="K403" s="332"/>
      <c r="L403" s="332"/>
      <c r="M403" s="332"/>
      <c r="N403" s="332"/>
      <c r="O403" s="332"/>
      <c r="P403" s="332"/>
      <c r="Q403" s="332"/>
      <c r="R403" s="332"/>
      <c r="S403" s="332"/>
      <c r="T403" s="332"/>
      <c r="U403" s="332"/>
      <c r="V403" s="332"/>
      <c r="W403" s="332"/>
      <c r="X403" s="332"/>
      <c r="Y403" s="332"/>
      <c r="Z403" s="332"/>
    </row>
    <row r="404" ht="15.75" customHeight="1">
      <c r="A404" s="27"/>
      <c r="B404" s="27"/>
      <c r="C404" s="27"/>
      <c r="D404" s="114"/>
      <c r="E404" s="114"/>
      <c r="F404" s="27"/>
      <c r="G404" s="27"/>
      <c r="H404" s="332"/>
      <c r="I404" s="332"/>
      <c r="J404" s="332"/>
      <c r="K404" s="332"/>
      <c r="L404" s="332"/>
      <c r="M404" s="332"/>
      <c r="N404" s="332"/>
      <c r="O404" s="332"/>
      <c r="P404" s="332"/>
      <c r="Q404" s="332"/>
      <c r="R404" s="332"/>
      <c r="S404" s="332"/>
      <c r="T404" s="332"/>
      <c r="U404" s="332"/>
      <c r="V404" s="332"/>
      <c r="W404" s="332"/>
      <c r="X404" s="332"/>
      <c r="Y404" s="332"/>
      <c r="Z404" s="332"/>
    </row>
    <row r="405" ht="15.75" customHeight="1">
      <c r="A405" s="27"/>
      <c r="B405" s="27"/>
      <c r="C405" s="27"/>
      <c r="D405" s="114"/>
      <c r="E405" s="114"/>
      <c r="F405" s="27"/>
      <c r="G405" s="27"/>
      <c r="H405" s="332"/>
      <c r="I405" s="332"/>
      <c r="J405" s="332"/>
      <c r="K405" s="332"/>
      <c r="L405" s="332"/>
      <c r="M405" s="332"/>
      <c r="N405" s="332"/>
      <c r="O405" s="332"/>
      <c r="P405" s="332"/>
      <c r="Q405" s="332"/>
      <c r="R405" s="332"/>
      <c r="S405" s="332"/>
      <c r="T405" s="332"/>
      <c r="U405" s="332"/>
      <c r="V405" s="332"/>
      <c r="W405" s="332"/>
      <c r="X405" s="332"/>
      <c r="Y405" s="332"/>
      <c r="Z405" s="332"/>
    </row>
    <row r="406" ht="15.75" customHeight="1">
      <c r="A406" s="27"/>
      <c r="B406" s="27"/>
      <c r="C406" s="27"/>
      <c r="D406" s="114"/>
      <c r="E406" s="114"/>
      <c r="F406" s="27"/>
      <c r="G406" s="27"/>
      <c r="H406" s="332"/>
      <c r="I406" s="332"/>
      <c r="J406" s="332"/>
      <c r="K406" s="332"/>
      <c r="L406" s="332"/>
      <c r="M406" s="332"/>
      <c r="N406" s="332"/>
      <c r="O406" s="332"/>
      <c r="P406" s="332"/>
      <c r="Q406" s="332"/>
      <c r="R406" s="332"/>
      <c r="S406" s="332"/>
      <c r="T406" s="332"/>
      <c r="U406" s="332"/>
      <c r="V406" s="332"/>
      <c r="W406" s="332"/>
      <c r="X406" s="332"/>
      <c r="Y406" s="332"/>
      <c r="Z406" s="332"/>
    </row>
    <row r="407" ht="15.75" customHeight="1">
      <c r="A407" s="27"/>
      <c r="B407" s="27"/>
      <c r="C407" s="27"/>
      <c r="D407" s="114"/>
      <c r="E407" s="114"/>
      <c r="F407" s="27"/>
      <c r="G407" s="27"/>
      <c r="H407" s="332"/>
      <c r="I407" s="332"/>
      <c r="J407" s="332"/>
      <c r="K407" s="332"/>
      <c r="L407" s="332"/>
      <c r="M407" s="332"/>
      <c r="N407" s="332"/>
      <c r="O407" s="332"/>
      <c r="P407" s="332"/>
      <c r="Q407" s="332"/>
      <c r="R407" s="332"/>
      <c r="S407" s="332"/>
      <c r="T407" s="332"/>
      <c r="U407" s="332"/>
      <c r="V407" s="332"/>
      <c r="W407" s="332"/>
      <c r="X407" s="332"/>
      <c r="Y407" s="332"/>
      <c r="Z407" s="332"/>
    </row>
    <row r="408" ht="15.75" customHeight="1">
      <c r="A408" s="27"/>
      <c r="B408" s="27"/>
      <c r="C408" s="27"/>
      <c r="D408" s="114"/>
      <c r="E408" s="114"/>
      <c r="F408" s="27"/>
      <c r="G408" s="27"/>
      <c r="H408" s="332"/>
      <c r="I408" s="332"/>
      <c r="J408" s="332"/>
      <c r="K408" s="332"/>
      <c r="L408" s="332"/>
      <c r="M408" s="332"/>
      <c r="N408" s="332"/>
      <c r="O408" s="332"/>
      <c r="P408" s="332"/>
      <c r="Q408" s="332"/>
      <c r="R408" s="332"/>
      <c r="S408" s="332"/>
      <c r="T408" s="332"/>
      <c r="U408" s="332"/>
      <c r="V408" s="332"/>
      <c r="W408" s="332"/>
      <c r="X408" s="332"/>
      <c r="Y408" s="332"/>
      <c r="Z408" s="332"/>
    </row>
    <row r="409" ht="15.75" customHeight="1">
      <c r="A409" s="27"/>
      <c r="B409" s="27"/>
      <c r="C409" s="27"/>
      <c r="D409" s="114"/>
      <c r="E409" s="114"/>
      <c r="F409" s="27"/>
      <c r="G409" s="27"/>
      <c r="H409" s="332"/>
      <c r="I409" s="332"/>
      <c r="J409" s="332"/>
      <c r="K409" s="332"/>
      <c r="L409" s="332"/>
      <c r="M409" s="332"/>
      <c r="N409" s="332"/>
      <c r="O409" s="332"/>
      <c r="P409" s="332"/>
      <c r="Q409" s="332"/>
      <c r="R409" s="332"/>
      <c r="S409" s="332"/>
      <c r="T409" s="332"/>
      <c r="U409" s="332"/>
      <c r="V409" s="332"/>
      <c r="W409" s="332"/>
      <c r="X409" s="332"/>
      <c r="Y409" s="332"/>
      <c r="Z409" s="332"/>
    </row>
    <row r="410" ht="15.75" customHeight="1">
      <c r="A410" s="27"/>
      <c r="B410" s="27"/>
      <c r="C410" s="27"/>
      <c r="D410" s="114"/>
      <c r="E410" s="114"/>
      <c r="F410" s="27"/>
      <c r="G410" s="27"/>
      <c r="H410" s="332"/>
      <c r="I410" s="332"/>
      <c r="J410" s="332"/>
      <c r="K410" s="332"/>
      <c r="L410" s="332"/>
      <c r="M410" s="332"/>
      <c r="N410" s="332"/>
      <c r="O410" s="332"/>
      <c r="P410" s="332"/>
      <c r="Q410" s="332"/>
      <c r="R410" s="332"/>
      <c r="S410" s="332"/>
      <c r="T410" s="332"/>
      <c r="U410" s="332"/>
      <c r="V410" s="332"/>
      <c r="W410" s="332"/>
      <c r="X410" s="332"/>
      <c r="Y410" s="332"/>
      <c r="Z410" s="332"/>
    </row>
    <row r="411" ht="15.75" customHeight="1">
      <c r="A411" s="27"/>
      <c r="B411" s="27"/>
      <c r="C411" s="27"/>
      <c r="D411" s="114"/>
      <c r="E411" s="114"/>
      <c r="F411" s="27"/>
      <c r="G411" s="27"/>
      <c r="H411" s="332"/>
      <c r="I411" s="332"/>
      <c r="J411" s="332"/>
      <c r="K411" s="332"/>
      <c r="L411" s="332"/>
      <c r="M411" s="332"/>
      <c r="N411" s="332"/>
      <c r="O411" s="332"/>
      <c r="P411" s="332"/>
      <c r="Q411" s="332"/>
      <c r="R411" s="332"/>
      <c r="S411" s="332"/>
      <c r="T411" s="332"/>
      <c r="U411" s="332"/>
      <c r="V411" s="332"/>
      <c r="W411" s="332"/>
      <c r="X411" s="332"/>
      <c r="Y411" s="332"/>
      <c r="Z411" s="332"/>
    </row>
    <row r="412" ht="15.75" customHeight="1">
      <c r="A412" s="27"/>
      <c r="B412" s="27"/>
      <c r="C412" s="27"/>
      <c r="D412" s="114"/>
      <c r="E412" s="114"/>
      <c r="F412" s="27"/>
      <c r="G412" s="27"/>
      <c r="H412" s="332"/>
      <c r="I412" s="332"/>
      <c r="J412" s="332"/>
      <c r="K412" s="332"/>
      <c r="L412" s="332"/>
      <c r="M412" s="332"/>
      <c r="N412" s="332"/>
      <c r="O412" s="332"/>
      <c r="P412" s="332"/>
      <c r="Q412" s="332"/>
      <c r="R412" s="332"/>
      <c r="S412" s="332"/>
      <c r="T412" s="332"/>
      <c r="U412" s="332"/>
      <c r="V412" s="332"/>
      <c r="W412" s="332"/>
      <c r="X412" s="332"/>
      <c r="Y412" s="332"/>
      <c r="Z412" s="332"/>
    </row>
    <row r="413" ht="15.75" customHeight="1">
      <c r="A413" s="27"/>
      <c r="B413" s="27"/>
      <c r="C413" s="27"/>
      <c r="D413" s="114"/>
      <c r="E413" s="114"/>
      <c r="F413" s="27"/>
      <c r="G413" s="27"/>
      <c r="H413" s="332"/>
      <c r="I413" s="332"/>
      <c r="J413" s="332"/>
      <c r="K413" s="332"/>
      <c r="L413" s="332"/>
      <c r="M413" s="332"/>
      <c r="N413" s="332"/>
      <c r="O413" s="332"/>
      <c r="P413" s="332"/>
      <c r="Q413" s="332"/>
      <c r="R413" s="332"/>
      <c r="S413" s="332"/>
      <c r="T413" s="332"/>
      <c r="U413" s="332"/>
      <c r="V413" s="332"/>
      <c r="W413" s="332"/>
      <c r="X413" s="332"/>
      <c r="Y413" s="332"/>
      <c r="Z413" s="332"/>
    </row>
    <row r="414" ht="15.75" customHeight="1">
      <c r="A414" s="27"/>
      <c r="B414" s="27"/>
      <c r="C414" s="27"/>
      <c r="D414" s="114"/>
      <c r="E414" s="114"/>
      <c r="F414" s="27"/>
      <c r="G414" s="27"/>
      <c r="H414" s="332"/>
      <c r="I414" s="332"/>
      <c r="J414" s="332"/>
      <c r="K414" s="332"/>
      <c r="L414" s="332"/>
      <c r="M414" s="332"/>
      <c r="N414" s="332"/>
      <c r="O414" s="332"/>
      <c r="P414" s="332"/>
      <c r="Q414" s="332"/>
      <c r="R414" s="332"/>
      <c r="S414" s="332"/>
      <c r="T414" s="332"/>
      <c r="U414" s="332"/>
      <c r="V414" s="332"/>
      <c r="W414" s="332"/>
      <c r="X414" s="332"/>
      <c r="Y414" s="332"/>
      <c r="Z414" s="332"/>
    </row>
    <row r="415" ht="15.75" customHeight="1">
      <c r="A415" s="27"/>
      <c r="B415" s="27"/>
      <c r="C415" s="27"/>
      <c r="D415" s="114"/>
      <c r="E415" s="114"/>
      <c r="F415" s="27"/>
      <c r="G415" s="27"/>
      <c r="H415" s="332"/>
      <c r="I415" s="332"/>
      <c r="J415" s="332"/>
      <c r="K415" s="332"/>
      <c r="L415" s="332"/>
      <c r="M415" s="332"/>
      <c r="N415" s="332"/>
      <c r="O415" s="332"/>
      <c r="P415" s="332"/>
      <c r="Q415" s="332"/>
      <c r="R415" s="332"/>
      <c r="S415" s="332"/>
      <c r="T415" s="332"/>
      <c r="U415" s="332"/>
      <c r="V415" s="332"/>
      <c r="W415" s="332"/>
      <c r="X415" s="332"/>
      <c r="Y415" s="332"/>
      <c r="Z415" s="332"/>
    </row>
    <row r="416" ht="15.75" customHeight="1">
      <c r="A416" s="27"/>
      <c r="B416" s="27"/>
      <c r="C416" s="27"/>
      <c r="D416" s="114"/>
      <c r="E416" s="114"/>
      <c r="F416" s="27"/>
      <c r="G416" s="27"/>
      <c r="H416" s="332"/>
      <c r="I416" s="332"/>
      <c r="J416" s="332"/>
      <c r="K416" s="332"/>
      <c r="L416" s="332"/>
      <c r="M416" s="332"/>
      <c r="N416" s="332"/>
      <c r="O416" s="332"/>
      <c r="P416" s="332"/>
      <c r="Q416" s="332"/>
      <c r="R416" s="332"/>
      <c r="S416" s="332"/>
      <c r="T416" s="332"/>
      <c r="U416" s="332"/>
      <c r="V416" s="332"/>
      <c r="W416" s="332"/>
      <c r="X416" s="332"/>
      <c r="Y416" s="332"/>
      <c r="Z416" s="332"/>
    </row>
    <row r="417" ht="15.75" customHeight="1">
      <c r="A417" s="27"/>
      <c r="B417" s="27"/>
      <c r="C417" s="27"/>
      <c r="D417" s="114"/>
      <c r="E417" s="114"/>
      <c r="F417" s="27"/>
      <c r="G417" s="27"/>
      <c r="H417" s="332"/>
      <c r="I417" s="332"/>
      <c r="J417" s="332"/>
      <c r="K417" s="332"/>
      <c r="L417" s="332"/>
      <c r="M417" s="332"/>
      <c r="N417" s="332"/>
      <c r="O417" s="332"/>
      <c r="P417" s="332"/>
      <c r="Q417" s="332"/>
      <c r="R417" s="332"/>
      <c r="S417" s="332"/>
      <c r="T417" s="332"/>
      <c r="U417" s="332"/>
      <c r="V417" s="332"/>
      <c r="W417" s="332"/>
      <c r="X417" s="332"/>
      <c r="Y417" s="332"/>
      <c r="Z417" s="332"/>
    </row>
    <row r="418" ht="15.75" customHeight="1">
      <c r="A418" s="27"/>
      <c r="B418" s="27"/>
      <c r="C418" s="27"/>
      <c r="D418" s="114"/>
      <c r="E418" s="114"/>
      <c r="F418" s="27"/>
      <c r="G418" s="27"/>
      <c r="H418" s="332"/>
      <c r="I418" s="332"/>
      <c r="J418" s="332"/>
      <c r="K418" s="332"/>
      <c r="L418" s="332"/>
      <c r="M418" s="332"/>
      <c r="N418" s="332"/>
      <c r="O418" s="332"/>
      <c r="P418" s="332"/>
      <c r="Q418" s="332"/>
      <c r="R418" s="332"/>
      <c r="S418" s="332"/>
      <c r="T418" s="332"/>
      <c r="U418" s="332"/>
      <c r="V418" s="332"/>
      <c r="W418" s="332"/>
      <c r="X418" s="332"/>
      <c r="Y418" s="332"/>
      <c r="Z418" s="332"/>
    </row>
    <row r="419" ht="15.75" customHeight="1">
      <c r="A419" s="27"/>
      <c r="B419" s="27"/>
      <c r="C419" s="27"/>
      <c r="D419" s="114"/>
      <c r="E419" s="114"/>
      <c r="F419" s="27"/>
      <c r="G419" s="27"/>
      <c r="H419" s="332"/>
      <c r="I419" s="332"/>
      <c r="J419" s="332"/>
      <c r="K419" s="332"/>
      <c r="L419" s="332"/>
      <c r="M419" s="332"/>
      <c r="N419" s="332"/>
      <c r="O419" s="332"/>
      <c r="P419" s="332"/>
      <c r="Q419" s="332"/>
      <c r="R419" s="332"/>
      <c r="S419" s="332"/>
      <c r="T419" s="332"/>
      <c r="U419" s="332"/>
      <c r="V419" s="332"/>
      <c r="W419" s="332"/>
      <c r="X419" s="332"/>
      <c r="Y419" s="332"/>
      <c r="Z419" s="332"/>
    </row>
    <row r="420" ht="15.75" customHeight="1">
      <c r="A420" s="27"/>
      <c r="B420" s="27"/>
      <c r="C420" s="27"/>
      <c r="D420" s="114"/>
      <c r="E420" s="114"/>
      <c r="F420" s="27"/>
      <c r="G420" s="27"/>
      <c r="H420" s="332"/>
      <c r="I420" s="332"/>
      <c r="J420" s="332"/>
      <c r="K420" s="332"/>
      <c r="L420" s="332"/>
      <c r="M420" s="332"/>
      <c r="N420" s="332"/>
      <c r="O420" s="332"/>
      <c r="P420" s="332"/>
      <c r="Q420" s="332"/>
      <c r="R420" s="332"/>
      <c r="S420" s="332"/>
      <c r="T420" s="332"/>
      <c r="U420" s="332"/>
      <c r="V420" s="332"/>
      <c r="W420" s="332"/>
      <c r="X420" s="332"/>
      <c r="Y420" s="332"/>
      <c r="Z420" s="332"/>
    </row>
    <row r="421" ht="15.75" customHeight="1">
      <c r="A421" s="27"/>
      <c r="B421" s="27"/>
      <c r="C421" s="27"/>
      <c r="D421" s="114"/>
      <c r="E421" s="114"/>
      <c r="F421" s="27"/>
      <c r="G421" s="27"/>
      <c r="H421" s="332"/>
      <c r="I421" s="332"/>
      <c r="J421" s="332"/>
      <c r="K421" s="332"/>
      <c r="L421" s="332"/>
      <c r="M421" s="332"/>
      <c r="N421" s="332"/>
      <c r="O421" s="332"/>
      <c r="P421" s="332"/>
      <c r="Q421" s="332"/>
      <c r="R421" s="332"/>
      <c r="S421" s="332"/>
      <c r="T421" s="332"/>
      <c r="U421" s="332"/>
      <c r="V421" s="332"/>
      <c r="W421" s="332"/>
      <c r="X421" s="332"/>
      <c r="Y421" s="332"/>
      <c r="Z421" s="332"/>
    </row>
    <row r="422" ht="15.75" customHeight="1">
      <c r="A422" s="27"/>
      <c r="B422" s="27"/>
      <c r="C422" s="27"/>
      <c r="D422" s="114"/>
      <c r="E422" s="114"/>
      <c r="F422" s="27"/>
      <c r="G422" s="27"/>
      <c r="H422" s="332"/>
      <c r="I422" s="332"/>
      <c r="J422" s="332"/>
      <c r="K422" s="332"/>
      <c r="L422" s="332"/>
      <c r="M422" s="332"/>
      <c r="N422" s="332"/>
      <c r="O422" s="332"/>
      <c r="P422" s="332"/>
      <c r="Q422" s="332"/>
      <c r="R422" s="332"/>
      <c r="S422" s="332"/>
      <c r="T422" s="332"/>
      <c r="U422" s="332"/>
      <c r="V422" s="332"/>
      <c r="W422" s="332"/>
      <c r="X422" s="332"/>
      <c r="Y422" s="332"/>
      <c r="Z422" s="332"/>
    </row>
    <row r="423" ht="15.75" customHeight="1">
      <c r="A423" s="27"/>
      <c r="B423" s="27"/>
      <c r="C423" s="27"/>
      <c r="D423" s="114"/>
      <c r="E423" s="114"/>
      <c r="F423" s="27"/>
      <c r="G423" s="27"/>
      <c r="H423" s="332"/>
      <c r="I423" s="332"/>
      <c r="J423" s="332"/>
      <c r="K423" s="332"/>
      <c r="L423" s="332"/>
      <c r="M423" s="332"/>
      <c r="N423" s="332"/>
      <c r="O423" s="332"/>
      <c r="P423" s="332"/>
      <c r="Q423" s="332"/>
      <c r="R423" s="332"/>
      <c r="S423" s="332"/>
      <c r="T423" s="332"/>
      <c r="U423" s="332"/>
      <c r="V423" s="332"/>
      <c r="W423" s="332"/>
      <c r="X423" s="332"/>
      <c r="Y423" s="332"/>
      <c r="Z423" s="332"/>
    </row>
    <row r="424" ht="15.75" customHeight="1">
      <c r="A424" s="27"/>
      <c r="B424" s="27"/>
      <c r="C424" s="27"/>
      <c r="D424" s="114"/>
      <c r="E424" s="114"/>
      <c r="F424" s="27"/>
      <c r="G424" s="27"/>
      <c r="H424" s="332"/>
      <c r="I424" s="332"/>
      <c r="J424" s="332"/>
      <c r="K424" s="332"/>
      <c r="L424" s="332"/>
      <c r="M424" s="332"/>
      <c r="N424" s="332"/>
      <c r="O424" s="332"/>
      <c r="P424" s="332"/>
      <c r="Q424" s="332"/>
      <c r="R424" s="332"/>
      <c r="S424" s="332"/>
      <c r="T424" s="332"/>
      <c r="U424" s="332"/>
      <c r="V424" s="332"/>
      <c r="W424" s="332"/>
      <c r="X424" s="332"/>
      <c r="Y424" s="332"/>
      <c r="Z424" s="332"/>
    </row>
    <row r="425" ht="15.75" customHeight="1">
      <c r="A425" s="27"/>
      <c r="B425" s="27"/>
      <c r="C425" s="27"/>
      <c r="D425" s="114"/>
      <c r="E425" s="114"/>
      <c r="F425" s="27"/>
      <c r="G425" s="27"/>
      <c r="H425" s="332"/>
      <c r="I425" s="332"/>
      <c r="J425" s="332"/>
      <c r="K425" s="332"/>
      <c r="L425" s="332"/>
      <c r="M425" s="332"/>
      <c r="N425" s="332"/>
      <c r="O425" s="332"/>
      <c r="P425" s="332"/>
      <c r="Q425" s="332"/>
      <c r="R425" s="332"/>
      <c r="S425" s="332"/>
      <c r="T425" s="332"/>
      <c r="U425" s="332"/>
      <c r="V425" s="332"/>
      <c r="W425" s="332"/>
      <c r="X425" s="332"/>
      <c r="Y425" s="332"/>
      <c r="Z425" s="332"/>
    </row>
    <row r="426" ht="15.75" customHeight="1">
      <c r="A426" s="27"/>
      <c r="B426" s="27"/>
      <c r="C426" s="27"/>
      <c r="D426" s="114"/>
      <c r="E426" s="114"/>
      <c r="F426" s="27"/>
      <c r="G426" s="27"/>
      <c r="H426" s="332"/>
      <c r="I426" s="332"/>
      <c r="J426" s="332"/>
      <c r="K426" s="332"/>
      <c r="L426" s="332"/>
      <c r="M426" s="332"/>
      <c r="N426" s="332"/>
      <c r="O426" s="332"/>
      <c r="P426" s="332"/>
      <c r="Q426" s="332"/>
      <c r="R426" s="332"/>
      <c r="S426" s="332"/>
      <c r="T426" s="332"/>
      <c r="U426" s="332"/>
      <c r="V426" s="332"/>
      <c r="W426" s="332"/>
      <c r="X426" s="332"/>
      <c r="Y426" s="332"/>
      <c r="Z426" s="332"/>
    </row>
    <row r="427" ht="15.75" customHeight="1">
      <c r="A427" s="27"/>
      <c r="B427" s="27"/>
      <c r="C427" s="27"/>
      <c r="D427" s="114"/>
      <c r="E427" s="114"/>
      <c r="F427" s="27"/>
      <c r="G427" s="27"/>
      <c r="H427" s="332"/>
      <c r="I427" s="332"/>
      <c r="J427" s="332"/>
      <c r="K427" s="332"/>
      <c r="L427" s="332"/>
      <c r="M427" s="332"/>
      <c r="N427" s="332"/>
      <c r="O427" s="332"/>
      <c r="P427" s="332"/>
      <c r="Q427" s="332"/>
      <c r="R427" s="332"/>
      <c r="S427" s="332"/>
      <c r="T427" s="332"/>
      <c r="U427" s="332"/>
      <c r="V427" s="332"/>
      <c r="W427" s="332"/>
      <c r="X427" s="332"/>
      <c r="Y427" s="332"/>
      <c r="Z427" s="332"/>
    </row>
    <row r="428" ht="15.75" customHeight="1">
      <c r="A428" s="27"/>
      <c r="B428" s="27"/>
      <c r="C428" s="27"/>
      <c r="D428" s="114"/>
      <c r="E428" s="114"/>
      <c r="F428" s="27"/>
      <c r="G428" s="27"/>
      <c r="H428" s="332"/>
      <c r="I428" s="332"/>
      <c r="J428" s="332"/>
      <c r="K428" s="332"/>
      <c r="L428" s="332"/>
      <c r="M428" s="332"/>
      <c r="N428" s="332"/>
      <c r="O428" s="332"/>
      <c r="P428" s="332"/>
      <c r="Q428" s="332"/>
      <c r="R428" s="332"/>
      <c r="S428" s="332"/>
      <c r="T428" s="332"/>
      <c r="U428" s="332"/>
      <c r="V428" s="332"/>
      <c r="W428" s="332"/>
      <c r="X428" s="332"/>
      <c r="Y428" s="332"/>
      <c r="Z428" s="332"/>
    </row>
    <row r="429" ht="15.75" customHeight="1">
      <c r="A429" s="27"/>
      <c r="B429" s="27"/>
      <c r="C429" s="27"/>
      <c r="D429" s="114"/>
      <c r="E429" s="114"/>
      <c r="F429" s="27"/>
      <c r="G429" s="27"/>
      <c r="H429" s="332"/>
      <c r="I429" s="332"/>
      <c r="J429" s="332"/>
      <c r="K429" s="332"/>
      <c r="L429" s="332"/>
      <c r="M429" s="332"/>
      <c r="N429" s="332"/>
      <c r="O429" s="332"/>
      <c r="P429" s="332"/>
      <c r="Q429" s="332"/>
      <c r="R429" s="332"/>
      <c r="S429" s="332"/>
      <c r="T429" s="332"/>
      <c r="U429" s="332"/>
      <c r="V429" s="332"/>
      <c r="W429" s="332"/>
      <c r="X429" s="332"/>
      <c r="Y429" s="332"/>
      <c r="Z429" s="332"/>
    </row>
    <row r="430" ht="15.75" customHeight="1">
      <c r="A430" s="27"/>
      <c r="B430" s="27"/>
      <c r="C430" s="27"/>
      <c r="D430" s="114"/>
      <c r="E430" s="114"/>
      <c r="F430" s="27"/>
      <c r="G430" s="27"/>
      <c r="H430" s="332"/>
      <c r="I430" s="332"/>
      <c r="J430" s="332"/>
      <c r="K430" s="332"/>
      <c r="L430" s="332"/>
      <c r="M430" s="332"/>
      <c r="N430" s="332"/>
      <c r="O430" s="332"/>
      <c r="P430" s="332"/>
      <c r="Q430" s="332"/>
      <c r="R430" s="332"/>
      <c r="S430" s="332"/>
      <c r="T430" s="332"/>
      <c r="U430" s="332"/>
      <c r="V430" s="332"/>
      <c r="W430" s="332"/>
      <c r="X430" s="332"/>
      <c r="Y430" s="332"/>
      <c r="Z430" s="332"/>
    </row>
    <row r="431" ht="15.75" customHeight="1">
      <c r="A431" s="27"/>
      <c r="B431" s="27"/>
      <c r="C431" s="27"/>
      <c r="D431" s="114"/>
      <c r="E431" s="114"/>
      <c r="F431" s="27"/>
      <c r="G431" s="27"/>
      <c r="H431" s="332"/>
      <c r="I431" s="332"/>
      <c r="J431" s="332"/>
      <c r="K431" s="332"/>
      <c r="L431" s="332"/>
      <c r="M431" s="332"/>
      <c r="N431" s="332"/>
      <c r="O431" s="332"/>
      <c r="P431" s="332"/>
      <c r="Q431" s="332"/>
      <c r="R431" s="332"/>
      <c r="S431" s="332"/>
      <c r="T431" s="332"/>
      <c r="U431" s="332"/>
      <c r="V431" s="332"/>
      <c r="W431" s="332"/>
      <c r="X431" s="332"/>
      <c r="Y431" s="332"/>
      <c r="Z431" s="332"/>
    </row>
    <row r="432" ht="15.75" customHeight="1">
      <c r="A432" s="27"/>
      <c r="B432" s="27"/>
      <c r="C432" s="27"/>
      <c r="D432" s="114"/>
      <c r="E432" s="114"/>
      <c r="F432" s="27"/>
      <c r="G432" s="27"/>
      <c r="H432" s="332"/>
      <c r="I432" s="332"/>
      <c r="J432" s="332"/>
      <c r="K432" s="332"/>
      <c r="L432" s="332"/>
      <c r="M432" s="332"/>
      <c r="N432" s="332"/>
      <c r="O432" s="332"/>
      <c r="P432" s="332"/>
      <c r="Q432" s="332"/>
      <c r="R432" s="332"/>
      <c r="S432" s="332"/>
      <c r="T432" s="332"/>
      <c r="U432" s="332"/>
      <c r="V432" s="332"/>
      <c r="W432" s="332"/>
      <c r="X432" s="332"/>
      <c r="Y432" s="332"/>
      <c r="Z432" s="332"/>
    </row>
    <row r="433" ht="15.75" customHeight="1">
      <c r="A433" s="27"/>
      <c r="B433" s="27"/>
      <c r="C433" s="27"/>
      <c r="D433" s="114"/>
      <c r="E433" s="114"/>
      <c r="F433" s="27"/>
      <c r="G433" s="27"/>
      <c r="H433" s="332"/>
      <c r="I433" s="332"/>
      <c r="J433" s="332"/>
      <c r="K433" s="332"/>
      <c r="L433" s="332"/>
      <c r="M433" s="332"/>
      <c r="N433" s="332"/>
      <c r="O433" s="332"/>
      <c r="P433" s="332"/>
      <c r="Q433" s="332"/>
      <c r="R433" s="332"/>
      <c r="S433" s="332"/>
      <c r="T433" s="332"/>
      <c r="U433" s="332"/>
      <c r="V433" s="332"/>
      <c r="W433" s="332"/>
      <c r="X433" s="332"/>
      <c r="Y433" s="332"/>
      <c r="Z433" s="332"/>
    </row>
    <row r="434" ht="15.75" customHeight="1">
      <c r="A434" s="27"/>
      <c r="B434" s="27"/>
      <c r="C434" s="27"/>
      <c r="D434" s="114"/>
      <c r="E434" s="114"/>
      <c r="F434" s="27"/>
      <c r="G434" s="27"/>
      <c r="H434" s="332"/>
      <c r="I434" s="332"/>
      <c r="J434" s="332"/>
      <c r="K434" s="332"/>
      <c r="L434" s="332"/>
      <c r="M434" s="332"/>
      <c r="N434" s="332"/>
      <c r="O434" s="332"/>
      <c r="P434" s="332"/>
      <c r="Q434" s="332"/>
      <c r="R434" s="332"/>
      <c r="S434" s="332"/>
      <c r="T434" s="332"/>
      <c r="U434" s="332"/>
      <c r="V434" s="332"/>
      <c r="W434" s="332"/>
      <c r="X434" s="332"/>
      <c r="Y434" s="332"/>
      <c r="Z434" s="332"/>
    </row>
    <row r="435" ht="15.75" customHeight="1">
      <c r="A435" s="27"/>
      <c r="B435" s="27"/>
      <c r="C435" s="27"/>
      <c r="D435" s="114"/>
      <c r="E435" s="114"/>
      <c r="F435" s="27"/>
      <c r="G435" s="27"/>
      <c r="H435" s="332"/>
      <c r="I435" s="332"/>
      <c r="J435" s="332"/>
      <c r="K435" s="332"/>
      <c r="L435" s="332"/>
      <c r="M435" s="332"/>
      <c r="N435" s="332"/>
      <c r="O435" s="332"/>
      <c r="P435" s="332"/>
      <c r="Q435" s="332"/>
      <c r="R435" s="332"/>
      <c r="S435" s="332"/>
      <c r="T435" s="332"/>
      <c r="U435" s="332"/>
      <c r="V435" s="332"/>
      <c r="W435" s="332"/>
      <c r="X435" s="332"/>
      <c r="Y435" s="332"/>
      <c r="Z435" s="332"/>
    </row>
    <row r="436" ht="15.75" customHeight="1">
      <c r="A436" s="27"/>
      <c r="B436" s="27"/>
      <c r="C436" s="27"/>
      <c r="D436" s="114"/>
      <c r="E436" s="114"/>
      <c r="F436" s="27"/>
      <c r="G436" s="27"/>
      <c r="H436" s="332"/>
      <c r="I436" s="332"/>
      <c r="J436" s="332"/>
      <c r="K436" s="332"/>
      <c r="L436" s="332"/>
      <c r="M436" s="332"/>
      <c r="N436" s="332"/>
      <c r="O436" s="332"/>
      <c r="P436" s="332"/>
      <c r="Q436" s="332"/>
      <c r="R436" s="332"/>
      <c r="S436" s="332"/>
      <c r="T436" s="332"/>
      <c r="U436" s="332"/>
      <c r="V436" s="332"/>
      <c r="W436" s="332"/>
      <c r="X436" s="332"/>
      <c r="Y436" s="332"/>
      <c r="Z436" s="332"/>
    </row>
    <row r="437" ht="15.75" customHeight="1">
      <c r="A437" s="27"/>
      <c r="B437" s="27"/>
      <c r="C437" s="27"/>
      <c r="D437" s="114"/>
      <c r="E437" s="114"/>
      <c r="F437" s="27"/>
      <c r="G437" s="27"/>
      <c r="H437" s="332"/>
      <c r="I437" s="332"/>
      <c r="J437" s="332"/>
      <c r="K437" s="332"/>
      <c r="L437" s="332"/>
      <c r="M437" s="332"/>
      <c r="N437" s="332"/>
      <c r="O437" s="332"/>
      <c r="P437" s="332"/>
      <c r="Q437" s="332"/>
      <c r="R437" s="332"/>
      <c r="S437" s="332"/>
      <c r="T437" s="332"/>
      <c r="U437" s="332"/>
      <c r="V437" s="332"/>
      <c r="W437" s="332"/>
      <c r="X437" s="332"/>
      <c r="Y437" s="332"/>
      <c r="Z437" s="332"/>
    </row>
    <row r="438" ht="15.75" customHeight="1">
      <c r="A438" s="27"/>
      <c r="B438" s="27"/>
      <c r="C438" s="27"/>
      <c r="D438" s="114"/>
      <c r="E438" s="114"/>
      <c r="F438" s="27"/>
      <c r="G438" s="27"/>
      <c r="H438" s="332"/>
      <c r="I438" s="332"/>
      <c r="J438" s="332"/>
      <c r="K438" s="332"/>
      <c r="L438" s="332"/>
      <c r="M438" s="332"/>
      <c r="N438" s="332"/>
      <c r="O438" s="332"/>
      <c r="P438" s="332"/>
      <c r="Q438" s="332"/>
      <c r="R438" s="332"/>
      <c r="S438" s="332"/>
      <c r="T438" s="332"/>
      <c r="U438" s="332"/>
      <c r="V438" s="332"/>
      <c r="W438" s="332"/>
      <c r="X438" s="332"/>
      <c r="Y438" s="332"/>
      <c r="Z438" s="332"/>
    </row>
    <row r="439" ht="15.75" customHeight="1">
      <c r="A439" s="27"/>
      <c r="B439" s="27"/>
      <c r="C439" s="27"/>
      <c r="D439" s="114"/>
      <c r="E439" s="114"/>
      <c r="F439" s="27"/>
      <c r="G439" s="27"/>
      <c r="H439" s="332"/>
      <c r="I439" s="332"/>
      <c r="J439" s="332"/>
      <c r="K439" s="332"/>
      <c r="L439" s="332"/>
      <c r="M439" s="332"/>
      <c r="N439" s="332"/>
      <c r="O439" s="332"/>
      <c r="P439" s="332"/>
      <c r="Q439" s="332"/>
      <c r="R439" s="332"/>
      <c r="S439" s="332"/>
      <c r="T439" s="332"/>
      <c r="U439" s="332"/>
      <c r="V439" s="332"/>
      <c r="W439" s="332"/>
      <c r="X439" s="332"/>
      <c r="Y439" s="332"/>
      <c r="Z439" s="332"/>
    </row>
    <row r="440" ht="15.75" customHeight="1">
      <c r="A440" s="27"/>
      <c r="B440" s="27"/>
      <c r="C440" s="27"/>
      <c r="D440" s="114"/>
      <c r="E440" s="114"/>
      <c r="F440" s="27"/>
      <c r="G440" s="27"/>
      <c r="H440" s="332"/>
      <c r="I440" s="332"/>
      <c r="J440" s="332"/>
      <c r="K440" s="332"/>
      <c r="L440" s="332"/>
      <c r="M440" s="332"/>
      <c r="N440" s="332"/>
      <c r="O440" s="332"/>
      <c r="P440" s="332"/>
      <c r="Q440" s="332"/>
      <c r="R440" s="332"/>
      <c r="S440" s="332"/>
      <c r="T440" s="332"/>
      <c r="U440" s="332"/>
      <c r="V440" s="332"/>
      <c r="W440" s="332"/>
      <c r="X440" s="332"/>
      <c r="Y440" s="332"/>
      <c r="Z440" s="332"/>
    </row>
    <row r="441" ht="15.75" customHeight="1">
      <c r="A441" s="27"/>
      <c r="B441" s="27"/>
      <c r="C441" s="27"/>
      <c r="D441" s="114"/>
      <c r="E441" s="114"/>
      <c r="F441" s="27"/>
      <c r="G441" s="27"/>
      <c r="H441" s="332"/>
      <c r="I441" s="332"/>
      <c r="J441" s="332"/>
      <c r="K441" s="332"/>
      <c r="L441" s="332"/>
      <c r="M441" s="332"/>
      <c r="N441" s="332"/>
      <c r="O441" s="332"/>
      <c r="P441" s="332"/>
      <c r="Q441" s="332"/>
      <c r="R441" s="332"/>
      <c r="S441" s="332"/>
      <c r="T441" s="332"/>
      <c r="U441" s="332"/>
      <c r="V441" s="332"/>
      <c r="W441" s="332"/>
      <c r="X441" s="332"/>
      <c r="Y441" s="332"/>
      <c r="Z441" s="332"/>
    </row>
    <row r="442" ht="15.75" customHeight="1">
      <c r="A442" s="27"/>
      <c r="B442" s="27"/>
      <c r="C442" s="27"/>
      <c r="D442" s="114"/>
      <c r="E442" s="114"/>
      <c r="F442" s="27"/>
      <c r="G442" s="27"/>
      <c r="H442" s="332"/>
      <c r="I442" s="332"/>
      <c r="J442" s="332"/>
      <c r="K442" s="332"/>
      <c r="L442" s="332"/>
      <c r="M442" s="332"/>
      <c r="N442" s="332"/>
      <c r="O442" s="332"/>
      <c r="P442" s="332"/>
      <c r="Q442" s="332"/>
      <c r="R442" s="332"/>
      <c r="S442" s="332"/>
      <c r="T442" s="332"/>
      <c r="U442" s="332"/>
      <c r="V442" s="332"/>
      <c r="W442" s="332"/>
      <c r="X442" s="332"/>
      <c r="Y442" s="332"/>
      <c r="Z442" s="332"/>
    </row>
    <row r="443" ht="15.75" customHeight="1">
      <c r="A443" s="27"/>
      <c r="B443" s="27"/>
      <c r="C443" s="27"/>
      <c r="D443" s="114"/>
      <c r="E443" s="114"/>
      <c r="F443" s="27"/>
      <c r="G443" s="27"/>
      <c r="H443" s="332"/>
      <c r="I443" s="332"/>
      <c r="J443" s="332"/>
      <c r="K443" s="332"/>
      <c r="L443" s="332"/>
      <c r="M443" s="332"/>
      <c r="N443" s="332"/>
      <c r="O443" s="332"/>
      <c r="P443" s="332"/>
      <c r="Q443" s="332"/>
      <c r="R443" s="332"/>
      <c r="S443" s="332"/>
      <c r="T443" s="332"/>
      <c r="U443" s="332"/>
      <c r="V443" s="332"/>
      <c r="W443" s="332"/>
      <c r="X443" s="332"/>
      <c r="Y443" s="332"/>
      <c r="Z443" s="332"/>
    </row>
    <row r="444" ht="15.75" customHeight="1">
      <c r="A444" s="27"/>
      <c r="B444" s="27"/>
      <c r="C444" s="27"/>
      <c r="D444" s="114"/>
      <c r="E444" s="114"/>
      <c r="F444" s="27"/>
      <c r="G444" s="27"/>
      <c r="H444" s="332"/>
      <c r="I444" s="332"/>
      <c r="J444" s="332"/>
      <c r="K444" s="332"/>
      <c r="L444" s="332"/>
      <c r="M444" s="332"/>
      <c r="N444" s="332"/>
      <c r="O444" s="332"/>
      <c r="P444" s="332"/>
      <c r="Q444" s="332"/>
      <c r="R444" s="332"/>
      <c r="S444" s="332"/>
      <c r="T444" s="332"/>
      <c r="U444" s="332"/>
      <c r="V444" s="332"/>
      <c r="W444" s="332"/>
      <c r="X444" s="332"/>
      <c r="Y444" s="332"/>
      <c r="Z444" s="332"/>
    </row>
    <row r="445" ht="15.75" customHeight="1">
      <c r="A445" s="27"/>
      <c r="B445" s="27"/>
      <c r="C445" s="27"/>
      <c r="D445" s="114"/>
      <c r="E445" s="114"/>
      <c r="F445" s="27"/>
      <c r="G445" s="27"/>
      <c r="H445" s="332"/>
      <c r="I445" s="332"/>
      <c r="J445" s="332"/>
      <c r="K445" s="332"/>
      <c r="L445" s="332"/>
      <c r="M445" s="332"/>
      <c r="N445" s="332"/>
      <c r="O445" s="332"/>
      <c r="P445" s="332"/>
      <c r="Q445" s="332"/>
      <c r="R445" s="332"/>
      <c r="S445" s="332"/>
      <c r="T445" s="332"/>
      <c r="U445" s="332"/>
      <c r="V445" s="332"/>
      <c r="W445" s="332"/>
      <c r="X445" s="332"/>
      <c r="Y445" s="332"/>
      <c r="Z445" s="332"/>
    </row>
    <row r="446" ht="15.75" customHeight="1">
      <c r="A446" s="27"/>
      <c r="B446" s="27"/>
      <c r="C446" s="27"/>
      <c r="D446" s="114"/>
      <c r="E446" s="114"/>
      <c r="F446" s="27"/>
      <c r="G446" s="27"/>
      <c r="H446" s="332"/>
      <c r="I446" s="332"/>
      <c r="J446" s="332"/>
      <c r="K446" s="332"/>
      <c r="L446" s="332"/>
      <c r="M446" s="332"/>
      <c r="N446" s="332"/>
      <c r="O446" s="332"/>
      <c r="P446" s="332"/>
      <c r="Q446" s="332"/>
      <c r="R446" s="332"/>
      <c r="S446" s="332"/>
      <c r="T446" s="332"/>
      <c r="U446" s="332"/>
      <c r="V446" s="332"/>
      <c r="W446" s="332"/>
      <c r="X446" s="332"/>
      <c r="Y446" s="332"/>
      <c r="Z446" s="332"/>
    </row>
    <row r="447" ht="15.75" customHeight="1">
      <c r="A447" s="27"/>
      <c r="B447" s="27"/>
      <c r="C447" s="27"/>
      <c r="D447" s="114"/>
      <c r="E447" s="114"/>
      <c r="F447" s="27"/>
      <c r="G447" s="27"/>
      <c r="H447" s="332"/>
      <c r="I447" s="332"/>
      <c r="J447" s="332"/>
      <c r="K447" s="332"/>
      <c r="L447" s="332"/>
      <c r="M447" s="332"/>
      <c r="N447" s="332"/>
      <c r="O447" s="332"/>
      <c r="P447" s="332"/>
      <c r="Q447" s="332"/>
      <c r="R447" s="332"/>
      <c r="S447" s="332"/>
      <c r="T447" s="332"/>
      <c r="U447" s="332"/>
      <c r="V447" s="332"/>
      <c r="W447" s="332"/>
      <c r="X447" s="332"/>
      <c r="Y447" s="332"/>
      <c r="Z447" s="332"/>
    </row>
    <row r="448" ht="15.75" customHeight="1">
      <c r="A448" s="27"/>
      <c r="B448" s="27"/>
      <c r="C448" s="27"/>
      <c r="D448" s="114"/>
      <c r="E448" s="114"/>
      <c r="F448" s="27"/>
      <c r="G448" s="27"/>
      <c r="H448" s="332"/>
      <c r="I448" s="332"/>
      <c r="J448" s="332"/>
      <c r="K448" s="332"/>
      <c r="L448" s="332"/>
      <c r="M448" s="332"/>
      <c r="N448" s="332"/>
      <c r="O448" s="332"/>
      <c r="P448" s="332"/>
      <c r="Q448" s="332"/>
      <c r="R448" s="332"/>
      <c r="S448" s="332"/>
      <c r="T448" s="332"/>
      <c r="U448" s="332"/>
      <c r="V448" s="332"/>
      <c r="W448" s="332"/>
      <c r="X448" s="332"/>
      <c r="Y448" s="332"/>
      <c r="Z448" s="332"/>
    </row>
    <row r="449" ht="15.75" customHeight="1">
      <c r="A449" s="27"/>
      <c r="B449" s="27"/>
      <c r="C449" s="27"/>
      <c r="D449" s="114"/>
      <c r="E449" s="114"/>
      <c r="F449" s="27"/>
      <c r="G449" s="27"/>
      <c r="H449" s="332"/>
      <c r="I449" s="332"/>
      <c r="J449" s="332"/>
      <c r="K449" s="332"/>
      <c r="L449" s="332"/>
      <c r="M449" s="332"/>
      <c r="N449" s="332"/>
      <c r="O449" s="332"/>
      <c r="P449" s="332"/>
      <c r="Q449" s="332"/>
      <c r="R449" s="332"/>
      <c r="S449" s="332"/>
      <c r="T449" s="332"/>
      <c r="U449" s="332"/>
      <c r="V449" s="332"/>
      <c r="W449" s="332"/>
      <c r="X449" s="332"/>
      <c r="Y449" s="332"/>
      <c r="Z449" s="332"/>
    </row>
    <row r="450" ht="15.75" customHeight="1">
      <c r="A450" s="27"/>
      <c r="B450" s="27"/>
      <c r="C450" s="27"/>
      <c r="D450" s="114"/>
      <c r="E450" s="114"/>
      <c r="F450" s="27"/>
      <c r="G450" s="27"/>
      <c r="H450" s="332"/>
      <c r="I450" s="332"/>
      <c r="J450" s="332"/>
      <c r="K450" s="332"/>
      <c r="L450" s="332"/>
      <c r="M450" s="332"/>
      <c r="N450" s="332"/>
      <c r="O450" s="332"/>
      <c r="P450" s="332"/>
      <c r="Q450" s="332"/>
      <c r="R450" s="332"/>
      <c r="S450" s="332"/>
      <c r="T450" s="332"/>
      <c r="U450" s="332"/>
      <c r="V450" s="332"/>
      <c r="W450" s="332"/>
      <c r="X450" s="332"/>
      <c r="Y450" s="332"/>
      <c r="Z450" s="332"/>
    </row>
    <row r="451" ht="15.75" customHeight="1">
      <c r="A451" s="27"/>
      <c r="B451" s="27"/>
      <c r="C451" s="27"/>
      <c r="D451" s="114"/>
      <c r="E451" s="114"/>
      <c r="F451" s="27"/>
      <c r="G451" s="27"/>
      <c r="H451" s="332"/>
      <c r="I451" s="332"/>
      <c r="J451" s="332"/>
      <c r="K451" s="332"/>
      <c r="L451" s="332"/>
      <c r="M451" s="332"/>
      <c r="N451" s="332"/>
      <c r="O451" s="332"/>
      <c r="P451" s="332"/>
      <c r="Q451" s="332"/>
      <c r="R451" s="332"/>
      <c r="S451" s="332"/>
      <c r="T451" s="332"/>
      <c r="U451" s="332"/>
      <c r="V451" s="332"/>
      <c r="W451" s="332"/>
      <c r="X451" s="332"/>
      <c r="Y451" s="332"/>
      <c r="Z451" s="332"/>
    </row>
    <row r="452" ht="15.75" customHeight="1">
      <c r="A452" s="27"/>
      <c r="B452" s="27"/>
      <c r="C452" s="27"/>
      <c r="D452" s="114"/>
      <c r="E452" s="114"/>
      <c r="F452" s="27"/>
      <c r="G452" s="27"/>
      <c r="H452" s="332"/>
      <c r="I452" s="332"/>
      <c r="J452" s="332"/>
      <c r="K452" s="332"/>
      <c r="L452" s="332"/>
      <c r="M452" s="332"/>
      <c r="N452" s="332"/>
      <c r="O452" s="332"/>
      <c r="P452" s="332"/>
      <c r="Q452" s="332"/>
      <c r="R452" s="332"/>
      <c r="S452" s="332"/>
      <c r="T452" s="332"/>
      <c r="U452" s="332"/>
      <c r="V452" s="332"/>
      <c r="W452" s="332"/>
      <c r="X452" s="332"/>
      <c r="Y452" s="332"/>
      <c r="Z452" s="332"/>
    </row>
    <row r="453" ht="15.75" customHeight="1">
      <c r="A453" s="27"/>
      <c r="B453" s="27"/>
      <c r="C453" s="27"/>
      <c r="D453" s="114"/>
      <c r="E453" s="114"/>
      <c r="F453" s="27"/>
      <c r="G453" s="27"/>
      <c r="H453" s="332"/>
      <c r="I453" s="332"/>
      <c r="J453" s="332"/>
      <c r="K453" s="332"/>
      <c r="L453" s="332"/>
      <c r="M453" s="332"/>
      <c r="N453" s="332"/>
      <c r="O453" s="332"/>
      <c r="P453" s="332"/>
      <c r="Q453" s="332"/>
      <c r="R453" s="332"/>
      <c r="S453" s="332"/>
      <c r="T453" s="332"/>
      <c r="U453" s="332"/>
      <c r="V453" s="332"/>
      <c r="W453" s="332"/>
      <c r="X453" s="332"/>
      <c r="Y453" s="332"/>
      <c r="Z453" s="332"/>
    </row>
    <row r="454" ht="15.75" customHeight="1">
      <c r="A454" s="27"/>
      <c r="B454" s="27"/>
      <c r="C454" s="27"/>
      <c r="D454" s="114"/>
      <c r="E454" s="114"/>
      <c r="F454" s="27"/>
      <c r="G454" s="27"/>
      <c r="H454" s="332"/>
      <c r="I454" s="332"/>
      <c r="J454" s="332"/>
      <c r="K454" s="332"/>
      <c r="L454" s="332"/>
      <c r="M454" s="332"/>
      <c r="N454" s="332"/>
      <c r="O454" s="332"/>
      <c r="P454" s="332"/>
      <c r="Q454" s="332"/>
      <c r="R454" s="332"/>
      <c r="S454" s="332"/>
      <c r="T454" s="332"/>
      <c r="U454" s="332"/>
      <c r="V454" s="332"/>
      <c r="W454" s="332"/>
      <c r="X454" s="332"/>
      <c r="Y454" s="332"/>
      <c r="Z454" s="332"/>
    </row>
    <row r="455" ht="15.75" customHeight="1">
      <c r="A455" s="27"/>
      <c r="B455" s="27"/>
      <c r="C455" s="27"/>
      <c r="D455" s="114"/>
      <c r="E455" s="114"/>
      <c r="F455" s="27"/>
      <c r="G455" s="27"/>
      <c r="H455" s="332"/>
      <c r="I455" s="332"/>
      <c r="J455" s="332"/>
      <c r="K455" s="332"/>
      <c r="L455" s="332"/>
      <c r="M455" s="332"/>
      <c r="N455" s="332"/>
      <c r="O455" s="332"/>
      <c r="P455" s="332"/>
      <c r="Q455" s="332"/>
      <c r="R455" s="332"/>
      <c r="S455" s="332"/>
      <c r="T455" s="332"/>
      <c r="U455" s="332"/>
      <c r="V455" s="332"/>
      <c r="W455" s="332"/>
      <c r="X455" s="332"/>
      <c r="Y455" s="332"/>
      <c r="Z455" s="332"/>
    </row>
    <row r="456" ht="15.75" customHeight="1">
      <c r="A456" s="27"/>
      <c r="B456" s="27"/>
      <c r="C456" s="27"/>
      <c r="D456" s="114"/>
      <c r="E456" s="114"/>
      <c r="F456" s="27"/>
      <c r="G456" s="27"/>
      <c r="H456" s="332"/>
      <c r="I456" s="332"/>
      <c r="J456" s="332"/>
      <c r="K456" s="332"/>
      <c r="L456" s="332"/>
      <c r="M456" s="332"/>
      <c r="N456" s="332"/>
      <c r="O456" s="332"/>
      <c r="P456" s="332"/>
      <c r="Q456" s="332"/>
      <c r="R456" s="332"/>
      <c r="S456" s="332"/>
      <c r="T456" s="332"/>
      <c r="U456" s="332"/>
      <c r="V456" s="332"/>
      <c r="W456" s="332"/>
      <c r="X456" s="332"/>
      <c r="Y456" s="332"/>
      <c r="Z456" s="332"/>
    </row>
    <row r="457" ht="15.75" customHeight="1">
      <c r="A457" s="27"/>
      <c r="B457" s="27"/>
      <c r="C457" s="27"/>
      <c r="D457" s="114"/>
      <c r="E457" s="114"/>
      <c r="F457" s="27"/>
      <c r="G457" s="27"/>
      <c r="H457" s="332"/>
      <c r="I457" s="332"/>
      <c r="J457" s="332"/>
      <c r="K457" s="332"/>
      <c r="L457" s="332"/>
      <c r="M457" s="332"/>
      <c r="N457" s="332"/>
      <c r="O457" s="332"/>
      <c r="P457" s="332"/>
      <c r="Q457" s="332"/>
      <c r="R457" s="332"/>
      <c r="S457" s="332"/>
      <c r="T457" s="332"/>
      <c r="U457" s="332"/>
      <c r="V457" s="332"/>
      <c r="W457" s="332"/>
      <c r="X457" s="332"/>
      <c r="Y457" s="332"/>
      <c r="Z457" s="332"/>
    </row>
    <row r="458" ht="15.75" customHeight="1">
      <c r="A458" s="27"/>
      <c r="B458" s="27"/>
      <c r="C458" s="27"/>
      <c r="D458" s="114"/>
      <c r="E458" s="114"/>
      <c r="F458" s="27"/>
      <c r="G458" s="27"/>
      <c r="H458" s="332"/>
      <c r="I458" s="332"/>
      <c r="J458" s="332"/>
      <c r="K458" s="332"/>
      <c r="L458" s="332"/>
      <c r="M458" s="332"/>
      <c r="N458" s="332"/>
      <c r="O458" s="332"/>
      <c r="P458" s="332"/>
      <c r="Q458" s="332"/>
      <c r="R458" s="332"/>
      <c r="S458" s="332"/>
      <c r="T458" s="332"/>
      <c r="U458" s="332"/>
      <c r="V458" s="332"/>
      <c r="W458" s="332"/>
      <c r="X458" s="332"/>
      <c r="Y458" s="332"/>
      <c r="Z458" s="332"/>
    </row>
    <row r="459" ht="15.75" customHeight="1">
      <c r="A459" s="27"/>
      <c r="B459" s="27"/>
      <c r="C459" s="27"/>
      <c r="D459" s="114"/>
      <c r="E459" s="114"/>
      <c r="F459" s="27"/>
      <c r="G459" s="27"/>
      <c r="H459" s="332"/>
      <c r="I459" s="332"/>
      <c r="J459" s="332"/>
      <c r="K459" s="332"/>
      <c r="L459" s="332"/>
      <c r="M459" s="332"/>
      <c r="N459" s="332"/>
      <c r="O459" s="332"/>
      <c r="P459" s="332"/>
      <c r="Q459" s="332"/>
      <c r="R459" s="332"/>
      <c r="S459" s="332"/>
      <c r="T459" s="332"/>
      <c r="U459" s="332"/>
      <c r="V459" s="332"/>
      <c r="W459" s="332"/>
      <c r="X459" s="332"/>
      <c r="Y459" s="332"/>
      <c r="Z459" s="332"/>
    </row>
    <row r="460" ht="15.75" customHeight="1">
      <c r="A460" s="27"/>
      <c r="B460" s="27"/>
      <c r="C460" s="27"/>
      <c r="D460" s="114"/>
      <c r="E460" s="114"/>
      <c r="F460" s="27"/>
      <c r="G460" s="27"/>
      <c r="H460" s="332"/>
      <c r="I460" s="332"/>
      <c r="J460" s="332"/>
      <c r="K460" s="332"/>
      <c r="L460" s="332"/>
      <c r="M460" s="332"/>
      <c r="N460" s="332"/>
      <c r="O460" s="332"/>
      <c r="P460" s="332"/>
      <c r="Q460" s="332"/>
      <c r="R460" s="332"/>
      <c r="S460" s="332"/>
      <c r="T460" s="332"/>
      <c r="U460" s="332"/>
      <c r="V460" s="332"/>
      <c r="W460" s="332"/>
      <c r="X460" s="332"/>
      <c r="Y460" s="332"/>
      <c r="Z460" s="332"/>
    </row>
    <row r="461" ht="15.75" customHeight="1">
      <c r="A461" s="27"/>
      <c r="B461" s="27"/>
      <c r="C461" s="27"/>
      <c r="D461" s="114"/>
      <c r="E461" s="114"/>
      <c r="F461" s="27"/>
      <c r="G461" s="27"/>
      <c r="H461" s="332"/>
      <c r="I461" s="332"/>
      <c r="J461" s="332"/>
      <c r="K461" s="332"/>
      <c r="L461" s="332"/>
      <c r="M461" s="332"/>
      <c r="N461" s="332"/>
      <c r="O461" s="332"/>
      <c r="P461" s="332"/>
      <c r="Q461" s="332"/>
      <c r="R461" s="332"/>
      <c r="S461" s="332"/>
      <c r="T461" s="332"/>
      <c r="U461" s="332"/>
      <c r="V461" s="332"/>
      <c r="W461" s="332"/>
      <c r="X461" s="332"/>
      <c r="Y461" s="332"/>
      <c r="Z461" s="332"/>
    </row>
    <row r="462" ht="15.75" customHeight="1">
      <c r="A462" s="27"/>
      <c r="B462" s="27"/>
      <c r="C462" s="27"/>
      <c r="D462" s="114"/>
      <c r="E462" s="114"/>
      <c r="F462" s="27"/>
      <c r="G462" s="27"/>
      <c r="H462" s="332"/>
      <c r="I462" s="332"/>
      <c r="J462" s="332"/>
      <c r="K462" s="332"/>
      <c r="L462" s="332"/>
      <c r="M462" s="332"/>
      <c r="N462" s="332"/>
      <c r="O462" s="332"/>
      <c r="P462" s="332"/>
      <c r="Q462" s="332"/>
      <c r="R462" s="332"/>
      <c r="S462" s="332"/>
      <c r="T462" s="332"/>
      <c r="U462" s="332"/>
      <c r="V462" s="332"/>
      <c r="W462" s="332"/>
      <c r="X462" s="332"/>
      <c r="Y462" s="332"/>
      <c r="Z462" s="332"/>
    </row>
    <row r="463" ht="15.75" customHeight="1">
      <c r="A463" s="27"/>
      <c r="B463" s="27"/>
      <c r="C463" s="27"/>
      <c r="D463" s="114"/>
      <c r="E463" s="114"/>
      <c r="F463" s="27"/>
      <c r="G463" s="27"/>
      <c r="H463" s="332"/>
      <c r="I463" s="332"/>
      <c r="J463" s="332"/>
      <c r="K463" s="332"/>
      <c r="L463" s="332"/>
      <c r="M463" s="332"/>
      <c r="N463" s="332"/>
      <c r="O463" s="332"/>
      <c r="P463" s="332"/>
      <c r="Q463" s="332"/>
      <c r="R463" s="332"/>
      <c r="S463" s="332"/>
      <c r="T463" s="332"/>
      <c r="U463" s="332"/>
      <c r="V463" s="332"/>
      <c r="W463" s="332"/>
      <c r="X463" s="332"/>
      <c r="Y463" s="332"/>
      <c r="Z463" s="332"/>
    </row>
    <row r="464" ht="15.75" customHeight="1">
      <c r="A464" s="27"/>
      <c r="B464" s="27"/>
      <c r="C464" s="27"/>
      <c r="D464" s="114"/>
      <c r="E464" s="114"/>
      <c r="F464" s="27"/>
      <c r="G464" s="27"/>
      <c r="H464" s="332"/>
      <c r="I464" s="332"/>
      <c r="J464" s="332"/>
      <c r="K464" s="332"/>
      <c r="L464" s="332"/>
      <c r="M464" s="332"/>
      <c r="N464" s="332"/>
      <c r="O464" s="332"/>
      <c r="P464" s="332"/>
      <c r="Q464" s="332"/>
      <c r="R464" s="332"/>
      <c r="S464" s="332"/>
      <c r="T464" s="332"/>
      <c r="U464" s="332"/>
      <c r="V464" s="332"/>
      <c r="W464" s="332"/>
      <c r="X464" s="332"/>
      <c r="Y464" s="332"/>
      <c r="Z464" s="332"/>
    </row>
    <row r="465" ht="15.75" customHeight="1">
      <c r="A465" s="27"/>
      <c r="B465" s="27"/>
      <c r="C465" s="27"/>
      <c r="D465" s="114"/>
      <c r="E465" s="114"/>
      <c r="F465" s="27"/>
      <c r="G465" s="27"/>
      <c r="H465" s="332"/>
      <c r="I465" s="332"/>
      <c r="J465" s="332"/>
      <c r="K465" s="332"/>
      <c r="L465" s="332"/>
      <c r="M465" s="332"/>
      <c r="N465" s="332"/>
      <c r="O465" s="332"/>
      <c r="P465" s="332"/>
      <c r="Q465" s="332"/>
      <c r="R465" s="332"/>
      <c r="S465" s="332"/>
      <c r="T465" s="332"/>
      <c r="U465" s="332"/>
      <c r="V465" s="332"/>
      <c r="W465" s="332"/>
      <c r="X465" s="332"/>
      <c r="Y465" s="332"/>
      <c r="Z465" s="332"/>
    </row>
    <row r="466" ht="15.75" customHeight="1">
      <c r="A466" s="27"/>
      <c r="B466" s="27"/>
      <c r="C466" s="27"/>
      <c r="D466" s="114"/>
      <c r="E466" s="114"/>
      <c r="F466" s="27"/>
      <c r="G466" s="27"/>
      <c r="H466" s="332"/>
      <c r="I466" s="332"/>
      <c r="J466" s="332"/>
      <c r="K466" s="332"/>
      <c r="L466" s="332"/>
      <c r="M466" s="332"/>
      <c r="N466" s="332"/>
      <c r="O466" s="332"/>
      <c r="P466" s="332"/>
      <c r="Q466" s="332"/>
      <c r="R466" s="332"/>
      <c r="S466" s="332"/>
      <c r="T466" s="332"/>
      <c r="U466" s="332"/>
      <c r="V466" s="332"/>
      <c r="W466" s="332"/>
      <c r="X466" s="332"/>
      <c r="Y466" s="332"/>
      <c r="Z466" s="332"/>
    </row>
    <row r="467" ht="15.75" customHeight="1">
      <c r="A467" s="27"/>
      <c r="B467" s="27"/>
      <c r="C467" s="27"/>
      <c r="D467" s="114"/>
      <c r="E467" s="114"/>
      <c r="F467" s="27"/>
      <c r="G467" s="27"/>
      <c r="H467" s="332"/>
      <c r="I467" s="332"/>
      <c r="J467" s="332"/>
      <c r="K467" s="332"/>
      <c r="L467" s="332"/>
      <c r="M467" s="332"/>
      <c r="N467" s="332"/>
      <c r="O467" s="332"/>
      <c r="P467" s="332"/>
      <c r="Q467" s="332"/>
      <c r="R467" s="332"/>
      <c r="S467" s="332"/>
      <c r="T467" s="332"/>
      <c r="U467" s="332"/>
      <c r="V467" s="332"/>
      <c r="W467" s="332"/>
      <c r="X467" s="332"/>
      <c r="Y467" s="332"/>
      <c r="Z467" s="332"/>
    </row>
    <row r="468" ht="15.75" customHeight="1">
      <c r="A468" s="27"/>
      <c r="B468" s="27"/>
      <c r="C468" s="27"/>
      <c r="D468" s="114"/>
      <c r="E468" s="114"/>
      <c r="F468" s="27"/>
      <c r="G468" s="27"/>
      <c r="H468" s="332"/>
      <c r="I468" s="332"/>
      <c r="J468" s="332"/>
      <c r="K468" s="332"/>
      <c r="L468" s="332"/>
      <c r="M468" s="332"/>
      <c r="N468" s="332"/>
      <c r="O468" s="332"/>
      <c r="P468" s="332"/>
      <c r="Q468" s="332"/>
      <c r="R468" s="332"/>
      <c r="S468" s="332"/>
      <c r="T468" s="332"/>
      <c r="U468" s="332"/>
      <c r="V468" s="332"/>
      <c r="W468" s="332"/>
      <c r="X468" s="332"/>
      <c r="Y468" s="332"/>
      <c r="Z468" s="332"/>
    </row>
    <row r="469" ht="15.75" customHeight="1">
      <c r="A469" s="27"/>
      <c r="B469" s="27"/>
      <c r="C469" s="27"/>
      <c r="D469" s="114"/>
      <c r="E469" s="114"/>
      <c r="F469" s="27"/>
      <c r="G469" s="27"/>
      <c r="H469" s="332"/>
      <c r="I469" s="332"/>
      <c r="J469" s="332"/>
      <c r="K469" s="332"/>
      <c r="L469" s="332"/>
      <c r="M469" s="332"/>
      <c r="N469" s="332"/>
      <c r="O469" s="332"/>
      <c r="P469" s="332"/>
      <c r="Q469" s="332"/>
      <c r="R469" s="332"/>
      <c r="S469" s="332"/>
      <c r="T469" s="332"/>
      <c r="U469" s="332"/>
      <c r="V469" s="332"/>
      <c r="W469" s="332"/>
      <c r="X469" s="332"/>
      <c r="Y469" s="332"/>
      <c r="Z469" s="332"/>
    </row>
    <row r="470" ht="15.75" customHeight="1">
      <c r="A470" s="27"/>
      <c r="B470" s="27"/>
      <c r="C470" s="27"/>
      <c r="D470" s="114"/>
      <c r="E470" s="114"/>
      <c r="F470" s="27"/>
      <c r="G470" s="27"/>
      <c r="H470" s="332"/>
      <c r="I470" s="332"/>
      <c r="J470" s="332"/>
      <c r="K470" s="332"/>
      <c r="L470" s="332"/>
      <c r="M470" s="332"/>
      <c r="N470" s="332"/>
      <c r="O470" s="332"/>
      <c r="P470" s="332"/>
      <c r="Q470" s="332"/>
      <c r="R470" s="332"/>
      <c r="S470" s="332"/>
      <c r="T470" s="332"/>
      <c r="U470" s="332"/>
      <c r="V470" s="332"/>
      <c r="W470" s="332"/>
      <c r="X470" s="332"/>
      <c r="Y470" s="332"/>
      <c r="Z470" s="332"/>
    </row>
    <row r="471" ht="15.75" customHeight="1">
      <c r="A471" s="27"/>
      <c r="B471" s="27"/>
      <c r="C471" s="27"/>
      <c r="D471" s="114"/>
      <c r="E471" s="114"/>
      <c r="F471" s="27"/>
      <c r="G471" s="27"/>
      <c r="H471" s="332"/>
      <c r="I471" s="332"/>
      <c r="J471" s="332"/>
      <c r="K471" s="332"/>
      <c r="L471" s="332"/>
      <c r="M471" s="332"/>
      <c r="N471" s="332"/>
      <c r="O471" s="332"/>
      <c r="P471" s="332"/>
      <c r="Q471" s="332"/>
      <c r="R471" s="332"/>
      <c r="S471" s="332"/>
      <c r="T471" s="332"/>
      <c r="U471" s="332"/>
      <c r="V471" s="332"/>
      <c r="W471" s="332"/>
      <c r="X471" s="332"/>
      <c r="Y471" s="332"/>
      <c r="Z471" s="332"/>
    </row>
    <row r="472" ht="15.75" customHeight="1">
      <c r="A472" s="27"/>
      <c r="B472" s="27"/>
      <c r="C472" s="27"/>
      <c r="D472" s="114"/>
      <c r="E472" s="114"/>
      <c r="F472" s="27"/>
      <c r="G472" s="27"/>
      <c r="H472" s="332"/>
      <c r="I472" s="332"/>
      <c r="J472" s="332"/>
      <c r="K472" s="332"/>
      <c r="L472" s="332"/>
      <c r="M472" s="332"/>
      <c r="N472" s="332"/>
      <c r="O472" s="332"/>
      <c r="P472" s="332"/>
      <c r="Q472" s="332"/>
      <c r="R472" s="332"/>
      <c r="S472" s="332"/>
      <c r="T472" s="332"/>
      <c r="U472" s="332"/>
      <c r="V472" s="332"/>
      <c r="W472" s="332"/>
      <c r="X472" s="332"/>
      <c r="Y472" s="332"/>
      <c r="Z472" s="332"/>
    </row>
    <row r="473" ht="15.75" customHeight="1">
      <c r="A473" s="27"/>
      <c r="B473" s="27"/>
      <c r="C473" s="27"/>
      <c r="D473" s="114"/>
      <c r="E473" s="114"/>
      <c r="F473" s="27"/>
      <c r="G473" s="27"/>
      <c r="H473" s="332"/>
      <c r="I473" s="332"/>
      <c r="J473" s="332"/>
      <c r="K473" s="332"/>
      <c r="L473" s="332"/>
      <c r="M473" s="332"/>
      <c r="N473" s="332"/>
      <c r="O473" s="332"/>
      <c r="P473" s="332"/>
      <c r="Q473" s="332"/>
      <c r="R473" s="332"/>
      <c r="S473" s="332"/>
      <c r="T473" s="332"/>
      <c r="U473" s="332"/>
      <c r="V473" s="332"/>
      <c r="W473" s="332"/>
      <c r="X473" s="332"/>
      <c r="Y473" s="332"/>
      <c r="Z473" s="332"/>
    </row>
    <row r="474" ht="15.75" customHeight="1">
      <c r="A474" s="27"/>
      <c r="B474" s="27"/>
      <c r="C474" s="27"/>
      <c r="D474" s="114"/>
      <c r="E474" s="114"/>
      <c r="F474" s="27"/>
      <c r="G474" s="27"/>
      <c r="H474" s="332"/>
      <c r="I474" s="332"/>
      <c r="J474" s="332"/>
      <c r="K474" s="332"/>
      <c r="L474" s="332"/>
      <c r="M474" s="332"/>
      <c r="N474" s="332"/>
      <c r="O474" s="332"/>
      <c r="P474" s="332"/>
      <c r="Q474" s="332"/>
      <c r="R474" s="332"/>
      <c r="S474" s="332"/>
      <c r="T474" s="332"/>
      <c r="U474" s="332"/>
      <c r="V474" s="332"/>
      <c r="W474" s="332"/>
      <c r="X474" s="332"/>
      <c r="Y474" s="332"/>
      <c r="Z474" s="332"/>
    </row>
    <row r="475" ht="15.75" customHeight="1">
      <c r="A475" s="27"/>
      <c r="B475" s="27"/>
      <c r="C475" s="27"/>
      <c r="D475" s="114"/>
      <c r="E475" s="114"/>
      <c r="F475" s="27"/>
      <c r="G475" s="27"/>
      <c r="H475" s="332"/>
      <c r="I475" s="332"/>
      <c r="J475" s="332"/>
      <c r="K475" s="332"/>
      <c r="L475" s="332"/>
      <c r="M475" s="332"/>
      <c r="N475" s="332"/>
      <c r="O475" s="332"/>
      <c r="P475" s="332"/>
      <c r="Q475" s="332"/>
      <c r="R475" s="332"/>
      <c r="S475" s="332"/>
      <c r="T475" s="332"/>
      <c r="U475" s="332"/>
      <c r="V475" s="332"/>
      <c r="W475" s="332"/>
      <c r="X475" s="332"/>
      <c r="Y475" s="332"/>
      <c r="Z475" s="332"/>
    </row>
    <row r="476" ht="15.75" customHeight="1">
      <c r="A476" s="27"/>
      <c r="B476" s="27"/>
      <c r="C476" s="27"/>
      <c r="D476" s="114"/>
      <c r="E476" s="114"/>
      <c r="F476" s="27"/>
      <c r="G476" s="27"/>
      <c r="H476" s="332"/>
      <c r="I476" s="332"/>
      <c r="J476" s="332"/>
      <c r="K476" s="332"/>
      <c r="L476" s="332"/>
      <c r="M476" s="332"/>
      <c r="N476" s="332"/>
      <c r="O476" s="332"/>
      <c r="P476" s="332"/>
      <c r="Q476" s="332"/>
      <c r="R476" s="332"/>
      <c r="S476" s="332"/>
      <c r="T476" s="332"/>
      <c r="U476" s="332"/>
      <c r="V476" s="332"/>
      <c r="W476" s="332"/>
      <c r="X476" s="332"/>
      <c r="Y476" s="332"/>
      <c r="Z476" s="332"/>
    </row>
    <row r="477" ht="15.75" customHeight="1">
      <c r="A477" s="27"/>
      <c r="B477" s="27"/>
      <c r="C477" s="27"/>
      <c r="D477" s="114"/>
      <c r="E477" s="114"/>
      <c r="F477" s="27"/>
      <c r="G477" s="27"/>
      <c r="H477" s="332"/>
      <c r="I477" s="332"/>
      <c r="J477" s="332"/>
      <c r="K477" s="332"/>
      <c r="L477" s="332"/>
      <c r="M477" s="332"/>
      <c r="N477" s="332"/>
      <c r="O477" s="332"/>
      <c r="P477" s="332"/>
      <c r="Q477" s="332"/>
      <c r="R477" s="332"/>
      <c r="S477" s="332"/>
      <c r="T477" s="332"/>
      <c r="U477" s="332"/>
      <c r="V477" s="332"/>
      <c r="W477" s="332"/>
      <c r="X477" s="332"/>
      <c r="Y477" s="332"/>
      <c r="Z477" s="332"/>
    </row>
    <row r="478" ht="15.75" customHeight="1">
      <c r="A478" s="27"/>
      <c r="B478" s="27"/>
      <c r="C478" s="27"/>
      <c r="D478" s="114"/>
      <c r="E478" s="114"/>
      <c r="F478" s="27"/>
      <c r="G478" s="27"/>
      <c r="H478" s="332"/>
      <c r="I478" s="332"/>
      <c r="J478" s="332"/>
      <c r="K478" s="332"/>
      <c r="L478" s="332"/>
      <c r="M478" s="332"/>
      <c r="N478" s="332"/>
      <c r="O478" s="332"/>
      <c r="P478" s="332"/>
      <c r="Q478" s="332"/>
      <c r="R478" s="332"/>
      <c r="S478" s="332"/>
      <c r="T478" s="332"/>
      <c r="U478" s="332"/>
      <c r="V478" s="332"/>
      <c r="W478" s="332"/>
      <c r="X478" s="332"/>
      <c r="Y478" s="332"/>
      <c r="Z478" s="332"/>
    </row>
    <row r="479" ht="15.75" customHeight="1">
      <c r="A479" s="27"/>
      <c r="B479" s="27"/>
      <c r="C479" s="27"/>
      <c r="D479" s="114"/>
      <c r="E479" s="114"/>
      <c r="F479" s="27"/>
      <c r="G479" s="27"/>
      <c r="H479" s="332"/>
      <c r="I479" s="332"/>
      <c r="J479" s="332"/>
      <c r="K479" s="332"/>
      <c r="L479" s="332"/>
      <c r="M479" s="332"/>
      <c r="N479" s="332"/>
      <c r="O479" s="332"/>
      <c r="P479" s="332"/>
      <c r="Q479" s="332"/>
      <c r="R479" s="332"/>
      <c r="S479" s="332"/>
      <c r="T479" s="332"/>
      <c r="U479" s="332"/>
      <c r="V479" s="332"/>
      <c r="W479" s="332"/>
      <c r="X479" s="332"/>
      <c r="Y479" s="332"/>
      <c r="Z479" s="332"/>
    </row>
    <row r="480" ht="15.75" customHeight="1">
      <c r="A480" s="27"/>
      <c r="B480" s="27"/>
      <c r="C480" s="27"/>
      <c r="D480" s="114"/>
      <c r="E480" s="114"/>
      <c r="F480" s="27"/>
      <c r="G480" s="27"/>
      <c r="H480" s="332"/>
      <c r="I480" s="332"/>
      <c r="J480" s="332"/>
      <c r="K480" s="332"/>
      <c r="L480" s="332"/>
      <c r="M480" s="332"/>
      <c r="N480" s="332"/>
      <c r="O480" s="332"/>
      <c r="P480" s="332"/>
      <c r="Q480" s="332"/>
      <c r="R480" s="332"/>
      <c r="S480" s="332"/>
      <c r="T480" s="332"/>
      <c r="U480" s="332"/>
      <c r="V480" s="332"/>
      <c r="W480" s="332"/>
      <c r="X480" s="332"/>
      <c r="Y480" s="332"/>
      <c r="Z480" s="332"/>
    </row>
    <row r="481" ht="15.75" customHeight="1">
      <c r="A481" s="27"/>
      <c r="B481" s="27"/>
      <c r="C481" s="27"/>
      <c r="D481" s="114"/>
      <c r="E481" s="114"/>
      <c r="F481" s="27"/>
      <c r="G481" s="27"/>
      <c r="H481" s="332"/>
      <c r="I481" s="332"/>
      <c r="J481" s="332"/>
      <c r="K481" s="332"/>
      <c r="L481" s="332"/>
      <c r="M481" s="332"/>
      <c r="N481" s="332"/>
      <c r="O481" s="332"/>
      <c r="P481" s="332"/>
      <c r="Q481" s="332"/>
      <c r="R481" s="332"/>
      <c r="S481" s="332"/>
      <c r="T481" s="332"/>
      <c r="U481" s="332"/>
      <c r="V481" s="332"/>
      <c r="W481" s="332"/>
      <c r="X481" s="332"/>
      <c r="Y481" s="332"/>
      <c r="Z481" s="332"/>
    </row>
    <row r="482" ht="15.75" customHeight="1">
      <c r="A482" s="27"/>
      <c r="B482" s="27"/>
      <c r="C482" s="27"/>
      <c r="D482" s="114"/>
      <c r="E482" s="114"/>
      <c r="F482" s="27"/>
      <c r="G482" s="27"/>
      <c r="H482" s="332"/>
      <c r="I482" s="332"/>
      <c r="J482" s="332"/>
      <c r="K482" s="332"/>
      <c r="L482" s="332"/>
      <c r="M482" s="332"/>
      <c r="N482" s="332"/>
      <c r="O482" s="332"/>
      <c r="P482" s="332"/>
      <c r="Q482" s="332"/>
      <c r="R482" s="332"/>
      <c r="S482" s="332"/>
      <c r="T482" s="332"/>
      <c r="U482" s="332"/>
      <c r="V482" s="332"/>
      <c r="W482" s="332"/>
      <c r="X482" s="332"/>
      <c r="Y482" s="332"/>
      <c r="Z482" s="332"/>
    </row>
    <row r="483" ht="15.75" customHeight="1">
      <c r="A483" s="27"/>
      <c r="B483" s="27"/>
      <c r="C483" s="27"/>
      <c r="D483" s="114"/>
      <c r="E483" s="114"/>
      <c r="F483" s="27"/>
      <c r="G483" s="27"/>
      <c r="H483" s="332"/>
      <c r="I483" s="332"/>
      <c r="J483" s="332"/>
      <c r="K483" s="332"/>
      <c r="L483" s="332"/>
      <c r="M483" s="332"/>
      <c r="N483" s="332"/>
      <c r="O483" s="332"/>
      <c r="P483" s="332"/>
      <c r="Q483" s="332"/>
      <c r="R483" s="332"/>
      <c r="S483" s="332"/>
      <c r="T483" s="332"/>
      <c r="U483" s="332"/>
      <c r="V483" s="332"/>
      <c r="W483" s="332"/>
      <c r="X483" s="332"/>
      <c r="Y483" s="332"/>
      <c r="Z483" s="332"/>
    </row>
    <row r="484" ht="15.75" customHeight="1">
      <c r="A484" s="27"/>
      <c r="B484" s="27"/>
      <c r="C484" s="27"/>
      <c r="D484" s="114"/>
      <c r="E484" s="114"/>
      <c r="F484" s="27"/>
      <c r="G484" s="27"/>
      <c r="H484" s="332"/>
      <c r="I484" s="332"/>
      <c r="J484" s="332"/>
      <c r="K484" s="332"/>
      <c r="L484" s="332"/>
      <c r="M484" s="332"/>
      <c r="N484" s="332"/>
      <c r="O484" s="332"/>
      <c r="P484" s="332"/>
      <c r="Q484" s="332"/>
      <c r="R484" s="332"/>
      <c r="S484" s="332"/>
      <c r="T484" s="332"/>
      <c r="U484" s="332"/>
      <c r="V484" s="332"/>
      <c r="W484" s="332"/>
      <c r="X484" s="332"/>
      <c r="Y484" s="332"/>
      <c r="Z484" s="332"/>
    </row>
    <row r="485" ht="15.75" customHeight="1">
      <c r="A485" s="27"/>
      <c r="B485" s="27"/>
      <c r="C485" s="27"/>
      <c r="D485" s="114"/>
      <c r="E485" s="114"/>
      <c r="F485" s="27"/>
      <c r="G485" s="27"/>
      <c r="H485" s="332"/>
      <c r="I485" s="332"/>
      <c r="J485" s="332"/>
      <c r="K485" s="332"/>
      <c r="L485" s="332"/>
      <c r="M485" s="332"/>
      <c r="N485" s="332"/>
      <c r="O485" s="332"/>
      <c r="P485" s="332"/>
      <c r="Q485" s="332"/>
      <c r="R485" s="332"/>
      <c r="S485" s="332"/>
      <c r="T485" s="332"/>
      <c r="U485" s="332"/>
      <c r="V485" s="332"/>
      <c r="W485" s="332"/>
      <c r="X485" s="332"/>
      <c r="Y485" s="332"/>
      <c r="Z485" s="332"/>
    </row>
    <row r="486" ht="15.75" customHeight="1">
      <c r="A486" s="27"/>
      <c r="B486" s="27"/>
      <c r="C486" s="27"/>
      <c r="D486" s="114"/>
      <c r="E486" s="114"/>
      <c r="F486" s="27"/>
      <c r="G486" s="27"/>
      <c r="H486" s="332"/>
      <c r="I486" s="332"/>
      <c r="J486" s="332"/>
      <c r="K486" s="332"/>
      <c r="L486" s="332"/>
      <c r="M486" s="332"/>
      <c r="N486" s="332"/>
      <c r="O486" s="332"/>
      <c r="P486" s="332"/>
      <c r="Q486" s="332"/>
      <c r="R486" s="332"/>
      <c r="S486" s="332"/>
      <c r="T486" s="332"/>
      <c r="U486" s="332"/>
      <c r="V486" s="332"/>
      <c r="W486" s="332"/>
      <c r="X486" s="332"/>
      <c r="Y486" s="332"/>
      <c r="Z486" s="332"/>
    </row>
    <row r="487" ht="15.75" customHeight="1">
      <c r="A487" s="27"/>
      <c r="B487" s="27"/>
      <c r="C487" s="27"/>
      <c r="D487" s="114"/>
      <c r="E487" s="114"/>
      <c r="F487" s="27"/>
      <c r="G487" s="27"/>
      <c r="H487" s="332"/>
      <c r="I487" s="332"/>
      <c r="J487" s="332"/>
      <c r="K487" s="332"/>
      <c r="L487" s="332"/>
      <c r="M487" s="332"/>
      <c r="N487" s="332"/>
      <c r="O487" s="332"/>
      <c r="P487" s="332"/>
      <c r="Q487" s="332"/>
      <c r="R487" s="332"/>
      <c r="S487" s="332"/>
      <c r="T487" s="332"/>
      <c r="U487" s="332"/>
      <c r="V487" s="332"/>
      <c r="W487" s="332"/>
      <c r="X487" s="332"/>
      <c r="Y487" s="332"/>
      <c r="Z487" s="332"/>
    </row>
    <row r="488" ht="15.75" customHeight="1">
      <c r="A488" s="27"/>
      <c r="B488" s="27"/>
      <c r="C488" s="27"/>
      <c r="D488" s="114"/>
      <c r="E488" s="114"/>
      <c r="F488" s="27"/>
      <c r="G488" s="27"/>
      <c r="H488" s="332"/>
      <c r="I488" s="332"/>
      <c r="J488" s="332"/>
      <c r="K488" s="332"/>
      <c r="L488" s="332"/>
      <c r="M488" s="332"/>
      <c r="N488" s="332"/>
      <c r="O488" s="332"/>
      <c r="P488" s="332"/>
      <c r="Q488" s="332"/>
      <c r="R488" s="332"/>
      <c r="S488" s="332"/>
      <c r="T488" s="332"/>
      <c r="U488" s="332"/>
      <c r="V488" s="332"/>
      <c r="W488" s="332"/>
      <c r="X488" s="332"/>
      <c r="Y488" s="332"/>
      <c r="Z488" s="332"/>
    </row>
    <row r="489" ht="15.75" customHeight="1">
      <c r="A489" s="27"/>
      <c r="B489" s="27"/>
      <c r="C489" s="27"/>
      <c r="D489" s="114"/>
      <c r="E489" s="114"/>
      <c r="F489" s="27"/>
      <c r="G489" s="27"/>
      <c r="H489" s="332"/>
      <c r="I489" s="332"/>
      <c r="J489" s="332"/>
      <c r="K489" s="332"/>
      <c r="L489" s="332"/>
      <c r="M489" s="332"/>
      <c r="N489" s="332"/>
      <c r="O489" s="332"/>
      <c r="P489" s="332"/>
      <c r="Q489" s="332"/>
      <c r="R489" s="332"/>
      <c r="S489" s="332"/>
      <c r="T489" s="332"/>
      <c r="U489" s="332"/>
      <c r="V489" s="332"/>
      <c r="W489" s="332"/>
      <c r="X489" s="332"/>
      <c r="Y489" s="332"/>
      <c r="Z489" s="332"/>
    </row>
    <row r="490" ht="15.75" customHeight="1">
      <c r="A490" s="27"/>
      <c r="B490" s="27"/>
      <c r="C490" s="27"/>
      <c r="D490" s="114"/>
      <c r="E490" s="114"/>
      <c r="F490" s="27"/>
      <c r="G490" s="27"/>
      <c r="H490" s="332"/>
      <c r="I490" s="332"/>
      <c r="J490" s="332"/>
      <c r="K490" s="332"/>
      <c r="L490" s="332"/>
      <c r="M490" s="332"/>
      <c r="N490" s="332"/>
      <c r="O490" s="332"/>
      <c r="P490" s="332"/>
      <c r="Q490" s="332"/>
      <c r="R490" s="332"/>
      <c r="S490" s="332"/>
      <c r="T490" s="332"/>
      <c r="U490" s="332"/>
      <c r="V490" s="332"/>
      <c r="W490" s="332"/>
      <c r="X490" s="332"/>
      <c r="Y490" s="332"/>
      <c r="Z490" s="332"/>
    </row>
    <row r="491" ht="15.75" customHeight="1">
      <c r="A491" s="27"/>
      <c r="B491" s="27"/>
      <c r="C491" s="27"/>
      <c r="D491" s="114"/>
      <c r="E491" s="114"/>
      <c r="F491" s="27"/>
      <c r="G491" s="27"/>
      <c r="H491" s="332"/>
      <c r="I491" s="332"/>
      <c r="J491" s="332"/>
      <c r="K491" s="332"/>
      <c r="L491" s="332"/>
      <c r="M491" s="332"/>
      <c r="N491" s="332"/>
      <c r="O491" s="332"/>
      <c r="P491" s="332"/>
      <c r="Q491" s="332"/>
      <c r="R491" s="332"/>
      <c r="S491" s="332"/>
      <c r="T491" s="332"/>
      <c r="U491" s="332"/>
      <c r="V491" s="332"/>
      <c r="W491" s="332"/>
      <c r="X491" s="332"/>
      <c r="Y491" s="332"/>
      <c r="Z491" s="332"/>
    </row>
    <row r="492" ht="15.75" customHeight="1">
      <c r="A492" s="27"/>
      <c r="B492" s="27"/>
      <c r="C492" s="27"/>
      <c r="D492" s="114"/>
      <c r="E492" s="114"/>
      <c r="F492" s="27"/>
      <c r="G492" s="27"/>
      <c r="H492" s="332"/>
      <c r="I492" s="332"/>
      <c r="J492" s="332"/>
      <c r="K492" s="332"/>
      <c r="L492" s="332"/>
      <c r="M492" s="332"/>
      <c r="N492" s="332"/>
      <c r="O492" s="332"/>
      <c r="P492" s="332"/>
      <c r="Q492" s="332"/>
      <c r="R492" s="332"/>
      <c r="S492" s="332"/>
      <c r="T492" s="332"/>
      <c r="U492" s="332"/>
      <c r="V492" s="332"/>
      <c r="W492" s="332"/>
      <c r="X492" s="332"/>
      <c r="Y492" s="332"/>
      <c r="Z492" s="332"/>
    </row>
    <row r="493" ht="15.75" customHeight="1">
      <c r="A493" s="27"/>
      <c r="B493" s="27"/>
      <c r="C493" s="27"/>
      <c r="D493" s="114"/>
      <c r="E493" s="114"/>
      <c r="F493" s="27"/>
      <c r="G493" s="27"/>
      <c r="H493" s="332"/>
      <c r="I493" s="332"/>
      <c r="J493" s="332"/>
      <c r="K493" s="332"/>
      <c r="L493" s="332"/>
      <c r="M493" s="332"/>
      <c r="N493" s="332"/>
      <c r="O493" s="332"/>
      <c r="P493" s="332"/>
      <c r="Q493" s="332"/>
      <c r="R493" s="332"/>
      <c r="S493" s="332"/>
      <c r="T493" s="332"/>
      <c r="U493" s="332"/>
      <c r="V493" s="332"/>
      <c r="W493" s="332"/>
      <c r="X493" s="332"/>
      <c r="Y493" s="332"/>
      <c r="Z493" s="332"/>
    </row>
    <row r="494" ht="15.75" customHeight="1">
      <c r="A494" s="27"/>
      <c r="B494" s="27"/>
      <c r="C494" s="27"/>
      <c r="D494" s="114"/>
      <c r="E494" s="114"/>
      <c r="F494" s="27"/>
      <c r="G494" s="27"/>
      <c r="H494" s="332"/>
      <c r="I494" s="332"/>
      <c r="J494" s="332"/>
      <c r="K494" s="332"/>
      <c r="L494" s="332"/>
      <c r="M494" s="332"/>
      <c r="N494" s="332"/>
      <c r="O494" s="332"/>
      <c r="P494" s="332"/>
      <c r="Q494" s="332"/>
      <c r="R494" s="332"/>
      <c r="S494" s="332"/>
      <c r="T494" s="332"/>
      <c r="U494" s="332"/>
      <c r="V494" s="332"/>
      <c r="W494" s="332"/>
      <c r="X494" s="332"/>
      <c r="Y494" s="332"/>
      <c r="Z494" s="332"/>
    </row>
    <row r="495" ht="15.75" customHeight="1">
      <c r="A495" s="27"/>
      <c r="B495" s="27"/>
      <c r="C495" s="27"/>
      <c r="D495" s="114"/>
      <c r="E495" s="114"/>
      <c r="F495" s="27"/>
      <c r="G495" s="27"/>
      <c r="H495" s="332"/>
      <c r="I495" s="332"/>
      <c r="J495" s="332"/>
      <c r="K495" s="332"/>
      <c r="L495" s="332"/>
      <c r="M495" s="332"/>
      <c r="N495" s="332"/>
      <c r="O495" s="332"/>
      <c r="P495" s="332"/>
      <c r="Q495" s="332"/>
      <c r="R495" s="332"/>
      <c r="S495" s="332"/>
      <c r="T495" s="332"/>
      <c r="U495" s="332"/>
      <c r="V495" s="332"/>
      <c r="W495" s="332"/>
      <c r="X495" s="332"/>
      <c r="Y495" s="332"/>
      <c r="Z495" s="332"/>
    </row>
    <row r="496" ht="15.75" customHeight="1">
      <c r="A496" s="27"/>
      <c r="B496" s="27"/>
      <c r="C496" s="27"/>
      <c r="D496" s="114"/>
      <c r="E496" s="114"/>
      <c r="F496" s="27"/>
      <c r="G496" s="27"/>
      <c r="H496" s="332"/>
      <c r="I496" s="332"/>
      <c r="J496" s="332"/>
      <c r="K496" s="332"/>
      <c r="L496" s="332"/>
      <c r="M496" s="332"/>
      <c r="N496" s="332"/>
      <c r="O496" s="332"/>
      <c r="P496" s="332"/>
      <c r="Q496" s="332"/>
      <c r="R496" s="332"/>
      <c r="S496" s="332"/>
      <c r="T496" s="332"/>
      <c r="U496" s="332"/>
      <c r="V496" s="332"/>
      <c r="W496" s="332"/>
      <c r="X496" s="332"/>
      <c r="Y496" s="332"/>
      <c r="Z496" s="332"/>
    </row>
    <row r="497" ht="15.75" customHeight="1">
      <c r="A497" s="27"/>
      <c r="B497" s="27"/>
      <c r="C497" s="27"/>
      <c r="D497" s="114"/>
      <c r="E497" s="114"/>
      <c r="F497" s="27"/>
      <c r="G497" s="27"/>
      <c r="H497" s="332"/>
      <c r="I497" s="332"/>
      <c r="J497" s="332"/>
      <c r="K497" s="332"/>
      <c r="L497" s="332"/>
      <c r="M497" s="332"/>
      <c r="N497" s="332"/>
      <c r="O497" s="332"/>
      <c r="P497" s="332"/>
      <c r="Q497" s="332"/>
      <c r="R497" s="332"/>
      <c r="S497" s="332"/>
      <c r="T497" s="332"/>
      <c r="U497" s="332"/>
      <c r="V497" s="332"/>
      <c r="W497" s="332"/>
      <c r="X497" s="332"/>
      <c r="Y497" s="332"/>
      <c r="Z497" s="332"/>
    </row>
    <row r="498" ht="15.75" customHeight="1">
      <c r="A498" s="27"/>
      <c r="B498" s="27"/>
      <c r="C498" s="27"/>
      <c r="D498" s="114"/>
      <c r="E498" s="114"/>
      <c r="F498" s="27"/>
      <c r="G498" s="27"/>
      <c r="H498" s="332"/>
      <c r="I498" s="332"/>
      <c r="J498" s="332"/>
      <c r="K498" s="332"/>
      <c r="L498" s="332"/>
      <c r="M498" s="332"/>
      <c r="N498" s="332"/>
      <c r="O498" s="332"/>
      <c r="P498" s="332"/>
      <c r="Q498" s="332"/>
      <c r="R498" s="332"/>
      <c r="S498" s="332"/>
      <c r="T498" s="332"/>
      <c r="U498" s="332"/>
      <c r="V498" s="332"/>
      <c r="W498" s="332"/>
      <c r="X498" s="332"/>
      <c r="Y498" s="332"/>
      <c r="Z498" s="332"/>
    </row>
    <row r="499" ht="15.75" customHeight="1">
      <c r="A499" s="27"/>
      <c r="B499" s="27"/>
      <c r="C499" s="27"/>
      <c r="D499" s="114"/>
      <c r="E499" s="114"/>
      <c r="F499" s="27"/>
      <c r="G499" s="27"/>
      <c r="H499" s="332"/>
      <c r="I499" s="332"/>
      <c r="J499" s="332"/>
      <c r="K499" s="332"/>
      <c r="L499" s="332"/>
      <c r="M499" s="332"/>
      <c r="N499" s="332"/>
      <c r="O499" s="332"/>
      <c r="P499" s="332"/>
      <c r="Q499" s="332"/>
      <c r="R499" s="332"/>
      <c r="S499" s="332"/>
      <c r="T499" s="332"/>
      <c r="U499" s="332"/>
      <c r="V499" s="332"/>
      <c r="W499" s="332"/>
      <c r="X499" s="332"/>
      <c r="Y499" s="332"/>
      <c r="Z499" s="332"/>
    </row>
    <row r="500" ht="15.75" customHeight="1">
      <c r="A500" s="27"/>
      <c r="B500" s="27"/>
      <c r="C500" s="27"/>
      <c r="D500" s="114"/>
      <c r="E500" s="114"/>
      <c r="F500" s="27"/>
      <c r="G500" s="27"/>
      <c r="H500" s="332"/>
      <c r="I500" s="332"/>
      <c r="J500" s="332"/>
      <c r="K500" s="332"/>
      <c r="L500" s="332"/>
      <c r="M500" s="332"/>
      <c r="N500" s="332"/>
      <c r="O500" s="332"/>
      <c r="P500" s="332"/>
      <c r="Q500" s="332"/>
      <c r="R500" s="332"/>
      <c r="S500" s="332"/>
      <c r="T500" s="332"/>
      <c r="U500" s="332"/>
      <c r="V500" s="332"/>
      <c r="W500" s="332"/>
      <c r="X500" s="332"/>
      <c r="Y500" s="332"/>
      <c r="Z500" s="332"/>
    </row>
    <row r="501" ht="15.75" customHeight="1">
      <c r="A501" s="27"/>
      <c r="B501" s="27"/>
      <c r="C501" s="27"/>
      <c r="D501" s="114"/>
      <c r="E501" s="114"/>
      <c r="F501" s="27"/>
      <c r="G501" s="27"/>
      <c r="H501" s="332"/>
      <c r="I501" s="332"/>
      <c r="J501" s="332"/>
      <c r="K501" s="332"/>
      <c r="L501" s="332"/>
      <c r="M501" s="332"/>
      <c r="N501" s="332"/>
      <c r="O501" s="332"/>
      <c r="P501" s="332"/>
      <c r="Q501" s="332"/>
      <c r="R501" s="332"/>
      <c r="S501" s="332"/>
      <c r="T501" s="332"/>
      <c r="U501" s="332"/>
      <c r="V501" s="332"/>
      <c r="W501" s="332"/>
      <c r="X501" s="332"/>
      <c r="Y501" s="332"/>
      <c r="Z501" s="332"/>
    </row>
    <row r="502" ht="15.75" customHeight="1">
      <c r="A502" s="27"/>
      <c r="B502" s="27"/>
      <c r="C502" s="27"/>
      <c r="D502" s="114"/>
      <c r="E502" s="114"/>
      <c r="F502" s="27"/>
      <c r="G502" s="27"/>
      <c r="H502" s="332"/>
      <c r="I502" s="332"/>
      <c r="J502" s="332"/>
      <c r="K502" s="332"/>
      <c r="L502" s="332"/>
      <c r="M502" s="332"/>
      <c r="N502" s="332"/>
      <c r="O502" s="332"/>
      <c r="P502" s="332"/>
      <c r="Q502" s="332"/>
      <c r="R502" s="332"/>
      <c r="S502" s="332"/>
      <c r="T502" s="332"/>
      <c r="U502" s="332"/>
      <c r="V502" s="332"/>
      <c r="W502" s="332"/>
      <c r="X502" s="332"/>
      <c r="Y502" s="332"/>
      <c r="Z502" s="332"/>
    </row>
    <row r="503" ht="15.75" customHeight="1">
      <c r="A503" s="27"/>
      <c r="B503" s="27"/>
      <c r="C503" s="27"/>
      <c r="D503" s="114"/>
      <c r="E503" s="114"/>
      <c r="F503" s="27"/>
      <c r="G503" s="27"/>
      <c r="H503" s="332"/>
      <c r="I503" s="332"/>
      <c r="J503" s="332"/>
      <c r="K503" s="332"/>
      <c r="L503" s="332"/>
      <c r="M503" s="332"/>
      <c r="N503" s="332"/>
      <c r="O503" s="332"/>
      <c r="P503" s="332"/>
      <c r="Q503" s="332"/>
      <c r="R503" s="332"/>
      <c r="S503" s="332"/>
      <c r="T503" s="332"/>
      <c r="U503" s="332"/>
      <c r="V503" s="332"/>
      <c r="W503" s="332"/>
      <c r="X503" s="332"/>
      <c r="Y503" s="332"/>
      <c r="Z503" s="332"/>
    </row>
    <row r="504" ht="15.75" customHeight="1">
      <c r="A504" s="27"/>
      <c r="B504" s="27"/>
      <c r="C504" s="27"/>
      <c r="D504" s="114"/>
      <c r="E504" s="114"/>
      <c r="F504" s="27"/>
      <c r="G504" s="27"/>
      <c r="H504" s="332"/>
      <c r="I504" s="332"/>
      <c r="J504" s="332"/>
      <c r="K504" s="332"/>
      <c r="L504" s="332"/>
      <c r="M504" s="332"/>
      <c r="N504" s="332"/>
      <c r="O504" s="332"/>
      <c r="P504" s="332"/>
      <c r="Q504" s="332"/>
      <c r="R504" s="332"/>
      <c r="S504" s="332"/>
      <c r="T504" s="332"/>
      <c r="U504" s="332"/>
      <c r="V504" s="332"/>
      <c r="W504" s="332"/>
      <c r="X504" s="332"/>
      <c r="Y504" s="332"/>
      <c r="Z504" s="332"/>
    </row>
    <row r="505" ht="15.75" customHeight="1">
      <c r="A505" s="27"/>
      <c r="B505" s="27"/>
      <c r="C505" s="27"/>
      <c r="D505" s="114"/>
      <c r="E505" s="114"/>
      <c r="F505" s="27"/>
      <c r="G505" s="27"/>
      <c r="H505" s="332"/>
      <c r="I505" s="332"/>
      <c r="J505" s="332"/>
      <c r="K505" s="332"/>
      <c r="L505" s="332"/>
      <c r="M505" s="332"/>
      <c r="N505" s="332"/>
      <c r="O505" s="332"/>
      <c r="P505" s="332"/>
      <c r="Q505" s="332"/>
      <c r="R505" s="332"/>
      <c r="S505" s="332"/>
      <c r="T505" s="332"/>
      <c r="U505" s="332"/>
      <c r="V505" s="332"/>
      <c r="W505" s="332"/>
      <c r="X505" s="332"/>
      <c r="Y505" s="332"/>
      <c r="Z505" s="332"/>
    </row>
    <row r="506" ht="15.75" customHeight="1">
      <c r="A506" s="27"/>
      <c r="B506" s="27"/>
      <c r="C506" s="27"/>
      <c r="D506" s="114"/>
      <c r="E506" s="114"/>
      <c r="F506" s="27"/>
      <c r="G506" s="27"/>
      <c r="H506" s="332"/>
      <c r="I506" s="332"/>
      <c r="J506" s="332"/>
      <c r="K506" s="332"/>
      <c r="L506" s="332"/>
      <c r="M506" s="332"/>
      <c r="N506" s="332"/>
      <c r="O506" s="332"/>
      <c r="P506" s="332"/>
      <c r="Q506" s="332"/>
      <c r="R506" s="332"/>
      <c r="S506" s="332"/>
      <c r="T506" s="332"/>
      <c r="U506" s="332"/>
      <c r="V506" s="332"/>
      <c r="W506" s="332"/>
      <c r="X506" s="332"/>
      <c r="Y506" s="332"/>
      <c r="Z506" s="332"/>
    </row>
    <row r="507" ht="15.75" customHeight="1">
      <c r="A507" s="27"/>
      <c r="B507" s="27"/>
      <c r="C507" s="27"/>
      <c r="D507" s="114"/>
      <c r="E507" s="114"/>
      <c r="F507" s="27"/>
      <c r="G507" s="27"/>
      <c r="H507" s="332"/>
      <c r="I507" s="332"/>
      <c r="J507" s="332"/>
      <c r="K507" s="332"/>
      <c r="L507" s="332"/>
      <c r="M507" s="332"/>
      <c r="N507" s="332"/>
      <c r="O507" s="332"/>
      <c r="P507" s="332"/>
      <c r="Q507" s="332"/>
      <c r="R507" s="332"/>
      <c r="S507" s="332"/>
      <c r="T507" s="332"/>
      <c r="U507" s="332"/>
      <c r="V507" s="332"/>
      <c r="W507" s="332"/>
      <c r="X507" s="332"/>
      <c r="Y507" s="332"/>
      <c r="Z507" s="332"/>
    </row>
    <row r="508" ht="15.75" customHeight="1">
      <c r="A508" s="27"/>
      <c r="B508" s="27"/>
      <c r="C508" s="27"/>
      <c r="D508" s="114"/>
      <c r="E508" s="114"/>
      <c r="F508" s="27"/>
      <c r="G508" s="27"/>
      <c r="H508" s="332"/>
      <c r="I508" s="332"/>
      <c r="J508" s="332"/>
      <c r="K508" s="332"/>
      <c r="L508" s="332"/>
      <c r="M508" s="332"/>
      <c r="N508" s="332"/>
      <c r="O508" s="332"/>
      <c r="P508" s="332"/>
      <c r="Q508" s="332"/>
      <c r="R508" s="332"/>
      <c r="S508" s="332"/>
      <c r="T508" s="332"/>
      <c r="U508" s="332"/>
      <c r="V508" s="332"/>
      <c r="W508" s="332"/>
      <c r="X508" s="332"/>
      <c r="Y508" s="332"/>
      <c r="Z508" s="332"/>
    </row>
    <row r="509" ht="15.75" customHeight="1">
      <c r="A509" s="27"/>
      <c r="B509" s="27"/>
      <c r="C509" s="27"/>
      <c r="D509" s="114"/>
      <c r="E509" s="114"/>
      <c r="F509" s="27"/>
      <c r="G509" s="27"/>
      <c r="H509" s="332"/>
      <c r="I509" s="332"/>
      <c r="J509" s="332"/>
      <c r="K509" s="332"/>
      <c r="L509" s="332"/>
      <c r="M509" s="332"/>
      <c r="N509" s="332"/>
      <c r="O509" s="332"/>
      <c r="P509" s="332"/>
      <c r="Q509" s="332"/>
      <c r="R509" s="332"/>
      <c r="S509" s="332"/>
      <c r="T509" s="332"/>
      <c r="U509" s="332"/>
      <c r="V509" s="332"/>
      <c r="W509" s="332"/>
      <c r="X509" s="332"/>
      <c r="Y509" s="332"/>
      <c r="Z509" s="332"/>
    </row>
    <row r="510" ht="15.75" customHeight="1">
      <c r="A510" s="27"/>
      <c r="B510" s="27"/>
      <c r="C510" s="27"/>
      <c r="D510" s="114"/>
      <c r="E510" s="114"/>
      <c r="F510" s="27"/>
      <c r="G510" s="27"/>
      <c r="H510" s="332"/>
      <c r="I510" s="332"/>
      <c r="J510" s="332"/>
      <c r="K510" s="332"/>
      <c r="L510" s="332"/>
      <c r="M510" s="332"/>
      <c r="N510" s="332"/>
      <c r="O510" s="332"/>
      <c r="P510" s="332"/>
      <c r="Q510" s="332"/>
      <c r="R510" s="332"/>
      <c r="S510" s="332"/>
      <c r="T510" s="332"/>
      <c r="U510" s="332"/>
      <c r="V510" s="332"/>
      <c r="W510" s="332"/>
      <c r="X510" s="332"/>
      <c r="Y510" s="332"/>
      <c r="Z510" s="332"/>
    </row>
    <row r="511" ht="15.75" customHeight="1">
      <c r="A511" s="27"/>
      <c r="B511" s="27"/>
      <c r="C511" s="27"/>
      <c r="D511" s="114"/>
      <c r="E511" s="114"/>
      <c r="F511" s="27"/>
      <c r="G511" s="27"/>
      <c r="H511" s="332"/>
      <c r="I511" s="332"/>
      <c r="J511" s="332"/>
      <c r="K511" s="332"/>
      <c r="L511" s="332"/>
      <c r="M511" s="332"/>
      <c r="N511" s="332"/>
      <c r="O511" s="332"/>
      <c r="P511" s="332"/>
      <c r="Q511" s="332"/>
      <c r="R511" s="332"/>
      <c r="S511" s="332"/>
      <c r="T511" s="332"/>
      <c r="U511" s="332"/>
      <c r="V511" s="332"/>
      <c r="W511" s="332"/>
      <c r="X511" s="332"/>
      <c r="Y511" s="332"/>
      <c r="Z511" s="332"/>
    </row>
    <row r="512" ht="15.75" customHeight="1">
      <c r="A512" s="27"/>
      <c r="B512" s="27"/>
      <c r="C512" s="27"/>
      <c r="D512" s="114"/>
      <c r="E512" s="114"/>
      <c r="F512" s="27"/>
      <c r="G512" s="27"/>
      <c r="H512" s="332"/>
      <c r="I512" s="332"/>
      <c r="J512" s="332"/>
      <c r="K512" s="332"/>
      <c r="L512" s="332"/>
      <c r="M512" s="332"/>
      <c r="N512" s="332"/>
      <c r="O512" s="332"/>
      <c r="P512" s="332"/>
      <c r="Q512" s="332"/>
      <c r="R512" s="332"/>
      <c r="S512" s="332"/>
      <c r="T512" s="332"/>
      <c r="U512" s="332"/>
      <c r="V512" s="332"/>
      <c r="W512" s="332"/>
      <c r="X512" s="332"/>
      <c r="Y512" s="332"/>
      <c r="Z512" s="332"/>
    </row>
    <row r="513" ht="15.75" customHeight="1">
      <c r="A513" s="27"/>
      <c r="B513" s="27"/>
      <c r="C513" s="27"/>
      <c r="D513" s="114"/>
      <c r="E513" s="114"/>
      <c r="F513" s="27"/>
      <c r="G513" s="27"/>
      <c r="H513" s="332"/>
      <c r="I513" s="332"/>
      <c r="J513" s="332"/>
      <c r="K513" s="332"/>
      <c r="L513" s="332"/>
      <c r="M513" s="332"/>
      <c r="N513" s="332"/>
      <c r="O513" s="332"/>
      <c r="P513" s="332"/>
      <c r="Q513" s="332"/>
      <c r="R513" s="332"/>
      <c r="S513" s="332"/>
      <c r="T513" s="332"/>
      <c r="U513" s="332"/>
      <c r="V513" s="332"/>
      <c r="W513" s="332"/>
      <c r="X513" s="332"/>
      <c r="Y513" s="332"/>
      <c r="Z513" s="332"/>
    </row>
    <row r="514" ht="15.75" customHeight="1">
      <c r="A514" s="27"/>
      <c r="B514" s="27"/>
      <c r="C514" s="27"/>
      <c r="D514" s="114"/>
      <c r="E514" s="114"/>
      <c r="F514" s="27"/>
      <c r="G514" s="27"/>
      <c r="H514" s="332"/>
      <c r="I514" s="332"/>
      <c r="J514" s="332"/>
      <c r="K514" s="332"/>
      <c r="L514" s="332"/>
      <c r="M514" s="332"/>
      <c r="N514" s="332"/>
      <c r="O514" s="332"/>
      <c r="P514" s="332"/>
      <c r="Q514" s="332"/>
      <c r="R514" s="332"/>
      <c r="S514" s="332"/>
      <c r="T514" s="332"/>
      <c r="U514" s="332"/>
      <c r="V514" s="332"/>
      <c r="W514" s="332"/>
      <c r="X514" s="332"/>
      <c r="Y514" s="332"/>
      <c r="Z514" s="332"/>
    </row>
    <row r="515" ht="15.75" customHeight="1">
      <c r="A515" s="27"/>
      <c r="B515" s="27"/>
      <c r="C515" s="27"/>
      <c r="D515" s="114"/>
      <c r="E515" s="114"/>
      <c r="F515" s="27"/>
      <c r="G515" s="27"/>
      <c r="H515" s="332"/>
      <c r="I515" s="332"/>
      <c r="J515" s="332"/>
      <c r="K515" s="332"/>
      <c r="L515" s="332"/>
      <c r="M515" s="332"/>
      <c r="N515" s="332"/>
      <c r="O515" s="332"/>
      <c r="P515" s="332"/>
      <c r="Q515" s="332"/>
      <c r="R515" s="332"/>
      <c r="S515" s="332"/>
      <c r="T515" s="332"/>
      <c r="U515" s="332"/>
      <c r="V515" s="332"/>
      <c r="W515" s="332"/>
      <c r="X515" s="332"/>
      <c r="Y515" s="332"/>
      <c r="Z515" s="332"/>
    </row>
    <row r="516" ht="15.75" customHeight="1">
      <c r="A516" s="27"/>
      <c r="B516" s="27"/>
      <c r="C516" s="27"/>
      <c r="D516" s="114"/>
      <c r="E516" s="114"/>
      <c r="F516" s="27"/>
      <c r="G516" s="27"/>
      <c r="H516" s="332"/>
      <c r="I516" s="332"/>
      <c r="J516" s="332"/>
      <c r="K516" s="332"/>
      <c r="L516" s="332"/>
      <c r="M516" s="332"/>
      <c r="N516" s="332"/>
      <c r="O516" s="332"/>
      <c r="P516" s="332"/>
      <c r="Q516" s="332"/>
      <c r="R516" s="332"/>
      <c r="S516" s="332"/>
      <c r="T516" s="332"/>
      <c r="U516" s="332"/>
      <c r="V516" s="332"/>
      <c r="W516" s="332"/>
      <c r="X516" s="332"/>
      <c r="Y516" s="332"/>
      <c r="Z516" s="332"/>
    </row>
    <row r="517" ht="15.75" customHeight="1">
      <c r="A517" s="27"/>
      <c r="B517" s="27"/>
      <c r="C517" s="27"/>
      <c r="D517" s="114"/>
      <c r="E517" s="114"/>
      <c r="F517" s="27"/>
      <c r="G517" s="27"/>
      <c r="H517" s="332"/>
      <c r="I517" s="332"/>
      <c r="J517" s="332"/>
      <c r="K517" s="332"/>
      <c r="L517" s="332"/>
      <c r="M517" s="332"/>
      <c r="N517" s="332"/>
      <c r="O517" s="332"/>
      <c r="P517" s="332"/>
      <c r="Q517" s="332"/>
      <c r="R517" s="332"/>
      <c r="S517" s="332"/>
      <c r="T517" s="332"/>
      <c r="U517" s="332"/>
      <c r="V517" s="332"/>
      <c r="W517" s="332"/>
      <c r="X517" s="332"/>
      <c r="Y517" s="332"/>
      <c r="Z517" s="332"/>
    </row>
    <row r="518" ht="15.75" customHeight="1">
      <c r="A518" s="27"/>
      <c r="B518" s="27"/>
      <c r="C518" s="27"/>
      <c r="D518" s="114"/>
      <c r="E518" s="114"/>
      <c r="F518" s="27"/>
      <c r="G518" s="27"/>
      <c r="H518" s="332"/>
      <c r="I518" s="332"/>
      <c r="J518" s="332"/>
      <c r="K518" s="332"/>
      <c r="L518" s="332"/>
      <c r="M518" s="332"/>
      <c r="N518" s="332"/>
      <c r="O518" s="332"/>
      <c r="P518" s="332"/>
      <c r="Q518" s="332"/>
      <c r="R518" s="332"/>
      <c r="S518" s="332"/>
      <c r="T518" s="332"/>
      <c r="U518" s="332"/>
      <c r="V518" s="332"/>
      <c r="W518" s="332"/>
      <c r="X518" s="332"/>
      <c r="Y518" s="332"/>
      <c r="Z518" s="332"/>
    </row>
    <row r="519" ht="15.75" customHeight="1">
      <c r="A519" s="27"/>
      <c r="B519" s="27"/>
      <c r="C519" s="27"/>
      <c r="D519" s="114"/>
      <c r="E519" s="114"/>
      <c r="F519" s="27"/>
      <c r="G519" s="27"/>
      <c r="H519" s="332"/>
      <c r="I519" s="332"/>
      <c r="J519" s="332"/>
      <c r="K519" s="332"/>
      <c r="L519" s="332"/>
      <c r="M519" s="332"/>
      <c r="N519" s="332"/>
      <c r="O519" s="332"/>
      <c r="P519" s="332"/>
      <c r="Q519" s="332"/>
      <c r="R519" s="332"/>
      <c r="S519" s="332"/>
      <c r="T519" s="332"/>
      <c r="U519" s="332"/>
      <c r="V519" s="332"/>
      <c r="W519" s="332"/>
      <c r="X519" s="332"/>
      <c r="Y519" s="332"/>
      <c r="Z519" s="332"/>
    </row>
    <row r="520" ht="15.75" customHeight="1">
      <c r="A520" s="27"/>
      <c r="B520" s="27"/>
      <c r="C520" s="27"/>
      <c r="D520" s="114"/>
      <c r="E520" s="114"/>
      <c r="F520" s="27"/>
      <c r="G520" s="27"/>
      <c r="H520" s="332"/>
      <c r="I520" s="332"/>
      <c r="J520" s="332"/>
      <c r="K520" s="332"/>
      <c r="L520" s="332"/>
      <c r="M520" s="332"/>
      <c r="N520" s="332"/>
      <c r="O520" s="332"/>
      <c r="P520" s="332"/>
      <c r="Q520" s="332"/>
      <c r="R520" s="332"/>
      <c r="S520" s="332"/>
      <c r="T520" s="332"/>
      <c r="U520" s="332"/>
      <c r="V520" s="332"/>
      <c r="W520" s="332"/>
      <c r="X520" s="332"/>
      <c r="Y520" s="332"/>
      <c r="Z520" s="332"/>
    </row>
    <row r="521" ht="15.75" customHeight="1">
      <c r="A521" s="27"/>
      <c r="B521" s="27"/>
      <c r="C521" s="27"/>
      <c r="D521" s="114"/>
      <c r="E521" s="114"/>
      <c r="F521" s="27"/>
      <c r="G521" s="27"/>
      <c r="H521" s="332"/>
      <c r="I521" s="332"/>
      <c r="J521" s="332"/>
      <c r="K521" s="332"/>
      <c r="L521" s="332"/>
      <c r="M521" s="332"/>
      <c r="N521" s="332"/>
      <c r="O521" s="332"/>
      <c r="P521" s="332"/>
      <c r="Q521" s="332"/>
      <c r="R521" s="332"/>
      <c r="S521" s="332"/>
      <c r="T521" s="332"/>
      <c r="U521" s="332"/>
      <c r="V521" s="332"/>
      <c r="W521" s="332"/>
      <c r="X521" s="332"/>
      <c r="Y521" s="332"/>
      <c r="Z521" s="332"/>
    </row>
    <row r="522" ht="15.75" customHeight="1">
      <c r="A522" s="27"/>
      <c r="B522" s="27"/>
      <c r="C522" s="27"/>
      <c r="D522" s="114"/>
      <c r="E522" s="114"/>
      <c r="F522" s="27"/>
      <c r="G522" s="27"/>
      <c r="H522" s="332"/>
      <c r="I522" s="332"/>
      <c r="J522" s="332"/>
      <c r="K522" s="332"/>
      <c r="L522" s="332"/>
      <c r="M522" s="332"/>
      <c r="N522" s="332"/>
      <c r="O522" s="332"/>
      <c r="P522" s="332"/>
      <c r="Q522" s="332"/>
      <c r="R522" s="332"/>
      <c r="S522" s="332"/>
      <c r="T522" s="332"/>
      <c r="U522" s="332"/>
      <c r="V522" s="332"/>
      <c r="W522" s="332"/>
      <c r="X522" s="332"/>
      <c r="Y522" s="332"/>
      <c r="Z522" s="332"/>
    </row>
    <row r="523" ht="15.75" customHeight="1">
      <c r="A523" s="27"/>
      <c r="B523" s="27"/>
      <c r="C523" s="27"/>
      <c r="D523" s="114"/>
      <c r="E523" s="114"/>
      <c r="F523" s="27"/>
      <c r="G523" s="27"/>
      <c r="H523" s="332"/>
      <c r="I523" s="332"/>
      <c r="J523" s="332"/>
      <c r="K523" s="332"/>
      <c r="L523" s="332"/>
      <c r="M523" s="332"/>
      <c r="N523" s="332"/>
      <c r="O523" s="332"/>
      <c r="P523" s="332"/>
      <c r="Q523" s="332"/>
      <c r="R523" s="332"/>
      <c r="S523" s="332"/>
      <c r="T523" s="332"/>
      <c r="U523" s="332"/>
      <c r="V523" s="332"/>
      <c r="W523" s="332"/>
      <c r="X523" s="332"/>
      <c r="Y523" s="332"/>
      <c r="Z523" s="332"/>
    </row>
    <row r="524" ht="15.75" customHeight="1">
      <c r="A524" s="27"/>
      <c r="B524" s="27"/>
      <c r="C524" s="27"/>
      <c r="D524" s="114"/>
      <c r="E524" s="114"/>
      <c r="F524" s="27"/>
      <c r="G524" s="27"/>
      <c r="H524" s="332"/>
      <c r="I524" s="332"/>
      <c r="J524" s="332"/>
      <c r="K524" s="332"/>
      <c r="L524" s="332"/>
      <c r="M524" s="332"/>
      <c r="N524" s="332"/>
      <c r="O524" s="332"/>
      <c r="P524" s="332"/>
      <c r="Q524" s="332"/>
      <c r="R524" s="332"/>
      <c r="S524" s="332"/>
      <c r="T524" s="332"/>
      <c r="U524" s="332"/>
      <c r="V524" s="332"/>
      <c r="W524" s="332"/>
      <c r="X524" s="332"/>
      <c r="Y524" s="332"/>
      <c r="Z524" s="332"/>
    </row>
    <row r="525" ht="15.75" customHeight="1">
      <c r="A525" s="27"/>
      <c r="B525" s="27"/>
      <c r="C525" s="27"/>
      <c r="D525" s="114"/>
      <c r="E525" s="114"/>
      <c r="F525" s="27"/>
      <c r="G525" s="27"/>
      <c r="H525" s="332"/>
      <c r="I525" s="332"/>
      <c r="J525" s="332"/>
      <c r="K525" s="332"/>
      <c r="L525" s="332"/>
      <c r="M525" s="332"/>
      <c r="N525" s="332"/>
      <c r="O525" s="332"/>
      <c r="P525" s="332"/>
      <c r="Q525" s="332"/>
      <c r="R525" s="332"/>
      <c r="S525" s="332"/>
      <c r="T525" s="332"/>
      <c r="U525" s="332"/>
      <c r="V525" s="332"/>
      <c r="W525" s="332"/>
      <c r="X525" s="332"/>
      <c r="Y525" s="332"/>
      <c r="Z525" s="332"/>
    </row>
    <row r="526" ht="15.75" customHeight="1">
      <c r="A526" s="27"/>
      <c r="B526" s="27"/>
      <c r="C526" s="27"/>
      <c r="D526" s="114"/>
      <c r="E526" s="114"/>
      <c r="F526" s="27"/>
      <c r="G526" s="27"/>
      <c r="H526" s="332"/>
      <c r="I526" s="332"/>
      <c r="J526" s="332"/>
      <c r="K526" s="332"/>
      <c r="L526" s="332"/>
      <c r="M526" s="332"/>
      <c r="N526" s="332"/>
      <c r="O526" s="332"/>
      <c r="P526" s="332"/>
      <c r="Q526" s="332"/>
      <c r="R526" s="332"/>
      <c r="S526" s="332"/>
      <c r="T526" s="332"/>
      <c r="U526" s="332"/>
      <c r="V526" s="332"/>
      <c r="W526" s="332"/>
      <c r="X526" s="332"/>
      <c r="Y526" s="332"/>
      <c r="Z526" s="332"/>
    </row>
    <row r="527" ht="15.75" customHeight="1">
      <c r="A527" s="27"/>
      <c r="B527" s="27"/>
      <c r="C527" s="27"/>
      <c r="D527" s="114"/>
      <c r="E527" s="114"/>
      <c r="F527" s="27"/>
      <c r="G527" s="27"/>
      <c r="H527" s="332"/>
      <c r="I527" s="332"/>
      <c r="J527" s="332"/>
      <c r="K527" s="332"/>
      <c r="L527" s="332"/>
      <c r="M527" s="332"/>
      <c r="N527" s="332"/>
      <c r="O527" s="332"/>
      <c r="P527" s="332"/>
      <c r="Q527" s="332"/>
      <c r="R527" s="332"/>
      <c r="S527" s="332"/>
      <c r="T527" s="332"/>
      <c r="U527" s="332"/>
      <c r="V527" s="332"/>
      <c r="W527" s="332"/>
      <c r="X527" s="332"/>
      <c r="Y527" s="332"/>
      <c r="Z527" s="332"/>
    </row>
    <row r="528" ht="15.75" customHeight="1">
      <c r="A528" s="27"/>
      <c r="B528" s="27"/>
      <c r="C528" s="27"/>
      <c r="D528" s="114"/>
      <c r="E528" s="114"/>
      <c r="F528" s="27"/>
      <c r="G528" s="27"/>
      <c r="H528" s="332"/>
      <c r="I528" s="332"/>
      <c r="J528" s="332"/>
      <c r="K528" s="332"/>
      <c r="L528" s="332"/>
      <c r="M528" s="332"/>
      <c r="N528" s="332"/>
      <c r="O528" s="332"/>
      <c r="P528" s="332"/>
      <c r="Q528" s="332"/>
      <c r="R528" s="332"/>
      <c r="S528" s="332"/>
      <c r="T528" s="332"/>
      <c r="U528" s="332"/>
      <c r="V528" s="332"/>
      <c r="W528" s="332"/>
      <c r="X528" s="332"/>
      <c r="Y528" s="332"/>
      <c r="Z528" s="332"/>
    </row>
    <row r="529" ht="15.75" customHeight="1">
      <c r="A529" s="27"/>
      <c r="B529" s="27"/>
      <c r="C529" s="27"/>
      <c r="D529" s="114"/>
      <c r="E529" s="114"/>
      <c r="F529" s="27"/>
      <c r="G529" s="27"/>
      <c r="H529" s="332"/>
      <c r="I529" s="332"/>
      <c r="J529" s="332"/>
      <c r="K529" s="332"/>
      <c r="L529" s="332"/>
      <c r="M529" s="332"/>
      <c r="N529" s="332"/>
      <c r="O529" s="332"/>
      <c r="P529" s="332"/>
      <c r="Q529" s="332"/>
      <c r="R529" s="332"/>
      <c r="S529" s="332"/>
      <c r="T529" s="332"/>
      <c r="U529" s="332"/>
      <c r="V529" s="332"/>
      <c r="W529" s="332"/>
      <c r="X529" s="332"/>
      <c r="Y529" s="332"/>
      <c r="Z529" s="332"/>
    </row>
    <row r="530" ht="15.75" customHeight="1">
      <c r="A530" s="27"/>
      <c r="B530" s="27"/>
      <c r="C530" s="27"/>
      <c r="D530" s="114"/>
      <c r="E530" s="114"/>
      <c r="F530" s="27"/>
      <c r="G530" s="27"/>
      <c r="H530" s="332"/>
      <c r="I530" s="332"/>
      <c r="J530" s="332"/>
      <c r="K530" s="332"/>
      <c r="L530" s="332"/>
      <c r="M530" s="332"/>
      <c r="N530" s="332"/>
      <c r="O530" s="332"/>
      <c r="P530" s="332"/>
      <c r="Q530" s="332"/>
      <c r="R530" s="332"/>
      <c r="S530" s="332"/>
      <c r="T530" s="332"/>
      <c r="U530" s="332"/>
      <c r="V530" s="332"/>
      <c r="W530" s="332"/>
      <c r="X530" s="332"/>
      <c r="Y530" s="332"/>
      <c r="Z530" s="332"/>
    </row>
    <row r="531" ht="15.75" customHeight="1">
      <c r="A531" s="27"/>
      <c r="B531" s="27"/>
      <c r="C531" s="27"/>
      <c r="D531" s="114"/>
      <c r="E531" s="114"/>
      <c r="F531" s="27"/>
      <c r="G531" s="27"/>
      <c r="H531" s="332"/>
      <c r="I531" s="332"/>
      <c r="J531" s="332"/>
      <c r="K531" s="332"/>
      <c r="L531" s="332"/>
      <c r="M531" s="332"/>
      <c r="N531" s="332"/>
      <c r="O531" s="332"/>
      <c r="P531" s="332"/>
      <c r="Q531" s="332"/>
      <c r="R531" s="332"/>
      <c r="S531" s="332"/>
      <c r="T531" s="332"/>
      <c r="U531" s="332"/>
      <c r="V531" s="332"/>
      <c r="W531" s="332"/>
      <c r="X531" s="332"/>
      <c r="Y531" s="332"/>
      <c r="Z531" s="332"/>
    </row>
    <row r="532" ht="15.75" customHeight="1">
      <c r="A532" s="27"/>
      <c r="B532" s="27"/>
      <c r="C532" s="27"/>
      <c r="D532" s="114"/>
      <c r="E532" s="114"/>
      <c r="F532" s="27"/>
      <c r="G532" s="27"/>
      <c r="H532" s="332"/>
      <c r="I532" s="332"/>
      <c r="J532" s="332"/>
      <c r="K532" s="332"/>
      <c r="L532" s="332"/>
      <c r="M532" s="332"/>
      <c r="N532" s="332"/>
      <c r="O532" s="332"/>
      <c r="P532" s="332"/>
      <c r="Q532" s="332"/>
      <c r="R532" s="332"/>
      <c r="S532" s="332"/>
      <c r="T532" s="332"/>
      <c r="U532" s="332"/>
      <c r="V532" s="332"/>
      <c r="W532" s="332"/>
      <c r="X532" s="332"/>
      <c r="Y532" s="332"/>
      <c r="Z532" s="332"/>
    </row>
    <row r="533" ht="15.75" customHeight="1">
      <c r="A533" s="27"/>
      <c r="B533" s="27"/>
      <c r="C533" s="27"/>
      <c r="D533" s="114"/>
      <c r="E533" s="114"/>
      <c r="F533" s="27"/>
      <c r="G533" s="27"/>
      <c r="H533" s="332"/>
      <c r="I533" s="332"/>
      <c r="J533" s="332"/>
      <c r="K533" s="332"/>
      <c r="L533" s="332"/>
      <c r="M533" s="332"/>
      <c r="N533" s="332"/>
      <c r="O533" s="332"/>
      <c r="P533" s="332"/>
      <c r="Q533" s="332"/>
      <c r="R533" s="332"/>
      <c r="S533" s="332"/>
      <c r="T533" s="332"/>
      <c r="U533" s="332"/>
      <c r="V533" s="332"/>
      <c r="W533" s="332"/>
      <c r="X533" s="332"/>
      <c r="Y533" s="332"/>
      <c r="Z533" s="332"/>
    </row>
    <row r="534" ht="15.75" customHeight="1">
      <c r="A534" s="27"/>
      <c r="B534" s="27"/>
      <c r="C534" s="27"/>
      <c r="D534" s="114"/>
      <c r="E534" s="114"/>
      <c r="F534" s="27"/>
      <c r="G534" s="27"/>
      <c r="H534" s="332"/>
      <c r="I534" s="332"/>
      <c r="J534" s="332"/>
      <c r="K534" s="332"/>
      <c r="L534" s="332"/>
      <c r="M534" s="332"/>
      <c r="N534" s="332"/>
      <c r="O534" s="332"/>
      <c r="P534" s="332"/>
      <c r="Q534" s="332"/>
      <c r="R534" s="332"/>
      <c r="S534" s="332"/>
      <c r="T534" s="332"/>
      <c r="U534" s="332"/>
      <c r="V534" s="332"/>
      <c r="W534" s="332"/>
      <c r="X534" s="332"/>
      <c r="Y534" s="332"/>
      <c r="Z534" s="332"/>
    </row>
    <row r="535" ht="15.75" customHeight="1">
      <c r="A535" s="27"/>
      <c r="B535" s="27"/>
      <c r="C535" s="27"/>
      <c r="D535" s="114"/>
      <c r="E535" s="114"/>
      <c r="F535" s="27"/>
      <c r="G535" s="27"/>
      <c r="H535" s="332"/>
      <c r="I535" s="332"/>
      <c r="J535" s="332"/>
      <c r="K535" s="332"/>
      <c r="L535" s="332"/>
      <c r="M535" s="332"/>
      <c r="N535" s="332"/>
      <c r="O535" s="332"/>
      <c r="P535" s="332"/>
      <c r="Q535" s="332"/>
      <c r="R535" s="332"/>
      <c r="S535" s="332"/>
      <c r="T535" s="332"/>
      <c r="U535" s="332"/>
      <c r="V535" s="332"/>
      <c r="W535" s="332"/>
      <c r="X535" s="332"/>
      <c r="Y535" s="332"/>
      <c r="Z535" s="332"/>
    </row>
    <row r="536" ht="15.75" customHeight="1">
      <c r="A536" s="27"/>
      <c r="B536" s="27"/>
      <c r="C536" s="27"/>
      <c r="D536" s="114"/>
      <c r="E536" s="114"/>
      <c r="F536" s="27"/>
      <c r="G536" s="27"/>
      <c r="H536" s="332"/>
      <c r="I536" s="332"/>
      <c r="J536" s="332"/>
      <c r="K536" s="332"/>
      <c r="L536" s="332"/>
      <c r="M536" s="332"/>
      <c r="N536" s="332"/>
      <c r="O536" s="332"/>
      <c r="P536" s="332"/>
      <c r="Q536" s="332"/>
      <c r="R536" s="332"/>
      <c r="S536" s="332"/>
      <c r="T536" s="332"/>
      <c r="U536" s="332"/>
      <c r="V536" s="332"/>
      <c r="W536" s="332"/>
      <c r="X536" s="332"/>
      <c r="Y536" s="332"/>
      <c r="Z536" s="332"/>
    </row>
    <row r="537" ht="15.75" customHeight="1">
      <c r="A537" s="27"/>
      <c r="B537" s="27"/>
      <c r="C537" s="27"/>
      <c r="D537" s="114"/>
      <c r="E537" s="114"/>
      <c r="F537" s="27"/>
      <c r="G537" s="27"/>
      <c r="H537" s="332"/>
      <c r="I537" s="332"/>
      <c r="J537" s="332"/>
      <c r="K537" s="332"/>
      <c r="L537" s="332"/>
      <c r="M537" s="332"/>
      <c r="N537" s="332"/>
      <c r="O537" s="332"/>
      <c r="P537" s="332"/>
      <c r="Q537" s="332"/>
      <c r="R537" s="332"/>
      <c r="S537" s="332"/>
      <c r="T537" s="332"/>
      <c r="U537" s="332"/>
      <c r="V537" s="332"/>
      <c r="W537" s="332"/>
      <c r="X537" s="332"/>
      <c r="Y537" s="332"/>
      <c r="Z537" s="332"/>
    </row>
    <row r="538" ht="15.75" customHeight="1">
      <c r="A538" s="27"/>
      <c r="B538" s="27"/>
      <c r="C538" s="27"/>
      <c r="D538" s="114"/>
      <c r="E538" s="114"/>
      <c r="F538" s="27"/>
      <c r="G538" s="27"/>
      <c r="H538" s="332"/>
      <c r="I538" s="332"/>
      <c r="J538" s="332"/>
      <c r="K538" s="332"/>
      <c r="L538" s="332"/>
      <c r="M538" s="332"/>
      <c r="N538" s="332"/>
      <c r="O538" s="332"/>
      <c r="P538" s="332"/>
      <c r="Q538" s="332"/>
      <c r="R538" s="332"/>
      <c r="S538" s="332"/>
      <c r="T538" s="332"/>
      <c r="U538" s="332"/>
      <c r="V538" s="332"/>
      <c r="W538" s="332"/>
      <c r="X538" s="332"/>
      <c r="Y538" s="332"/>
      <c r="Z538" s="332"/>
    </row>
    <row r="539" ht="15.75" customHeight="1">
      <c r="A539" s="27"/>
      <c r="B539" s="27"/>
      <c r="C539" s="27"/>
      <c r="D539" s="114"/>
      <c r="E539" s="114"/>
      <c r="F539" s="27"/>
      <c r="G539" s="27"/>
      <c r="H539" s="332"/>
      <c r="I539" s="332"/>
      <c r="J539" s="332"/>
      <c r="K539" s="332"/>
      <c r="L539" s="332"/>
      <c r="M539" s="332"/>
      <c r="N539" s="332"/>
      <c r="O539" s="332"/>
      <c r="P539" s="332"/>
      <c r="Q539" s="332"/>
      <c r="R539" s="332"/>
      <c r="S539" s="332"/>
      <c r="T539" s="332"/>
      <c r="U539" s="332"/>
      <c r="V539" s="332"/>
      <c r="W539" s="332"/>
      <c r="X539" s="332"/>
      <c r="Y539" s="332"/>
      <c r="Z539" s="332"/>
    </row>
    <row r="540" ht="15.75" customHeight="1">
      <c r="A540" s="27"/>
      <c r="B540" s="27"/>
      <c r="C540" s="27"/>
      <c r="D540" s="114"/>
      <c r="E540" s="114"/>
      <c r="F540" s="27"/>
      <c r="G540" s="27"/>
      <c r="H540" s="332"/>
      <c r="I540" s="332"/>
      <c r="J540" s="332"/>
      <c r="K540" s="332"/>
      <c r="L540" s="332"/>
      <c r="M540" s="332"/>
      <c r="N540" s="332"/>
      <c r="O540" s="332"/>
      <c r="P540" s="332"/>
      <c r="Q540" s="332"/>
      <c r="R540" s="332"/>
      <c r="S540" s="332"/>
      <c r="T540" s="332"/>
      <c r="U540" s="332"/>
      <c r="V540" s="332"/>
      <c r="W540" s="332"/>
      <c r="X540" s="332"/>
      <c r="Y540" s="332"/>
      <c r="Z540" s="332"/>
    </row>
    <row r="541" ht="15.75" customHeight="1">
      <c r="A541" s="27"/>
      <c r="B541" s="27"/>
      <c r="C541" s="27"/>
      <c r="D541" s="114"/>
      <c r="E541" s="114"/>
      <c r="F541" s="27"/>
      <c r="G541" s="27"/>
      <c r="H541" s="332"/>
      <c r="I541" s="332"/>
      <c r="J541" s="332"/>
      <c r="K541" s="332"/>
      <c r="L541" s="332"/>
      <c r="M541" s="332"/>
      <c r="N541" s="332"/>
      <c r="O541" s="332"/>
      <c r="P541" s="332"/>
      <c r="Q541" s="332"/>
      <c r="R541" s="332"/>
      <c r="S541" s="332"/>
      <c r="T541" s="332"/>
      <c r="U541" s="332"/>
      <c r="V541" s="332"/>
      <c r="W541" s="332"/>
      <c r="X541" s="332"/>
      <c r="Y541" s="332"/>
      <c r="Z541" s="332"/>
    </row>
    <row r="542" ht="15.75" customHeight="1">
      <c r="A542" s="27"/>
      <c r="B542" s="27"/>
      <c r="C542" s="27"/>
      <c r="D542" s="114"/>
      <c r="E542" s="114"/>
      <c r="F542" s="27"/>
      <c r="G542" s="27"/>
      <c r="H542" s="332"/>
      <c r="I542" s="332"/>
      <c r="J542" s="332"/>
      <c r="K542" s="332"/>
      <c r="L542" s="332"/>
      <c r="M542" s="332"/>
      <c r="N542" s="332"/>
      <c r="O542" s="332"/>
      <c r="P542" s="332"/>
      <c r="Q542" s="332"/>
      <c r="R542" s="332"/>
      <c r="S542" s="332"/>
      <c r="T542" s="332"/>
      <c r="U542" s="332"/>
      <c r="V542" s="332"/>
      <c r="W542" s="332"/>
      <c r="X542" s="332"/>
      <c r="Y542" s="332"/>
      <c r="Z542" s="332"/>
    </row>
    <row r="543" ht="15.75" customHeight="1">
      <c r="A543" s="27"/>
      <c r="B543" s="27"/>
      <c r="C543" s="27"/>
      <c r="D543" s="114"/>
      <c r="E543" s="114"/>
      <c r="F543" s="27"/>
      <c r="G543" s="27"/>
      <c r="H543" s="332"/>
      <c r="I543" s="332"/>
      <c r="J543" s="332"/>
      <c r="K543" s="332"/>
      <c r="L543" s="332"/>
      <c r="M543" s="332"/>
      <c r="N543" s="332"/>
      <c r="O543" s="332"/>
      <c r="P543" s="332"/>
      <c r="Q543" s="332"/>
      <c r="R543" s="332"/>
      <c r="S543" s="332"/>
      <c r="T543" s="332"/>
      <c r="U543" s="332"/>
      <c r="V543" s="332"/>
      <c r="W543" s="332"/>
      <c r="X543" s="332"/>
      <c r="Y543" s="332"/>
      <c r="Z543" s="332"/>
    </row>
    <row r="544" ht="15.75" customHeight="1">
      <c r="A544" s="27"/>
      <c r="B544" s="27"/>
      <c r="C544" s="27"/>
      <c r="D544" s="114"/>
      <c r="E544" s="114"/>
      <c r="F544" s="27"/>
      <c r="G544" s="27"/>
      <c r="H544" s="332"/>
      <c r="I544" s="332"/>
      <c r="J544" s="332"/>
      <c r="K544" s="332"/>
      <c r="L544" s="332"/>
      <c r="M544" s="332"/>
      <c r="N544" s="332"/>
      <c r="O544" s="332"/>
      <c r="P544" s="332"/>
      <c r="Q544" s="332"/>
      <c r="R544" s="332"/>
      <c r="S544" s="332"/>
      <c r="T544" s="332"/>
      <c r="U544" s="332"/>
      <c r="V544" s="332"/>
      <c r="W544" s="332"/>
      <c r="X544" s="332"/>
      <c r="Y544" s="332"/>
      <c r="Z544" s="332"/>
    </row>
    <row r="545" ht="15.75" customHeight="1">
      <c r="A545" s="27"/>
      <c r="B545" s="27"/>
      <c r="C545" s="27"/>
      <c r="D545" s="114"/>
      <c r="E545" s="114"/>
      <c r="F545" s="27"/>
      <c r="G545" s="27"/>
      <c r="H545" s="332"/>
      <c r="I545" s="332"/>
      <c r="J545" s="332"/>
      <c r="K545" s="332"/>
      <c r="L545" s="332"/>
      <c r="M545" s="332"/>
      <c r="N545" s="332"/>
      <c r="O545" s="332"/>
      <c r="P545" s="332"/>
      <c r="Q545" s="332"/>
      <c r="R545" s="332"/>
      <c r="S545" s="332"/>
      <c r="T545" s="332"/>
      <c r="U545" s="332"/>
      <c r="V545" s="332"/>
      <c r="W545" s="332"/>
      <c r="X545" s="332"/>
      <c r="Y545" s="332"/>
      <c r="Z545" s="332"/>
    </row>
    <row r="546" ht="15.75" customHeight="1">
      <c r="A546" s="27"/>
      <c r="B546" s="27"/>
      <c r="C546" s="27"/>
      <c r="D546" s="114"/>
      <c r="E546" s="114"/>
      <c r="F546" s="27"/>
      <c r="G546" s="27"/>
      <c r="H546" s="332"/>
      <c r="I546" s="332"/>
      <c r="J546" s="332"/>
      <c r="K546" s="332"/>
      <c r="L546" s="332"/>
      <c r="M546" s="332"/>
      <c r="N546" s="332"/>
      <c r="O546" s="332"/>
      <c r="P546" s="332"/>
      <c r="Q546" s="332"/>
      <c r="R546" s="332"/>
      <c r="S546" s="332"/>
      <c r="T546" s="332"/>
      <c r="U546" s="332"/>
      <c r="V546" s="332"/>
      <c r="W546" s="332"/>
      <c r="X546" s="332"/>
      <c r="Y546" s="332"/>
      <c r="Z546" s="332"/>
    </row>
    <row r="547" ht="15.75" customHeight="1">
      <c r="A547" s="27"/>
      <c r="B547" s="27"/>
      <c r="C547" s="27"/>
      <c r="D547" s="114"/>
      <c r="E547" s="114"/>
      <c r="F547" s="27"/>
      <c r="G547" s="27"/>
      <c r="H547" s="332"/>
      <c r="I547" s="332"/>
      <c r="J547" s="332"/>
      <c r="K547" s="332"/>
      <c r="L547" s="332"/>
      <c r="M547" s="332"/>
      <c r="N547" s="332"/>
      <c r="O547" s="332"/>
      <c r="P547" s="332"/>
      <c r="Q547" s="332"/>
      <c r="R547" s="332"/>
      <c r="S547" s="332"/>
      <c r="T547" s="332"/>
      <c r="U547" s="332"/>
      <c r="V547" s="332"/>
      <c r="W547" s="332"/>
      <c r="X547" s="332"/>
      <c r="Y547" s="332"/>
      <c r="Z547" s="332"/>
    </row>
    <row r="548" ht="15.75" customHeight="1">
      <c r="A548" s="27"/>
      <c r="B548" s="27"/>
      <c r="C548" s="27"/>
      <c r="D548" s="114"/>
      <c r="E548" s="114"/>
      <c r="F548" s="27"/>
      <c r="G548" s="27"/>
      <c r="H548" s="332"/>
      <c r="I548" s="332"/>
      <c r="J548" s="332"/>
      <c r="K548" s="332"/>
      <c r="L548" s="332"/>
      <c r="M548" s="332"/>
      <c r="N548" s="332"/>
      <c r="O548" s="332"/>
      <c r="P548" s="332"/>
      <c r="Q548" s="332"/>
      <c r="R548" s="332"/>
      <c r="S548" s="332"/>
      <c r="T548" s="332"/>
      <c r="U548" s="332"/>
      <c r="V548" s="332"/>
      <c r="W548" s="332"/>
      <c r="X548" s="332"/>
      <c r="Y548" s="332"/>
      <c r="Z548" s="332"/>
    </row>
    <row r="549" ht="15.75" customHeight="1">
      <c r="A549" s="27"/>
      <c r="B549" s="27"/>
      <c r="C549" s="27"/>
      <c r="D549" s="114"/>
      <c r="E549" s="114"/>
      <c r="F549" s="27"/>
      <c r="G549" s="27"/>
      <c r="H549" s="332"/>
      <c r="I549" s="332"/>
      <c r="J549" s="332"/>
      <c r="K549" s="332"/>
      <c r="L549" s="332"/>
      <c r="M549" s="332"/>
      <c r="N549" s="332"/>
      <c r="O549" s="332"/>
      <c r="P549" s="332"/>
      <c r="Q549" s="332"/>
      <c r="R549" s="332"/>
      <c r="S549" s="332"/>
      <c r="T549" s="332"/>
      <c r="U549" s="332"/>
      <c r="V549" s="332"/>
      <c r="W549" s="332"/>
      <c r="X549" s="332"/>
      <c r="Y549" s="332"/>
      <c r="Z549" s="332"/>
    </row>
    <row r="550" ht="15.75" customHeight="1">
      <c r="A550" s="27"/>
      <c r="B550" s="27"/>
      <c r="C550" s="27"/>
      <c r="D550" s="114"/>
      <c r="E550" s="114"/>
      <c r="F550" s="27"/>
      <c r="G550" s="27"/>
      <c r="H550" s="332"/>
      <c r="I550" s="332"/>
      <c r="J550" s="332"/>
      <c r="K550" s="332"/>
      <c r="L550" s="332"/>
      <c r="M550" s="332"/>
      <c r="N550" s="332"/>
      <c r="O550" s="332"/>
      <c r="P550" s="332"/>
      <c r="Q550" s="332"/>
      <c r="R550" s="332"/>
      <c r="S550" s="332"/>
      <c r="T550" s="332"/>
      <c r="U550" s="332"/>
      <c r="V550" s="332"/>
      <c r="W550" s="332"/>
      <c r="X550" s="332"/>
      <c r="Y550" s="332"/>
      <c r="Z550" s="332"/>
    </row>
    <row r="551" ht="15.75" customHeight="1">
      <c r="A551" s="27"/>
      <c r="B551" s="27"/>
      <c r="C551" s="27"/>
      <c r="D551" s="114"/>
      <c r="E551" s="114"/>
      <c r="F551" s="27"/>
      <c r="G551" s="27"/>
      <c r="H551" s="332"/>
      <c r="I551" s="332"/>
      <c r="J551" s="332"/>
      <c r="K551" s="332"/>
      <c r="L551" s="332"/>
      <c r="M551" s="332"/>
      <c r="N551" s="332"/>
      <c r="O551" s="332"/>
      <c r="P551" s="332"/>
      <c r="Q551" s="332"/>
      <c r="R551" s="332"/>
      <c r="S551" s="332"/>
      <c r="T551" s="332"/>
      <c r="U551" s="332"/>
      <c r="V551" s="332"/>
      <c r="W551" s="332"/>
      <c r="X551" s="332"/>
      <c r="Y551" s="332"/>
      <c r="Z551" s="332"/>
    </row>
    <row r="552" ht="15.75" customHeight="1">
      <c r="A552" s="27"/>
      <c r="B552" s="27"/>
      <c r="C552" s="27"/>
      <c r="D552" s="114"/>
      <c r="E552" s="114"/>
      <c r="F552" s="27"/>
      <c r="G552" s="27"/>
      <c r="H552" s="332"/>
      <c r="I552" s="332"/>
      <c r="J552" s="332"/>
      <c r="K552" s="332"/>
      <c r="L552" s="332"/>
      <c r="M552" s="332"/>
      <c r="N552" s="332"/>
      <c r="O552" s="332"/>
      <c r="P552" s="332"/>
      <c r="Q552" s="332"/>
      <c r="R552" s="332"/>
      <c r="S552" s="332"/>
      <c r="T552" s="332"/>
      <c r="U552" s="332"/>
      <c r="V552" s="332"/>
      <c r="W552" s="332"/>
      <c r="X552" s="332"/>
      <c r="Y552" s="332"/>
      <c r="Z552" s="332"/>
    </row>
    <row r="553" ht="15.75" customHeight="1">
      <c r="A553" s="27"/>
      <c r="B553" s="27"/>
      <c r="C553" s="27"/>
      <c r="D553" s="114"/>
      <c r="E553" s="114"/>
      <c r="F553" s="27"/>
      <c r="G553" s="27"/>
      <c r="H553" s="332"/>
      <c r="I553" s="332"/>
      <c r="J553" s="332"/>
      <c r="K553" s="332"/>
      <c r="L553" s="332"/>
      <c r="M553" s="332"/>
      <c r="N553" s="332"/>
      <c r="O553" s="332"/>
      <c r="P553" s="332"/>
      <c r="Q553" s="332"/>
      <c r="R553" s="332"/>
      <c r="S553" s="332"/>
      <c r="T553" s="332"/>
      <c r="U553" s="332"/>
      <c r="V553" s="332"/>
      <c r="W553" s="332"/>
      <c r="X553" s="332"/>
      <c r="Y553" s="332"/>
      <c r="Z553" s="332"/>
    </row>
    <row r="554" ht="15.75" customHeight="1">
      <c r="A554" s="27"/>
      <c r="B554" s="27"/>
      <c r="C554" s="27"/>
      <c r="D554" s="114"/>
      <c r="E554" s="114"/>
      <c r="F554" s="27"/>
      <c r="G554" s="27"/>
      <c r="H554" s="332"/>
      <c r="I554" s="332"/>
      <c r="J554" s="332"/>
      <c r="K554" s="332"/>
      <c r="L554" s="332"/>
      <c r="M554" s="332"/>
      <c r="N554" s="332"/>
      <c r="O554" s="332"/>
      <c r="P554" s="332"/>
      <c r="Q554" s="332"/>
      <c r="R554" s="332"/>
      <c r="S554" s="332"/>
      <c r="T554" s="332"/>
      <c r="U554" s="332"/>
      <c r="V554" s="332"/>
      <c r="W554" s="332"/>
      <c r="X554" s="332"/>
      <c r="Y554" s="332"/>
      <c r="Z554" s="332"/>
    </row>
    <row r="555" ht="15.75" customHeight="1">
      <c r="A555" s="27"/>
      <c r="B555" s="27"/>
      <c r="C555" s="27"/>
      <c r="D555" s="114"/>
      <c r="E555" s="114"/>
      <c r="F555" s="27"/>
      <c r="G555" s="27"/>
      <c r="H555" s="332"/>
      <c r="I555" s="332"/>
      <c r="J555" s="332"/>
      <c r="K555" s="332"/>
      <c r="L555" s="332"/>
      <c r="M555" s="332"/>
      <c r="N555" s="332"/>
      <c r="O555" s="332"/>
      <c r="P555" s="332"/>
      <c r="Q555" s="332"/>
      <c r="R555" s="332"/>
      <c r="S555" s="332"/>
      <c r="T555" s="332"/>
      <c r="U555" s="332"/>
      <c r="V555" s="332"/>
      <c r="W555" s="332"/>
      <c r="X555" s="332"/>
      <c r="Y555" s="332"/>
      <c r="Z555" s="332"/>
    </row>
    <row r="556" ht="15.75" customHeight="1">
      <c r="A556" s="27"/>
      <c r="B556" s="27"/>
      <c r="C556" s="27"/>
      <c r="D556" s="114"/>
      <c r="E556" s="114"/>
      <c r="F556" s="27"/>
      <c r="G556" s="27"/>
      <c r="H556" s="332"/>
      <c r="I556" s="332"/>
      <c r="J556" s="332"/>
      <c r="K556" s="332"/>
      <c r="L556" s="332"/>
      <c r="M556" s="332"/>
      <c r="N556" s="332"/>
      <c r="O556" s="332"/>
      <c r="P556" s="332"/>
      <c r="Q556" s="332"/>
      <c r="R556" s="332"/>
      <c r="S556" s="332"/>
      <c r="T556" s="332"/>
      <c r="U556" s="332"/>
      <c r="V556" s="332"/>
      <c r="W556" s="332"/>
      <c r="X556" s="332"/>
      <c r="Y556" s="332"/>
      <c r="Z556" s="332"/>
    </row>
    <row r="557" ht="15.75" customHeight="1">
      <c r="A557" s="27"/>
      <c r="B557" s="27"/>
      <c r="C557" s="27"/>
      <c r="D557" s="114"/>
      <c r="E557" s="114"/>
      <c r="F557" s="27"/>
      <c r="G557" s="27"/>
      <c r="H557" s="332"/>
      <c r="I557" s="332"/>
      <c r="J557" s="332"/>
      <c r="K557" s="332"/>
      <c r="L557" s="332"/>
      <c r="M557" s="332"/>
      <c r="N557" s="332"/>
      <c r="O557" s="332"/>
      <c r="P557" s="332"/>
      <c r="Q557" s="332"/>
      <c r="R557" s="332"/>
      <c r="S557" s="332"/>
      <c r="T557" s="332"/>
      <c r="U557" s="332"/>
      <c r="V557" s="332"/>
      <c r="W557" s="332"/>
      <c r="X557" s="332"/>
      <c r="Y557" s="332"/>
      <c r="Z557" s="332"/>
    </row>
    <row r="558" ht="15.75" customHeight="1">
      <c r="A558" s="27"/>
      <c r="B558" s="27"/>
      <c r="C558" s="27"/>
      <c r="D558" s="114"/>
      <c r="E558" s="114"/>
      <c r="F558" s="27"/>
      <c r="G558" s="27"/>
      <c r="H558" s="332"/>
      <c r="I558" s="332"/>
      <c r="J558" s="332"/>
      <c r="K558" s="332"/>
      <c r="L558" s="332"/>
      <c r="M558" s="332"/>
      <c r="N558" s="332"/>
      <c r="O558" s="332"/>
      <c r="P558" s="332"/>
      <c r="Q558" s="332"/>
      <c r="R558" s="332"/>
      <c r="S558" s="332"/>
      <c r="T558" s="332"/>
      <c r="U558" s="332"/>
      <c r="V558" s="332"/>
      <c r="W558" s="332"/>
      <c r="X558" s="332"/>
      <c r="Y558" s="332"/>
      <c r="Z558" s="332"/>
    </row>
    <row r="559" ht="15.75" customHeight="1">
      <c r="A559" s="27"/>
      <c r="B559" s="27"/>
      <c r="C559" s="27"/>
      <c r="D559" s="114"/>
      <c r="E559" s="114"/>
      <c r="F559" s="27"/>
      <c r="G559" s="27"/>
      <c r="H559" s="332"/>
      <c r="I559" s="332"/>
      <c r="J559" s="332"/>
      <c r="K559" s="332"/>
      <c r="L559" s="332"/>
      <c r="M559" s="332"/>
      <c r="N559" s="332"/>
      <c r="O559" s="332"/>
      <c r="P559" s="332"/>
      <c r="Q559" s="332"/>
      <c r="R559" s="332"/>
      <c r="S559" s="332"/>
      <c r="T559" s="332"/>
      <c r="U559" s="332"/>
      <c r="V559" s="332"/>
      <c r="W559" s="332"/>
      <c r="X559" s="332"/>
      <c r="Y559" s="332"/>
      <c r="Z559" s="332"/>
    </row>
    <row r="560" ht="15.75" customHeight="1">
      <c r="A560" s="27"/>
      <c r="B560" s="27"/>
      <c r="C560" s="27"/>
      <c r="D560" s="114"/>
      <c r="E560" s="114"/>
      <c r="F560" s="27"/>
      <c r="G560" s="27"/>
      <c r="H560" s="332"/>
      <c r="I560" s="332"/>
      <c r="J560" s="332"/>
      <c r="K560" s="332"/>
      <c r="L560" s="332"/>
      <c r="M560" s="332"/>
      <c r="N560" s="332"/>
      <c r="O560" s="332"/>
      <c r="P560" s="332"/>
      <c r="Q560" s="332"/>
      <c r="R560" s="332"/>
      <c r="S560" s="332"/>
      <c r="T560" s="332"/>
      <c r="U560" s="332"/>
      <c r="V560" s="332"/>
      <c r="W560" s="332"/>
      <c r="X560" s="332"/>
      <c r="Y560" s="332"/>
      <c r="Z560" s="332"/>
    </row>
    <row r="561" ht="15.75" customHeight="1">
      <c r="A561" s="27"/>
      <c r="B561" s="27"/>
      <c r="C561" s="27"/>
      <c r="D561" s="114"/>
      <c r="E561" s="114"/>
      <c r="F561" s="27"/>
      <c r="G561" s="27"/>
      <c r="H561" s="332"/>
      <c r="I561" s="332"/>
      <c r="J561" s="332"/>
      <c r="K561" s="332"/>
      <c r="L561" s="332"/>
      <c r="M561" s="332"/>
      <c r="N561" s="332"/>
      <c r="O561" s="332"/>
      <c r="P561" s="332"/>
      <c r="Q561" s="332"/>
      <c r="R561" s="332"/>
      <c r="S561" s="332"/>
      <c r="T561" s="332"/>
      <c r="U561" s="332"/>
      <c r="V561" s="332"/>
      <c r="W561" s="332"/>
      <c r="X561" s="332"/>
      <c r="Y561" s="332"/>
      <c r="Z561" s="332"/>
    </row>
    <row r="562" ht="15.75" customHeight="1">
      <c r="A562" s="27"/>
      <c r="B562" s="27"/>
      <c r="C562" s="27"/>
      <c r="D562" s="114"/>
      <c r="E562" s="114"/>
      <c r="F562" s="27"/>
      <c r="G562" s="27"/>
      <c r="H562" s="332"/>
      <c r="I562" s="332"/>
      <c r="J562" s="332"/>
      <c r="K562" s="332"/>
      <c r="L562" s="332"/>
      <c r="M562" s="332"/>
      <c r="N562" s="332"/>
      <c r="O562" s="332"/>
      <c r="P562" s="332"/>
      <c r="Q562" s="332"/>
      <c r="R562" s="332"/>
      <c r="S562" s="332"/>
      <c r="T562" s="332"/>
      <c r="U562" s="332"/>
      <c r="V562" s="332"/>
      <c r="W562" s="332"/>
      <c r="X562" s="332"/>
      <c r="Y562" s="332"/>
      <c r="Z562" s="332"/>
    </row>
    <row r="563" ht="15.75" customHeight="1">
      <c r="A563" s="27"/>
      <c r="B563" s="27"/>
      <c r="C563" s="27"/>
      <c r="D563" s="114"/>
      <c r="E563" s="114"/>
      <c r="F563" s="27"/>
      <c r="G563" s="27"/>
      <c r="H563" s="332"/>
      <c r="I563" s="332"/>
      <c r="J563" s="332"/>
      <c r="K563" s="332"/>
      <c r="L563" s="332"/>
      <c r="M563" s="332"/>
      <c r="N563" s="332"/>
      <c r="O563" s="332"/>
      <c r="P563" s="332"/>
      <c r="Q563" s="332"/>
      <c r="R563" s="332"/>
      <c r="S563" s="332"/>
      <c r="T563" s="332"/>
      <c r="U563" s="332"/>
      <c r="V563" s="332"/>
      <c r="W563" s="332"/>
      <c r="X563" s="332"/>
      <c r="Y563" s="332"/>
      <c r="Z563" s="332"/>
    </row>
    <row r="564" ht="15.75" customHeight="1">
      <c r="A564" s="27"/>
      <c r="B564" s="27"/>
      <c r="C564" s="27"/>
      <c r="D564" s="114"/>
      <c r="E564" s="114"/>
      <c r="F564" s="27"/>
      <c r="G564" s="27"/>
      <c r="H564" s="332"/>
      <c r="I564" s="332"/>
      <c r="J564" s="332"/>
      <c r="K564" s="332"/>
      <c r="L564" s="332"/>
      <c r="M564" s="332"/>
      <c r="N564" s="332"/>
      <c r="O564" s="332"/>
      <c r="P564" s="332"/>
      <c r="Q564" s="332"/>
      <c r="R564" s="332"/>
      <c r="S564" s="332"/>
      <c r="T564" s="332"/>
      <c r="U564" s="332"/>
      <c r="V564" s="332"/>
      <c r="W564" s="332"/>
      <c r="X564" s="332"/>
      <c r="Y564" s="332"/>
      <c r="Z564" s="332"/>
    </row>
    <row r="565" ht="15.75" customHeight="1">
      <c r="A565" s="27"/>
      <c r="B565" s="27"/>
      <c r="C565" s="27"/>
      <c r="D565" s="114"/>
      <c r="E565" s="114"/>
      <c r="F565" s="27"/>
      <c r="G565" s="27"/>
      <c r="H565" s="332"/>
      <c r="I565" s="332"/>
      <c r="J565" s="332"/>
      <c r="K565" s="332"/>
      <c r="L565" s="332"/>
      <c r="M565" s="332"/>
      <c r="N565" s="332"/>
      <c r="O565" s="332"/>
      <c r="P565" s="332"/>
      <c r="Q565" s="332"/>
      <c r="R565" s="332"/>
      <c r="S565" s="332"/>
      <c r="T565" s="332"/>
      <c r="U565" s="332"/>
      <c r="V565" s="332"/>
      <c r="W565" s="332"/>
      <c r="X565" s="332"/>
      <c r="Y565" s="332"/>
      <c r="Z565" s="332"/>
    </row>
    <row r="566" ht="15.75" customHeight="1">
      <c r="A566" s="27"/>
      <c r="B566" s="27"/>
      <c r="C566" s="27"/>
      <c r="D566" s="114"/>
      <c r="E566" s="114"/>
      <c r="F566" s="27"/>
      <c r="G566" s="27"/>
      <c r="H566" s="332"/>
      <c r="I566" s="332"/>
      <c r="J566" s="332"/>
      <c r="K566" s="332"/>
      <c r="L566" s="332"/>
      <c r="M566" s="332"/>
      <c r="N566" s="332"/>
      <c r="O566" s="332"/>
      <c r="P566" s="332"/>
      <c r="Q566" s="332"/>
      <c r="R566" s="332"/>
      <c r="S566" s="332"/>
      <c r="T566" s="332"/>
      <c r="U566" s="332"/>
      <c r="V566" s="332"/>
      <c r="W566" s="332"/>
      <c r="X566" s="332"/>
      <c r="Y566" s="332"/>
      <c r="Z566" s="332"/>
    </row>
    <row r="567" ht="15.75" customHeight="1">
      <c r="A567" s="27"/>
      <c r="B567" s="27"/>
      <c r="C567" s="27"/>
      <c r="D567" s="114"/>
      <c r="E567" s="114"/>
      <c r="F567" s="27"/>
      <c r="G567" s="27"/>
      <c r="H567" s="332"/>
      <c r="I567" s="332"/>
      <c r="J567" s="332"/>
      <c r="K567" s="332"/>
      <c r="L567" s="332"/>
      <c r="M567" s="332"/>
      <c r="N567" s="332"/>
      <c r="O567" s="332"/>
      <c r="P567" s="332"/>
      <c r="Q567" s="332"/>
      <c r="R567" s="332"/>
      <c r="S567" s="332"/>
      <c r="T567" s="332"/>
      <c r="U567" s="332"/>
      <c r="V567" s="332"/>
      <c r="W567" s="332"/>
      <c r="X567" s="332"/>
      <c r="Y567" s="332"/>
      <c r="Z567" s="332"/>
    </row>
    <row r="568" ht="15.75" customHeight="1">
      <c r="A568" s="27"/>
      <c r="B568" s="27"/>
      <c r="C568" s="27"/>
      <c r="D568" s="114"/>
      <c r="E568" s="114"/>
      <c r="F568" s="27"/>
      <c r="G568" s="27"/>
      <c r="H568" s="332"/>
      <c r="I568" s="332"/>
      <c r="J568" s="332"/>
      <c r="K568" s="332"/>
      <c r="L568" s="332"/>
      <c r="M568" s="332"/>
      <c r="N568" s="332"/>
      <c r="O568" s="332"/>
      <c r="P568" s="332"/>
      <c r="Q568" s="332"/>
      <c r="R568" s="332"/>
      <c r="S568" s="332"/>
      <c r="T568" s="332"/>
      <c r="U568" s="332"/>
      <c r="V568" s="332"/>
      <c r="W568" s="332"/>
      <c r="X568" s="332"/>
      <c r="Y568" s="332"/>
      <c r="Z568" s="332"/>
    </row>
    <row r="569" ht="15.75" customHeight="1">
      <c r="A569" s="27"/>
      <c r="B569" s="27"/>
      <c r="C569" s="27"/>
      <c r="D569" s="114"/>
      <c r="E569" s="114"/>
      <c r="F569" s="27"/>
      <c r="G569" s="27"/>
      <c r="H569" s="332"/>
      <c r="I569" s="332"/>
      <c r="J569" s="332"/>
      <c r="K569" s="332"/>
      <c r="L569" s="332"/>
      <c r="M569" s="332"/>
      <c r="N569" s="332"/>
      <c r="O569" s="332"/>
      <c r="P569" s="332"/>
      <c r="Q569" s="332"/>
      <c r="R569" s="332"/>
      <c r="S569" s="332"/>
      <c r="T569" s="332"/>
      <c r="U569" s="332"/>
      <c r="V569" s="332"/>
      <c r="W569" s="332"/>
      <c r="X569" s="332"/>
      <c r="Y569" s="332"/>
      <c r="Z569" s="332"/>
    </row>
    <row r="570" ht="15.75" customHeight="1">
      <c r="A570" s="27"/>
      <c r="B570" s="27"/>
      <c r="C570" s="27"/>
      <c r="D570" s="114"/>
      <c r="E570" s="114"/>
      <c r="F570" s="27"/>
      <c r="G570" s="27"/>
      <c r="H570" s="332"/>
      <c r="I570" s="332"/>
      <c r="J570" s="332"/>
      <c r="K570" s="332"/>
      <c r="L570" s="332"/>
      <c r="M570" s="332"/>
      <c r="N570" s="332"/>
      <c r="O570" s="332"/>
      <c r="P570" s="332"/>
      <c r="Q570" s="332"/>
      <c r="R570" s="332"/>
      <c r="S570" s="332"/>
      <c r="T570" s="332"/>
      <c r="U570" s="332"/>
      <c r="V570" s="332"/>
      <c r="W570" s="332"/>
      <c r="X570" s="332"/>
      <c r="Y570" s="332"/>
      <c r="Z570" s="332"/>
    </row>
    <row r="571" ht="15.75" customHeight="1">
      <c r="A571" s="27"/>
      <c r="B571" s="27"/>
      <c r="C571" s="27"/>
      <c r="D571" s="114"/>
      <c r="E571" s="114"/>
      <c r="F571" s="27"/>
      <c r="G571" s="27"/>
      <c r="H571" s="332"/>
      <c r="I571" s="332"/>
      <c r="J571" s="332"/>
      <c r="K571" s="332"/>
      <c r="L571" s="332"/>
      <c r="M571" s="332"/>
      <c r="N571" s="332"/>
      <c r="O571" s="332"/>
      <c r="P571" s="332"/>
      <c r="Q571" s="332"/>
      <c r="R571" s="332"/>
      <c r="S571" s="332"/>
      <c r="T571" s="332"/>
      <c r="U571" s="332"/>
      <c r="V571" s="332"/>
      <c r="W571" s="332"/>
      <c r="X571" s="332"/>
      <c r="Y571" s="332"/>
      <c r="Z571" s="332"/>
    </row>
    <row r="572" ht="15.75" customHeight="1">
      <c r="A572" s="27"/>
      <c r="B572" s="27"/>
      <c r="C572" s="27"/>
      <c r="D572" s="114"/>
      <c r="E572" s="114"/>
      <c r="F572" s="27"/>
      <c r="G572" s="27"/>
      <c r="H572" s="332"/>
      <c r="I572" s="332"/>
      <c r="J572" s="332"/>
      <c r="K572" s="332"/>
      <c r="L572" s="332"/>
      <c r="M572" s="332"/>
      <c r="N572" s="332"/>
      <c r="O572" s="332"/>
      <c r="P572" s="332"/>
      <c r="Q572" s="332"/>
      <c r="R572" s="332"/>
      <c r="S572" s="332"/>
      <c r="T572" s="332"/>
      <c r="U572" s="332"/>
      <c r="V572" s="332"/>
      <c r="W572" s="332"/>
      <c r="X572" s="332"/>
      <c r="Y572" s="332"/>
      <c r="Z572" s="332"/>
    </row>
    <row r="573" ht="15.75" customHeight="1">
      <c r="A573" s="27"/>
      <c r="B573" s="27"/>
      <c r="C573" s="27"/>
      <c r="D573" s="114"/>
      <c r="E573" s="114"/>
      <c r="F573" s="27"/>
      <c r="G573" s="27"/>
      <c r="H573" s="332"/>
      <c r="I573" s="332"/>
      <c r="J573" s="332"/>
      <c r="K573" s="332"/>
      <c r="L573" s="332"/>
      <c r="M573" s="332"/>
      <c r="N573" s="332"/>
      <c r="O573" s="332"/>
      <c r="P573" s="332"/>
      <c r="Q573" s="332"/>
      <c r="R573" s="332"/>
      <c r="S573" s="332"/>
      <c r="T573" s="332"/>
      <c r="U573" s="332"/>
      <c r="V573" s="332"/>
      <c r="W573" s="332"/>
      <c r="X573" s="332"/>
      <c r="Y573" s="332"/>
      <c r="Z573" s="332"/>
    </row>
    <row r="574" ht="15.75" customHeight="1">
      <c r="A574" s="27"/>
      <c r="B574" s="27"/>
      <c r="C574" s="27"/>
      <c r="D574" s="114"/>
      <c r="E574" s="114"/>
      <c r="F574" s="27"/>
      <c r="G574" s="27"/>
      <c r="H574" s="332"/>
      <c r="I574" s="332"/>
      <c r="J574" s="332"/>
      <c r="K574" s="332"/>
      <c r="L574" s="332"/>
      <c r="M574" s="332"/>
      <c r="N574" s="332"/>
      <c r="O574" s="332"/>
      <c r="P574" s="332"/>
      <c r="Q574" s="332"/>
      <c r="R574" s="332"/>
      <c r="S574" s="332"/>
      <c r="T574" s="332"/>
      <c r="U574" s="332"/>
      <c r="V574" s="332"/>
      <c r="W574" s="332"/>
      <c r="X574" s="332"/>
      <c r="Y574" s="332"/>
      <c r="Z574" s="332"/>
    </row>
    <row r="575" ht="15.75" customHeight="1">
      <c r="A575" s="27"/>
      <c r="B575" s="27"/>
      <c r="C575" s="27"/>
      <c r="D575" s="114"/>
      <c r="E575" s="114"/>
      <c r="F575" s="27"/>
      <c r="G575" s="27"/>
      <c r="H575" s="332"/>
      <c r="I575" s="332"/>
      <c r="J575" s="332"/>
      <c r="K575" s="332"/>
      <c r="L575" s="332"/>
      <c r="M575" s="332"/>
      <c r="N575" s="332"/>
      <c r="O575" s="332"/>
      <c r="P575" s="332"/>
      <c r="Q575" s="332"/>
      <c r="R575" s="332"/>
      <c r="S575" s="332"/>
      <c r="T575" s="332"/>
      <c r="U575" s="332"/>
      <c r="V575" s="332"/>
      <c r="W575" s="332"/>
      <c r="X575" s="332"/>
      <c r="Y575" s="332"/>
      <c r="Z575" s="332"/>
    </row>
    <row r="576" ht="15.75" customHeight="1">
      <c r="A576" s="27"/>
      <c r="B576" s="27"/>
      <c r="C576" s="27"/>
      <c r="D576" s="114"/>
      <c r="E576" s="114"/>
      <c r="F576" s="27"/>
      <c r="G576" s="27"/>
      <c r="H576" s="332"/>
      <c r="I576" s="332"/>
      <c r="J576" s="332"/>
      <c r="K576" s="332"/>
      <c r="L576" s="332"/>
      <c r="M576" s="332"/>
      <c r="N576" s="332"/>
      <c r="O576" s="332"/>
      <c r="P576" s="332"/>
      <c r="Q576" s="332"/>
      <c r="R576" s="332"/>
      <c r="S576" s="332"/>
      <c r="T576" s="332"/>
      <c r="U576" s="332"/>
      <c r="V576" s="332"/>
      <c r="W576" s="332"/>
      <c r="X576" s="332"/>
      <c r="Y576" s="332"/>
      <c r="Z576" s="332"/>
    </row>
    <row r="577" ht="15.75" customHeight="1">
      <c r="A577" s="27"/>
      <c r="B577" s="27"/>
      <c r="C577" s="27"/>
      <c r="D577" s="114"/>
      <c r="E577" s="114"/>
      <c r="F577" s="27"/>
      <c r="G577" s="27"/>
      <c r="H577" s="332"/>
      <c r="I577" s="332"/>
      <c r="J577" s="332"/>
      <c r="K577" s="332"/>
      <c r="L577" s="332"/>
      <c r="M577" s="332"/>
      <c r="N577" s="332"/>
      <c r="O577" s="332"/>
      <c r="P577" s="332"/>
      <c r="Q577" s="332"/>
      <c r="R577" s="332"/>
      <c r="S577" s="332"/>
      <c r="T577" s="332"/>
      <c r="U577" s="332"/>
      <c r="V577" s="332"/>
      <c r="W577" s="332"/>
      <c r="X577" s="332"/>
      <c r="Y577" s="332"/>
      <c r="Z577" s="332"/>
    </row>
    <row r="578" ht="15.75" customHeight="1">
      <c r="A578" s="27"/>
      <c r="B578" s="27"/>
      <c r="C578" s="27"/>
      <c r="D578" s="114"/>
      <c r="E578" s="114"/>
      <c r="F578" s="27"/>
      <c r="G578" s="27"/>
      <c r="H578" s="332"/>
      <c r="I578" s="332"/>
      <c r="J578" s="332"/>
      <c r="K578" s="332"/>
      <c r="L578" s="332"/>
      <c r="M578" s="332"/>
      <c r="N578" s="332"/>
      <c r="O578" s="332"/>
      <c r="P578" s="332"/>
      <c r="Q578" s="332"/>
      <c r="R578" s="332"/>
      <c r="S578" s="332"/>
      <c r="T578" s="332"/>
      <c r="U578" s="332"/>
      <c r="V578" s="332"/>
      <c r="W578" s="332"/>
      <c r="X578" s="332"/>
      <c r="Y578" s="332"/>
      <c r="Z578" s="332"/>
    </row>
    <row r="579" ht="15.75" customHeight="1">
      <c r="A579" s="27"/>
      <c r="B579" s="27"/>
      <c r="C579" s="27"/>
      <c r="D579" s="114"/>
      <c r="E579" s="114"/>
      <c r="F579" s="27"/>
      <c r="G579" s="27"/>
      <c r="H579" s="332"/>
      <c r="I579" s="332"/>
      <c r="J579" s="332"/>
      <c r="K579" s="332"/>
      <c r="L579" s="332"/>
      <c r="M579" s="332"/>
      <c r="N579" s="332"/>
      <c r="O579" s="332"/>
      <c r="P579" s="332"/>
      <c r="Q579" s="332"/>
      <c r="R579" s="332"/>
      <c r="S579" s="332"/>
      <c r="T579" s="332"/>
      <c r="U579" s="332"/>
      <c r="V579" s="332"/>
      <c r="W579" s="332"/>
      <c r="X579" s="332"/>
      <c r="Y579" s="332"/>
      <c r="Z579" s="332"/>
    </row>
    <row r="580" ht="15.75" customHeight="1">
      <c r="A580" s="27"/>
      <c r="B580" s="27"/>
      <c r="C580" s="27"/>
      <c r="D580" s="114"/>
      <c r="E580" s="114"/>
      <c r="F580" s="27"/>
      <c r="G580" s="27"/>
      <c r="H580" s="332"/>
      <c r="I580" s="332"/>
      <c r="J580" s="332"/>
      <c r="K580" s="332"/>
      <c r="L580" s="332"/>
      <c r="M580" s="332"/>
      <c r="N580" s="332"/>
      <c r="O580" s="332"/>
      <c r="P580" s="332"/>
      <c r="Q580" s="332"/>
      <c r="R580" s="332"/>
      <c r="S580" s="332"/>
      <c r="T580" s="332"/>
      <c r="U580" s="332"/>
      <c r="V580" s="332"/>
      <c r="W580" s="332"/>
      <c r="X580" s="332"/>
      <c r="Y580" s="332"/>
      <c r="Z580" s="332"/>
    </row>
    <row r="581" ht="15.75" customHeight="1">
      <c r="A581" s="27"/>
      <c r="B581" s="27"/>
      <c r="C581" s="27"/>
      <c r="D581" s="114"/>
      <c r="E581" s="114"/>
      <c r="F581" s="27"/>
      <c r="G581" s="27"/>
      <c r="H581" s="332"/>
      <c r="I581" s="332"/>
      <c r="J581" s="332"/>
      <c r="K581" s="332"/>
      <c r="L581" s="332"/>
      <c r="M581" s="332"/>
      <c r="N581" s="332"/>
      <c r="O581" s="332"/>
      <c r="P581" s="332"/>
      <c r="Q581" s="332"/>
      <c r="R581" s="332"/>
      <c r="S581" s="332"/>
      <c r="T581" s="332"/>
      <c r="U581" s="332"/>
      <c r="V581" s="332"/>
      <c r="W581" s="332"/>
      <c r="X581" s="332"/>
      <c r="Y581" s="332"/>
      <c r="Z581" s="332"/>
    </row>
    <row r="582" ht="15.75" customHeight="1">
      <c r="A582" s="27"/>
      <c r="B582" s="27"/>
      <c r="C582" s="27"/>
      <c r="D582" s="114"/>
      <c r="E582" s="114"/>
      <c r="F582" s="27"/>
      <c r="G582" s="27"/>
      <c r="H582" s="332"/>
      <c r="I582" s="332"/>
      <c r="J582" s="332"/>
      <c r="K582" s="332"/>
      <c r="L582" s="332"/>
      <c r="M582" s="332"/>
      <c r="N582" s="332"/>
      <c r="O582" s="332"/>
      <c r="P582" s="332"/>
      <c r="Q582" s="332"/>
      <c r="R582" s="332"/>
      <c r="S582" s="332"/>
      <c r="T582" s="332"/>
      <c r="U582" s="332"/>
      <c r="V582" s="332"/>
      <c r="W582" s="332"/>
      <c r="X582" s="332"/>
      <c r="Y582" s="332"/>
      <c r="Z582" s="332"/>
    </row>
    <row r="583" ht="15.75" customHeight="1">
      <c r="A583" s="27"/>
      <c r="B583" s="27"/>
      <c r="C583" s="27"/>
      <c r="D583" s="114"/>
      <c r="E583" s="114"/>
      <c r="F583" s="27"/>
      <c r="G583" s="27"/>
      <c r="H583" s="332"/>
      <c r="I583" s="332"/>
      <c r="J583" s="332"/>
      <c r="K583" s="332"/>
      <c r="L583" s="332"/>
      <c r="M583" s="332"/>
      <c r="N583" s="332"/>
      <c r="O583" s="332"/>
      <c r="P583" s="332"/>
      <c r="Q583" s="332"/>
      <c r="R583" s="332"/>
      <c r="S583" s="332"/>
      <c r="T583" s="332"/>
      <c r="U583" s="332"/>
      <c r="V583" s="332"/>
      <c r="W583" s="332"/>
      <c r="X583" s="332"/>
      <c r="Y583" s="332"/>
      <c r="Z583" s="332"/>
    </row>
    <row r="584" ht="15.75" customHeight="1">
      <c r="A584" s="27"/>
      <c r="B584" s="27"/>
      <c r="C584" s="27"/>
      <c r="D584" s="114"/>
      <c r="E584" s="114"/>
      <c r="F584" s="27"/>
      <c r="G584" s="27"/>
      <c r="H584" s="332"/>
      <c r="I584" s="332"/>
      <c r="J584" s="332"/>
      <c r="K584" s="332"/>
      <c r="L584" s="332"/>
      <c r="M584" s="332"/>
      <c r="N584" s="332"/>
      <c r="O584" s="332"/>
      <c r="P584" s="332"/>
      <c r="Q584" s="332"/>
      <c r="R584" s="332"/>
      <c r="S584" s="332"/>
      <c r="T584" s="332"/>
      <c r="U584" s="332"/>
      <c r="V584" s="332"/>
      <c r="W584" s="332"/>
      <c r="X584" s="332"/>
      <c r="Y584" s="332"/>
      <c r="Z584" s="332"/>
    </row>
    <row r="585" ht="15.75" customHeight="1">
      <c r="A585" s="27"/>
      <c r="B585" s="27"/>
      <c r="C585" s="27"/>
      <c r="D585" s="114"/>
      <c r="E585" s="114"/>
      <c r="F585" s="27"/>
      <c r="G585" s="27"/>
      <c r="H585" s="332"/>
      <c r="I585" s="332"/>
      <c r="J585" s="332"/>
      <c r="K585" s="332"/>
      <c r="L585" s="332"/>
      <c r="M585" s="332"/>
      <c r="N585" s="332"/>
      <c r="O585" s="332"/>
      <c r="P585" s="332"/>
      <c r="Q585" s="332"/>
      <c r="R585" s="332"/>
      <c r="S585" s="332"/>
      <c r="T585" s="332"/>
      <c r="U585" s="332"/>
      <c r="V585" s="332"/>
      <c r="W585" s="332"/>
      <c r="X585" s="332"/>
      <c r="Y585" s="332"/>
      <c r="Z585" s="332"/>
    </row>
    <row r="586" ht="15.75" customHeight="1">
      <c r="A586" s="27"/>
      <c r="B586" s="27"/>
      <c r="C586" s="27"/>
      <c r="D586" s="114"/>
      <c r="E586" s="114"/>
      <c r="F586" s="27"/>
      <c r="G586" s="27"/>
      <c r="H586" s="332"/>
      <c r="I586" s="332"/>
      <c r="J586" s="332"/>
      <c r="K586" s="332"/>
      <c r="L586" s="332"/>
      <c r="M586" s="332"/>
      <c r="N586" s="332"/>
      <c r="O586" s="332"/>
      <c r="P586" s="332"/>
      <c r="Q586" s="332"/>
      <c r="R586" s="332"/>
      <c r="S586" s="332"/>
      <c r="T586" s="332"/>
      <c r="U586" s="332"/>
      <c r="V586" s="332"/>
      <c r="W586" s="332"/>
      <c r="X586" s="332"/>
      <c r="Y586" s="332"/>
      <c r="Z586" s="332"/>
    </row>
    <row r="587" ht="15.75" customHeight="1">
      <c r="A587" s="27"/>
      <c r="B587" s="27"/>
      <c r="C587" s="27"/>
      <c r="D587" s="114"/>
      <c r="E587" s="114"/>
      <c r="F587" s="27"/>
      <c r="G587" s="27"/>
      <c r="H587" s="332"/>
      <c r="I587" s="332"/>
      <c r="J587" s="332"/>
      <c r="K587" s="332"/>
      <c r="L587" s="332"/>
      <c r="M587" s="332"/>
      <c r="N587" s="332"/>
      <c r="O587" s="332"/>
      <c r="P587" s="332"/>
      <c r="Q587" s="332"/>
      <c r="R587" s="332"/>
      <c r="S587" s="332"/>
      <c r="T587" s="332"/>
      <c r="U587" s="332"/>
      <c r="V587" s="332"/>
      <c r="W587" s="332"/>
      <c r="X587" s="332"/>
      <c r="Y587" s="332"/>
      <c r="Z587" s="332"/>
    </row>
    <row r="588" ht="15.75" customHeight="1">
      <c r="A588" s="27"/>
      <c r="B588" s="27"/>
      <c r="C588" s="27"/>
      <c r="D588" s="114"/>
      <c r="E588" s="114"/>
      <c r="F588" s="27"/>
      <c r="G588" s="27"/>
      <c r="H588" s="332"/>
      <c r="I588" s="332"/>
      <c r="J588" s="332"/>
      <c r="K588" s="332"/>
      <c r="L588" s="332"/>
      <c r="M588" s="332"/>
      <c r="N588" s="332"/>
      <c r="O588" s="332"/>
      <c r="P588" s="332"/>
      <c r="Q588" s="332"/>
      <c r="R588" s="332"/>
      <c r="S588" s="332"/>
      <c r="T588" s="332"/>
      <c r="U588" s="332"/>
      <c r="V588" s="332"/>
      <c r="W588" s="332"/>
      <c r="X588" s="332"/>
      <c r="Y588" s="332"/>
      <c r="Z588" s="332"/>
    </row>
    <row r="589" ht="15.75" customHeight="1">
      <c r="A589" s="27"/>
      <c r="B589" s="27"/>
      <c r="C589" s="27"/>
      <c r="D589" s="114"/>
      <c r="E589" s="114"/>
      <c r="F589" s="27"/>
      <c r="G589" s="27"/>
      <c r="H589" s="332"/>
      <c r="I589" s="332"/>
      <c r="J589" s="332"/>
      <c r="K589" s="332"/>
      <c r="L589" s="332"/>
      <c r="M589" s="332"/>
      <c r="N589" s="332"/>
      <c r="O589" s="332"/>
      <c r="P589" s="332"/>
      <c r="Q589" s="332"/>
      <c r="R589" s="332"/>
      <c r="S589" s="332"/>
      <c r="T589" s="332"/>
      <c r="U589" s="332"/>
      <c r="V589" s="332"/>
      <c r="W589" s="332"/>
      <c r="X589" s="332"/>
      <c r="Y589" s="332"/>
      <c r="Z589" s="332"/>
    </row>
    <row r="590" ht="15.75" customHeight="1">
      <c r="A590" s="27"/>
      <c r="B590" s="27"/>
      <c r="C590" s="27"/>
      <c r="D590" s="114"/>
      <c r="E590" s="114"/>
      <c r="F590" s="27"/>
      <c r="G590" s="27"/>
      <c r="H590" s="332"/>
      <c r="I590" s="332"/>
      <c r="J590" s="332"/>
      <c r="K590" s="332"/>
      <c r="L590" s="332"/>
      <c r="M590" s="332"/>
      <c r="N590" s="332"/>
      <c r="O590" s="332"/>
      <c r="P590" s="332"/>
      <c r="Q590" s="332"/>
      <c r="R590" s="332"/>
      <c r="S590" s="332"/>
      <c r="T590" s="332"/>
      <c r="U590" s="332"/>
      <c r="V590" s="332"/>
      <c r="W590" s="332"/>
      <c r="X590" s="332"/>
      <c r="Y590" s="332"/>
      <c r="Z590" s="332"/>
    </row>
    <row r="591" ht="15.75" customHeight="1">
      <c r="A591" s="27"/>
      <c r="B591" s="27"/>
      <c r="C591" s="27"/>
      <c r="D591" s="114"/>
      <c r="E591" s="114"/>
      <c r="F591" s="27"/>
      <c r="G591" s="27"/>
      <c r="H591" s="332"/>
      <c r="I591" s="332"/>
      <c r="J591" s="332"/>
      <c r="K591" s="332"/>
      <c r="L591" s="332"/>
      <c r="M591" s="332"/>
      <c r="N591" s="332"/>
      <c r="O591" s="332"/>
      <c r="P591" s="332"/>
      <c r="Q591" s="332"/>
      <c r="R591" s="332"/>
      <c r="S591" s="332"/>
      <c r="T591" s="332"/>
      <c r="U591" s="332"/>
      <c r="V591" s="332"/>
      <c r="W591" s="332"/>
      <c r="X591" s="332"/>
      <c r="Y591" s="332"/>
      <c r="Z591" s="332"/>
    </row>
    <row r="592" ht="15.75" customHeight="1">
      <c r="A592" s="27"/>
      <c r="B592" s="27"/>
      <c r="C592" s="27"/>
      <c r="D592" s="114"/>
      <c r="E592" s="114"/>
      <c r="F592" s="27"/>
      <c r="G592" s="27"/>
      <c r="H592" s="332"/>
      <c r="I592" s="332"/>
      <c r="J592" s="332"/>
      <c r="K592" s="332"/>
      <c r="L592" s="332"/>
      <c r="M592" s="332"/>
      <c r="N592" s="332"/>
      <c r="O592" s="332"/>
      <c r="P592" s="332"/>
      <c r="Q592" s="332"/>
      <c r="R592" s="332"/>
      <c r="S592" s="332"/>
      <c r="T592" s="332"/>
      <c r="U592" s="332"/>
      <c r="V592" s="332"/>
      <c r="W592" s="332"/>
      <c r="X592" s="332"/>
      <c r="Y592" s="332"/>
      <c r="Z592" s="332"/>
    </row>
    <row r="593" ht="15.75" customHeight="1">
      <c r="A593" s="27"/>
      <c r="B593" s="27"/>
      <c r="C593" s="27"/>
      <c r="D593" s="114"/>
      <c r="E593" s="114"/>
      <c r="F593" s="27"/>
      <c r="G593" s="27"/>
      <c r="H593" s="332"/>
      <c r="I593" s="332"/>
      <c r="J593" s="332"/>
      <c r="K593" s="332"/>
      <c r="L593" s="332"/>
      <c r="M593" s="332"/>
      <c r="N593" s="332"/>
      <c r="O593" s="332"/>
      <c r="P593" s="332"/>
      <c r="Q593" s="332"/>
      <c r="R593" s="332"/>
      <c r="S593" s="332"/>
      <c r="T593" s="332"/>
      <c r="U593" s="332"/>
      <c r="V593" s="332"/>
      <c r="W593" s="332"/>
      <c r="X593" s="332"/>
      <c r="Y593" s="332"/>
      <c r="Z593" s="332"/>
    </row>
    <row r="594" ht="15.75" customHeight="1">
      <c r="A594" s="27"/>
      <c r="B594" s="27"/>
      <c r="C594" s="27"/>
      <c r="D594" s="114"/>
      <c r="E594" s="114"/>
      <c r="F594" s="27"/>
      <c r="G594" s="27"/>
      <c r="H594" s="332"/>
      <c r="I594" s="332"/>
      <c r="J594" s="332"/>
      <c r="K594" s="332"/>
      <c r="L594" s="332"/>
      <c r="M594" s="332"/>
      <c r="N594" s="332"/>
      <c r="O594" s="332"/>
      <c r="P594" s="332"/>
      <c r="Q594" s="332"/>
      <c r="R594" s="332"/>
      <c r="S594" s="332"/>
      <c r="T594" s="332"/>
      <c r="U594" s="332"/>
      <c r="V594" s="332"/>
      <c r="W594" s="332"/>
      <c r="X594" s="332"/>
      <c r="Y594" s="332"/>
      <c r="Z594" s="332"/>
    </row>
    <row r="595" ht="15.75" customHeight="1">
      <c r="A595" s="27"/>
      <c r="B595" s="27"/>
      <c r="C595" s="27"/>
      <c r="D595" s="114"/>
      <c r="E595" s="114"/>
      <c r="F595" s="27"/>
      <c r="G595" s="27"/>
      <c r="H595" s="332"/>
      <c r="I595" s="332"/>
      <c r="J595" s="332"/>
      <c r="K595" s="332"/>
      <c r="L595" s="332"/>
      <c r="M595" s="332"/>
      <c r="N595" s="332"/>
      <c r="O595" s="332"/>
      <c r="P595" s="332"/>
      <c r="Q595" s="332"/>
      <c r="R595" s="332"/>
      <c r="S595" s="332"/>
      <c r="T595" s="332"/>
      <c r="U595" s="332"/>
      <c r="V595" s="332"/>
      <c r="W595" s="332"/>
      <c r="X595" s="332"/>
      <c r="Y595" s="332"/>
      <c r="Z595" s="332"/>
    </row>
    <row r="596" ht="15.75" customHeight="1">
      <c r="A596" s="27"/>
      <c r="B596" s="27"/>
      <c r="C596" s="27"/>
      <c r="D596" s="114"/>
      <c r="E596" s="114"/>
      <c r="F596" s="27"/>
      <c r="G596" s="27"/>
      <c r="H596" s="332"/>
      <c r="I596" s="332"/>
      <c r="J596" s="332"/>
      <c r="K596" s="332"/>
      <c r="L596" s="332"/>
      <c r="M596" s="332"/>
      <c r="N596" s="332"/>
      <c r="O596" s="332"/>
      <c r="P596" s="332"/>
      <c r="Q596" s="332"/>
      <c r="R596" s="332"/>
      <c r="S596" s="332"/>
      <c r="T596" s="332"/>
      <c r="U596" s="332"/>
      <c r="V596" s="332"/>
      <c r="W596" s="332"/>
      <c r="X596" s="332"/>
      <c r="Y596" s="332"/>
      <c r="Z596" s="332"/>
    </row>
    <row r="597" ht="15.75" customHeight="1">
      <c r="A597" s="27"/>
      <c r="B597" s="27"/>
      <c r="C597" s="27"/>
      <c r="D597" s="114"/>
      <c r="E597" s="114"/>
      <c r="F597" s="27"/>
      <c r="G597" s="27"/>
      <c r="H597" s="332"/>
      <c r="I597" s="332"/>
      <c r="J597" s="332"/>
      <c r="K597" s="332"/>
      <c r="L597" s="332"/>
      <c r="M597" s="332"/>
      <c r="N597" s="332"/>
      <c r="O597" s="332"/>
      <c r="P597" s="332"/>
      <c r="Q597" s="332"/>
      <c r="R597" s="332"/>
      <c r="S597" s="332"/>
      <c r="T597" s="332"/>
      <c r="U597" s="332"/>
      <c r="V597" s="332"/>
      <c r="W597" s="332"/>
      <c r="X597" s="332"/>
      <c r="Y597" s="332"/>
      <c r="Z597" s="332"/>
    </row>
    <row r="598" ht="15.75" customHeight="1">
      <c r="A598" s="27"/>
      <c r="B598" s="27"/>
      <c r="C598" s="27"/>
      <c r="D598" s="114"/>
      <c r="E598" s="114"/>
      <c r="F598" s="27"/>
      <c r="G598" s="27"/>
      <c r="H598" s="332"/>
      <c r="I598" s="332"/>
      <c r="J598" s="332"/>
      <c r="K598" s="332"/>
      <c r="L598" s="332"/>
      <c r="M598" s="332"/>
      <c r="N598" s="332"/>
      <c r="O598" s="332"/>
      <c r="P598" s="332"/>
      <c r="Q598" s="332"/>
      <c r="R598" s="332"/>
      <c r="S598" s="332"/>
      <c r="T598" s="332"/>
      <c r="U598" s="332"/>
      <c r="V598" s="332"/>
      <c r="W598" s="332"/>
      <c r="X598" s="332"/>
      <c r="Y598" s="332"/>
      <c r="Z598" s="332"/>
    </row>
    <row r="599" ht="15.75" customHeight="1">
      <c r="A599" s="27"/>
      <c r="B599" s="27"/>
      <c r="C599" s="27"/>
      <c r="D599" s="114"/>
      <c r="E599" s="114"/>
      <c r="F599" s="27"/>
      <c r="G599" s="27"/>
      <c r="H599" s="332"/>
      <c r="I599" s="332"/>
      <c r="J599" s="332"/>
      <c r="K599" s="332"/>
      <c r="L599" s="332"/>
      <c r="M599" s="332"/>
      <c r="N599" s="332"/>
      <c r="O599" s="332"/>
      <c r="P599" s="332"/>
      <c r="Q599" s="332"/>
      <c r="R599" s="332"/>
      <c r="S599" s="332"/>
      <c r="T599" s="332"/>
      <c r="U599" s="332"/>
      <c r="V599" s="332"/>
      <c r="W599" s="332"/>
      <c r="X599" s="332"/>
      <c r="Y599" s="332"/>
      <c r="Z599" s="332"/>
    </row>
    <row r="600" ht="15.75" customHeight="1">
      <c r="A600" s="27"/>
      <c r="B600" s="27"/>
      <c r="C600" s="27"/>
      <c r="D600" s="114"/>
      <c r="E600" s="114"/>
      <c r="F600" s="27"/>
      <c r="G600" s="27"/>
      <c r="H600" s="332"/>
      <c r="I600" s="332"/>
      <c r="J600" s="332"/>
      <c r="K600" s="332"/>
      <c r="L600" s="332"/>
      <c r="M600" s="332"/>
      <c r="N600" s="332"/>
      <c r="O600" s="332"/>
      <c r="P600" s="332"/>
      <c r="Q600" s="332"/>
      <c r="R600" s="332"/>
      <c r="S600" s="332"/>
      <c r="T600" s="332"/>
      <c r="U600" s="332"/>
      <c r="V600" s="332"/>
      <c r="W600" s="332"/>
      <c r="X600" s="332"/>
      <c r="Y600" s="332"/>
      <c r="Z600" s="332"/>
    </row>
    <row r="601" ht="15.75" customHeight="1">
      <c r="A601" s="27"/>
      <c r="B601" s="27"/>
      <c r="C601" s="27"/>
      <c r="D601" s="114"/>
      <c r="E601" s="114"/>
      <c r="F601" s="27"/>
      <c r="G601" s="27"/>
      <c r="H601" s="332"/>
      <c r="I601" s="332"/>
      <c r="J601" s="332"/>
      <c r="K601" s="332"/>
      <c r="L601" s="332"/>
      <c r="M601" s="332"/>
      <c r="N601" s="332"/>
      <c r="O601" s="332"/>
      <c r="P601" s="332"/>
      <c r="Q601" s="332"/>
      <c r="R601" s="332"/>
      <c r="S601" s="332"/>
      <c r="T601" s="332"/>
      <c r="U601" s="332"/>
      <c r="V601" s="332"/>
      <c r="W601" s="332"/>
      <c r="X601" s="332"/>
      <c r="Y601" s="332"/>
      <c r="Z601" s="332"/>
    </row>
    <row r="602" ht="15.75" customHeight="1">
      <c r="A602" s="27"/>
      <c r="B602" s="27"/>
      <c r="C602" s="27"/>
      <c r="D602" s="114"/>
      <c r="E602" s="114"/>
      <c r="F602" s="27"/>
      <c r="G602" s="27"/>
      <c r="H602" s="332"/>
      <c r="I602" s="332"/>
      <c r="J602" s="332"/>
      <c r="K602" s="332"/>
      <c r="L602" s="332"/>
      <c r="M602" s="332"/>
      <c r="N602" s="332"/>
      <c r="O602" s="332"/>
      <c r="P602" s="332"/>
      <c r="Q602" s="332"/>
      <c r="R602" s="332"/>
      <c r="S602" s="332"/>
      <c r="T602" s="332"/>
      <c r="U602" s="332"/>
      <c r="V602" s="332"/>
      <c r="W602" s="332"/>
      <c r="X602" s="332"/>
      <c r="Y602" s="332"/>
      <c r="Z602" s="332"/>
    </row>
    <row r="603" ht="15.75" customHeight="1">
      <c r="A603" s="27"/>
      <c r="B603" s="27"/>
      <c r="C603" s="27"/>
      <c r="D603" s="114"/>
      <c r="E603" s="114"/>
      <c r="F603" s="27"/>
      <c r="G603" s="27"/>
      <c r="H603" s="332"/>
      <c r="I603" s="332"/>
      <c r="J603" s="332"/>
      <c r="K603" s="332"/>
      <c r="L603" s="332"/>
      <c r="M603" s="332"/>
      <c r="N603" s="332"/>
      <c r="O603" s="332"/>
      <c r="P603" s="332"/>
      <c r="Q603" s="332"/>
      <c r="R603" s="332"/>
      <c r="S603" s="332"/>
      <c r="T603" s="332"/>
      <c r="U603" s="332"/>
      <c r="V603" s="332"/>
      <c r="W603" s="332"/>
      <c r="X603" s="332"/>
      <c r="Y603" s="332"/>
      <c r="Z603" s="332"/>
    </row>
    <row r="604" ht="15.75" customHeight="1">
      <c r="A604" s="27"/>
      <c r="B604" s="27"/>
      <c r="C604" s="27"/>
      <c r="D604" s="114"/>
      <c r="E604" s="114"/>
      <c r="F604" s="27"/>
      <c r="G604" s="27"/>
      <c r="H604" s="332"/>
      <c r="I604" s="332"/>
      <c r="J604" s="332"/>
      <c r="K604" s="332"/>
      <c r="L604" s="332"/>
      <c r="M604" s="332"/>
      <c r="N604" s="332"/>
      <c r="O604" s="332"/>
      <c r="P604" s="332"/>
      <c r="Q604" s="332"/>
      <c r="R604" s="332"/>
      <c r="S604" s="332"/>
      <c r="T604" s="332"/>
      <c r="U604" s="332"/>
      <c r="V604" s="332"/>
      <c r="W604" s="332"/>
      <c r="X604" s="332"/>
      <c r="Y604" s="332"/>
      <c r="Z604" s="332"/>
    </row>
    <row r="605" ht="15.75" customHeight="1">
      <c r="A605" s="27"/>
      <c r="B605" s="27"/>
      <c r="C605" s="27"/>
      <c r="D605" s="114"/>
      <c r="E605" s="114"/>
      <c r="F605" s="27"/>
      <c r="G605" s="27"/>
      <c r="H605" s="332"/>
      <c r="I605" s="332"/>
      <c r="J605" s="332"/>
      <c r="K605" s="332"/>
      <c r="L605" s="332"/>
      <c r="M605" s="332"/>
      <c r="N605" s="332"/>
      <c r="O605" s="332"/>
      <c r="P605" s="332"/>
      <c r="Q605" s="332"/>
      <c r="R605" s="332"/>
      <c r="S605" s="332"/>
      <c r="T605" s="332"/>
      <c r="U605" s="332"/>
      <c r="V605" s="332"/>
      <c r="W605" s="332"/>
      <c r="X605" s="332"/>
      <c r="Y605" s="332"/>
      <c r="Z605" s="332"/>
    </row>
    <row r="606" ht="15.75" customHeight="1">
      <c r="A606" s="27"/>
      <c r="B606" s="27"/>
      <c r="C606" s="27"/>
      <c r="D606" s="114"/>
      <c r="E606" s="114"/>
      <c r="F606" s="27"/>
      <c r="G606" s="27"/>
      <c r="H606" s="332"/>
      <c r="I606" s="332"/>
      <c r="J606" s="332"/>
      <c r="K606" s="332"/>
      <c r="L606" s="332"/>
      <c r="M606" s="332"/>
      <c r="N606" s="332"/>
      <c r="O606" s="332"/>
      <c r="P606" s="332"/>
      <c r="Q606" s="332"/>
      <c r="R606" s="332"/>
      <c r="S606" s="332"/>
      <c r="T606" s="332"/>
      <c r="U606" s="332"/>
      <c r="V606" s="332"/>
      <c r="W606" s="332"/>
      <c r="X606" s="332"/>
      <c r="Y606" s="332"/>
      <c r="Z606" s="332"/>
    </row>
    <row r="607" ht="15.75" customHeight="1">
      <c r="A607" s="27"/>
      <c r="B607" s="27"/>
      <c r="C607" s="27"/>
      <c r="D607" s="114"/>
      <c r="E607" s="114"/>
      <c r="F607" s="27"/>
      <c r="G607" s="27"/>
      <c r="H607" s="332"/>
      <c r="I607" s="332"/>
      <c r="J607" s="332"/>
      <c r="K607" s="332"/>
      <c r="L607" s="332"/>
      <c r="M607" s="332"/>
      <c r="N607" s="332"/>
      <c r="O607" s="332"/>
      <c r="P607" s="332"/>
      <c r="Q607" s="332"/>
      <c r="R607" s="332"/>
      <c r="S607" s="332"/>
      <c r="T607" s="332"/>
      <c r="U607" s="332"/>
      <c r="V607" s="332"/>
      <c r="W607" s="332"/>
      <c r="X607" s="332"/>
      <c r="Y607" s="332"/>
      <c r="Z607" s="332"/>
    </row>
    <row r="608" ht="15.75" customHeight="1">
      <c r="A608" s="27"/>
      <c r="B608" s="27"/>
      <c r="C608" s="27"/>
      <c r="D608" s="114"/>
      <c r="E608" s="114"/>
      <c r="F608" s="27"/>
      <c r="G608" s="27"/>
      <c r="H608" s="332"/>
      <c r="I608" s="332"/>
      <c r="J608" s="332"/>
      <c r="K608" s="332"/>
      <c r="L608" s="332"/>
      <c r="M608" s="332"/>
      <c r="N608" s="332"/>
      <c r="O608" s="332"/>
      <c r="P608" s="332"/>
      <c r="Q608" s="332"/>
      <c r="R608" s="332"/>
      <c r="S608" s="332"/>
      <c r="T608" s="332"/>
      <c r="U608" s="332"/>
      <c r="V608" s="332"/>
      <c r="W608" s="332"/>
      <c r="X608" s="332"/>
      <c r="Y608" s="332"/>
      <c r="Z608" s="332"/>
    </row>
    <row r="609" ht="15.75" customHeight="1">
      <c r="A609" s="27"/>
      <c r="B609" s="27"/>
      <c r="C609" s="27"/>
      <c r="D609" s="114"/>
      <c r="E609" s="114"/>
      <c r="F609" s="27"/>
      <c r="G609" s="27"/>
      <c r="H609" s="332"/>
      <c r="I609" s="332"/>
      <c r="J609" s="332"/>
      <c r="K609" s="332"/>
      <c r="L609" s="332"/>
      <c r="M609" s="332"/>
      <c r="N609" s="332"/>
      <c r="O609" s="332"/>
      <c r="P609" s="332"/>
      <c r="Q609" s="332"/>
      <c r="R609" s="332"/>
      <c r="S609" s="332"/>
      <c r="T609" s="332"/>
      <c r="U609" s="332"/>
      <c r="V609" s="332"/>
      <c r="W609" s="332"/>
      <c r="X609" s="332"/>
      <c r="Y609" s="332"/>
      <c r="Z609" s="332"/>
    </row>
    <row r="610" ht="15.75" customHeight="1">
      <c r="A610" s="27"/>
      <c r="B610" s="27"/>
      <c r="C610" s="27"/>
      <c r="D610" s="114"/>
      <c r="E610" s="114"/>
      <c r="F610" s="27"/>
      <c r="G610" s="27"/>
      <c r="H610" s="332"/>
      <c r="I610" s="332"/>
      <c r="J610" s="332"/>
      <c r="K610" s="332"/>
      <c r="L610" s="332"/>
      <c r="M610" s="332"/>
      <c r="N610" s="332"/>
      <c r="O610" s="332"/>
      <c r="P610" s="332"/>
      <c r="Q610" s="332"/>
      <c r="R610" s="332"/>
      <c r="S610" s="332"/>
      <c r="T610" s="332"/>
      <c r="U610" s="332"/>
      <c r="V610" s="332"/>
      <c r="W610" s="332"/>
      <c r="X610" s="332"/>
      <c r="Y610" s="332"/>
      <c r="Z610" s="332"/>
    </row>
    <row r="611" ht="15.75" customHeight="1">
      <c r="A611" s="27"/>
      <c r="B611" s="27"/>
      <c r="C611" s="27"/>
      <c r="D611" s="114"/>
      <c r="E611" s="114"/>
      <c r="F611" s="27"/>
      <c r="G611" s="27"/>
      <c r="H611" s="332"/>
      <c r="I611" s="332"/>
      <c r="J611" s="332"/>
      <c r="K611" s="332"/>
      <c r="L611" s="332"/>
      <c r="M611" s="332"/>
      <c r="N611" s="332"/>
      <c r="O611" s="332"/>
      <c r="P611" s="332"/>
      <c r="Q611" s="332"/>
      <c r="R611" s="332"/>
      <c r="S611" s="332"/>
      <c r="T611" s="332"/>
      <c r="U611" s="332"/>
      <c r="V611" s="332"/>
      <c r="W611" s="332"/>
      <c r="X611" s="332"/>
      <c r="Y611" s="332"/>
      <c r="Z611" s="332"/>
    </row>
    <row r="612" ht="15.75" customHeight="1">
      <c r="A612" s="27"/>
      <c r="B612" s="27"/>
      <c r="C612" s="27"/>
      <c r="D612" s="114"/>
      <c r="E612" s="114"/>
      <c r="F612" s="27"/>
      <c r="G612" s="27"/>
      <c r="H612" s="332"/>
      <c r="I612" s="332"/>
      <c r="J612" s="332"/>
      <c r="K612" s="332"/>
      <c r="L612" s="332"/>
      <c r="M612" s="332"/>
      <c r="N612" s="332"/>
      <c r="O612" s="332"/>
      <c r="P612" s="332"/>
      <c r="Q612" s="332"/>
      <c r="R612" s="332"/>
      <c r="S612" s="332"/>
      <c r="T612" s="332"/>
      <c r="U612" s="332"/>
      <c r="V612" s="332"/>
      <c r="W612" s="332"/>
      <c r="X612" s="332"/>
      <c r="Y612" s="332"/>
      <c r="Z612" s="332"/>
    </row>
    <row r="613" ht="15.75" customHeight="1">
      <c r="A613" s="27"/>
      <c r="B613" s="27"/>
      <c r="C613" s="27"/>
      <c r="D613" s="114"/>
      <c r="E613" s="114"/>
      <c r="F613" s="27"/>
      <c r="G613" s="27"/>
      <c r="H613" s="332"/>
      <c r="I613" s="332"/>
      <c r="J613" s="332"/>
      <c r="K613" s="332"/>
      <c r="L613" s="332"/>
      <c r="M613" s="332"/>
      <c r="N613" s="332"/>
      <c r="O613" s="332"/>
      <c r="P613" s="332"/>
      <c r="Q613" s="332"/>
      <c r="R613" s="332"/>
      <c r="S613" s="332"/>
      <c r="T613" s="332"/>
      <c r="U613" s="332"/>
      <c r="V613" s="332"/>
      <c r="W613" s="332"/>
      <c r="X613" s="332"/>
      <c r="Y613" s="332"/>
      <c r="Z613" s="332"/>
    </row>
    <row r="614" ht="15.75" customHeight="1">
      <c r="A614" s="27"/>
      <c r="B614" s="27"/>
      <c r="C614" s="27"/>
      <c r="D614" s="114"/>
      <c r="E614" s="114"/>
      <c r="F614" s="27"/>
      <c r="G614" s="27"/>
      <c r="H614" s="332"/>
      <c r="I614" s="332"/>
      <c r="J614" s="332"/>
      <c r="K614" s="332"/>
      <c r="L614" s="332"/>
      <c r="M614" s="332"/>
      <c r="N614" s="332"/>
      <c r="O614" s="332"/>
      <c r="P614" s="332"/>
      <c r="Q614" s="332"/>
      <c r="R614" s="332"/>
      <c r="S614" s="332"/>
      <c r="T614" s="332"/>
      <c r="U614" s="332"/>
      <c r="V614" s="332"/>
      <c r="W614" s="332"/>
      <c r="X614" s="332"/>
      <c r="Y614" s="332"/>
      <c r="Z614" s="332"/>
    </row>
    <row r="615" ht="15.75" customHeight="1">
      <c r="A615" s="27"/>
      <c r="B615" s="27"/>
      <c r="C615" s="27"/>
      <c r="D615" s="114"/>
      <c r="E615" s="114"/>
      <c r="F615" s="27"/>
      <c r="G615" s="27"/>
      <c r="H615" s="332"/>
      <c r="I615" s="332"/>
      <c r="J615" s="332"/>
      <c r="K615" s="332"/>
      <c r="L615" s="332"/>
      <c r="M615" s="332"/>
      <c r="N615" s="332"/>
      <c r="O615" s="332"/>
      <c r="P615" s="332"/>
      <c r="Q615" s="332"/>
      <c r="R615" s="332"/>
      <c r="S615" s="332"/>
      <c r="T615" s="332"/>
      <c r="U615" s="332"/>
      <c r="V615" s="332"/>
      <c r="W615" s="332"/>
      <c r="X615" s="332"/>
      <c r="Y615" s="332"/>
      <c r="Z615" s="332"/>
    </row>
    <row r="616" ht="15.75" customHeight="1">
      <c r="A616" s="27"/>
      <c r="B616" s="27"/>
      <c r="C616" s="27"/>
      <c r="D616" s="114"/>
      <c r="E616" s="114"/>
      <c r="F616" s="27"/>
      <c r="G616" s="27"/>
      <c r="H616" s="332"/>
      <c r="I616" s="332"/>
      <c r="J616" s="332"/>
      <c r="K616" s="332"/>
      <c r="L616" s="332"/>
      <c r="M616" s="332"/>
      <c r="N616" s="332"/>
      <c r="O616" s="332"/>
      <c r="P616" s="332"/>
      <c r="Q616" s="332"/>
      <c r="R616" s="332"/>
      <c r="S616" s="332"/>
      <c r="T616" s="332"/>
      <c r="U616" s="332"/>
      <c r="V616" s="332"/>
      <c r="W616" s="332"/>
      <c r="X616" s="332"/>
      <c r="Y616" s="332"/>
      <c r="Z616" s="332"/>
    </row>
    <row r="617" ht="15.75" customHeight="1">
      <c r="A617" s="27"/>
      <c r="B617" s="27"/>
      <c r="C617" s="27"/>
      <c r="D617" s="114"/>
      <c r="E617" s="114"/>
      <c r="F617" s="27"/>
      <c r="G617" s="27"/>
      <c r="H617" s="332"/>
      <c r="I617" s="332"/>
      <c r="J617" s="332"/>
      <c r="K617" s="332"/>
      <c r="L617" s="332"/>
      <c r="M617" s="332"/>
      <c r="N617" s="332"/>
      <c r="O617" s="332"/>
      <c r="P617" s="332"/>
      <c r="Q617" s="332"/>
      <c r="R617" s="332"/>
      <c r="S617" s="332"/>
      <c r="T617" s="332"/>
      <c r="U617" s="332"/>
      <c r="V617" s="332"/>
      <c r="W617" s="332"/>
      <c r="X617" s="332"/>
      <c r="Y617" s="332"/>
      <c r="Z617" s="332"/>
    </row>
    <row r="618" ht="15.75" customHeight="1">
      <c r="A618" s="27"/>
      <c r="B618" s="27"/>
      <c r="C618" s="27"/>
      <c r="D618" s="114"/>
      <c r="E618" s="114"/>
      <c r="F618" s="27"/>
      <c r="G618" s="27"/>
      <c r="H618" s="332"/>
      <c r="I618" s="332"/>
      <c r="J618" s="332"/>
      <c r="K618" s="332"/>
      <c r="L618" s="332"/>
      <c r="M618" s="332"/>
      <c r="N618" s="332"/>
      <c r="O618" s="332"/>
      <c r="P618" s="332"/>
      <c r="Q618" s="332"/>
      <c r="R618" s="332"/>
      <c r="S618" s="332"/>
      <c r="T618" s="332"/>
      <c r="U618" s="332"/>
      <c r="V618" s="332"/>
      <c r="W618" s="332"/>
      <c r="X618" s="332"/>
      <c r="Y618" s="332"/>
      <c r="Z618" s="332"/>
    </row>
    <row r="619" ht="15.75" customHeight="1">
      <c r="A619" s="27"/>
      <c r="B619" s="27"/>
      <c r="C619" s="27"/>
      <c r="D619" s="114"/>
      <c r="E619" s="114"/>
      <c r="F619" s="27"/>
      <c r="G619" s="27"/>
      <c r="H619" s="332"/>
      <c r="I619" s="332"/>
      <c r="J619" s="332"/>
      <c r="K619" s="332"/>
      <c r="L619" s="332"/>
      <c r="M619" s="332"/>
      <c r="N619" s="332"/>
      <c r="O619" s="332"/>
      <c r="P619" s="332"/>
      <c r="Q619" s="332"/>
      <c r="R619" s="332"/>
      <c r="S619" s="332"/>
      <c r="T619" s="332"/>
      <c r="U619" s="332"/>
      <c r="V619" s="332"/>
      <c r="W619" s="332"/>
      <c r="X619" s="332"/>
      <c r="Y619" s="332"/>
      <c r="Z619" s="332"/>
    </row>
    <row r="620" ht="15.75" customHeight="1">
      <c r="A620" s="27"/>
      <c r="B620" s="27"/>
      <c r="C620" s="27"/>
      <c r="D620" s="114"/>
      <c r="E620" s="114"/>
      <c r="F620" s="27"/>
      <c r="G620" s="27"/>
      <c r="H620" s="332"/>
      <c r="I620" s="332"/>
      <c r="J620" s="332"/>
      <c r="K620" s="332"/>
      <c r="L620" s="332"/>
      <c r="M620" s="332"/>
      <c r="N620" s="332"/>
      <c r="O620" s="332"/>
      <c r="P620" s="332"/>
      <c r="Q620" s="332"/>
      <c r="R620" s="332"/>
      <c r="S620" s="332"/>
      <c r="T620" s="332"/>
      <c r="U620" s="332"/>
      <c r="V620" s="332"/>
      <c r="W620" s="332"/>
      <c r="X620" s="332"/>
      <c r="Y620" s="332"/>
      <c r="Z620" s="332"/>
    </row>
    <row r="621" ht="15.75" customHeight="1">
      <c r="A621" s="27"/>
      <c r="B621" s="27"/>
      <c r="C621" s="27"/>
      <c r="D621" s="114"/>
      <c r="E621" s="114"/>
      <c r="F621" s="27"/>
      <c r="G621" s="27"/>
      <c r="H621" s="332"/>
      <c r="I621" s="332"/>
      <c r="J621" s="332"/>
      <c r="K621" s="332"/>
      <c r="L621" s="332"/>
      <c r="M621" s="332"/>
      <c r="N621" s="332"/>
      <c r="O621" s="332"/>
      <c r="P621" s="332"/>
      <c r="Q621" s="332"/>
      <c r="R621" s="332"/>
      <c r="S621" s="332"/>
      <c r="T621" s="332"/>
      <c r="U621" s="332"/>
      <c r="V621" s="332"/>
      <c r="W621" s="332"/>
      <c r="X621" s="332"/>
      <c r="Y621" s="332"/>
      <c r="Z621" s="332"/>
    </row>
    <row r="622" ht="15.75" customHeight="1">
      <c r="A622" s="27"/>
      <c r="B622" s="27"/>
      <c r="C622" s="27"/>
      <c r="D622" s="114"/>
      <c r="E622" s="114"/>
      <c r="F622" s="27"/>
      <c r="G622" s="27"/>
      <c r="H622" s="332"/>
      <c r="I622" s="332"/>
      <c r="J622" s="332"/>
      <c r="K622" s="332"/>
      <c r="L622" s="332"/>
      <c r="M622" s="332"/>
      <c r="N622" s="332"/>
      <c r="O622" s="332"/>
      <c r="P622" s="332"/>
      <c r="Q622" s="332"/>
      <c r="R622" s="332"/>
      <c r="S622" s="332"/>
      <c r="T622" s="332"/>
      <c r="U622" s="332"/>
      <c r="V622" s="332"/>
      <c r="W622" s="332"/>
      <c r="X622" s="332"/>
      <c r="Y622" s="332"/>
      <c r="Z622" s="332"/>
    </row>
    <row r="623" ht="15.75" customHeight="1">
      <c r="A623" s="27"/>
      <c r="B623" s="27"/>
      <c r="C623" s="27"/>
      <c r="D623" s="114"/>
      <c r="E623" s="114"/>
      <c r="F623" s="27"/>
      <c r="G623" s="27"/>
      <c r="H623" s="332"/>
      <c r="I623" s="332"/>
      <c r="J623" s="332"/>
      <c r="K623" s="332"/>
      <c r="L623" s="332"/>
      <c r="M623" s="332"/>
      <c r="N623" s="332"/>
      <c r="O623" s="332"/>
      <c r="P623" s="332"/>
      <c r="Q623" s="332"/>
      <c r="R623" s="332"/>
      <c r="S623" s="332"/>
      <c r="T623" s="332"/>
      <c r="U623" s="332"/>
      <c r="V623" s="332"/>
      <c r="W623" s="332"/>
      <c r="X623" s="332"/>
      <c r="Y623" s="332"/>
      <c r="Z623" s="332"/>
    </row>
    <row r="624" ht="15.75" customHeight="1">
      <c r="A624" s="27"/>
      <c r="B624" s="27"/>
      <c r="C624" s="27"/>
      <c r="D624" s="114"/>
      <c r="E624" s="114"/>
      <c r="F624" s="27"/>
      <c r="G624" s="27"/>
      <c r="H624" s="332"/>
      <c r="I624" s="332"/>
      <c r="J624" s="332"/>
      <c r="K624" s="332"/>
      <c r="L624" s="332"/>
      <c r="M624" s="332"/>
      <c r="N624" s="332"/>
      <c r="O624" s="332"/>
      <c r="P624" s="332"/>
      <c r="Q624" s="332"/>
      <c r="R624" s="332"/>
      <c r="S624" s="332"/>
      <c r="T624" s="332"/>
      <c r="U624" s="332"/>
      <c r="V624" s="332"/>
      <c r="W624" s="332"/>
      <c r="X624" s="332"/>
      <c r="Y624" s="332"/>
      <c r="Z624" s="332"/>
    </row>
    <row r="625" ht="15.75" customHeight="1">
      <c r="A625" s="27"/>
      <c r="B625" s="27"/>
      <c r="C625" s="27"/>
      <c r="D625" s="114"/>
      <c r="E625" s="114"/>
      <c r="F625" s="27"/>
      <c r="G625" s="27"/>
      <c r="H625" s="332"/>
      <c r="I625" s="332"/>
      <c r="J625" s="332"/>
      <c r="K625" s="332"/>
      <c r="L625" s="332"/>
      <c r="M625" s="332"/>
      <c r="N625" s="332"/>
      <c r="O625" s="332"/>
      <c r="P625" s="332"/>
      <c r="Q625" s="332"/>
      <c r="R625" s="332"/>
      <c r="S625" s="332"/>
      <c r="T625" s="332"/>
      <c r="U625" s="332"/>
      <c r="V625" s="332"/>
      <c r="W625" s="332"/>
      <c r="X625" s="332"/>
      <c r="Y625" s="332"/>
      <c r="Z625" s="332"/>
    </row>
    <row r="626" ht="15.75" customHeight="1">
      <c r="A626" s="27"/>
      <c r="B626" s="27"/>
      <c r="C626" s="27"/>
      <c r="D626" s="114"/>
      <c r="E626" s="114"/>
      <c r="F626" s="27"/>
      <c r="G626" s="27"/>
      <c r="H626" s="332"/>
      <c r="I626" s="332"/>
      <c r="J626" s="332"/>
      <c r="K626" s="332"/>
      <c r="L626" s="332"/>
      <c r="M626" s="332"/>
      <c r="N626" s="332"/>
      <c r="O626" s="332"/>
      <c r="P626" s="332"/>
      <c r="Q626" s="332"/>
      <c r="R626" s="332"/>
      <c r="S626" s="332"/>
      <c r="T626" s="332"/>
      <c r="U626" s="332"/>
      <c r="V626" s="332"/>
      <c r="W626" s="332"/>
      <c r="X626" s="332"/>
      <c r="Y626" s="332"/>
      <c r="Z626" s="332"/>
    </row>
    <row r="627" ht="15.75" customHeight="1">
      <c r="A627" s="27"/>
      <c r="B627" s="27"/>
      <c r="C627" s="27"/>
      <c r="D627" s="114"/>
      <c r="E627" s="114"/>
      <c r="F627" s="27"/>
      <c r="G627" s="27"/>
      <c r="H627" s="332"/>
      <c r="I627" s="332"/>
      <c r="J627" s="332"/>
      <c r="K627" s="332"/>
      <c r="L627" s="332"/>
      <c r="M627" s="332"/>
      <c r="N627" s="332"/>
      <c r="O627" s="332"/>
      <c r="P627" s="332"/>
      <c r="Q627" s="332"/>
      <c r="R627" s="332"/>
      <c r="S627" s="332"/>
      <c r="T627" s="332"/>
      <c r="U627" s="332"/>
      <c r="V627" s="332"/>
      <c r="W627" s="332"/>
      <c r="X627" s="332"/>
      <c r="Y627" s="332"/>
      <c r="Z627" s="332"/>
    </row>
    <row r="628" ht="15.75" customHeight="1">
      <c r="A628" s="27"/>
      <c r="B628" s="27"/>
      <c r="C628" s="27"/>
      <c r="D628" s="114"/>
      <c r="E628" s="114"/>
      <c r="F628" s="27"/>
      <c r="G628" s="27"/>
      <c r="H628" s="332"/>
      <c r="I628" s="332"/>
      <c r="J628" s="332"/>
      <c r="K628" s="332"/>
      <c r="L628" s="332"/>
      <c r="M628" s="332"/>
      <c r="N628" s="332"/>
      <c r="O628" s="332"/>
      <c r="P628" s="332"/>
      <c r="Q628" s="332"/>
      <c r="R628" s="332"/>
      <c r="S628" s="332"/>
      <c r="T628" s="332"/>
      <c r="U628" s="332"/>
      <c r="V628" s="332"/>
      <c r="W628" s="332"/>
      <c r="X628" s="332"/>
      <c r="Y628" s="332"/>
      <c r="Z628" s="332"/>
    </row>
    <row r="629" ht="15.75" customHeight="1">
      <c r="A629" s="27"/>
      <c r="B629" s="27"/>
      <c r="C629" s="27"/>
      <c r="D629" s="114"/>
      <c r="E629" s="114"/>
      <c r="F629" s="27"/>
      <c r="G629" s="27"/>
      <c r="H629" s="332"/>
      <c r="I629" s="332"/>
      <c r="J629" s="332"/>
      <c r="K629" s="332"/>
      <c r="L629" s="332"/>
      <c r="M629" s="332"/>
      <c r="N629" s="332"/>
      <c r="O629" s="332"/>
      <c r="P629" s="332"/>
      <c r="Q629" s="332"/>
      <c r="R629" s="332"/>
      <c r="S629" s="332"/>
      <c r="T629" s="332"/>
      <c r="U629" s="332"/>
      <c r="V629" s="332"/>
      <c r="W629" s="332"/>
      <c r="X629" s="332"/>
      <c r="Y629" s="332"/>
      <c r="Z629" s="332"/>
    </row>
    <row r="630" ht="15.75" customHeight="1">
      <c r="A630" s="27"/>
      <c r="B630" s="27"/>
      <c r="C630" s="27"/>
      <c r="D630" s="114"/>
      <c r="E630" s="114"/>
      <c r="F630" s="27"/>
      <c r="G630" s="27"/>
      <c r="H630" s="332"/>
      <c r="I630" s="332"/>
      <c r="J630" s="332"/>
      <c r="K630" s="332"/>
      <c r="L630" s="332"/>
      <c r="M630" s="332"/>
      <c r="N630" s="332"/>
      <c r="O630" s="332"/>
      <c r="P630" s="332"/>
      <c r="Q630" s="332"/>
      <c r="R630" s="332"/>
      <c r="S630" s="332"/>
      <c r="T630" s="332"/>
      <c r="U630" s="332"/>
      <c r="V630" s="332"/>
      <c r="W630" s="332"/>
      <c r="X630" s="332"/>
      <c r="Y630" s="332"/>
      <c r="Z630" s="332"/>
    </row>
    <row r="631" ht="15.75" customHeight="1">
      <c r="A631" s="27"/>
      <c r="B631" s="27"/>
      <c r="C631" s="27"/>
      <c r="D631" s="114"/>
      <c r="E631" s="114"/>
      <c r="F631" s="27"/>
      <c r="G631" s="27"/>
      <c r="H631" s="332"/>
      <c r="I631" s="332"/>
      <c r="J631" s="332"/>
      <c r="K631" s="332"/>
      <c r="L631" s="332"/>
      <c r="M631" s="332"/>
      <c r="N631" s="332"/>
      <c r="O631" s="332"/>
      <c r="P631" s="332"/>
      <c r="Q631" s="332"/>
      <c r="R631" s="332"/>
      <c r="S631" s="332"/>
      <c r="T631" s="332"/>
      <c r="U631" s="332"/>
      <c r="V631" s="332"/>
      <c r="W631" s="332"/>
      <c r="X631" s="332"/>
      <c r="Y631" s="332"/>
      <c r="Z631" s="332"/>
    </row>
    <row r="632" ht="15.75" customHeight="1">
      <c r="A632" s="27"/>
      <c r="B632" s="27"/>
      <c r="C632" s="27"/>
      <c r="D632" s="114"/>
      <c r="E632" s="114"/>
      <c r="F632" s="27"/>
      <c r="G632" s="27"/>
      <c r="H632" s="332"/>
      <c r="I632" s="332"/>
      <c r="J632" s="332"/>
      <c r="K632" s="332"/>
      <c r="L632" s="332"/>
      <c r="M632" s="332"/>
      <c r="N632" s="332"/>
      <c r="O632" s="332"/>
      <c r="P632" s="332"/>
      <c r="Q632" s="332"/>
      <c r="R632" s="332"/>
      <c r="S632" s="332"/>
      <c r="T632" s="332"/>
      <c r="U632" s="332"/>
      <c r="V632" s="332"/>
      <c r="W632" s="332"/>
      <c r="X632" s="332"/>
      <c r="Y632" s="332"/>
      <c r="Z632" s="332"/>
    </row>
    <row r="633" ht="15.75" customHeight="1">
      <c r="A633" s="27"/>
      <c r="B633" s="27"/>
      <c r="C633" s="27"/>
      <c r="D633" s="114"/>
      <c r="E633" s="114"/>
      <c r="F633" s="27"/>
      <c r="G633" s="27"/>
      <c r="H633" s="332"/>
      <c r="I633" s="332"/>
      <c r="J633" s="332"/>
      <c r="K633" s="332"/>
      <c r="L633" s="332"/>
      <c r="M633" s="332"/>
      <c r="N633" s="332"/>
      <c r="O633" s="332"/>
      <c r="P633" s="332"/>
      <c r="Q633" s="332"/>
      <c r="R633" s="332"/>
      <c r="S633" s="332"/>
      <c r="T633" s="332"/>
      <c r="U633" s="332"/>
      <c r="V633" s="332"/>
      <c r="W633" s="332"/>
      <c r="X633" s="332"/>
      <c r="Y633" s="332"/>
      <c r="Z633" s="332"/>
    </row>
    <row r="634" ht="15.75" customHeight="1">
      <c r="A634" s="27"/>
      <c r="B634" s="27"/>
      <c r="C634" s="27"/>
      <c r="D634" s="114"/>
      <c r="E634" s="114"/>
      <c r="F634" s="27"/>
      <c r="G634" s="27"/>
      <c r="H634" s="332"/>
      <c r="I634" s="332"/>
      <c r="J634" s="332"/>
      <c r="K634" s="332"/>
      <c r="L634" s="332"/>
      <c r="M634" s="332"/>
      <c r="N634" s="332"/>
      <c r="O634" s="332"/>
      <c r="P634" s="332"/>
      <c r="Q634" s="332"/>
      <c r="R634" s="332"/>
      <c r="S634" s="332"/>
      <c r="T634" s="332"/>
      <c r="U634" s="332"/>
      <c r="V634" s="332"/>
      <c r="W634" s="332"/>
      <c r="X634" s="332"/>
      <c r="Y634" s="332"/>
      <c r="Z634" s="332"/>
    </row>
    <row r="635" ht="15.75" customHeight="1">
      <c r="A635" s="27"/>
      <c r="B635" s="27"/>
      <c r="C635" s="27"/>
      <c r="D635" s="114"/>
      <c r="E635" s="114"/>
      <c r="F635" s="27"/>
      <c r="G635" s="27"/>
      <c r="H635" s="332"/>
      <c r="I635" s="332"/>
      <c r="J635" s="332"/>
      <c r="K635" s="332"/>
      <c r="L635" s="332"/>
      <c r="M635" s="332"/>
      <c r="N635" s="332"/>
      <c r="O635" s="332"/>
      <c r="P635" s="332"/>
      <c r="Q635" s="332"/>
      <c r="R635" s="332"/>
      <c r="S635" s="332"/>
      <c r="T635" s="332"/>
      <c r="U635" s="332"/>
      <c r="V635" s="332"/>
      <c r="W635" s="332"/>
      <c r="X635" s="332"/>
      <c r="Y635" s="332"/>
      <c r="Z635" s="332"/>
    </row>
    <row r="636" ht="15.75" customHeight="1">
      <c r="A636" s="27"/>
      <c r="B636" s="27"/>
      <c r="C636" s="27"/>
      <c r="D636" s="114"/>
      <c r="E636" s="114"/>
      <c r="F636" s="27"/>
      <c r="G636" s="27"/>
      <c r="H636" s="332"/>
      <c r="I636" s="332"/>
      <c r="J636" s="332"/>
      <c r="K636" s="332"/>
      <c r="L636" s="332"/>
      <c r="M636" s="332"/>
      <c r="N636" s="332"/>
      <c r="O636" s="332"/>
      <c r="P636" s="332"/>
      <c r="Q636" s="332"/>
      <c r="R636" s="332"/>
      <c r="S636" s="332"/>
      <c r="T636" s="332"/>
      <c r="U636" s="332"/>
      <c r="V636" s="332"/>
      <c r="W636" s="332"/>
      <c r="X636" s="332"/>
      <c r="Y636" s="332"/>
      <c r="Z636" s="332"/>
    </row>
    <row r="637" ht="15.75" customHeight="1">
      <c r="A637" s="27"/>
      <c r="B637" s="27"/>
      <c r="C637" s="27"/>
      <c r="D637" s="114"/>
      <c r="E637" s="114"/>
      <c r="F637" s="27"/>
      <c r="G637" s="27"/>
      <c r="H637" s="332"/>
      <c r="I637" s="332"/>
      <c r="J637" s="332"/>
      <c r="K637" s="332"/>
      <c r="L637" s="332"/>
      <c r="M637" s="332"/>
      <c r="N637" s="332"/>
      <c r="O637" s="332"/>
      <c r="P637" s="332"/>
      <c r="Q637" s="332"/>
      <c r="R637" s="332"/>
      <c r="S637" s="332"/>
      <c r="T637" s="332"/>
      <c r="U637" s="332"/>
      <c r="V637" s="332"/>
      <c r="W637" s="332"/>
      <c r="X637" s="332"/>
      <c r="Y637" s="332"/>
      <c r="Z637" s="332"/>
    </row>
    <row r="638" ht="15.75" customHeight="1">
      <c r="A638" s="27"/>
      <c r="B638" s="27"/>
      <c r="C638" s="27"/>
      <c r="D638" s="114"/>
      <c r="E638" s="114"/>
      <c r="F638" s="27"/>
      <c r="G638" s="27"/>
      <c r="H638" s="332"/>
      <c r="I638" s="332"/>
      <c r="J638" s="332"/>
      <c r="K638" s="332"/>
      <c r="L638" s="332"/>
      <c r="M638" s="332"/>
      <c r="N638" s="332"/>
      <c r="O638" s="332"/>
      <c r="P638" s="332"/>
      <c r="Q638" s="332"/>
      <c r="R638" s="332"/>
      <c r="S638" s="332"/>
      <c r="T638" s="332"/>
      <c r="U638" s="332"/>
      <c r="V638" s="332"/>
      <c r="W638" s="332"/>
      <c r="X638" s="332"/>
      <c r="Y638" s="332"/>
      <c r="Z638" s="332"/>
    </row>
    <row r="639" ht="15.75" customHeight="1">
      <c r="A639" s="27"/>
      <c r="B639" s="27"/>
      <c r="C639" s="27"/>
      <c r="D639" s="114"/>
      <c r="E639" s="114"/>
      <c r="F639" s="27"/>
      <c r="G639" s="27"/>
      <c r="H639" s="332"/>
      <c r="I639" s="332"/>
      <c r="J639" s="332"/>
      <c r="K639" s="332"/>
      <c r="L639" s="332"/>
      <c r="M639" s="332"/>
      <c r="N639" s="332"/>
      <c r="O639" s="332"/>
      <c r="P639" s="332"/>
      <c r="Q639" s="332"/>
      <c r="R639" s="332"/>
      <c r="S639" s="332"/>
      <c r="T639" s="332"/>
      <c r="U639" s="332"/>
      <c r="V639" s="332"/>
      <c r="W639" s="332"/>
      <c r="X639" s="332"/>
      <c r="Y639" s="332"/>
      <c r="Z639" s="332"/>
    </row>
    <row r="640" ht="15.75" customHeight="1">
      <c r="A640" s="27"/>
      <c r="B640" s="27"/>
      <c r="C640" s="27"/>
      <c r="D640" s="114"/>
      <c r="E640" s="114"/>
      <c r="F640" s="27"/>
      <c r="G640" s="27"/>
      <c r="H640" s="332"/>
      <c r="I640" s="332"/>
      <c r="J640" s="332"/>
      <c r="K640" s="332"/>
      <c r="L640" s="332"/>
      <c r="M640" s="332"/>
      <c r="N640" s="332"/>
      <c r="O640" s="332"/>
      <c r="P640" s="332"/>
      <c r="Q640" s="332"/>
      <c r="R640" s="332"/>
      <c r="S640" s="332"/>
      <c r="T640" s="332"/>
      <c r="U640" s="332"/>
      <c r="V640" s="332"/>
      <c r="W640" s="332"/>
      <c r="X640" s="332"/>
      <c r="Y640" s="332"/>
      <c r="Z640" s="332"/>
    </row>
    <row r="641" ht="15.75" customHeight="1">
      <c r="A641" s="27"/>
      <c r="B641" s="27"/>
      <c r="C641" s="27"/>
      <c r="D641" s="114"/>
      <c r="E641" s="114"/>
      <c r="F641" s="27"/>
      <c r="G641" s="27"/>
      <c r="H641" s="332"/>
      <c r="I641" s="332"/>
      <c r="J641" s="332"/>
      <c r="K641" s="332"/>
      <c r="L641" s="332"/>
      <c r="M641" s="332"/>
      <c r="N641" s="332"/>
      <c r="O641" s="332"/>
      <c r="P641" s="332"/>
      <c r="Q641" s="332"/>
      <c r="R641" s="332"/>
      <c r="S641" s="332"/>
      <c r="T641" s="332"/>
      <c r="U641" s="332"/>
      <c r="V641" s="332"/>
      <c r="W641" s="332"/>
      <c r="X641" s="332"/>
      <c r="Y641" s="332"/>
      <c r="Z641" s="332"/>
    </row>
    <row r="642" ht="15.75" customHeight="1">
      <c r="A642" s="27"/>
      <c r="B642" s="27"/>
      <c r="C642" s="27"/>
      <c r="D642" s="114"/>
      <c r="E642" s="114"/>
      <c r="F642" s="27"/>
      <c r="G642" s="27"/>
      <c r="H642" s="332"/>
      <c r="I642" s="332"/>
      <c r="J642" s="332"/>
      <c r="K642" s="332"/>
      <c r="L642" s="332"/>
      <c r="M642" s="332"/>
      <c r="N642" s="332"/>
      <c r="O642" s="332"/>
      <c r="P642" s="332"/>
      <c r="Q642" s="332"/>
      <c r="R642" s="332"/>
      <c r="S642" s="332"/>
      <c r="T642" s="332"/>
      <c r="U642" s="332"/>
      <c r="V642" s="332"/>
      <c r="W642" s="332"/>
      <c r="X642" s="332"/>
      <c r="Y642" s="332"/>
      <c r="Z642" s="332"/>
    </row>
    <row r="643" ht="15.75" customHeight="1">
      <c r="A643" s="27"/>
      <c r="B643" s="27"/>
      <c r="C643" s="27"/>
      <c r="D643" s="114"/>
      <c r="E643" s="114"/>
      <c r="F643" s="27"/>
      <c r="G643" s="27"/>
      <c r="H643" s="332"/>
      <c r="I643" s="332"/>
      <c r="J643" s="332"/>
      <c r="K643" s="332"/>
      <c r="L643" s="332"/>
      <c r="M643" s="332"/>
      <c r="N643" s="332"/>
      <c r="O643" s="332"/>
      <c r="P643" s="332"/>
      <c r="Q643" s="332"/>
      <c r="R643" s="332"/>
      <c r="S643" s="332"/>
      <c r="T643" s="332"/>
      <c r="U643" s="332"/>
      <c r="V643" s="332"/>
      <c r="W643" s="332"/>
      <c r="X643" s="332"/>
      <c r="Y643" s="332"/>
      <c r="Z643" s="332"/>
    </row>
    <row r="644" ht="15.75" customHeight="1">
      <c r="A644" s="27"/>
      <c r="B644" s="27"/>
      <c r="C644" s="27"/>
      <c r="D644" s="114"/>
      <c r="E644" s="114"/>
      <c r="F644" s="27"/>
      <c r="G644" s="27"/>
      <c r="H644" s="332"/>
      <c r="I644" s="332"/>
      <c r="J644" s="332"/>
      <c r="K644" s="332"/>
      <c r="L644" s="332"/>
      <c r="M644" s="332"/>
      <c r="N644" s="332"/>
      <c r="O644" s="332"/>
      <c r="P644" s="332"/>
      <c r="Q644" s="332"/>
      <c r="R644" s="332"/>
      <c r="S644" s="332"/>
      <c r="T644" s="332"/>
      <c r="U644" s="332"/>
      <c r="V644" s="332"/>
      <c r="W644" s="332"/>
      <c r="X644" s="332"/>
      <c r="Y644" s="332"/>
      <c r="Z644" s="332"/>
    </row>
    <row r="645" ht="15.75" customHeight="1">
      <c r="A645" s="27"/>
      <c r="B645" s="27"/>
      <c r="C645" s="27"/>
      <c r="D645" s="114"/>
      <c r="E645" s="114"/>
      <c r="F645" s="27"/>
      <c r="G645" s="27"/>
      <c r="H645" s="332"/>
      <c r="I645" s="332"/>
      <c r="J645" s="332"/>
      <c r="K645" s="332"/>
      <c r="L645" s="332"/>
      <c r="M645" s="332"/>
      <c r="N645" s="332"/>
      <c r="O645" s="332"/>
      <c r="P645" s="332"/>
      <c r="Q645" s="332"/>
      <c r="R645" s="332"/>
      <c r="S645" s="332"/>
      <c r="T645" s="332"/>
      <c r="U645" s="332"/>
      <c r="V645" s="332"/>
      <c r="W645" s="332"/>
      <c r="X645" s="332"/>
      <c r="Y645" s="332"/>
      <c r="Z645" s="332"/>
    </row>
    <row r="646" ht="15.75" customHeight="1">
      <c r="A646" s="27"/>
      <c r="B646" s="27"/>
      <c r="C646" s="27"/>
      <c r="D646" s="114"/>
      <c r="E646" s="114"/>
      <c r="F646" s="27"/>
      <c r="G646" s="27"/>
      <c r="H646" s="332"/>
      <c r="I646" s="332"/>
      <c r="J646" s="332"/>
      <c r="K646" s="332"/>
      <c r="L646" s="332"/>
      <c r="M646" s="332"/>
      <c r="N646" s="332"/>
      <c r="O646" s="332"/>
      <c r="P646" s="332"/>
      <c r="Q646" s="332"/>
      <c r="R646" s="332"/>
      <c r="S646" s="332"/>
      <c r="T646" s="332"/>
      <c r="U646" s="332"/>
      <c r="V646" s="332"/>
      <c r="W646" s="332"/>
      <c r="X646" s="332"/>
      <c r="Y646" s="332"/>
      <c r="Z646" s="332"/>
    </row>
    <row r="647" ht="15.75" customHeight="1">
      <c r="A647" s="27"/>
      <c r="B647" s="27"/>
      <c r="C647" s="27"/>
      <c r="D647" s="114"/>
      <c r="E647" s="114"/>
      <c r="F647" s="27"/>
      <c r="G647" s="27"/>
      <c r="H647" s="332"/>
      <c r="I647" s="332"/>
      <c r="J647" s="332"/>
      <c r="K647" s="332"/>
      <c r="L647" s="332"/>
      <c r="M647" s="332"/>
      <c r="N647" s="332"/>
      <c r="O647" s="332"/>
      <c r="P647" s="332"/>
      <c r="Q647" s="332"/>
      <c r="R647" s="332"/>
      <c r="S647" s="332"/>
      <c r="T647" s="332"/>
      <c r="U647" s="332"/>
      <c r="V647" s="332"/>
      <c r="W647" s="332"/>
      <c r="X647" s="332"/>
      <c r="Y647" s="332"/>
      <c r="Z647" s="332"/>
    </row>
    <row r="648" ht="15.75" customHeight="1">
      <c r="A648" s="27"/>
      <c r="B648" s="27"/>
      <c r="C648" s="27"/>
      <c r="D648" s="114"/>
      <c r="E648" s="114"/>
      <c r="F648" s="27"/>
      <c r="G648" s="27"/>
      <c r="H648" s="332"/>
      <c r="I648" s="332"/>
      <c r="J648" s="332"/>
      <c r="K648" s="332"/>
      <c r="L648" s="332"/>
      <c r="M648" s="332"/>
      <c r="N648" s="332"/>
      <c r="O648" s="332"/>
      <c r="P648" s="332"/>
      <c r="Q648" s="332"/>
      <c r="R648" s="332"/>
      <c r="S648" s="332"/>
      <c r="T648" s="332"/>
      <c r="U648" s="332"/>
      <c r="V648" s="332"/>
      <c r="W648" s="332"/>
      <c r="X648" s="332"/>
      <c r="Y648" s="332"/>
      <c r="Z648" s="332"/>
    </row>
    <row r="649" ht="15.75" customHeight="1">
      <c r="A649" s="27"/>
      <c r="B649" s="27"/>
      <c r="C649" s="27"/>
      <c r="D649" s="114"/>
      <c r="E649" s="114"/>
      <c r="F649" s="27"/>
      <c r="G649" s="27"/>
      <c r="H649" s="332"/>
      <c r="I649" s="332"/>
      <c r="J649" s="332"/>
      <c r="K649" s="332"/>
      <c r="L649" s="332"/>
      <c r="M649" s="332"/>
      <c r="N649" s="332"/>
      <c r="O649" s="332"/>
      <c r="P649" s="332"/>
      <c r="Q649" s="332"/>
      <c r="R649" s="332"/>
      <c r="S649" s="332"/>
      <c r="T649" s="332"/>
      <c r="U649" s="332"/>
      <c r="V649" s="332"/>
      <c r="W649" s="332"/>
      <c r="X649" s="332"/>
      <c r="Y649" s="332"/>
      <c r="Z649" s="332"/>
    </row>
    <row r="650" ht="15.75" customHeight="1">
      <c r="A650" s="27"/>
      <c r="B650" s="27"/>
      <c r="C650" s="27"/>
      <c r="D650" s="114"/>
      <c r="E650" s="114"/>
      <c r="F650" s="27"/>
      <c r="G650" s="27"/>
      <c r="H650" s="332"/>
      <c r="I650" s="332"/>
      <c r="J650" s="332"/>
      <c r="K650" s="332"/>
      <c r="L650" s="332"/>
      <c r="M650" s="332"/>
      <c r="N650" s="332"/>
      <c r="O650" s="332"/>
      <c r="P650" s="332"/>
      <c r="Q650" s="332"/>
      <c r="R650" s="332"/>
      <c r="S650" s="332"/>
      <c r="T650" s="332"/>
      <c r="U650" s="332"/>
      <c r="V650" s="332"/>
      <c r="W650" s="332"/>
      <c r="X650" s="332"/>
      <c r="Y650" s="332"/>
      <c r="Z650" s="332"/>
    </row>
    <row r="651" ht="15.75" customHeight="1">
      <c r="A651" s="27"/>
      <c r="B651" s="27"/>
      <c r="C651" s="27"/>
      <c r="D651" s="114"/>
      <c r="E651" s="114"/>
      <c r="F651" s="27"/>
      <c r="G651" s="27"/>
      <c r="H651" s="332"/>
      <c r="I651" s="332"/>
      <c r="J651" s="332"/>
      <c r="K651" s="332"/>
      <c r="L651" s="332"/>
      <c r="M651" s="332"/>
      <c r="N651" s="332"/>
      <c r="O651" s="332"/>
      <c r="P651" s="332"/>
      <c r="Q651" s="332"/>
      <c r="R651" s="332"/>
      <c r="S651" s="332"/>
      <c r="T651" s="332"/>
      <c r="U651" s="332"/>
      <c r="V651" s="332"/>
      <c r="W651" s="332"/>
      <c r="X651" s="332"/>
      <c r="Y651" s="332"/>
      <c r="Z651" s="332"/>
    </row>
    <row r="652" ht="15.75" customHeight="1">
      <c r="A652" s="27"/>
      <c r="B652" s="27"/>
      <c r="C652" s="27"/>
      <c r="D652" s="114"/>
      <c r="E652" s="114"/>
      <c r="F652" s="27"/>
      <c r="G652" s="27"/>
      <c r="H652" s="332"/>
      <c r="I652" s="332"/>
      <c r="J652" s="332"/>
      <c r="K652" s="332"/>
      <c r="L652" s="332"/>
      <c r="M652" s="332"/>
      <c r="N652" s="332"/>
      <c r="O652" s="332"/>
      <c r="P652" s="332"/>
      <c r="Q652" s="332"/>
      <c r="R652" s="332"/>
      <c r="S652" s="332"/>
      <c r="T652" s="332"/>
      <c r="U652" s="332"/>
      <c r="V652" s="332"/>
      <c r="W652" s="332"/>
      <c r="X652" s="332"/>
      <c r="Y652" s="332"/>
      <c r="Z652" s="332"/>
    </row>
    <row r="653" ht="15.75" customHeight="1">
      <c r="A653" s="27"/>
      <c r="B653" s="27"/>
      <c r="C653" s="27"/>
      <c r="D653" s="114"/>
      <c r="E653" s="114"/>
      <c r="F653" s="27"/>
      <c r="G653" s="27"/>
      <c r="H653" s="332"/>
      <c r="I653" s="332"/>
      <c r="J653" s="332"/>
      <c r="K653" s="332"/>
      <c r="L653" s="332"/>
      <c r="M653" s="332"/>
      <c r="N653" s="332"/>
      <c r="O653" s="332"/>
      <c r="P653" s="332"/>
      <c r="Q653" s="332"/>
      <c r="R653" s="332"/>
      <c r="S653" s="332"/>
      <c r="T653" s="332"/>
      <c r="U653" s="332"/>
      <c r="V653" s="332"/>
      <c r="W653" s="332"/>
      <c r="X653" s="332"/>
      <c r="Y653" s="332"/>
      <c r="Z653" s="332"/>
    </row>
    <row r="654" ht="15.75" customHeight="1">
      <c r="A654" s="27"/>
      <c r="B654" s="27"/>
      <c r="C654" s="27"/>
      <c r="D654" s="114"/>
      <c r="E654" s="114"/>
      <c r="F654" s="27"/>
      <c r="G654" s="27"/>
      <c r="H654" s="332"/>
      <c r="I654" s="332"/>
      <c r="J654" s="332"/>
      <c r="K654" s="332"/>
      <c r="L654" s="332"/>
      <c r="M654" s="332"/>
      <c r="N654" s="332"/>
      <c r="O654" s="332"/>
      <c r="P654" s="332"/>
      <c r="Q654" s="332"/>
      <c r="R654" s="332"/>
      <c r="S654" s="332"/>
      <c r="T654" s="332"/>
      <c r="U654" s="332"/>
      <c r="V654" s="332"/>
      <c r="W654" s="332"/>
      <c r="X654" s="332"/>
      <c r="Y654" s="332"/>
      <c r="Z654" s="332"/>
    </row>
    <row r="655" ht="15.75" customHeight="1">
      <c r="A655" s="27"/>
      <c r="B655" s="27"/>
      <c r="C655" s="27"/>
      <c r="D655" s="114"/>
      <c r="E655" s="114"/>
      <c r="F655" s="27"/>
      <c r="G655" s="27"/>
      <c r="H655" s="332"/>
      <c r="I655" s="332"/>
      <c r="J655" s="332"/>
      <c r="K655" s="332"/>
      <c r="L655" s="332"/>
      <c r="M655" s="332"/>
      <c r="N655" s="332"/>
      <c r="O655" s="332"/>
      <c r="P655" s="332"/>
      <c r="Q655" s="332"/>
      <c r="R655" s="332"/>
      <c r="S655" s="332"/>
      <c r="T655" s="332"/>
      <c r="U655" s="332"/>
      <c r="V655" s="332"/>
      <c r="W655" s="332"/>
      <c r="X655" s="332"/>
      <c r="Y655" s="332"/>
      <c r="Z655" s="332"/>
    </row>
    <row r="656" ht="15.75" customHeight="1">
      <c r="A656" s="27"/>
      <c r="B656" s="27"/>
      <c r="C656" s="27"/>
      <c r="D656" s="114"/>
      <c r="E656" s="114"/>
      <c r="F656" s="27"/>
      <c r="G656" s="27"/>
      <c r="H656" s="332"/>
      <c r="I656" s="332"/>
      <c r="J656" s="332"/>
      <c r="K656" s="332"/>
      <c r="L656" s="332"/>
      <c r="M656" s="332"/>
      <c r="N656" s="332"/>
      <c r="O656" s="332"/>
      <c r="P656" s="332"/>
      <c r="Q656" s="332"/>
      <c r="R656" s="332"/>
      <c r="S656" s="332"/>
      <c r="T656" s="332"/>
      <c r="U656" s="332"/>
      <c r="V656" s="332"/>
      <c r="W656" s="332"/>
      <c r="X656" s="332"/>
      <c r="Y656" s="332"/>
      <c r="Z656" s="332"/>
    </row>
    <row r="657" ht="15.75" customHeight="1">
      <c r="A657" s="27"/>
      <c r="B657" s="27"/>
      <c r="C657" s="27"/>
      <c r="D657" s="114"/>
      <c r="E657" s="114"/>
      <c r="F657" s="27"/>
      <c r="G657" s="27"/>
      <c r="H657" s="332"/>
      <c r="I657" s="332"/>
      <c r="J657" s="332"/>
      <c r="K657" s="332"/>
      <c r="L657" s="332"/>
      <c r="M657" s="332"/>
      <c r="N657" s="332"/>
      <c r="O657" s="332"/>
      <c r="P657" s="332"/>
      <c r="Q657" s="332"/>
      <c r="R657" s="332"/>
      <c r="S657" s="332"/>
      <c r="T657" s="332"/>
      <c r="U657" s="332"/>
      <c r="V657" s="332"/>
      <c r="W657" s="332"/>
      <c r="X657" s="332"/>
      <c r="Y657" s="332"/>
      <c r="Z657" s="332"/>
    </row>
    <row r="658" ht="15.75" customHeight="1">
      <c r="A658" s="27"/>
      <c r="B658" s="27"/>
      <c r="C658" s="27"/>
      <c r="D658" s="114"/>
      <c r="E658" s="114"/>
      <c r="F658" s="27"/>
      <c r="G658" s="27"/>
      <c r="H658" s="332"/>
      <c r="I658" s="332"/>
      <c r="J658" s="332"/>
      <c r="K658" s="332"/>
      <c r="L658" s="332"/>
      <c r="M658" s="332"/>
      <c r="N658" s="332"/>
      <c r="O658" s="332"/>
      <c r="P658" s="332"/>
      <c r="Q658" s="332"/>
      <c r="R658" s="332"/>
      <c r="S658" s="332"/>
      <c r="T658" s="332"/>
      <c r="U658" s="332"/>
      <c r="V658" s="332"/>
      <c r="W658" s="332"/>
      <c r="X658" s="332"/>
      <c r="Y658" s="332"/>
      <c r="Z658" s="332"/>
    </row>
    <row r="659" ht="15.75" customHeight="1">
      <c r="A659" s="27"/>
      <c r="B659" s="27"/>
      <c r="C659" s="27"/>
      <c r="D659" s="114"/>
      <c r="E659" s="114"/>
      <c r="F659" s="27"/>
      <c r="G659" s="27"/>
      <c r="H659" s="332"/>
      <c r="I659" s="332"/>
      <c r="J659" s="332"/>
      <c r="K659" s="332"/>
      <c r="L659" s="332"/>
      <c r="M659" s="332"/>
      <c r="N659" s="332"/>
      <c r="O659" s="332"/>
      <c r="P659" s="332"/>
      <c r="Q659" s="332"/>
      <c r="R659" s="332"/>
      <c r="S659" s="332"/>
      <c r="T659" s="332"/>
      <c r="U659" s="332"/>
      <c r="V659" s="332"/>
      <c r="W659" s="332"/>
      <c r="X659" s="332"/>
      <c r="Y659" s="332"/>
      <c r="Z659" s="332"/>
    </row>
    <row r="660" ht="15.75" customHeight="1">
      <c r="A660" s="27"/>
      <c r="B660" s="27"/>
      <c r="C660" s="27"/>
      <c r="D660" s="114"/>
      <c r="E660" s="114"/>
      <c r="F660" s="27"/>
      <c r="G660" s="27"/>
      <c r="H660" s="332"/>
      <c r="I660" s="332"/>
      <c r="J660" s="332"/>
      <c r="K660" s="332"/>
      <c r="L660" s="332"/>
      <c r="M660" s="332"/>
      <c r="N660" s="332"/>
      <c r="O660" s="332"/>
      <c r="P660" s="332"/>
      <c r="Q660" s="332"/>
      <c r="R660" s="332"/>
      <c r="S660" s="332"/>
      <c r="T660" s="332"/>
      <c r="U660" s="332"/>
      <c r="V660" s="332"/>
      <c r="W660" s="332"/>
      <c r="X660" s="332"/>
      <c r="Y660" s="332"/>
      <c r="Z660" s="332"/>
    </row>
    <row r="661" ht="15.75" customHeight="1">
      <c r="A661" s="27"/>
      <c r="B661" s="27"/>
      <c r="C661" s="27"/>
      <c r="D661" s="114"/>
      <c r="E661" s="114"/>
      <c r="F661" s="27"/>
      <c r="G661" s="27"/>
      <c r="H661" s="332"/>
      <c r="I661" s="332"/>
      <c r="J661" s="332"/>
      <c r="K661" s="332"/>
      <c r="L661" s="332"/>
      <c r="M661" s="332"/>
      <c r="N661" s="332"/>
      <c r="O661" s="332"/>
      <c r="P661" s="332"/>
      <c r="Q661" s="332"/>
      <c r="R661" s="332"/>
      <c r="S661" s="332"/>
      <c r="T661" s="332"/>
      <c r="U661" s="332"/>
      <c r="V661" s="332"/>
      <c r="W661" s="332"/>
      <c r="X661" s="332"/>
      <c r="Y661" s="332"/>
      <c r="Z661" s="332"/>
    </row>
    <row r="662" ht="15.75" customHeight="1">
      <c r="A662" s="27"/>
      <c r="B662" s="27"/>
      <c r="C662" s="27"/>
      <c r="D662" s="114"/>
      <c r="E662" s="114"/>
      <c r="F662" s="27"/>
      <c r="G662" s="27"/>
      <c r="H662" s="332"/>
      <c r="I662" s="332"/>
      <c r="J662" s="332"/>
      <c r="K662" s="332"/>
      <c r="L662" s="332"/>
      <c r="M662" s="332"/>
      <c r="N662" s="332"/>
      <c r="O662" s="332"/>
      <c r="P662" s="332"/>
      <c r="Q662" s="332"/>
      <c r="R662" s="332"/>
      <c r="S662" s="332"/>
      <c r="T662" s="332"/>
      <c r="U662" s="332"/>
      <c r="V662" s="332"/>
      <c r="W662" s="332"/>
      <c r="X662" s="332"/>
      <c r="Y662" s="332"/>
      <c r="Z662" s="332"/>
    </row>
    <row r="663" ht="15.75" customHeight="1">
      <c r="A663" s="27"/>
      <c r="B663" s="27"/>
      <c r="C663" s="27"/>
      <c r="D663" s="114"/>
      <c r="E663" s="114"/>
      <c r="F663" s="27"/>
      <c r="G663" s="27"/>
      <c r="H663" s="332"/>
      <c r="I663" s="332"/>
      <c r="J663" s="332"/>
      <c r="K663" s="332"/>
      <c r="L663" s="332"/>
      <c r="M663" s="332"/>
      <c r="N663" s="332"/>
      <c r="O663" s="332"/>
      <c r="P663" s="332"/>
      <c r="Q663" s="332"/>
      <c r="R663" s="332"/>
      <c r="S663" s="332"/>
      <c r="T663" s="332"/>
      <c r="U663" s="332"/>
      <c r="V663" s="332"/>
      <c r="W663" s="332"/>
      <c r="X663" s="332"/>
      <c r="Y663" s="332"/>
      <c r="Z663" s="332"/>
    </row>
    <row r="664" ht="15.75" customHeight="1">
      <c r="A664" s="27"/>
      <c r="B664" s="27"/>
      <c r="C664" s="27"/>
      <c r="D664" s="114"/>
      <c r="E664" s="114"/>
      <c r="F664" s="27"/>
      <c r="G664" s="27"/>
      <c r="H664" s="332"/>
      <c r="I664" s="332"/>
      <c r="J664" s="332"/>
      <c r="K664" s="332"/>
      <c r="L664" s="332"/>
      <c r="M664" s="332"/>
      <c r="N664" s="332"/>
      <c r="O664" s="332"/>
      <c r="P664" s="332"/>
      <c r="Q664" s="332"/>
      <c r="R664" s="332"/>
      <c r="S664" s="332"/>
      <c r="T664" s="332"/>
      <c r="U664" s="332"/>
      <c r="V664" s="332"/>
      <c r="W664" s="332"/>
      <c r="X664" s="332"/>
      <c r="Y664" s="332"/>
      <c r="Z664" s="332"/>
    </row>
    <row r="665" ht="15.75" customHeight="1">
      <c r="A665" s="27"/>
      <c r="B665" s="27"/>
      <c r="C665" s="27"/>
      <c r="D665" s="114"/>
      <c r="E665" s="114"/>
      <c r="F665" s="27"/>
      <c r="G665" s="27"/>
      <c r="H665" s="332"/>
      <c r="I665" s="332"/>
      <c r="J665" s="332"/>
      <c r="K665" s="332"/>
      <c r="L665" s="332"/>
      <c r="M665" s="332"/>
      <c r="N665" s="332"/>
      <c r="O665" s="332"/>
      <c r="P665" s="332"/>
      <c r="Q665" s="332"/>
      <c r="R665" s="332"/>
      <c r="S665" s="332"/>
      <c r="T665" s="332"/>
      <c r="U665" s="332"/>
      <c r="V665" s="332"/>
      <c r="W665" s="332"/>
      <c r="X665" s="332"/>
      <c r="Y665" s="332"/>
      <c r="Z665" s="332"/>
    </row>
    <row r="666" ht="15.75" customHeight="1">
      <c r="A666" s="27"/>
      <c r="B666" s="27"/>
      <c r="C666" s="27"/>
      <c r="D666" s="114"/>
      <c r="E666" s="114"/>
      <c r="F666" s="27"/>
      <c r="G666" s="27"/>
      <c r="H666" s="332"/>
      <c r="I666" s="332"/>
      <c r="J666" s="332"/>
      <c r="K666" s="332"/>
      <c r="L666" s="332"/>
      <c r="M666" s="332"/>
      <c r="N666" s="332"/>
      <c r="O666" s="332"/>
      <c r="P666" s="332"/>
      <c r="Q666" s="332"/>
      <c r="R666" s="332"/>
      <c r="S666" s="332"/>
      <c r="T666" s="332"/>
      <c r="U666" s="332"/>
      <c r="V666" s="332"/>
      <c r="W666" s="332"/>
      <c r="X666" s="332"/>
      <c r="Y666" s="332"/>
      <c r="Z666" s="332"/>
    </row>
    <row r="667" ht="15.75" customHeight="1">
      <c r="A667" s="27"/>
      <c r="B667" s="27"/>
      <c r="C667" s="27"/>
      <c r="D667" s="114"/>
      <c r="E667" s="114"/>
      <c r="F667" s="27"/>
      <c r="G667" s="27"/>
      <c r="H667" s="332"/>
      <c r="I667" s="332"/>
      <c r="J667" s="332"/>
      <c r="K667" s="332"/>
      <c r="L667" s="332"/>
      <c r="M667" s="332"/>
      <c r="N667" s="332"/>
      <c r="O667" s="332"/>
      <c r="P667" s="332"/>
      <c r="Q667" s="332"/>
      <c r="R667" s="332"/>
      <c r="S667" s="332"/>
      <c r="T667" s="332"/>
      <c r="U667" s="332"/>
      <c r="V667" s="332"/>
      <c r="W667" s="332"/>
      <c r="X667" s="332"/>
      <c r="Y667" s="332"/>
      <c r="Z667" s="332"/>
    </row>
    <row r="668" ht="15.75" customHeight="1">
      <c r="A668" s="27"/>
      <c r="B668" s="27"/>
      <c r="C668" s="27"/>
      <c r="D668" s="114"/>
      <c r="E668" s="114"/>
      <c r="F668" s="27"/>
      <c r="G668" s="27"/>
      <c r="H668" s="332"/>
      <c r="I668" s="332"/>
      <c r="J668" s="332"/>
      <c r="K668" s="332"/>
      <c r="L668" s="332"/>
      <c r="M668" s="332"/>
      <c r="N668" s="332"/>
      <c r="O668" s="332"/>
      <c r="P668" s="332"/>
      <c r="Q668" s="332"/>
      <c r="R668" s="332"/>
      <c r="S668" s="332"/>
      <c r="T668" s="332"/>
      <c r="U668" s="332"/>
      <c r="V668" s="332"/>
      <c r="W668" s="332"/>
      <c r="X668" s="332"/>
      <c r="Y668" s="332"/>
      <c r="Z668" s="332"/>
    </row>
    <row r="669" ht="15.75" customHeight="1">
      <c r="A669" s="27"/>
      <c r="B669" s="27"/>
      <c r="C669" s="27"/>
      <c r="D669" s="114"/>
      <c r="E669" s="114"/>
      <c r="F669" s="27"/>
      <c r="G669" s="27"/>
      <c r="H669" s="332"/>
      <c r="I669" s="332"/>
      <c r="J669" s="332"/>
      <c r="K669" s="332"/>
      <c r="L669" s="332"/>
      <c r="M669" s="332"/>
      <c r="N669" s="332"/>
      <c r="O669" s="332"/>
      <c r="P669" s="332"/>
      <c r="Q669" s="332"/>
      <c r="R669" s="332"/>
      <c r="S669" s="332"/>
      <c r="T669" s="332"/>
      <c r="U669" s="332"/>
      <c r="V669" s="332"/>
      <c r="W669" s="332"/>
      <c r="X669" s="332"/>
      <c r="Y669" s="332"/>
      <c r="Z669" s="332"/>
    </row>
    <row r="670" ht="15.75" customHeight="1">
      <c r="A670" s="27"/>
      <c r="B670" s="27"/>
      <c r="C670" s="27"/>
      <c r="D670" s="114"/>
      <c r="E670" s="114"/>
      <c r="F670" s="27"/>
      <c r="G670" s="27"/>
      <c r="H670" s="332"/>
      <c r="I670" s="332"/>
      <c r="J670" s="332"/>
      <c r="K670" s="332"/>
      <c r="L670" s="332"/>
      <c r="M670" s="332"/>
      <c r="N670" s="332"/>
      <c r="O670" s="332"/>
      <c r="P670" s="332"/>
      <c r="Q670" s="332"/>
      <c r="R670" s="332"/>
      <c r="S670" s="332"/>
      <c r="T670" s="332"/>
      <c r="U670" s="332"/>
      <c r="V670" s="332"/>
      <c r="W670" s="332"/>
      <c r="X670" s="332"/>
      <c r="Y670" s="332"/>
      <c r="Z670" s="332"/>
    </row>
    <row r="671" ht="15.75" customHeight="1">
      <c r="A671" s="27"/>
      <c r="B671" s="27"/>
      <c r="C671" s="27"/>
      <c r="D671" s="114"/>
      <c r="E671" s="114"/>
      <c r="F671" s="27"/>
      <c r="G671" s="27"/>
      <c r="H671" s="332"/>
      <c r="I671" s="332"/>
      <c r="J671" s="332"/>
      <c r="K671" s="332"/>
      <c r="L671" s="332"/>
      <c r="M671" s="332"/>
      <c r="N671" s="332"/>
      <c r="O671" s="332"/>
      <c r="P671" s="332"/>
      <c r="Q671" s="332"/>
      <c r="R671" s="332"/>
      <c r="S671" s="332"/>
      <c r="T671" s="332"/>
      <c r="U671" s="332"/>
      <c r="V671" s="332"/>
      <c r="W671" s="332"/>
      <c r="X671" s="332"/>
      <c r="Y671" s="332"/>
      <c r="Z671" s="332"/>
    </row>
    <row r="672" ht="15.75" customHeight="1">
      <c r="A672" s="27"/>
      <c r="B672" s="27"/>
      <c r="C672" s="27"/>
      <c r="D672" s="114"/>
      <c r="E672" s="114"/>
      <c r="F672" s="27"/>
      <c r="G672" s="27"/>
      <c r="H672" s="332"/>
      <c r="I672" s="332"/>
      <c r="J672" s="332"/>
      <c r="K672" s="332"/>
      <c r="L672" s="332"/>
      <c r="M672" s="332"/>
      <c r="N672" s="332"/>
      <c r="O672" s="332"/>
      <c r="P672" s="332"/>
      <c r="Q672" s="332"/>
      <c r="R672" s="332"/>
      <c r="S672" s="332"/>
      <c r="T672" s="332"/>
      <c r="U672" s="332"/>
      <c r="V672" s="332"/>
      <c r="W672" s="332"/>
      <c r="X672" s="332"/>
      <c r="Y672" s="332"/>
      <c r="Z672" s="332"/>
    </row>
    <row r="673" ht="15.75" customHeight="1">
      <c r="A673" s="27"/>
      <c r="B673" s="27"/>
      <c r="C673" s="27"/>
      <c r="D673" s="114"/>
      <c r="E673" s="114"/>
      <c r="F673" s="27"/>
      <c r="G673" s="27"/>
      <c r="H673" s="332"/>
      <c r="I673" s="332"/>
      <c r="J673" s="332"/>
      <c r="K673" s="332"/>
      <c r="L673" s="332"/>
      <c r="M673" s="332"/>
      <c r="N673" s="332"/>
      <c r="O673" s="332"/>
      <c r="P673" s="332"/>
      <c r="Q673" s="332"/>
      <c r="R673" s="332"/>
      <c r="S673" s="332"/>
      <c r="T673" s="332"/>
      <c r="U673" s="332"/>
      <c r="V673" s="332"/>
      <c r="W673" s="332"/>
      <c r="X673" s="332"/>
      <c r="Y673" s="332"/>
      <c r="Z673" s="332"/>
    </row>
    <row r="674" ht="15.75" customHeight="1">
      <c r="A674" s="27"/>
      <c r="B674" s="27"/>
      <c r="C674" s="27"/>
      <c r="D674" s="114"/>
      <c r="E674" s="114"/>
      <c r="F674" s="27"/>
      <c r="G674" s="27"/>
      <c r="H674" s="332"/>
      <c r="I674" s="332"/>
      <c r="J674" s="332"/>
      <c r="K674" s="332"/>
      <c r="L674" s="332"/>
      <c r="M674" s="332"/>
      <c r="N674" s="332"/>
      <c r="O674" s="332"/>
      <c r="P674" s="332"/>
      <c r="Q674" s="332"/>
      <c r="R674" s="332"/>
      <c r="S674" s="332"/>
      <c r="T674" s="332"/>
      <c r="U674" s="332"/>
      <c r="V674" s="332"/>
      <c r="W674" s="332"/>
      <c r="X674" s="332"/>
      <c r="Y674" s="332"/>
      <c r="Z674" s="332"/>
    </row>
    <row r="675" ht="15.75" customHeight="1">
      <c r="A675" s="27"/>
      <c r="B675" s="27"/>
      <c r="C675" s="27"/>
      <c r="D675" s="114"/>
      <c r="E675" s="114"/>
      <c r="F675" s="27"/>
      <c r="G675" s="27"/>
      <c r="H675" s="332"/>
      <c r="I675" s="332"/>
      <c r="J675" s="332"/>
      <c r="K675" s="332"/>
      <c r="L675" s="332"/>
      <c r="M675" s="332"/>
      <c r="N675" s="332"/>
      <c r="O675" s="332"/>
      <c r="P675" s="332"/>
      <c r="Q675" s="332"/>
      <c r="R675" s="332"/>
      <c r="S675" s="332"/>
      <c r="T675" s="332"/>
      <c r="U675" s="332"/>
      <c r="V675" s="332"/>
      <c r="W675" s="332"/>
      <c r="X675" s="332"/>
      <c r="Y675" s="332"/>
      <c r="Z675" s="332"/>
    </row>
    <row r="676" ht="15.75" customHeight="1">
      <c r="A676" s="27"/>
      <c r="B676" s="27"/>
      <c r="C676" s="27"/>
      <c r="D676" s="114"/>
      <c r="E676" s="114"/>
      <c r="F676" s="27"/>
      <c r="G676" s="27"/>
      <c r="H676" s="332"/>
      <c r="I676" s="332"/>
      <c r="J676" s="332"/>
      <c r="K676" s="332"/>
      <c r="L676" s="332"/>
      <c r="M676" s="332"/>
      <c r="N676" s="332"/>
      <c r="O676" s="332"/>
      <c r="P676" s="332"/>
      <c r="Q676" s="332"/>
      <c r="R676" s="332"/>
      <c r="S676" s="332"/>
      <c r="T676" s="332"/>
      <c r="U676" s="332"/>
      <c r="V676" s="332"/>
      <c r="W676" s="332"/>
      <c r="X676" s="332"/>
      <c r="Y676" s="332"/>
      <c r="Z676" s="332"/>
    </row>
    <row r="677" ht="15.75" customHeight="1">
      <c r="A677" s="27"/>
      <c r="B677" s="27"/>
      <c r="C677" s="27"/>
      <c r="D677" s="114"/>
      <c r="E677" s="114"/>
      <c r="F677" s="27"/>
      <c r="G677" s="27"/>
      <c r="H677" s="332"/>
      <c r="I677" s="332"/>
      <c r="J677" s="332"/>
      <c r="K677" s="332"/>
      <c r="L677" s="332"/>
      <c r="M677" s="332"/>
      <c r="N677" s="332"/>
      <c r="O677" s="332"/>
      <c r="P677" s="332"/>
      <c r="Q677" s="332"/>
      <c r="R677" s="332"/>
      <c r="S677" s="332"/>
      <c r="T677" s="332"/>
      <c r="U677" s="332"/>
      <c r="V677" s="332"/>
      <c r="W677" s="332"/>
      <c r="X677" s="332"/>
      <c r="Y677" s="332"/>
      <c r="Z677" s="332"/>
    </row>
    <row r="678" ht="15.75" customHeight="1">
      <c r="A678" s="27"/>
      <c r="B678" s="27"/>
      <c r="C678" s="27"/>
      <c r="D678" s="114"/>
      <c r="E678" s="114"/>
      <c r="F678" s="27"/>
      <c r="G678" s="27"/>
      <c r="H678" s="332"/>
      <c r="I678" s="332"/>
      <c r="J678" s="332"/>
      <c r="K678" s="332"/>
      <c r="L678" s="332"/>
      <c r="M678" s="332"/>
      <c r="N678" s="332"/>
      <c r="O678" s="332"/>
      <c r="P678" s="332"/>
      <c r="Q678" s="332"/>
      <c r="R678" s="332"/>
      <c r="S678" s="332"/>
      <c r="T678" s="332"/>
      <c r="U678" s="332"/>
      <c r="V678" s="332"/>
      <c r="W678" s="332"/>
      <c r="X678" s="332"/>
      <c r="Y678" s="332"/>
      <c r="Z678" s="332"/>
    </row>
    <row r="679" ht="15.75" customHeight="1">
      <c r="A679" s="27"/>
      <c r="B679" s="27"/>
      <c r="C679" s="27"/>
      <c r="D679" s="114"/>
      <c r="E679" s="114"/>
      <c r="F679" s="27"/>
      <c r="G679" s="27"/>
      <c r="H679" s="332"/>
      <c r="I679" s="332"/>
      <c r="J679" s="332"/>
      <c r="K679" s="332"/>
      <c r="L679" s="332"/>
      <c r="M679" s="332"/>
      <c r="N679" s="332"/>
      <c r="O679" s="332"/>
      <c r="P679" s="332"/>
      <c r="Q679" s="332"/>
      <c r="R679" s="332"/>
      <c r="S679" s="332"/>
      <c r="T679" s="332"/>
      <c r="U679" s="332"/>
      <c r="V679" s="332"/>
      <c r="W679" s="332"/>
      <c r="X679" s="332"/>
      <c r="Y679" s="332"/>
      <c r="Z679" s="332"/>
    </row>
    <row r="680" ht="15.75" customHeight="1">
      <c r="A680" s="27"/>
      <c r="B680" s="27"/>
      <c r="C680" s="27"/>
      <c r="D680" s="114"/>
      <c r="E680" s="114"/>
      <c r="F680" s="27"/>
      <c r="G680" s="27"/>
      <c r="H680" s="332"/>
      <c r="I680" s="332"/>
      <c r="J680" s="332"/>
      <c r="K680" s="332"/>
      <c r="L680" s="332"/>
      <c r="M680" s="332"/>
      <c r="N680" s="332"/>
      <c r="O680" s="332"/>
      <c r="P680" s="332"/>
      <c r="Q680" s="332"/>
      <c r="R680" s="332"/>
      <c r="S680" s="332"/>
      <c r="T680" s="332"/>
      <c r="U680" s="332"/>
      <c r="V680" s="332"/>
      <c r="W680" s="332"/>
      <c r="X680" s="332"/>
      <c r="Y680" s="332"/>
      <c r="Z680" s="332"/>
    </row>
    <row r="681" ht="15.75" customHeight="1">
      <c r="A681" s="27"/>
      <c r="B681" s="27"/>
      <c r="C681" s="27"/>
      <c r="D681" s="114"/>
      <c r="E681" s="114"/>
      <c r="F681" s="27"/>
      <c r="G681" s="27"/>
      <c r="H681" s="332"/>
      <c r="I681" s="332"/>
      <c r="J681" s="332"/>
      <c r="K681" s="332"/>
      <c r="L681" s="332"/>
      <c r="M681" s="332"/>
      <c r="N681" s="332"/>
      <c r="O681" s="332"/>
      <c r="P681" s="332"/>
      <c r="Q681" s="332"/>
      <c r="R681" s="332"/>
      <c r="S681" s="332"/>
      <c r="T681" s="332"/>
      <c r="U681" s="332"/>
      <c r="V681" s="332"/>
      <c r="W681" s="332"/>
      <c r="X681" s="332"/>
      <c r="Y681" s="332"/>
      <c r="Z681" s="332"/>
    </row>
    <row r="682" ht="15.75" customHeight="1">
      <c r="A682" s="27"/>
      <c r="B682" s="27"/>
      <c r="C682" s="27"/>
      <c r="D682" s="114"/>
      <c r="E682" s="114"/>
      <c r="F682" s="27"/>
      <c r="G682" s="27"/>
      <c r="H682" s="332"/>
      <c r="I682" s="332"/>
      <c r="J682" s="332"/>
      <c r="K682" s="332"/>
      <c r="L682" s="332"/>
      <c r="M682" s="332"/>
      <c r="N682" s="332"/>
      <c r="O682" s="332"/>
      <c r="P682" s="332"/>
      <c r="Q682" s="332"/>
      <c r="R682" s="332"/>
      <c r="S682" s="332"/>
      <c r="T682" s="332"/>
      <c r="U682" s="332"/>
      <c r="V682" s="332"/>
      <c r="W682" s="332"/>
      <c r="X682" s="332"/>
      <c r="Y682" s="332"/>
      <c r="Z682" s="332"/>
    </row>
    <row r="683" ht="15.75" customHeight="1">
      <c r="A683" s="27"/>
      <c r="B683" s="27"/>
      <c r="C683" s="27"/>
      <c r="D683" s="114"/>
      <c r="E683" s="114"/>
      <c r="F683" s="27"/>
      <c r="G683" s="27"/>
      <c r="H683" s="332"/>
      <c r="I683" s="332"/>
      <c r="J683" s="332"/>
      <c r="K683" s="332"/>
      <c r="L683" s="332"/>
      <c r="M683" s="332"/>
      <c r="N683" s="332"/>
      <c r="O683" s="332"/>
      <c r="P683" s="332"/>
      <c r="Q683" s="332"/>
      <c r="R683" s="332"/>
      <c r="S683" s="332"/>
      <c r="T683" s="332"/>
      <c r="U683" s="332"/>
      <c r="V683" s="332"/>
      <c r="W683" s="332"/>
      <c r="X683" s="332"/>
      <c r="Y683" s="332"/>
      <c r="Z683" s="332"/>
    </row>
    <row r="684" ht="15.75" customHeight="1">
      <c r="A684" s="27"/>
      <c r="B684" s="27"/>
      <c r="C684" s="27"/>
      <c r="D684" s="114"/>
      <c r="E684" s="114"/>
      <c r="F684" s="27"/>
      <c r="G684" s="27"/>
      <c r="H684" s="332"/>
      <c r="I684" s="332"/>
      <c r="J684" s="332"/>
      <c r="K684" s="332"/>
      <c r="L684" s="332"/>
      <c r="M684" s="332"/>
      <c r="N684" s="332"/>
      <c r="O684" s="332"/>
      <c r="P684" s="332"/>
      <c r="Q684" s="332"/>
      <c r="R684" s="332"/>
      <c r="S684" s="332"/>
      <c r="T684" s="332"/>
      <c r="U684" s="332"/>
      <c r="V684" s="332"/>
      <c r="W684" s="332"/>
      <c r="X684" s="332"/>
      <c r="Y684" s="332"/>
      <c r="Z684" s="332"/>
    </row>
    <row r="685" ht="15.75" customHeight="1">
      <c r="A685" s="27"/>
      <c r="B685" s="27"/>
      <c r="C685" s="27"/>
      <c r="D685" s="114"/>
      <c r="E685" s="114"/>
      <c r="F685" s="27"/>
      <c r="G685" s="27"/>
      <c r="H685" s="332"/>
      <c r="I685" s="332"/>
      <c r="J685" s="332"/>
      <c r="K685" s="332"/>
      <c r="L685" s="332"/>
      <c r="M685" s="332"/>
      <c r="N685" s="332"/>
      <c r="O685" s="332"/>
      <c r="P685" s="332"/>
      <c r="Q685" s="332"/>
      <c r="R685" s="332"/>
      <c r="S685" s="332"/>
      <c r="T685" s="332"/>
      <c r="U685" s="332"/>
      <c r="V685" s="332"/>
      <c r="W685" s="332"/>
      <c r="X685" s="332"/>
      <c r="Y685" s="332"/>
      <c r="Z685" s="332"/>
    </row>
    <row r="686" ht="15.75" customHeight="1">
      <c r="A686" s="27"/>
      <c r="B686" s="27"/>
      <c r="C686" s="27"/>
      <c r="D686" s="114"/>
      <c r="E686" s="114"/>
      <c r="F686" s="27"/>
      <c r="G686" s="27"/>
      <c r="H686" s="332"/>
      <c r="I686" s="332"/>
      <c r="J686" s="332"/>
      <c r="K686" s="332"/>
      <c r="L686" s="332"/>
      <c r="M686" s="332"/>
      <c r="N686" s="332"/>
      <c r="O686" s="332"/>
      <c r="P686" s="332"/>
      <c r="Q686" s="332"/>
      <c r="R686" s="332"/>
      <c r="S686" s="332"/>
      <c r="T686" s="332"/>
      <c r="U686" s="332"/>
      <c r="V686" s="332"/>
      <c r="W686" s="332"/>
      <c r="X686" s="332"/>
      <c r="Y686" s="332"/>
      <c r="Z686" s="332"/>
    </row>
    <row r="687" ht="15.75" customHeight="1">
      <c r="A687" s="27"/>
      <c r="B687" s="27"/>
      <c r="C687" s="27"/>
      <c r="D687" s="114"/>
      <c r="E687" s="114"/>
      <c r="F687" s="27"/>
      <c r="G687" s="27"/>
      <c r="H687" s="332"/>
      <c r="I687" s="332"/>
      <c r="J687" s="332"/>
      <c r="K687" s="332"/>
      <c r="L687" s="332"/>
      <c r="M687" s="332"/>
      <c r="N687" s="332"/>
      <c r="O687" s="332"/>
      <c r="P687" s="332"/>
      <c r="Q687" s="332"/>
      <c r="R687" s="332"/>
      <c r="S687" s="332"/>
      <c r="T687" s="332"/>
      <c r="U687" s="332"/>
      <c r="V687" s="332"/>
      <c r="W687" s="332"/>
      <c r="X687" s="332"/>
      <c r="Y687" s="332"/>
      <c r="Z687" s="332"/>
    </row>
    <row r="688" ht="15.75" customHeight="1">
      <c r="A688" s="27"/>
      <c r="B688" s="27"/>
      <c r="C688" s="27"/>
      <c r="D688" s="114"/>
      <c r="E688" s="114"/>
      <c r="F688" s="27"/>
      <c r="G688" s="27"/>
      <c r="H688" s="332"/>
      <c r="I688" s="332"/>
      <c r="J688" s="332"/>
      <c r="K688" s="332"/>
      <c r="L688" s="332"/>
      <c r="M688" s="332"/>
      <c r="N688" s="332"/>
      <c r="O688" s="332"/>
      <c r="P688" s="332"/>
      <c r="Q688" s="332"/>
      <c r="R688" s="332"/>
      <c r="S688" s="332"/>
      <c r="T688" s="332"/>
      <c r="U688" s="332"/>
      <c r="V688" s="332"/>
      <c r="W688" s="332"/>
      <c r="X688" s="332"/>
      <c r="Y688" s="332"/>
      <c r="Z688" s="332"/>
    </row>
    <row r="689" ht="15.75" customHeight="1">
      <c r="A689" s="27"/>
      <c r="B689" s="27"/>
      <c r="C689" s="27"/>
      <c r="D689" s="114"/>
      <c r="E689" s="114"/>
      <c r="F689" s="27"/>
      <c r="G689" s="27"/>
      <c r="H689" s="332"/>
      <c r="I689" s="332"/>
      <c r="J689" s="332"/>
      <c r="K689" s="332"/>
      <c r="L689" s="332"/>
      <c r="M689" s="332"/>
      <c r="N689" s="332"/>
      <c r="O689" s="332"/>
      <c r="P689" s="332"/>
      <c r="Q689" s="332"/>
      <c r="R689" s="332"/>
      <c r="S689" s="332"/>
      <c r="T689" s="332"/>
      <c r="U689" s="332"/>
      <c r="V689" s="332"/>
      <c r="W689" s="332"/>
      <c r="X689" s="332"/>
      <c r="Y689" s="332"/>
      <c r="Z689" s="332"/>
    </row>
    <row r="690" ht="15.75" customHeight="1">
      <c r="A690" s="27"/>
      <c r="B690" s="27"/>
      <c r="C690" s="27"/>
      <c r="D690" s="114"/>
      <c r="E690" s="114"/>
      <c r="F690" s="27"/>
      <c r="G690" s="27"/>
      <c r="H690" s="332"/>
      <c r="I690" s="332"/>
      <c r="J690" s="332"/>
      <c r="K690" s="332"/>
      <c r="L690" s="332"/>
      <c r="M690" s="332"/>
      <c r="N690" s="332"/>
      <c r="O690" s="332"/>
      <c r="P690" s="332"/>
      <c r="Q690" s="332"/>
      <c r="R690" s="332"/>
      <c r="S690" s="332"/>
      <c r="T690" s="332"/>
      <c r="U690" s="332"/>
      <c r="V690" s="332"/>
      <c r="W690" s="332"/>
      <c r="X690" s="332"/>
      <c r="Y690" s="332"/>
      <c r="Z690" s="332"/>
    </row>
    <row r="691" ht="15.75" customHeight="1">
      <c r="A691" s="27"/>
      <c r="B691" s="27"/>
      <c r="C691" s="27"/>
      <c r="D691" s="114"/>
      <c r="E691" s="114"/>
      <c r="F691" s="27"/>
      <c r="G691" s="27"/>
      <c r="H691" s="332"/>
      <c r="I691" s="332"/>
      <c r="J691" s="332"/>
      <c r="K691" s="332"/>
      <c r="L691" s="332"/>
      <c r="M691" s="332"/>
      <c r="N691" s="332"/>
      <c r="O691" s="332"/>
      <c r="P691" s="332"/>
      <c r="Q691" s="332"/>
      <c r="R691" s="332"/>
      <c r="S691" s="332"/>
      <c r="T691" s="332"/>
      <c r="U691" s="332"/>
      <c r="V691" s="332"/>
      <c r="W691" s="332"/>
      <c r="X691" s="332"/>
      <c r="Y691" s="332"/>
      <c r="Z691" s="332"/>
    </row>
    <row r="692" ht="15.75" customHeight="1">
      <c r="A692" s="27"/>
      <c r="B692" s="27"/>
      <c r="C692" s="27"/>
      <c r="D692" s="114"/>
      <c r="E692" s="114"/>
      <c r="F692" s="27"/>
      <c r="G692" s="27"/>
      <c r="H692" s="332"/>
      <c r="I692" s="332"/>
      <c r="J692" s="332"/>
      <c r="K692" s="332"/>
      <c r="L692" s="332"/>
      <c r="M692" s="332"/>
      <c r="N692" s="332"/>
      <c r="O692" s="332"/>
      <c r="P692" s="332"/>
      <c r="Q692" s="332"/>
      <c r="R692" s="332"/>
      <c r="S692" s="332"/>
      <c r="T692" s="332"/>
      <c r="U692" s="332"/>
      <c r="V692" s="332"/>
      <c r="W692" s="332"/>
      <c r="X692" s="332"/>
      <c r="Y692" s="332"/>
      <c r="Z692" s="332"/>
    </row>
    <row r="693" ht="15.75" customHeight="1">
      <c r="A693" s="27"/>
      <c r="B693" s="27"/>
      <c r="C693" s="27"/>
      <c r="D693" s="114"/>
      <c r="E693" s="114"/>
      <c r="F693" s="27"/>
      <c r="G693" s="27"/>
      <c r="H693" s="332"/>
      <c r="I693" s="332"/>
      <c r="J693" s="332"/>
      <c r="K693" s="332"/>
      <c r="L693" s="332"/>
      <c r="M693" s="332"/>
      <c r="N693" s="332"/>
      <c r="O693" s="332"/>
      <c r="P693" s="332"/>
      <c r="Q693" s="332"/>
      <c r="R693" s="332"/>
      <c r="S693" s="332"/>
      <c r="T693" s="332"/>
      <c r="U693" s="332"/>
      <c r="V693" s="332"/>
      <c r="W693" s="332"/>
      <c r="X693" s="332"/>
      <c r="Y693" s="332"/>
      <c r="Z693" s="332"/>
    </row>
    <row r="694" ht="15.75" customHeight="1">
      <c r="A694" s="27"/>
      <c r="B694" s="27"/>
      <c r="C694" s="27"/>
      <c r="D694" s="114"/>
      <c r="E694" s="114"/>
      <c r="F694" s="27"/>
      <c r="G694" s="27"/>
      <c r="H694" s="332"/>
      <c r="I694" s="332"/>
      <c r="J694" s="332"/>
      <c r="K694" s="332"/>
      <c r="L694" s="332"/>
      <c r="M694" s="332"/>
      <c r="N694" s="332"/>
      <c r="O694" s="332"/>
      <c r="P694" s="332"/>
      <c r="Q694" s="332"/>
      <c r="R694" s="332"/>
      <c r="S694" s="332"/>
      <c r="T694" s="332"/>
      <c r="U694" s="332"/>
      <c r="V694" s="332"/>
      <c r="W694" s="332"/>
      <c r="X694" s="332"/>
      <c r="Y694" s="332"/>
      <c r="Z694" s="332"/>
    </row>
    <row r="695" ht="15.75" customHeight="1">
      <c r="A695" s="27"/>
      <c r="B695" s="27"/>
      <c r="C695" s="27"/>
      <c r="D695" s="114"/>
      <c r="E695" s="114"/>
      <c r="F695" s="27"/>
      <c r="G695" s="27"/>
      <c r="H695" s="332"/>
      <c r="I695" s="332"/>
      <c r="J695" s="332"/>
      <c r="K695" s="332"/>
      <c r="L695" s="332"/>
      <c r="M695" s="332"/>
      <c r="N695" s="332"/>
      <c r="O695" s="332"/>
      <c r="P695" s="332"/>
      <c r="Q695" s="332"/>
      <c r="R695" s="332"/>
      <c r="S695" s="332"/>
      <c r="T695" s="332"/>
      <c r="U695" s="332"/>
      <c r="V695" s="332"/>
      <c r="W695" s="332"/>
      <c r="X695" s="332"/>
      <c r="Y695" s="332"/>
      <c r="Z695" s="332"/>
    </row>
    <row r="696" ht="15.75" customHeight="1">
      <c r="A696" s="27"/>
      <c r="B696" s="27"/>
      <c r="C696" s="27"/>
      <c r="D696" s="114"/>
      <c r="E696" s="114"/>
      <c r="F696" s="27"/>
      <c r="G696" s="27"/>
      <c r="H696" s="332"/>
      <c r="I696" s="332"/>
      <c r="J696" s="332"/>
      <c r="K696" s="332"/>
      <c r="L696" s="332"/>
      <c r="M696" s="332"/>
      <c r="N696" s="332"/>
      <c r="O696" s="332"/>
      <c r="P696" s="332"/>
      <c r="Q696" s="332"/>
      <c r="R696" s="332"/>
      <c r="S696" s="332"/>
      <c r="T696" s="332"/>
      <c r="U696" s="332"/>
      <c r="V696" s="332"/>
      <c r="W696" s="332"/>
      <c r="X696" s="332"/>
      <c r="Y696" s="332"/>
      <c r="Z696" s="332"/>
    </row>
    <row r="697" ht="15.75" customHeight="1">
      <c r="A697" s="27"/>
      <c r="B697" s="27"/>
      <c r="C697" s="27"/>
      <c r="D697" s="114"/>
      <c r="E697" s="114"/>
      <c r="F697" s="27"/>
      <c r="G697" s="27"/>
      <c r="H697" s="332"/>
      <c r="I697" s="332"/>
      <c r="J697" s="332"/>
      <c r="K697" s="332"/>
      <c r="L697" s="332"/>
      <c r="M697" s="332"/>
      <c r="N697" s="332"/>
      <c r="O697" s="332"/>
      <c r="P697" s="332"/>
      <c r="Q697" s="332"/>
      <c r="R697" s="332"/>
      <c r="S697" s="332"/>
      <c r="T697" s="332"/>
      <c r="U697" s="332"/>
      <c r="V697" s="332"/>
      <c r="W697" s="332"/>
      <c r="X697" s="332"/>
      <c r="Y697" s="332"/>
      <c r="Z697" s="332"/>
    </row>
    <row r="698" ht="15.75" customHeight="1">
      <c r="A698" s="27"/>
      <c r="B698" s="27"/>
      <c r="C698" s="27"/>
      <c r="D698" s="114"/>
      <c r="E698" s="114"/>
      <c r="F698" s="27"/>
      <c r="G698" s="27"/>
      <c r="H698" s="332"/>
      <c r="I698" s="332"/>
      <c r="J698" s="332"/>
      <c r="K698" s="332"/>
      <c r="L698" s="332"/>
      <c r="M698" s="332"/>
      <c r="N698" s="332"/>
      <c r="O698" s="332"/>
      <c r="P698" s="332"/>
      <c r="Q698" s="332"/>
      <c r="R698" s="332"/>
      <c r="S698" s="332"/>
      <c r="T698" s="332"/>
      <c r="U698" s="332"/>
      <c r="V698" s="332"/>
      <c r="W698" s="332"/>
      <c r="X698" s="332"/>
      <c r="Y698" s="332"/>
      <c r="Z698" s="332"/>
    </row>
    <row r="699" ht="15.75" customHeight="1">
      <c r="A699" s="27"/>
      <c r="B699" s="27"/>
      <c r="C699" s="27"/>
      <c r="D699" s="114"/>
      <c r="E699" s="114"/>
      <c r="F699" s="27"/>
      <c r="G699" s="27"/>
      <c r="H699" s="332"/>
      <c r="I699" s="332"/>
      <c r="J699" s="332"/>
      <c r="K699" s="332"/>
      <c r="L699" s="332"/>
      <c r="M699" s="332"/>
      <c r="N699" s="332"/>
      <c r="O699" s="332"/>
      <c r="P699" s="332"/>
      <c r="Q699" s="332"/>
      <c r="R699" s="332"/>
      <c r="S699" s="332"/>
      <c r="T699" s="332"/>
      <c r="U699" s="332"/>
      <c r="V699" s="332"/>
      <c r="W699" s="332"/>
      <c r="X699" s="332"/>
      <c r="Y699" s="332"/>
      <c r="Z699" s="332"/>
    </row>
    <row r="700" ht="15.75" customHeight="1">
      <c r="A700" s="27"/>
      <c r="B700" s="27"/>
      <c r="C700" s="27"/>
      <c r="D700" s="114"/>
      <c r="E700" s="114"/>
      <c r="F700" s="27"/>
      <c r="G700" s="27"/>
      <c r="H700" s="332"/>
      <c r="I700" s="332"/>
      <c r="J700" s="332"/>
      <c r="K700" s="332"/>
      <c r="L700" s="332"/>
      <c r="M700" s="332"/>
      <c r="N700" s="332"/>
      <c r="O700" s="332"/>
      <c r="P700" s="332"/>
      <c r="Q700" s="332"/>
      <c r="R700" s="332"/>
      <c r="S700" s="332"/>
      <c r="T700" s="332"/>
      <c r="U700" s="332"/>
      <c r="V700" s="332"/>
      <c r="W700" s="332"/>
      <c r="X700" s="332"/>
      <c r="Y700" s="332"/>
      <c r="Z700" s="332"/>
    </row>
    <row r="701" ht="15.75" customHeight="1">
      <c r="A701" s="27"/>
      <c r="B701" s="27"/>
      <c r="C701" s="27"/>
      <c r="D701" s="114"/>
      <c r="E701" s="114"/>
      <c r="F701" s="27"/>
      <c r="G701" s="27"/>
      <c r="H701" s="332"/>
      <c r="I701" s="332"/>
      <c r="J701" s="332"/>
      <c r="K701" s="332"/>
      <c r="L701" s="332"/>
      <c r="M701" s="332"/>
      <c r="N701" s="332"/>
      <c r="O701" s="332"/>
      <c r="P701" s="332"/>
      <c r="Q701" s="332"/>
      <c r="R701" s="332"/>
      <c r="S701" s="332"/>
      <c r="T701" s="332"/>
      <c r="U701" s="332"/>
      <c r="V701" s="332"/>
      <c r="W701" s="332"/>
      <c r="X701" s="332"/>
      <c r="Y701" s="332"/>
      <c r="Z701" s="332"/>
    </row>
    <row r="702" ht="15.75" customHeight="1">
      <c r="A702" s="27"/>
      <c r="B702" s="27"/>
      <c r="C702" s="27"/>
      <c r="D702" s="114"/>
      <c r="E702" s="114"/>
      <c r="F702" s="27"/>
      <c r="G702" s="27"/>
      <c r="H702" s="332"/>
      <c r="I702" s="332"/>
      <c r="J702" s="332"/>
      <c r="K702" s="332"/>
      <c r="L702" s="332"/>
      <c r="M702" s="332"/>
      <c r="N702" s="332"/>
      <c r="O702" s="332"/>
      <c r="P702" s="332"/>
      <c r="Q702" s="332"/>
      <c r="R702" s="332"/>
      <c r="S702" s="332"/>
      <c r="T702" s="332"/>
      <c r="U702" s="332"/>
      <c r="V702" s="332"/>
      <c r="W702" s="332"/>
      <c r="X702" s="332"/>
      <c r="Y702" s="332"/>
      <c r="Z702" s="332"/>
    </row>
    <row r="703" ht="15.75" customHeight="1">
      <c r="A703" s="27"/>
      <c r="B703" s="27"/>
      <c r="C703" s="27"/>
      <c r="D703" s="114"/>
      <c r="E703" s="114"/>
      <c r="F703" s="27"/>
      <c r="G703" s="27"/>
      <c r="H703" s="332"/>
      <c r="I703" s="332"/>
      <c r="J703" s="332"/>
      <c r="K703" s="332"/>
      <c r="L703" s="332"/>
      <c r="M703" s="332"/>
      <c r="N703" s="332"/>
      <c r="O703" s="332"/>
      <c r="P703" s="332"/>
      <c r="Q703" s="332"/>
      <c r="R703" s="332"/>
      <c r="S703" s="332"/>
      <c r="T703" s="332"/>
      <c r="U703" s="332"/>
      <c r="V703" s="332"/>
      <c r="W703" s="332"/>
      <c r="X703" s="332"/>
      <c r="Y703" s="332"/>
      <c r="Z703" s="332"/>
    </row>
    <row r="704" ht="15.75" customHeight="1">
      <c r="A704" s="27"/>
      <c r="B704" s="27"/>
      <c r="C704" s="27"/>
      <c r="D704" s="114"/>
      <c r="E704" s="114"/>
      <c r="F704" s="27"/>
      <c r="G704" s="27"/>
      <c r="H704" s="332"/>
      <c r="I704" s="332"/>
      <c r="J704" s="332"/>
      <c r="K704" s="332"/>
      <c r="L704" s="332"/>
      <c r="M704" s="332"/>
      <c r="N704" s="332"/>
      <c r="O704" s="332"/>
      <c r="P704" s="332"/>
      <c r="Q704" s="332"/>
      <c r="R704" s="332"/>
      <c r="S704" s="332"/>
      <c r="T704" s="332"/>
      <c r="U704" s="332"/>
      <c r="V704" s="332"/>
      <c r="W704" s="332"/>
      <c r="X704" s="332"/>
      <c r="Y704" s="332"/>
      <c r="Z704" s="332"/>
    </row>
    <row r="705" ht="15.75" customHeight="1">
      <c r="A705" s="27"/>
      <c r="B705" s="27"/>
      <c r="C705" s="27"/>
      <c r="D705" s="114"/>
      <c r="E705" s="114"/>
      <c r="F705" s="27"/>
      <c r="G705" s="27"/>
      <c r="H705" s="332"/>
      <c r="I705" s="332"/>
      <c r="J705" s="332"/>
      <c r="K705" s="332"/>
      <c r="L705" s="332"/>
      <c r="M705" s="332"/>
      <c r="N705" s="332"/>
      <c r="O705" s="332"/>
      <c r="P705" s="332"/>
      <c r="Q705" s="332"/>
      <c r="R705" s="332"/>
      <c r="S705" s="332"/>
      <c r="T705" s="332"/>
      <c r="U705" s="332"/>
      <c r="V705" s="332"/>
      <c r="W705" s="332"/>
      <c r="X705" s="332"/>
      <c r="Y705" s="332"/>
      <c r="Z705" s="332"/>
    </row>
    <row r="706" ht="15.75" customHeight="1">
      <c r="A706" s="27"/>
      <c r="B706" s="27"/>
      <c r="C706" s="27"/>
      <c r="D706" s="114"/>
      <c r="E706" s="114"/>
      <c r="F706" s="27"/>
      <c r="G706" s="27"/>
      <c r="H706" s="332"/>
      <c r="I706" s="332"/>
      <c r="J706" s="332"/>
      <c r="K706" s="332"/>
      <c r="L706" s="332"/>
      <c r="M706" s="332"/>
      <c r="N706" s="332"/>
      <c r="O706" s="332"/>
      <c r="P706" s="332"/>
      <c r="Q706" s="332"/>
      <c r="R706" s="332"/>
      <c r="S706" s="332"/>
      <c r="T706" s="332"/>
      <c r="U706" s="332"/>
      <c r="V706" s="332"/>
      <c r="W706" s="332"/>
      <c r="X706" s="332"/>
      <c r="Y706" s="332"/>
      <c r="Z706" s="332"/>
    </row>
    <row r="707" ht="15.75" customHeight="1">
      <c r="A707" s="27"/>
      <c r="B707" s="27"/>
      <c r="C707" s="27"/>
      <c r="D707" s="114"/>
      <c r="E707" s="114"/>
      <c r="F707" s="27"/>
      <c r="G707" s="27"/>
      <c r="H707" s="332"/>
      <c r="I707" s="332"/>
      <c r="J707" s="332"/>
      <c r="K707" s="332"/>
      <c r="L707" s="332"/>
      <c r="M707" s="332"/>
      <c r="N707" s="332"/>
      <c r="O707" s="332"/>
      <c r="P707" s="332"/>
      <c r="Q707" s="332"/>
      <c r="R707" s="332"/>
      <c r="S707" s="332"/>
      <c r="T707" s="332"/>
      <c r="U707" s="332"/>
      <c r="V707" s="332"/>
      <c r="W707" s="332"/>
      <c r="X707" s="332"/>
      <c r="Y707" s="332"/>
      <c r="Z707" s="332"/>
    </row>
    <row r="708" ht="15.75" customHeight="1">
      <c r="A708" s="27"/>
      <c r="B708" s="27"/>
      <c r="C708" s="27"/>
      <c r="D708" s="114"/>
      <c r="E708" s="114"/>
      <c r="F708" s="27"/>
      <c r="G708" s="27"/>
      <c r="H708" s="332"/>
      <c r="I708" s="332"/>
      <c r="J708" s="332"/>
      <c r="K708" s="332"/>
      <c r="L708" s="332"/>
      <c r="M708" s="332"/>
      <c r="N708" s="332"/>
      <c r="O708" s="332"/>
      <c r="P708" s="332"/>
      <c r="Q708" s="332"/>
      <c r="R708" s="332"/>
      <c r="S708" s="332"/>
      <c r="T708" s="332"/>
      <c r="U708" s="332"/>
      <c r="V708" s="332"/>
      <c r="W708" s="332"/>
      <c r="X708" s="332"/>
      <c r="Y708" s="332"/>
      <c r="Z708" s="332"/>
    </row>
    <row r="709" ht="15.75" customHeight="1">
      <c r="A709" s="27"/>
      <c r="B709" s="27"/>
      <c r="C709" s="27"/>
      <c r="D709" s="114"/>
      <c r="E709" s="114"/>
      <c r="F709" s="27"/>
      <c r="G709" s="27"/>
      <c r="H709" s="332"/>
      <c r="I709" s="332"/>
      <c r="J709" s="332"/>
      <c r="K709" s="332"/>
      <c r="L709" s="332"/>
      <c r="M709" s="332"/>
      <c r="N709" s="332"/>
      <c r="O709" s="332"/>
      <c r="P709" s="332"/>
      <c r="Q709" s="332"/>
      <c r="R709" s="332"/>
      <c r="S709" s="332"/>
      <c r="T709" s="332"/>
      <c r="U709" s="332"/>
      <c r="V709" s="332"/>
      <c r="W709" s="332"/>
      <c r="X709" s="332"/>
      <c r="Y709" s="332"/>
      <c r="Z709" s="332"/>
    </row>
    <row r="710" ht="15.75" customHeight="1">
      <c r="A710" s="27"/>
      <c r="B710" s="27"/>
      <c r="C710" s="27"/>
      <c r="D710" s="114"/>
      <c r="E710" s="114"/>
      <c r="F710" s="27"/>
      <c r="G710" s="27"/>
      <c r="H710" s="332"/>
      <c r="I710" s="332"/>
      <c r="J710" s="332"/>
      <c r="K710" s="332"/>
      <c r="L710" s="332"/>
      <c r="M710" s="332"/>
      <c r="N710" s="332"/>
      <c r="O710" s="332"/>
      <c r="P710" s="332"/>
      <c r="Q710" s="332"/>
      <c r="R710" s="332"/>
      <c r="S710" s="332"/>
      <c r="T710" s="332"/>
      <c r="U710" s="332"/>
      <c r="V710" s="332"/>
      <c r="W710" s="332"/>
      <c r="X710" s="332"/>
      <c r="Y710" s="332"/>
      <c r="Z710" s="332"/>
    </row>
    <row r="711" ht="15.75" customHeight="1">
      <c r="A711" s="27"/>
      <c r="B711" s="27"/>
      <c r="C711" s="27"/>
      <c r="D711" s="114"/>
      <c r="E711" s="114"/>
      <c r="F711" s="27"/>
      <c r="G711" s="27"/>
      <c r="H711" s="332"/>
      <c r="I711" s="332"/>
      <c r="J711" s="332"/>
      <c r="K711" s="332"/>
      <c r="L711" s="332"/>
      <c r="M711" s="332"/>
      <c r="N711" s="332"/>
      <c r="O711" s="332"/>
      <c r="P711" s="332"/>
      <c r="Q711" s="332"/>
      <c r="R711" s="332"/>
      <c r="S711" s="332"/>
      <c r="T711" s="332"/>
      <c r="U711" s="332"/>
      <c r="V711" s="332"/>
      <c r="W711" s="332"/>
      <c r="X711" s="332"/>
      <c r="Y711" s="332"/>
      <c r="Z711" s="332"/>
    </row>
    <row r="712" ht="15.75" customHeight="1">
      <c r="A712" s="27"/>
      <c r="B712" s="27"/>
      <c r="C712" s="27"/>
      <c r="D712" s="114"/>
      <c r="E712" s="114"/>
      <c r="F712" s="27"/>
      <c r="G712" s="27"/>
      <c r="H712" s="332"/>
      <c r="I712" s="332"/>
      <c r="J712" s="332"/>
      <c r="K712" s="332"/>
      <c r="L712" s="332"/>
      <c r="M712" s="332"/>
      <c r="N712" s="332"/>
      <c r="O712" s="332"/>
      <c r="P712" s="332"/>
      <c r="Q712" s="332"/>
      <c r="R712" s="332"/>
      <c r="S712" s="332"/>
      <c r="T712" s="332"/>
      <c r="U712" s="332"/>
      <c r="V712" s="332"/>
      <c r="W712" s="332"/>
      <c r="X712" s="332"/>
      <c r="Y712" s="332"/>
      <c r="Z712" s="332"/>
    </row>
    <row r="713" ht="15.75" customHeight="1">
      <c r="A713" s="27"/>
      <c r="B713" s="27"/>
      <c r="C713" s="27"/>
      <c r="D713" s="114"/>
      <c r="E713" s="114"/>
      <c r="F713" s="27"/>
      <c r="G713" s="27"/>
      <c r="H713" s="332"/>
      <c r="I713" s="332"/>
      <c r="J713" s="332"/>
      <c r="K713" s="332"/>
      <c r="L713" s="332"/>
      <c r="M713" s="332"/>
      <c r="N713" s="332"/>
      <c r="O713" s="332"/>
      <c r="P713" s="332"/>
      <c r="Q713" s="332"/>
      <c r="R713" s="332"/>
      <c r="S713" s="332"/>
      <c r="T713" s="332"/>
      <c r="U713" s="332"/>
      <c r="V713" s="332"/>
      <c r="W713" s="332"/>
      <c r="X713" s="332"/>
      <c r="Y713" s="332"/>
      <c r="Z713" s="332"/>
    </row>
    <row r="714" ht="15.75" customHeight="1">
      <c r="A714" s="27"/>
      <c r="B714" s="27"/>
      <c r="C714" s="27"/>
      <c r="D714" s="114"/>
      <c r="E714" s="114"/>
      <c r="F714" s="27"/>
      <c r="G714" s="27"/>
      <c r="H714" s="332"/>
      <c r="I714" s="332"/>
      <c r="J714" s="332"/>
      <c r="K714" s="332"/>
      <c r="L714" s="332"/>
      <c r="M714" s="332"/>
      <c r="N714" s="332"/>
      <c r="O714" s="332"/>
      <c r="P714" s="332"/>
      <c r="Q714" s="332"/>
      <c r="R714" s="332"/>
      <c r="S714" s="332"/>
      <c r="T714" s="332"/>
      <c r="U714" s="332"/>
      <c r="V714" s="332"/>
      <c r="W714" s="332"/>
      <c r="X714" s="332"/>
      <c r="Y714" s="332"/>
      <c r="Z714" s="332"/>
    </row>
    <row r="715" ht="15.75" customHeight="1">
      <c r="A715" s="27"/>
      <c r="B715" s="27"/>
      <c r="C715" s="27"/>
      <c r="D715" s="114"/>
      <c r="E715" s="114"/>
      <c r="F715" s="27"/>
      <c r="G715" s="27"/>
      <c r="H715" s="332"/>
      <c r="I715" s="332"/>
      <c r="J715" s="332"/>
      <c r="K715" s="332"/>
      <c r="L715" s="332"/>
      <c r="M715" s="332"/>
      <c r="N715" s="332"/>
      <c r="O715" s="332"/>
      <c r="P715" s="332"/>
      <c r="Q715" s="332"/>
      <c r="R715" s="332"/>
      <c r="S715" s="332"/>
      <c r="T715" s="332"/>
      <c r="U715" s="332"/>
      <c r="V715" s="332"/>
      <c r="W715" s="332"/>
      <c r="X715" s="332"/>
      <c r="Y715" s="332"/>
      <c r="Z715" s="332"/>
    </row>
    <row r="716" ht="15.75" customHeight="1">
      <c r="A716" s="27"/>
      <c r="B716" s="27"/>
      <c r="C716" s="27"/>
      <c r="D716" s="114"/>
      <c r="E716" s="114"/>
      <c r="F716" s="27"/>
      <c r="G716" s="27"/>
      <c r="H716" s="332"/>
      <c r="I716" s="332"/>
      <c r="J716" s="332"/>
      <c r="K716" s="332"/>
      <c r="L716" s="332"/>
      <c r="M716" s="332"/>
      <c r="N716" s="332"/>
      <c r="O716" s="332"/>
      <c r="P716" s="332"/>
      <c r="Q716" s="332"/>
      <c r="R716" s="332"/>
      <c r="S716" s="332"/>
      <c r="T716" s="332"/>
      <c r="U716" s="332"/>
      <c r="V716" s="332"/>
      <c r="W716" s="332"/>
      <c r="X716" s="332"/>
      <c r="Y716" s="332"/>
      <c r="Z716" s="332"/>
    </row>
    <row r="717" ht="15.75" customHeight="1">
      <c r="A717" s="27"/>
      <c r="B717" s="27"/>
      <c r="C717" s="27"/>
      <c r="D717" s="114"/>
      <c r="E717" s="114"/>
      <c r="F717" s="27"/>
      <c r="G717" s="27"/>
      <c r="H717" s="332"/>
      <c r="I717" s="332"/>
      <c r="J717" s="332"/>
      <c r="K717" s="332"/>
      <c r="L717" s="332"/>
      <c r="M717" s="332"/>
      <c r="N717" s="332"/>
      <c r="O717" s="332"/>
      <c r="P717" s="332"/>
      <c r="Q717" s="332"/>
      <c r="R717" s="332"/>
      <c r="S717" s="332"/>
      <c r="T717" s="332"/>
      <c r="U717" s="332"/>
      <c r="V717" s="332"/>
      <c r="W717" s="332"/>
      <c r="X717" s="332"/>
      <c r="Y717" s="332"/>
      <c r="Z717" s="332"/>
    </row>
    <row r="718" ht="15.75" customHeight="1">
      <c r="A718" s="27"/>
      <c r="B718" s="27"/>
      <c r="C718" s="27"/>
      <c r="D718" s="114"/>
      <c r="E718" s="114"/>
      <c r="F718" s="27"/>
      <c r="G718" s="27"/>
      <c r="H718" s="332"/>
      <c r="I718" s="332"/>
      <c r="J718" s="332"/>
      <c r="K718" s="332"/>
      <c r="L718" s="332"/>
      <c r="M718" s="332"/>
      <c r="N718" s="332"/>
      <c r="O718" s="332"/>
      <c r="P718" s="332"/>
      <c r="Q718" s="332"/>
      <c r="R718" s="332"/>
      <c r="S718" s="332"/>
      <c r="T718" s="332"/>
      <c r="U718" s="332"/>
      <c r="V718" s="332"/>
      <c r="W718" s="332"/>
      <c r="X718" s="332"/>
      <c r="Y718" s="332"/>
      <c r="Z718" s="332"/>
    </row>
    <row r="719" ht="15.75" customHeight="1">
      <c r="A719" s="27"/>
      <c r="B719" s="27"/>
      <c r="C719" s="27"/>
      <c r="D719" s="114"/>
      <c r="E719" s="114"/>
      <c r="F719" s="27"/>
      <c r="G719" s="27"/>
      <c r="H719" s="332"/>
      <c r="I719" s="332"/>
      <c r="J719" s="332"/>
      <c r="K719" s="332"/>
      <c r="L719" s="332"/>
      <c r="M719" s="332"/>
      <c r="N719" s="332"/>
      <c r="O719" s="332"/>
      <c r="P719" s="332"/>
      <c r="Q719" s="332"/>
      <c r="R719" s="332"/>
      <c r="S719" s="332"/>
      <c r="T719" s="332"/>
      <c r="U719" s="332"/>
      <c r="V719" s="332"/>
      <c r="W719" s="332"/>
      <c r="X719" s="332"/>
      <c r="Y719" s="332"/>
      <c r="Z719" s="332"/>
    </row>
    <row r="720" ht="15.75" customHeight="1">
      <c r="A720" s="27"/>
      <c r="B720" s="27"/>
      <c r="C720" s="27"/>
      <c r="D720" s="114"/>
      <c r="E720" s="114"/>
      <c r="F720" s="27"/>
      <c r="G720" s="27"/>
      <c r="H720" s="332"/>
      <c r="I720" s="332"/>
      <c r="J720" s="332"/>
      <c r="K720" s="332"/>
      <c r="L720" s="332"/>
      <c r="M720" s="332"/>
      <c r="N720" s="332"/>
      <c r="O720" s="332"/>
      <c r="P720" s="332"/>
      <c r="Q720" s="332"/>
      <c r="R720" s="332"/>
      <c r="S720" s="332"/>
      <c r="T720" s="332"/>
      <c r="U720" s="332"/>
      <c r="V720" s="332"/>
      <c r="W720" s="332"/>
      <c r="X720" s="332"/>
      <c r="Y720" s="332"/>
      <c r="Z720" s="332"/>
    </row>
    <row r="721" ht="15.75" customHeight="1">
      <c r="A721" s="27"/>
      <c r="B721" s="27"/>
      <c r="C721" s="27"/>
      <c r="D721" s="114"/>
      <c r="E721" s="114"/>
      <c r="F721" s="27"/>
      <c r="G721" s="27"/>
      <c r="H721" s="332"/>
      <c r="I721" s="332"/>
      <c r="J721" s="332"/>
      <c r="K721" s="332"/>
      <c r="L721" s="332"/>
      <c r="M721" s="332"/>
      <c r="N721" s="332"/>
      <c r="O721" s="332"/>
      <c r="P721" s="332"/>
      <c r="Q721" s="332"/>
      <c r="R721" s="332"/>
      <c r="S721" s="332"/>
      <c r="T721" s="332"/>
      <c r="U721" s="332"/>
      <c r="V721" s="332"/>
      <c r="W721" s="332"/>
      <c r="X721" s="332"/>
      <c r="Y721" s="332"/>
      <c r="Z721" s="332"/>
    </row>
    <row r="722" ht="15.75" customHeight="1">
      <c r="A722" s="27"/>
      <c r="B722" s="27"/>
      <c r="C722" s="27"/>
      <c r="D722" s="114"/>
      <c r="E722" s="114"/>
      <c r="F722" s="27"/>
      <c r="G722" s="27"/>
      <c r="H722" s="332"/>
      <c r="I722" s="332"/>
      <c r="J722" s="332"/>
      <c r="K722" s="332"/>
      <c r="L722" s="332"/>
      <c r="M722" s="332"/>
      <c r="N722" s="332"/>
      <c r="O722" s="332"/>
      <c r="P722" s="332"/>
      <c r="Q722" s="332"/>
      <c r="R722" s="332"/>
      <c r="S722" s="332"/>
      <c r="T722" s="332"/>
      <c r="U722" s="332"/>
      <c r="V722" s="332"/>
      <c r="W722" s="332"/>
      <c r="X722" s="332"/>
      <c r="Y722" s="332"/>
      <c r="Z722" s="332"/>
    </row>
    <row r="723" ht="15.75" customHeight="1">
      <c r="A723" s="27"/>
      <c r="B723" s="27"/>
      <c r="C723" s="27"/>
      <c r="D723" s="114"/>
      <c r="E723" s="114"/>
      <c r="F723" s="27"/>
      <c r="G723" s="27"/>
      <c r="H723" s="332"/>
      <c r="I723" s="332"/>
      <c r="J723" s="332"/>
      <c r="K723" s="332"/>
      <c r="L723" s="332"/>
      <c r="M723" s="332"/>
      <c r="N723" s="332"/>
      <c r="O723" s="332"/>
      <c r="P723" s="332"/>
      <c r="Q723" s="332"/>
      <c r="R723" s="332"/>
      <c r="S723" s="332"/>
      <c r="T723" s="332"/>
      <c r="U723" s="332"/>
      <c r="V723" s="332"/>
      <c r="W723" s="332"/>
      <c r="X723" s="332"/>
      <c r="Y723" s="332"/>
      <c r="Z723" s="332"/>
    </row>
    <row r="724" ht="15.75" customHeight="1">
      <c r="A724" s="27"/>
      <c r="B724" s="27"/>
      <c r="C724" s="27"/>
      <c r="D724" s="114"/>
      <c r="E724" s="114"/>
      <c r="F724" s="27"/>
      <c r="G724" s="27"/>
      <c r="H724" s="332"/>
      <c r="I724" s="332"/>
      <c r="J724" s="332"/>
      <c r="K724" s="332"/>
      <c r="L724" s="332"/>
      <c r="M724" s="332"/>
      <c r="N724" s="332"/>
      <c r="O724" s="332"/>
      <c r="P724" s="332"/>
      <c r="Q724" s="332"/>
      <c r="R724" s="332"/>
      <c r="S724" s="332"/>
      <c r="T724" s="332"/>
      <c r="U724" s="332"/>
      <c r="V724" s="332"/>
      <c r="W724" s="332"/>
      <c r="X724" s="332"/>
      <c r="Y724" s="332"/>
      <c r="Z724" s="332"/>
    </row>
    <row r="725" ht="15.75" customHeight="1">
      <c r="A725" s="27"/>
      <c r="B725" s="27"/>
      <c r="C725" s="27"/>
      <c r="D725" s="114"/>
      <c r="E725" s="114"/>
      <c r="F725" s="27"/>
      <c r="G725" s="27"/>
      <c r="H725" s="332"/>
      <c r="I725" s="332"/>
      <c r="J725" s="332"/>
      <c r="K725" s="332"/>
      <c r="L725" s="332"/>
      <c r="M725" s="332"/>
      <c r="N725" s="332"/>
      <c r="O725" s="332"/>
      <c r="P725" s="332"/>
      <c r="Q725" s="332"/>
      <c r="R725" s="332"/>
      <c r="S725" s="332"/>
      <c r="T725" s="332"/>
      <c r="U725" s="332"/>
      <c r="V725" s="332"/>
      <c r="W725" s="332"/>
      <c r="X725" s="332"/>
      <c r="Y725" s="332"/>
      <c r="Z725" s="332"/>
    </row>
    <row r="726" ht="15.75" customHeight="1">
      <c r="A726" s="27"/>
      <c r="B726" s="27"/>
      <c r="C726" s="27"/>
      <c r="D726" s="114"/>
      <c r="E726" s="114"/>
      <c r="F726" s="27"/>
      <c r="G726" s="27"/>
      <c r="H726" s="332"/>
      <c r="I726" s="332"/>
      <c r="J726" s="332"/>
      <c r="K726" s="332"/>
      <c r="L726" s="332"/>
      <c r="M726" s="332"/>
      <c r="N726" s="332"/>
      <c r="O726" s="332"/>
      <c r="P726" s="332"/>
      <c r="Q726" s="332"/>
      <c r="R726" s="332"/>
      <c r="S726" s="332"/>
      <c r="T726" s="332"/>
      <c r="U726" s="332"/>
      <c r="V726" s="332"/>
      <c r="W726" s="332"/>
      <c r="X726" s="332"/>
      <c r="Y726" s="332"/>
      <c r="Z726" s="332"/>
    </row>
    <row r="727" ht="15.75" customHeight="1">
      <c r="A727" s="27"/>
      <c r="B727" s="27"/>
      <c r="C727" s="27"/>
      <c r="D727" s="114"/>
      <c r="E727" s="114"/>
      <c r="F727" s="27"/>
      <c r="G727" s="27"/>
      <c r="H727" s="332"/>
      <c r="I727" s="332"/>
      <c r="J727" s="332"/>
      <c r="K727" s="332"/>
      <c r="L727" s="332"/>
      <c r="M727" s="332"/>
      <c r="N727" s="332"/>
      <c r="O727" s="332"/>
      <c r="P727" s="332"/>
      <c r="Q727" s="332"/>
      <c r="R727" s="332"/>
      <c r="S727" s="332"/>
      <c r="T727" s="332"/>
      <c r="U727" s="332"/>
      <c r="V727" s="332"/>
      <c r="W727" s="332"/>
      <c r="X727" s="332"/>
      <c r="Y727" s="332"/>
      <c r="Z727" s="332"/>
    </row>
    <row r="728" ht="15.75" customHeight="1">
      <c r="A728" s="27"/>
      <c r="B728" s="27"/>
      <c r="C728" s="27"/>
      <c r="D728" s="114"/>
      <c r="E728" s="114"/>
      <c r="F728" s="27"/>
      <c r="G728" s="27"/>
      <c r="H728" s="332"/>
      <c r="I728" s="332"/>
      <c r="J728" s="332"/>
      <c r="K728" s="332"/>
      <c r="L728" s="332"/>
      <c r="M728" s="332"/>
      <c r="N728" s="332"/>
      <c r="O728" s="332"/>
      <c r="P728" s="332"/>
      <c r="Q728" s="332"/>
      <c r="R728" s="332"/>
      <c r="S728" s="332"/>
      <c r="T728" s="332"/>
      <c r="U728" s="332"/>
      <c r="V728" s="332"/>
      <c r="W728" s="332"/>
      <c r="X728" s="332"/>
      <c r="Y728" s="332"/>
      <c r="Z728" s="332"/>
    </row>
    <row r="729" ht="15.75" customHeight="1">
      <c r="A729" s="27"/>
      <c r="B729" s="27"/>
      <c r="C729" s="27"/>
      <c r="D729" s="114"/>
      <c r="E729" s="114"/>
      <c r="F729" s="27"/>
      <c r="G729" s="27"/>
      <c r="H729" s="332"/>
      <c r="I729" s="332"/>
      <c r="J729" s="332"/>
      <c r="K729" s="332"/>
      <c r="L729" s="332"/>
      <c r="M729" s="332"/>
      <c r="N729" s="332"/>
      <c r="O729" s="332"/>
      <c r="P729" s="332"/>
      <c r="Q729" s="332"/>
      <c r="R729" s="332"/>
      <c r="S729" s="332"/>
      <c r="T729" s="332"/>
      <c r="U729" s="332"/>
      <c r="V729" s="332"/>
      <c r="W729" s="332"/>
      <c r="X729" s="332"/>
      <c r="Y729" s="332"/>
      <c r="Z729" s="332"/>
    </row>
    <row r="730" ht="15.75" customHeight="1">
      <c r="A730" s="27"/>
      <c r="B730" s="27"/>
      <c r="C730" s="27"/>
      <c r="D730" s="114"/>
      <c r="E730" s="114"/>
      <c r="F730" s="27"/>
      <c r="G730" s="27"/>
      <c r="H730" s="332"/>
      <c r="I730" s="332"/>
      <c r="J730" s="332"/>
      <c r="K730" s="332"/>
      <c r="L730" s="332"/>
      <c r="M730" s="332"/>
      <c r="N730" s="332"/>
      <c r="O730" s="332"/>
      <c r="P730" s="332"/>
      <c r="Q730" s="332"/>
      <c r="R730" s="332"/>
      <c r="S730" s="332"/>
      <c r="T730" s="332"/>
      <c r="U730" s="332"/>
      <c r="V730" s="332"/>
      <c r="W730" s="332"/>
      <c r="X730" s="332"/>
      <c r="Y730" s="332"/>
      <c r="Z730" s="332"/>
    </row>
    <row r="731" ht="15.75" customHeight="1">
      <c r="A731" s="27"/>
      <c r="B731" s="27"/>
      <c r="C731" s="27"/>
      <c r="D731" s="114"/>
      <c r="E731" s="114"/>
      <c r="F731" s="27"/>
      <c r="G731" s="27"/>
      <c r="H731" s="332"/>
      <c r="I731" s="332"/>
      <c r="J731" s="332"/>
      <c r="K731" s="332"/>
      <c r="L731" s="332"/>
      <c r="M731" s="332"/>
      <c r="N731" s="332"/>
      <c r="O731" s="332"/>
      <c r="P731" s="332"/>
      <c r="Q731" s="332"/>
      <c r="R731" s="332"/>
      <c r="S731" s="332"/>
      <c r="T731" s="332"/>
      <c r="U731" s="332"/>
      <c r="V731" s="332"/>
      <c r="W731" s="332"/>
      <c r="X731" s="332"/>
      <c r="Y731" s="332"/>
      <c r="Z731" s="332"/>
    </row>
    <row r="732" ht="15.75" customHeight="1">
      <c r="A732" s="27"/>
      <c r="B732" s="27"/>
      <c r="C732" s="27"/>
      <c r="D732" s="114"/>
      <c r="E732" s="114"/>
      <c r="F732" s="27"/>
      <c r="G732" s="27"/>
      <c r="H732" s="332"/>
      <c r="I732" s="332"/>
      <c r="J732" s="332"/>
      <c r="K732" s="332"/>
      <c r="L732" s="332"/>
      <c r="M732" s="332"/>
      <c r="N732" s="332"/>
      <c r="O732" s="332"/>
      <c r="P732" s="332"/>
      <c r="Q732" s="332"/>
      <c r="R732" s="332"/>
      <c r="S732" s="332"/>
      <c r="T732" s="332"/>
      <c r="U732" s="332"/>
      <c r="V732" s="332"/>
      <c r="W732" s="332"/>
      <c r="X732" s="332"/>
      <c r="Y732" s="332"/>
      <c r="Z732" s="332"/>
    </row>
    <row r="733" ht="15.75" customHeight="1">
      <c r="A733" s="27"/>
      <c r="B733" s="27"/>
      <c r="C733" s="27"/>
      <c r="D733" s="114"/>
      <c r="E733" s="114"/>
      <c r="F733" s="27"/>
      <c r="G733" s="27"/>
      <c r="H733" s="332"/>
      <c r="I733" s="332"/>
      <c r="J733" s="332"/>
      <c r="K733" s="332"/>
      <c r="L733" s="332"/>
      <c r="M733" s="332"/>
      <c r="N733" s="332"/>
      <c r="O733" s="332"/>
      <c r="P733" s="332"/>
      <c r="Q733" s="332"/>
      <c r="R733" s="332"/>
      <c r="S733" s="332"/>
      <c r="T733" s="332"/>
      <c r="U733" s="332"/>
      <c r="V733" s="332"/>
      <c r="W733" s="332"/>
      <c r="X733" s="332"/>
      <c r="Y733" s="332"/>
      <c r="Z733" s="332"/>
    </row>
    <row r="734" ht="15.75" customHeight="1">
      <c r="A734" s="27"/>
      <c r="B734" s="27"/>
      <c r="C734" s="27"/>
      <c r="D734" s="114"/>
      <c r="E734" s="114"/>
      <c r="F734" s="27"/>
      <c r="G734" s="27"/>
      <c r="H734" s="332"/>
      <c r="I734" s="332"/>
      <c r="J734" s="332"/>
      <c r="K734" s="332"/>
      <c r="L734" s="332"/>
      <c r="M734" s="332"/>
      <c r="N734" s="332"/>
      <c r="O734" s="332"/>
      <c r="P734" s="332"/>
      <c r="Q734" s="332"/>
      <c r="R734" s="332"/>
      <c r="S734" s="332"/>
      <c r="T734" s="332"/>
      <c r="U734" s="332"/>
      <c r="V734" s="332"/>
      <c r="W734" s="332"/>
      <c r="X734" s="332"/>
      <c r="Y734" s="332"/>
      <c r="Z734" s="332"/>
    </row>
    <row r="735" ht="15.75" customHeight="1">
      <c r="A735" s="27"/>
      <c r="B735" s="27"/>
      <c r="C735" s="27"/>
      <c r="D735" s="114"/>
      <c r="E735" s="114"/>
      <c r="F735" s="27"/>
      <c r="G735" s="27"/>
      <c r="H735" s="332"/>
      <c r="I735" s="332"/>
      <c r="J735" s="332"/>
      <c r="K735" s="332"/>
      <c r="L735" s="332"/>
      <c r="M735" s="332"/>
      <c r="N735" s="332"/>
      <c r="O735" s="332"/>
      <c r="P735" s="332"/>
      <c r="Q735" s="332"/>
      <c r="R735" s="332"/>
      <c r="S735" s="332"/>
      <c r="T735" s="332"/>
      <c r="U735" s="332"/>
      <c r="V735" s="332"/>
      <c r="W735" s="332"/>
      <c r="X735" s="332"/>
      <c r="Y735" s="332"/>
      <c r="Z735" s="332"/>
    </row>
    <row r="736" ht="15.75" customHeight="1">
      <c r="A736" s="27"/>
      <c r="B736" s="27"/>
      <c r="C736" s="27"/>
      <c r="D736" s="114"/>
      <c r="E736" s="114"/>
      <c r="F736" s="27"/>
      <c r="G736" s="27"/>
      <c r="H736" s="332"/>
      <c r="I736" s="332"/>
      <c r="J736" s="332"/>
      <c r="K736" s="332"/>
      <c r="L736" s="332"/>
      <c r="M736" s="332"/>
      <c r="N736" s="332"/>
      <c r="O736" s="332"/>
      <c r="P736" s="332"/>
      <c r="Q736" s="332"/>
      <c r="R736" s="332"/>
      <c r="S736" s="332"/>
      <c r="T736" s="332"/>
      <c r="U736" s="332"/>
      <c r="V736" s="332"/>
      <c r="W736" s="332"/>
      <c r="X736" s="332"/>
      <c r="Y736" s="332"/>
      <c r="Z736" s="332"/>
    </row>
    <row r="737" ht="15.75" customHeight="1">
      <c r="A737" s="27"/>
      <c r="B737" s="27"/>
      <c r="C737" s="27"/>
      <c r="D737" s="114"/>
      <c r="E737" s="114"/>
      <c r="F737" s="27"/>
      <c r="G737" s="27"/>
      <c r="H737" s="332"/>
      <c r="I737" s="332"/>
      <c r="J737" s="332"/>
      <c r="K737" s="332"/>
      <c r="L737" s="332"/>
      <c r="M737" s="332"/>
      <c r="N737" s="332"/>
      <c r="O737" s="332"/>
      <c r="P737" s="332"/>
      <c r="Q737" s="332"/>
      <c r="R737" s="332"/>
      <c r="S737" s="332"/>
      <c r="T737" s="332"/>
      <c r="U737" s="332"/>
      <c r="V737" s="332"/>
      <c r="W737" s="332"/>
      <c r="X737" s="332"/>
      <c r="Y737" s="332"/>
      <c r="Z737" s="332"/>
    </row>
    <row r="738" ht="15.75" customHeight="1">
      <c r="A738" s="27"/>
      <c r="B738" s="27"/>
      <c r="C738" s="27"/>
      <c r="D738" s="114"/>
      <c r="E738" s="114"/>
      <c r="F738" s="27"/>
      <c r="G738" s="27"/>
      <c r="H738" s="332"/>
      <c r="I738" s="332"/>
      <c r="J738" s="332"/>
      <c r="K738" s="332"/>
      <c r="L738" s="332"/>
      <c r="M738" s="332"/>
      <c r="N738" s="332"/>
      <c r="O738" s="332"/>
      <c r="P738" s="332"/>
      <c r="Q738" s="332"/>
      <c r="R738" s="332"/>
      <c r="S738" s="332"/>
      <c r="T738" s="332"/>
      <c r="U738" s="332"/>
      <c r="V738" s="332"/>
      <c r="W738" s="332"/>
      <c r="X738" s="332"/>
      <c r="Y738" s="332"/>
      <c r="Z738" s="332"/>
    </row>
    <row r="739" ht="15.75" customHeight="1">
      <c r="A739" s="27"/>
      <c r="B739" s="27"/>
      <c r="C739" s="27"/>
      <c r="D739" s="114"/>
      <c r="E739" s="114"/>
      <c r="F739" s="27"/>
      <c r="G739" s="27"/>
      <c r="H739" s="332"/>
      <c r="I739" s="332"/>
      <c r="J739" s="332"/>
      <c r="K739" s="332"/>
      <c r="L739" s="332"/>
      <c r="M739" s="332"/>
      <c r="N739" s="332"/>
      <c r="O739" s="332"/>
      <c r="P739" s="332"/>
      <c r="Q739" s="332"/>
      <c r="R739" s="332"/>
      <c r="S739" s="332"/>
      <c r="T739" s="332"/>
      <c r="U739" s="332"/>
      <c r="V739" s="332"/>
      <c r="W739" s="332"/>
      <c r="X739" s="332"/>
      <c r="Y739" s="332"/>
      <c r="Z739" s="332"/>
    </row>
    <row r="740" ht="15.75" customHeight="1">
      <c r="A740" s="27"/>
      <c r="B740" s="27"/>
      <c r="C740" s="27"/>
      <c r="D740" s="114"/>
      <c r="E740" s="114"/>
      <c r="F740" s="27"/>
      <c r="G740" s="27"/>
      <c r="H740" s="332"/>
      <c r="I740" s="332"/>
      <c r="J740" s="332"/>
      <c r="K740" s="332"/>
      <c r="L740" s="332"/>
      <c r="M740" s="332"/>
      <c r="N740" s="332"/>
      <c r="O740" s="332"/>
      <c r="P740" s="332"/>
      <c r="Q740" s="332"/>
      <c r="R740" s="332"/>
      <c r="S740" s="332"/>
      <c r="T740" s="332"/>
      <c r="U740" s="332"/>
      <c r="V740" s="332"/>
      <c r="W740" s="332"/>
      <c r="X740" s="332"/>
      <c r="Y740" s="332"/>
      <c r="Z740" s="332"/>
    </row>
    <row r="741" ht="15.75" customHeight="1">
      <c r="A741" s="27"/>
      <c r="B741" s="27"/>
      <c r="C741" s="27"/>
      <c r="D741" s="114"/>
      <c r="E741" s="114"/>
      <c r="F741" s="27"/>
      <c r="G741" s="27"/>
      <c r="H741" s="332"/>
      <c r="I741" s="332"/>
      <c r="J741" s="332"/>
      <c r="K741" s="332"/>
      <c r="L741" s="332"/>
      <c r="M741" s="332"/>
      <c r="N741" s="332"/>
      <c r="O741" s="332"/>
      <c r="P741" s="332"/>
      <c r="Q741" s="332"/>
      <c r="R741" s="332"/>
      <c r="S741" s="332"/>
      <c r="T741" s="332"/>
      <c r="U741" s="332"/>
      <c r="V741" s="332"/>
      <c r="W741" s="332"/>
      <c r="X741" s="332"/>
      <c r="Y741" s="332"/>
      <c r="Z741" s="332"/>
    </row>
    <row r="742" ht="15.75" customHeight="1">
      <c r="A742" s="27"/>
      <c r="B742" s="27"/>
      <c r="C742" s="27"/>
      <c r="D742" s="114"/>
      <c r="E742" s="114"/>
      <c r="F742" s="27"/>
      <c r="G742" s="27"/>
      <c r="H742" s="332"/>
      <c r="I742" s="332"/>
      <c r="J742" s="332"/>
      <c r="K742" s="332"/>
      <c r="L742" s="332"/>
      <c r="M742" s="332"/>
      <c r="N742" s="332"/>
      <c r="O742" s="332"/>
      <c r="P742" s="332"/>
      <c r="Q742" s="332"/>
      <c r="R742" s="332"/>
      <c r="S742" s="332"/>
      <c r="T742" s="332"/>
      <c r="U742" s="332"/>
      <c r="V742" s="332"/>
      <c r="W742" s="332"/>
      <c r="X742" s="332"/>
      <c r="Y742" s="332"/>
      <c r="Z742" s="332"/>
    </row>
    <row r="743" ht="15.75" customHeight="1">
      <c r="A743" s="27"/>
      <c r="B743" s="27"/>
      <c r="C743" s="27"/>
      <c r="D743" s="114"/>
      <c r="E743" s="114"/>
      <c r="F743" s="27"/>
      <c r="G743" s="27"/>
      <c r="H743" s="332"/>
      <c r="I743" s="332"/>
      <c r="J743" s="332"/>
      <c r="K743" s="332"/>
      <c r="L743" s="332"/>
      <c r="M743" s="332"/>
      <c r="N743" s="332"/>
      <c r="O743" s="332"/>
      <c r="P743" s="332"/>
      <c r="Q743" s="332"/>
      <c r="R743" s="332"/>
      <c r="S743" s="332"/>
      <c r="T743" s="332"/>
      <c r="U743" s="332"/>
      <c r="V743" s="332"/>
      <c r="W743" s="332"/>
      <c r="X743" s="332"/>
      <c r="Y743" s="332"/>
      <c r="Z743" s="332"/>
    </row>
    <row r="744" ht="15.75" customHeight="1">
      <c r="A744" s="27"/>
      <c r="B744" s="27"/>
      <c r="C744" s="27"/>
      <c r="D744" s="114"/>
      <c r="E744" s="114"/>
      <c r="F744" s="27"/>
      <c r="G744" s="27"/>
      <c r="H744" s="332"/>
      <c r="I744" s="332"/>
      <c r="J744" s="332"/>
      <c r="K744" s="332"/>
      <c r="L744" s="332"/>
      <c r="M744" s="332"/>
      <c r="N744" s="332"/>
      <c r="O744" s="332"/>
      <c r="P744" s="332"/>
      <c r="Q744" s="332"/>
      <c r="R744" s="332"/>
      <c r="S744" s="332"/>
      <c r="T744" s="332"/>
      <c r="U744" s="332"/>
      <c r="V744" s="332"/>
      <c r="W744" s="332"/>
      <c r="X744" s="332"/>
      <c r="Y744" s="332"/>
      <c r="Z744" s="332"/>
    </row>
    <row r="745" ht="15.75" customHeight="1">
      <c r="A745" s="27"/>
      <c r="B745" s="27"/>
      <c r="C745" s="27"/>
      <c r="D745" s="114"/>
      <c r="E745" s="114"/>
      <c r="F745" s="27"/>
      <c r="G745" s="27"/>
      <c r="H745" s="332"/>
      <c r="I745" s="332"/>
      <c r="J745" s="332"/>
      <c r="K745" s="332"/>
      <c r="L745" s="332"/>
      <c r="M745" s="332"/>
      <c r="N745" s="332"/>
      <c r="O745" s="332"/>
      <c r="P745" s="332"/>
      <c r="Q745" s="332"/>
      <c r="R745" s="332"/>
      <c r="S745" s="332"/>
      <c r="T745" s="332"/>
      <c r="U745" s="332"/>
      <c r="V745" s="332"/>
      <c r="W745" s="332"/>
      <c r="X745" s="332"/>
      <c r="Y745" s="332"/>
      <c r="Z745" s="332"/>
    </row>
    <row r="746" ht="15.75" customHeight="1">
      <c r="A746" s="27"/>
      <c r="B746" s="27"/>
      <c r="C746" s="27"/>
      <c r="D746" s="114"/>
      <c r="E746" s="114"/>
      <c r="F746" s="27"/>
      <c r="G746" s="27"/>
      <c r="H746" s="332"/>
      <c r="I746" s="332"/>
      <c r="J746" s="332"/>
      <c r="K746" s="332"/>
      <c r="L746" s="332"/>
      <c r="M746" s="332"/>
      <c r="N746" s="332"/>
      <c r="O746" s="332"/>
      <c r="P746" s="332"/>
      <c r="Q746" s="332"/>
      <c r="R746" s="332"/>
      <c r="S746" s="332"/>
      <c r="T746" s="332"/>
      <c r="U746" s="332"/>
      <c r="V746" s="332"/>
      <c r="W746" s="332"/>
      <c r="X746" s="332"/>
      <c r="Y746" s="332"/>
      <c r="Z746" s="332"/>
    </row>
    <row r="747" ht="15.75" customHeight="1">
      <c r="A747" s="27"/>
      <c r="B747" s="27"/>
      <c r="C747" s="27"/>
      <c r="D747" s="114"/>
      <c r="E747" s="114"/>
      <c r="F747" s="27"/>
      <c r="G747" s="27"/>
      <c r="H747" s="332"/>
      <c r="I747" s="332"/>
      <c r="J747" s="332"/>
      <c r="K747" s="332"/>
      <c r="L747" s="332"/>
      <c r="M747" s="332"/>
      <c r="N747" s="332"/>
      <c r="O747" s="332"/>
      <c r="P747" s="332"/>
      <c r="Q747" s="332"/>
      <c r="R747" s="332"/>
      <c r="S747" s="332"/>
      <c r="T747" s="332"/>
      <c r="U747" s="332"/>
      <c r="V747" s="332"/>
      <c r="W747" s="332"/>
      <c r="X747" s="332"/>
      <c r="Y747" s="332"/>
      <c r="Z747" s="332"/>
    </row>
    <row r="748" ht="15.75" customHeight="1">
      <c r="A748" s="27"/>
      <c r="B748" s="27"/>
      <c r="C748" s="27"/>
      <c r="D748" s="114"/>
      <c r="E748" s="114"/>
      <c r="F748" s="27"/>
      <c r="G748" s="27"/>
      <c r="H748" s="332"/>
      <c r="I748" s="332"/>
      <c r="J748" s="332"/>
      <c r="K748" s="332"/>
      <c r="L748" s="332"/>
      <c r="M748" s="332"/>
      <c r="N748" s="332"/>
      <c r="O748" s="332"/>
      <c r="P748" s="332"/>
      <c r="Q748" s="332"/>
      <c r="R748" s="332"/>
      <c r="S748" s="332"/>
      <c r="T748" s="332"/>
      <c r="U748" s="332"/>
      <c r="V748" s="332"/>
      <c r="W748" s="332"/>
      <c r="X748" s="332"/>
      <c r="Y748" s="332"/>
      <c r="Z748" s="332"/>
    </row>
    <row r="749" ht="15.75" customHeight="1">
      <c r="A749" s="27"/>
      <c r="B749" s="27"/>
      <c r="C749" s="27"/>
      <c r="D749" s="114"/>
      <c r="E749" s="114"/>
      <c r="F749" s="27"/>
      <c r="G749" s="27"/>
      <c r="H749" s="332"/>
      <c r="I749" s="332"/>
      <c r="J749" s="332"/>
      <c r="K749" s="332"/>
      <c r="L749" s="332"/>
      <c r="M749" s="332"/>
      <c r="N749" s="332"/>
      <c r="O749" s="332"/>
      <c r="P749" s="332"/>
      <c r="Q749" s="332"/>
      <c r="R749" s="332"/>
      <c r="S749" s="332"/>
      <c r="T749" s="332"/>
      <c r="U749" s="332"/>
      <c r="V749" s="332"/>
      <c r="W749" s="332"/>
      <c r="X749" s="332"/>
      <c r="Y749" s="332"/>
      <c r="Z749" s="332"/>
    </row>
    <row r="750" ht="15.75" customHeight="1">
      <c r="A750" s="27"/>
      <c r="B750" s="27"/>
      <c r="C750" s="27"/>
      <c r="D750" s="114"/>
      <c r="E750" s="114"/>
      <c r="F750" s="27"/>
      <c r="G750" s="27"/>
      <c r="H750" s="332"/>
      <c r="I750" s="332"/>
      <c r="J750" s="332"/>
      <c r="K750" s="332"/>
      <c r="L750" s="332"/>
      <c r="M750" s="332"/>
      <c r="N750" s="332"/>
      <c r="O750" s="332"/>
      <c r="P750" s="332"/>
      <c r="Q750" s="332"/>
      <c r="R750" s="332"/>
      <c r="S750" s="332"/>
      <c r="T750" s="332"/>
      <c r="U750" s="332"/>
      <c r="V750" s="332"/>
      <c r="W750" s="332"/>
      <c r="X750" s="332"/>
      <c r="Y750" s="332"/>
      <c r="Z750" s="332"/>
    </row>
    <row r="751" ht="15.75" customHeight="1">
      <c r="A751" s="27"/>
      <c r="B751" s="27"/>
      <c r="C751" s="27"/>
      <c r="D751" s="114"/>
      <c r="E751" s="114"/>
      <c r="F751" s="27"/>
      <c r="G751" s="27"/>
      <c r="H751" s="332"/>
      <c r="I751" s="332"/>
      <c r="J751" s="332"/>
      <c r="K751" s="332"/>
      <c r="L751" s="332"/>
      <c r="M751" s="332"/>
      <c r="N751" s="332"/>
      <c r="O751" s="332"/>
      <c r="P751" s="332"/>
      <c r="Q751" s="332"/>
      <c r="R751" s="332"/>
      <c r="S751" s="332"/>
      <c r="T751" s="332"/>
      <c r="U751" s="332"/>
      <c r="V751" s="332"/>
      <c r="W751" s="332"/>
      <c r="X751" s="332"/>
      <c r="Y751" s="332"/>
      <c r="Z751" s="332"/>
    </row>
    <row r="752" ht="15.75" customHeight="1">
      <c r="A752" s="27"/>
      <c r="B752" s="27"/>
      <c r="C752" s="27"/>
      <c r="D752" s="114"/>
      <c r="E752" s="114"/>
      <c r="F752" s="27"/>
      <c r="G752" s="27"/>
      <c r="H752" s="332"/>
      <c r="I752" s="332"/>
      <c r="J752" s="332"/>
      <c r="K752" s="332"/>
      <c r="L752" s="332"/>
      <c r="M752" s="332"/>
      <c r="N752" s="332"/>
      <c r="O752" s="332"/>
      <c r="P752" s="332"/>
      <c r="Q752" s="332"/>
      <c r="R752" s="332"/>
      <c r="S752" s="332"/>
      <c r="T752" s="332"/>
      <c r="U752" s="332"/>
      <c r="V752" s="332"/>
      <c r="W752" s="332"/>
      <c r="X752" s="332"/>
      <c r="Y752" s="332"/>
      <c r="Z752" s="332"/>
    </row>
    <row r="753" ht="15.75" customHeight="1">
      <c r="A753" s="27"/>
      <c r="B753" s="27"/>
      <c r="C753" s="27"/>
      <c r="D753" s="114"/>
      <c r="E753" s="114"/>
      <c r="F753" s="27"/>
      <c r="G753" s="27"/>
      <c r="H753" s="332"/>
      <c r="I753" s="332"/>
      <c r="J753" s="332"/>
      <c r="K753" s="332"/>
      <c r="L753" s="332"/>
      <c r="M753" s="332"/>
      <c r="N753" s="332"/>
      <c r="O753" s="332"/>
      <c r="P753" s="332"/>
      <c r="Q753" s="332"/>
      <c r="R753" s="332"/>
      <c r="S753" s="332"/>
      <c r="T753" s="332"/>
      <c r="U753" s="332"/>
      <c r="V753" s="332"/>
      <c r="W753" s="332"/>
      <c r="X753" s="332"/>
      <c r="Y753" s="332"/>
      <c r="Z753" s="332"/>
    </row>
    <row r="754" ht="15.75" customHeight="1">
      <c r="A754" s="27"/>
      <c r="B754" s="27"/>
      <c r="C754" s="27"/>
      <c r="D754" s="114"/>
      <c r="E754" s="114"/>
      <c r="F754" s="27"/>
      <c r="G754" s="27"/>
      <c r="H754" s="332"/>
      <c r="I754" s="332"/>
      <c r="J754" s="332"/>
      <c r="K754" s="332"/>
      <c r="L754" s="332"/>
      <c r="M754" s="332"/>
      <c r="N754" s="332"/>
      <c r="O754" s="332"/>
      <c r="P754" s="332"/>
      <c r="Q754" s="332"/>
      <c r="R754" s="332"/>
      <c r="S754" s="332"/>
      <c r="T754" s="332"/>
      <c r="U754" s="332"/>
      <c r="V754" s="332"/>
      <c r="W754" s="332"/>
      <c r="X754" s="332"/>
      <c r="Y754" s="332"/>
      <c r="Z754" s="332"/>
    </row>
    <row r="755" ht="15.75" customHeight="1">
      <c r="A755" s="27"/>
      <c r="B755" s="27"/>
      <c r="C755" s="27"/>
      <c r="D755" s="114"/>
      <c r="E755" s="114"/>
      <c r="F755" s="27"/>
      <c r="G755" s="27"/>
      <c r="H755" s="332"/>
      <c r="I755" s="332"/>
      <c r="J755" s="332"/>
      <c r="K755" s="332"/>
      <c r="L755" s="332"/>
      <c r="M755" s="332"/>
      <c r="N755" s="332"/>
      <c r="O755" s="332"/>
      <c r="P755" s="332"/>
      <c r="Q755" s="332"/>
      <c r="R755" s="332"/>
      <c r="S755" s="332"/>
      <c r="T755" s="332"/>
      <c r="U755" s="332"/>
      <c r="V755" s="332"/>
      <c r="W755" s="332"/>
      <c r="X755" s="332"/>
      <c r="Y755" s="332"/>
      <c r="Z755" s="332"/>
    </row>
    <row r="756" ht="15.75" customHeight="1">
      <c r="A756" s="27"/>
      <c r="B756" s="27"/>
      <c r="C756" s="27"/>
      <c r="D756" s="114"/>
      <c r="E756" s="114"/>
      <c r="F756" s="27"/>
      <c r="G756" s="27"/>
      <c r="H756" s="332"/>
      <c r="I756" s="332"/>
      <c r="J756" s="332"/>
      <c r="K756" s="332"/>
      <c r="L756" s="332"/>
      <c r="M756" s="332"/>
      <c r="N756" s="332"/>
      <c r="O756" s="332"/>
      <c r="P756" s="332"/>
      <c r="Q756" s="332"/>
      <c r="R756" s="332"/>
      <c r="S756" s="332"/>
      <c r="T756" s="332"/>
      <c r="U756" s="332"/>
      <c r="V756" s="332"/>
      <c r="W756" s="332"/>
      <c r="X756" s="332"/>
      <c r="Y756" s="332"/>
      <c r="Z756" s="332"/>
    </row>
    <row r="757" ht="15.75" customHeight="1">
      <c r="A757" s="27"/>
      <c r="B757" s="27"/>
      <c r="C757" s="27"/>
      <c r="D757" s="114"/>
      <c r="E757" s="114"/>
      <c r="F757" s="27"/>
      <c r="G757" s="27"/>
      <c r="H757" s="332"/>
      <c r="I757" s="332"/>
      <c r="J757" s="332"/>
      <c r="K757" s="332"/>
      <c r="L757" s="332"/>
      <c r="M757" s="332"/>
      <c r="N757" s="332"/>
      <c r="O757" s="332"/>
      <c r="P757" s="332"/>
      <c r="Q757" s="332"/>
      <c r="R757" s="332"/>
      <c r="S757" s="332"/>
      <c r="T757" s="332"/>
      <c r="U757" s="332"/>
      <c r="V757" s="332"/>
      <c r="W757" s="332"/>
      <c r="X757" s="332"/>
      <c r="Y757" s="332"/>
      <c r="Z757" s="332"/>
    </row>
    <row r="758" ht="15.75" customHeight="1">
      <c r="A758" s="27"/>
      <c r="B758" s="27"/>
      <c r="C758" s="27"/>
      <c r="D758" s="114"/>
      <c r="E758" s="114"/>
      <c r="F758" s="27"/>
      <c r="G758" s="27"/>
      <c r="H758" s="332"/>
      <c r="I758" s="332"/>
      <c r="J758" s="332"/>
      <c r="K758" s="332"/>
      <c r="L758" s="332"/>
      <c r="M758" s="332"/>
      <c r="N758" s="332"/>
      <c r="O758" s="332"/>
      <c r="P758" s="332"/>
      <c r="Q758" s="332"/>
      <c r="R758" s="332"/>
      <c r="S758" s="332"/>
      <c r="T758" s="332"/>
      <c r="U758" s="332"/>
      <c r="V758" s="332"/>
      <c r="W758" s="332"/>
      <c r="X758" s="332"/>
      <c r="Y758" s="332"/>
      <c r="Z758" s="332"/>
    </row>
    <row r="759" ht="15.75" customHeight="1">
      <c r="A759" s="27"/>
      <c r="B759" s="27"/>
      <c r="C759" s="27"/>
      <c r="D759" s="114"/>
      <c r="E759" s="114"/>
      <c r="F759" s="27"/>
      <c r="G759" s="27"/>
      <c r="H759" s="332"/>
      <c r="I759" s="332"/>
      <c r="J759" s="332"/>
      <c r="K759" s="332"/>
      <c r="L759" s="332"/>
      <c r="M759" s="332"/>
      <c r="N759" s="332"/>
      <c r="O759" s="332"/>
      <c r="P759" s="332"/>
      <c r="Q759" s="332"/>
      <c r="R759" s="332"/>
      <c r="S759" s="332"/>
      <c r="T759" s="332"/>
      <c r="U759" s="332"/>
      <c r="V759" s="332"/>
      <c r="W759" s="332"/>
      <c r="X759" s="332"/>
      <c r="Y759" s="332"/>
      <c r="Z759" s="332"/>
    </row>
    <row r="760" ht="15.75" customHeight="1">
      <c r="A760" s="27"/>
      <c r="B760" s="27"/>
      <c r="C760" s="27"/>
      <c r="D760" s="114"/>
      <c r="E760" s="114"/>
      <c r="F760" s="27"/>
      <c r="G760" s="27"/>
      <c r="H760" s="332"/>
      <c r="I760" s="332"/>
      <c r="J760" s="332"/>
      <c r="K760" s="332"/>
      <c r="L760" s="332"/>
      <c r="M760" s="332"/>
      <c r="N760" s="332"/>
      <c r="O760" s="332"/>
      <c r="P760" s="332"/>
      <c r="Q760" s="332"/>
      <c r="R760" s="332"/>
      <c r="S760" s="332"/>
      <c r="T760" s="332"/>
      <c r="U760" s="332"/>
      <c r="V760" s="332"/>
      <c r="W760" s="332"/>
      <c r="X760" s="332"/>
      <c r="Y760" s="332"/>
      <c r="Z760" s="332"/>
    </row>
    <row r="761" ht="15.75" customHeight="1">
      <c r="A761" s="27"/>
      <c r="B761" s="27"/>
      <c r="C761" s="27"/>
      <c r="D761" s="114"/>
      <c r="E761" s="114"/>
      <c r="F761" s="27"/>
      <c r="G761" s="27"/>
      <c r="H761" s="332"/>
      <c r="I761" s="332"/>
      <c r="J761" s="332"/>
      <c r="K761" s="332"/>
      <c r="L761" s="332"/>
      <c r="M761" s="332"/>
      <c r="N761" s="332"/>
      <c r="O761" s="332"/>
      <c r="P761" s="332"/>
      <c r="Q761" s="332"/>
      <c r="R761" s="332"/>
      <c r="S761" s="332"/>
      <c r="T761" s="332"/>
      <c r="U761" s="332"/>
      <c r="V761" s="332"/>
      <c r="W761" s="332"/>
      <c r="X761" s="332"/>
      <c r="Y761" s="332"/>
      <c r="Z761" s="332"/>
    </row>
    <row r="762" ht="15.75" customHeight="1">
      <c r="A762" s="27"/>
      <c r="B762" s="27"/>
      <c r="C762" s="27"/>
      <c r="D762" s="114"/>
      <c r="E762" s="114"/>
      <c r="F762" s="27"/>
      <c r="G762" s="27"/>
      <c r="H762" s="332"/>
      <c r="I762" s="332"/>
      <c r="J762" s="332"/>
      <c r="K762" s="332"/>
      <c r="L762" s="332"/>
      <c r="M762" s="332"/>
      <c r="N762" s="332"/>
      <c r="O762" s="332"/>
      <c r="P762" s="332"/>
      <c r="Q762" s="332"/>
      <c r="R762" s="332"/>
      <c r="S762" s="332"/>
      <c r="T762" s="332"/>
      <c r="U762" s="332"/>
      <c r="V762" s="332"/>
      <c r="W762" s="332"/>
      <c r="X762" s="332"/>
      <c r="Y762" s="332"/>
      <c r="Z762" s="332"/>
    </row>
    <row r="763" ht="15.75" customHeight="1">
      <c r="A763" s="27"/>
      <c r="B763" s="27"/>
      <c r="C763" s="27"/>
      <c r="D763" s="114"/>
      <c r="E763" s="114"/>
      <c r="F763" s="27"/>
      <c r="G763" s="27"/>
      <c r="H763" s="332"/>
      <c r="I763" s="332"/>
      <c r="J763" s="332"/>
      <c r="K763" s="332"/>
      <c r="L763" s="332"/>
      <c r="M763" s="332"/>
      <c r="N763" s="332"/>
      <c r="O763" s="332"/>
      <c r="P763" s="332"/>
      <c r="Q763" s="332"/>
      <c r="R763" s="332"/>
      <c r="S763" s="332"/>
      <c r="T763" s="332"/>
      <c r="U763" s="332"/>
      <c r="V763" s="332"/>
      <c r="W763" s="332"/>
      <c r="X763" s="332"/>
      <c r="Y763" s="332"/>
      <c r="Z763" s="332"/>
    </row>
    <row r="764" ht="15.75" customHeight="1">
      <c r="A764" s="27"/>
      <c r="B764" s="27"/>
      <c r="C764" s="27"/>
      <c r="D764" s="114"/>
      <c r="E764" s="114"/>
      <c r="F764" s="27"/>
      <c r="G764" s="27"/>
      <c r="H764" s="332"/>
      <c r="I764" s="332"/>
      <c r="J764" s="332"/>
      <c r="K764" s="332"/>
      <c r="L764" s="332"/>
      <c r="M764" s="332"/>
      <c r="N764" s="332"/>
      <c r="O764" s="332"/>
      <c r="P764" s="332"/>
      <c r="Q764" s="332"/>
      <c r="R764" s="332"/>
      <c r="S764" s="332"/>
      <c r="T764" s="332"/>
      <c r="U764" s="332"/>
      <c r="V764" s="332"/>
      <c r="W764" s="332"/>
      <c r="X764" s="332"/>
      <c r="Y764" s="332"/>
      <c r="Z764" s="332"/>
    </row>
    <row r="765" ht="15.75" customHeight="1">
      <c r="A765" s="27"/>
      <c r="B765" s="27"/>
      <c r="C765" s="27"/>
      <c r="D765" s="114"/>
      <c r="E765" s="114"/>
      <c r="F765" s="27"/>
      <c r="G765" s="27"/>
      <c r="H765" s="332"/>
      <c r="I765" s="332"/>
      <c r="J765" s="332"/>
      <c r="K765" s="332"/>
      <c r="L765" s="332"/>
      <c r="M765" s="332"/>
      <c r="N765" s="332"/>
      <c r="O765" s="332"/>
      <c r="P765" s="332"/>
      <c r="Q765" s="332"/>
      <c r="R765" s="332"/>
      <c r="S765" s="332"/>
      <c r="T765" s="332"/>
      <c r="U765" s="332"/>
      <c r="V765" s="332"/>
      <c r="W765" s="332"/>
      <c r="X765" s="332"/>
      <c r="Y765" s="332"/>
      <c r="Z765" s="332"/>
    </row>
    <row r="766" ht="15.75" customHeight="1">
      <c r="A766" s="27"/>
      <c r="B766" s="27"/>
      <c r="C766" s="27"/>
      <c r="D766" s="114"/>
      <c r="E766" s="114"/>
      <c r="F766" s="27"/>
      <c r="G766" s="27"/>
      <c r="H766" s="332"/>
      <c r="I766" s="332"/>
      <c r="J766" s="332"/>
      <c r="K766" s="332"/>
      <c r="L766" s="332"/>
      <c r="M766" s="332"/>
      <c r="N766" s="332"/>
      <c r="O766" s="332"/>
      <c r="P766" s="332"/>
      <c r="Q766" s="332"/>
      <c r="R766" s="332"/>
      <c r="S766" s="332"/>
      <c r="T766" s="332"/>
      <c r="U766" s="332"/>
      <c r="V766" s="332"/>
      <c r="W766" s="332"/>
      <c r="X766" s="332"/>
      <c r="Y766" s="332"/>
      <c r="Z766" s="332"/>
    </row>
    <row r="767" ht="15.75" customHeight="1">
      <c r="A767" s="27"/>
      <c r="B767" s="27"/>
      <c r="C767" s="27"/>
      <c r="D767" s="114"/>
      <c r="E767" s="114"/>
      <c r="F767" s="27"/>
      <c r="G767" s="27"/>
      <c r="H767" s="332"/>
      <c r="I767" s="332"/>
      <c r="J767" s="332"/>
      <c r="K767" s="332"/>
      <c r="L767" s="332"/>
      <c r="M767" s="332"/>
      <c r="N767" s="332"/>
      <c r="O767" s="332"/>
      <c r="P767" s="332"/>
      <c r="Q767" s="332"/>
      <c r="R767" s="332"/>
      <c r="S767" s="332"/>
      <c r="T767" s="332"/>
      <c r="U767" s="332"/>
      <c r="V767" s="332"/>
      <c r="W767" s="332"/>
      <c r="X767" s="332"/>
      <c r="Y767" s="332"/>
      <c r="Z767" s="332"/>
    </row>
    <row r="768" ht="15.75" customHeight="1">
      <c r="A768" s="27"/>
      <c r="B768" s="27"/>
      <c r="C768" s="27"/>
      <c r="D768" s="114"/>
      <c r="E768" s="114"/>
      <c r="F768" s="27"/>
      <c r="G768" s="27"/>
      <c r="H768" s="332"/>
      <c r="I768" s="332"/>
      <c r="J768" s="332"/>
      <c r="K768" s="332"/>
      <c r="L768" s="332"/>
      <c r="M768" s="332"/>
      <c r="N768" s="332"/>
      <c r="O768" s="332"/>
      <c r="P768" s="332"/>
      <c r="Q768" s="332"/>
      <c r="R768" s="332"/>
      <c r="S768" s="332"/>
      <c r="T768" s="332"/>
      <c r="U768" s="332"/>
      <c r="V768" s="332"/>
      <c r="W768" s="332"/>
      <c r="X768" s="332"/>
      <c r="Y768" s="332"/>
      <c r="Z768" s="332"/>
    </row>
    <row r="769" ht="15.75" customHeight="1">
      <c r="A769" s="27"/>
      <c r="B769" s="27"/>
      <c r="C769" s="27"/>
      <c r="D769" s="114"/>
      <c r="E769" s="114"/>
      <c r="F769" s="27"/>
      <c r="G769" s="27"/>
      <c r="H769" s="332"/>
      <c r="I769" s="332"/>
      <c r="J769" s="332"/>
      <c r="K769" s="332"/>
      <c r="L769" s="332"/>
      <c r="M769" s="332"/>
      <c r="N769" s="332"/>
      <c r="O769" s="332"/>
      <c r="P769" s="332"/>
      <c r="Q769" s="332"/>
      <c r="R769" s="332"/>
      <c r="S769" s="332"/>
      <c r="T769" s="332"/>
      <c r="U769" s="332"/>
      <c r="V769" s="332"/>
      <c r="W769" s="332"/>
      <c r="X769" s="332"/>
      <c r="Y769" s="332"/>
      <c r="Z769" s="332"/>
    </row>
    <row r="770" ht="15.75" customHeight="1">
      <c r="A770" s="27"/>
      <c r="B770" s="27"/>
      <c r="C770" s="27"/>
      <c r="D770" s="114"/>
      <c r="E770" s="114"/>
      <c r="F770" s="27"/>
      <c r="G770" s="27"/>
      <c r="H770" s="332"/>
      <c r="I770" s="332"/>
      <c r="J770" s="332"/>
      <c r="K770" s="332"/>
      <c r="L770" s="332"/>
      <c r="M770" s="332"/>
      <c r="N770" s="332"/>
      <c r="O770" s="332"/>
      <c r="P770" s="332"/>
      <c r="Q770" s="332"/>
      <c r="R770" s="332"/>
      <c r="S770" s="332"/>
      <c r="T770" s="332"/>
      <c r="U770" s="332"/>
      <c r="V770" s="332"/>
      <c r="W770" s="332"/>
      <c r="X770" s="332"/>
      <c r="Y770" s="332"/>
      <c r="Z770" s="332"/>
    </row>
    <row r="771" ht="15.75" customHeight="1">
      <c r="A771" s="27"/>
      <c r="B771" s="27"/>
      <c r="C771" s="27"/>
      <c r="D771" s="114"/>
      <c r="E771" s="114"/>
      <c r="F771" s="27"/>
      <c r="G771" s="27"/>
      <c r="H771" s="332"/>
      <c r="I771" s="332"/>
      <c r="J771" s="332"/>
      <c r="K771" s="332"/>
      <c r="L771" s="332"/>
      <c r="M771" s="332"/>
      <c r="N771" s="332"/>
      <c r="O771" s="332"/>
      <c r="P771" s="332"/>
      <c r="Q771" s="332"/>
      <c r="R771" s="332"/>
      <c r="S771" s="332"/>
      <c r="T771" s="332"/>
      <c r="U771" s="332"/>
      <c r="V771" s="332"/>
      <c r="W771" s="332"/>
      <c r="X771" s="332"/>
      <c r="Y771" s="332"/>
      <c r="Z771" s="332"/>
    </row>
    <row r="772" ht="15.75" customHeight="1">
      <c r="A772" s="27"/>
      <c r="B772" s="27"/>
      <c r="C772" s="27"/>
      <c r="D772" s="114"/>
      <c r="E772" s="114"/>
      <c r="F772" s="27"/>
      <c r="G772" s="27"/>
      <c r="H772" s="332"/>
      <c r="I772" s="332"/>
      <c r="J772" s="332"/>
      <c r="K772" s="332"/>
      <c r="L772" s="332"/>
      <c r="M772" s="332"/>
      <c r="N772" s="332"/>
      <c r="O772" s="332"/>
      <c r="P772" s="332"/>
      <c r="Q772" s="332"/>
      <c r="R772" s="332"/>
      <c r="S772" s="332"/>
      <c r="T772" s="332"/>
      <c r="U772" s="332"/>
      <c r="V772" s="332"/>
      <c r="W772" s="332"/>
      <c r="X772" s="332"/>
      <c r="Y772" s="332"/>
      <c r="Z772" s="332"/>
    </row>
    <row r="773" ht="15.75" customHeight="1">
      <c r="A773" s="27"/>
      <c r="B773" s="27"/>
      <c r="C773" s="27"/>
      <c r="D773" s="114"/>
      <c r="E773" s="114"/>
      <c r="F773" s="27"/>
      <c r="G773" s="27"/>
      <c r="H773" s="332"/>
      <c r="I773" s="332"/>
      <c r="J773" s="332"/>
      <c r="K773" s="332"/>
      <c r="L773" s="332"/>
      <c r="M773" s="332"/>
      <c r="N773" s="332"/>
      <c r="O773" s="332"/>
      <c r="P773" s="332"/>
      <c r="Q773" s="332"/>
      <c r="R773" s="332"/>
      <c r="S773" s="332"/>
      <c r="T773" s="332"/>
      <c r="U773" s="332"/>
      <c r="V773" s="332"/>
      <c r="W773" s="332"/>
      <c r="X773" s="332"/>
      <c r="Y773" s="332"/>
      <c r="Z773" s="332"/>
    </row>
    <row r="774" ht="15.75" customHeight="1">
      <c r="A774" s="27"/>
      <c r="B774" s="27"/>
      <c r="C774" s="27"/>
      <c r="D774" s="114"/>
      <c r="E774" s="114"/>
      <c r="F774" s="27"/>
      <c r="G774" s="27"/>
      <c r="H774" s="332"/>
      <c r="I774" s="332"/>
      <c r="J774" s="332"/>
      <c r="K774" s="332"/>
      <c r="L774" s="332"/>
      <c r="M774" s="332"/>
      <c r="N774" s="332"/>
      <c r="O774" s="332"/>
      <c r="P774" s="332"/>
      <c r="Q774" s="332"/>
      <c r="R774" s="332"/>
      <c r="S774" s="332"/>
      <c r="T774" s="332"/>
      <c r="U774" s="332"/>
      <c r="V774" s="332"/>
      <c r="W774" s="332"/>
      <c r="X774" s="332"/>
      <c r="Y774" s="332"/>
      <c r="Z774" s="332"/>
    </row>
    <row r="775" ht="15.75" customHeight="1">
      <c r="A775" s="27"/>
      <c r="B775" s="27"/>
      <c r="C775" s="27"/>
      <c r="D775" s="114"/>
      <c r="E775" s="114"/>
      <c r="F775" s="27"/>
      <c r="G775" s="27"/>
      <c r="H775" s="332"/>
      <c r="I775" s="332"/>
      <c r="J775" s="332"/>
      <c r="K775" s="332"/>
      <c r="L775" s="332"/>
      <c r="M775" s="332"/>
      <c r="N775" s="332"/>
      <c r="O775" s="332"/>
      <c r="P775" s="332"/>
      <c r="Q775" s="332"/>
      <c r="R775" s="332"/>
      <c r="S775" s="332"/>
      <c r="T775" s="332"/>
      <c r="U775" s="332"/>
      <c r="V775" s="332"/>
      <c r="W775" s="332"/>
      <c r="X775" s="332"/>
      <c r="Y775" s="332"/>
      <c r="Z775" s="332"/>
    </row>
    <row r="776" ht="15.75" customHeight="1">
      <c r="A776" s="27"/>
      <c r="B776" s="27"/>
      <c r="C776" s="27"/>
      <c r="D776" s="114"/>
      <c r="E776" s="114"/>
      <c r="F776" s="27"/>
      <c r="G776" s="27"/>
      <c r="H776" s="332"/>
      <c r="I776" s="332"/>
      <c r="J776" s="332"/>
      <c r="K776" s="332"/>
      <c r="L776" s="332"/>
      <c r="M776" s="332"/>
      <c r="N776" s="332"/>
      <c r="O776" s="332"/>
      <c r="P776" s="332"/>
      <c r="Q776" s="332"/>
      <c r="R776" s="332"/>
      <c r="S776" s="332"/>
      <c r="T776" s="332"/>
      <c r="U776" s="332"/>
      <c r="V776" s="332"/>
      <c r="W776" s="332"/>
      <c r="X776" s="332"/>
      <c r="Y776" s="332"/>
      <c r="Z776" s="332"/>
    </row>
    <row r="777" ht="15.75" customHeight="1">
      <c r="A777" s="27"/>
      <c r="B777" s="27"/>
      <c r="C777" s="27"/>
      <c r="D777" s="114"/>
      <c r="E777" s="114"/>
      <c r="F777" s="27"/>
      <c r="G777" s="27"/>
      <c r="H777" s="332"/>
      <c r="I777" s="332"/>
      <c r="J777" s="332"/>
      <c r="K777" s="332"/>
      <c r="L777" s="332"/>
      <c r="M777" s="332"/>
      <c r="N777" s="332"/>
      <c r="O777" s="332"/>
      <c r="P777" s="332"/>
      <c r="Q777" s="332"/>
      <c r="R777" s="332"/>
      <c r="S777" s="332"/>
      <c r="T777" s="332"/>
      <c r="U777" s="332"/>
      <c r="V777" s="332"/>
      <c r="W777" s="332"/>
      <c r="X777" s="332"/>
      <c r="Y777" s="332"/>
      <c r="Z777" s="332"/>
    </row>
    <row r="778" ht="15.75" customHeight="1">
      <c r="A778" s="27"/>
      <c r="B778" s="27"/>
      <c r="C778" s="27"/>
      <c r="D778" s="114"/>
      <c r="E778" s="114"/>
      <c r="F778" s="27"/>
      <c r="G778" s="27"/>
      <c r="H778" s="332"/>
      <c r="I778" s="332"/>
      <c r="J778" s="332"/>
      <c r="K778" s="332"/>
      <c r="L778" s="332"/>
      <c r="M778" s="332"/>
      <c r="N778" s="332"/>
      <c r="O778" s="332"/>
      <c r="P778" s="332"/>
      <c r="Q778" s="332"/>
      <c r="R778" s="332"/>
      <c r="S778" s="332"/>
      <c r="T778" s="332"/>
      <c r="U778" s="332"/>
      <c r="V778" s="332"/>
      <c r="W778" s="332"/>
      <c r="X778" s="332"/>
      <c r="Y778" s="332"/>
      <c r="Z778" s="332"/>
    </row>
    <row r="779" ht="15.75" customHeight="1">
      <c r="A779" s="27"/>
      <c r="B779" s="27"/>
      <c r="C779" s="27"/>
      <c r="D779" s="114"/>
      <c r="E779" s="114"/>
      <c r="F779" s="27"/>
      <c r="G779" s="27"/>
      <c r="H779" s="332"/>
      <c r="I779" s="332"/>
      <c r="J779" s="332"/>
      <c r="K779" s="332"/>
      <c r="L779" s="332"/>
      <c r="M779" s="332"/>
      <c r="N779" s="332"/>
      <c r="O779" s="332"/>
      <c r="P779" s="332"/>
      <c r="Q779" s="332"/>
      <c r="R779" s="332"/>
      <c r="S779" s="332"/>
      <c r="T779" s="332"/>
      <c r="U779" s="332"/>
      <c r="V779" s="332"/>
      <c r="W779" s="332"/>
      <c r="X779" s="332"/>
      <c r="Y779" s="332"/>
      <c r="Z779" s="332"/>
    </row>
    <row r="780" ht="15.75" customHeight="1">
      <c r="A780" s="27"/>
      <c r="B780" s="27"/>
      <c r="C780" s="27"/>
      <c r="D780" s="114"/>
      <c r="E780" s="114"/>
      <c r="F780" s="27"/>
      <c r="G780" s="27"/>
      <c r="H780" s="332"/>
      <c r="I780" s="332"/>
      <c r="J780" s="332"/>
      <c r="K780" s="332"/>
      <c r="L780" s="332"/>
      <c r="M780" s="332"/>
      <c r="N780" s="332"/>
      <c r="O780" s="332"/>
      <c r="P780" s="332"/>
      <c r="Q780" s="332"/>
      <c r="R780" s="332"/>
      <c r="S780" s="332"/>
      <c r="T780" s="332"/>
      <c r="U780" s="332"/>
      <c r="V780" s="332"/>
      <c r="W780" s="332"/>
      <c r="X780" s="332"/>
      <c r="Y780" s="332"/>
      <c r="Z780" s="332"/>
    </row>
    <row r="781" ht="15.75" customHeight="1">
      <c r="A781" s="27"/>
      <c r="B781" s="27"/>
      <c r="C781" s="27"/>
      <c r="D781" s="114"/>
      <c r="E781" s="114"/>
      <c r="F781" s="27"/>
      <c r="G781" s="27"/>
      <c r="H781" s="332"/>
      <c r="I781" s="332"/>
      <c r="J781" s="332"/>
      <c r="K781" s="332"/>
      <c r="L781" s="332"/>
      <c r="M781" s="332"/>
      <c r="N781" s="332"/>
      <c r="O781" s="332"/>
      <c r="P781" s="332"/>
      <c r="Q781" s="332"/>
      <c r="R781" s="332"/>
      <c r="S781" s="332"/>
      <c r="T781" s="332"/>
      <c r="U781" s="332"/>
      <c r="V781" s="332"/>
      <c r="W781" s="332"/>
      <c r="X781" s="332"/>
      <c r="Y781" s="332"/>
      <c r="Z781" s="332"/>
    </row>
    <row r="782" ht="15.75" customHeight="1">
      <c r="A782" s="27"/>
      <c r="B782" s="27"/>
      <c r="C782" s="27"/>
      <c r="D782" s="114"/>
      <c r="E782" s="114"/>
      <c r="F782" s="27"/>
      <c r="G782" s="27"/>
      <c r="H782" s="332"/>
      <c r="I782" s="332"/>
      <c r="J782" s="332"/>
      <c r="K782" s="332"/>
      <c r="L782" s="332"/>
      <c r="M782" s="332"/>
      <c r="N782" s="332"/>
      <c r="O782" s="332"/>
      <c r="P782" s="332"/>
      <c r="Q782" s="332"/>
      <c r="R782" s="332"/>
      <c r="S782" s="332"/>
      <c r="T782" s="332"/>
      <c r="U782" s="332"/>
      <c r="V782" s="332"/>
      <c r="W782" s="332"/>
      <c r="X782" s="332"/>
      <c r="Y782" s="332"/>
      <c r="Z782" s="332"/>
    </row>
    <row r="783" ht="15.75" customHeight="1">
      <c r="A783" s="27"/>
      <c r="B783" s="27"/>
      <c r="C783" s="27"/>
      <c r="D783" s="114"/>
      <c r="E783" s="114"/>
      <c r="F783" s="27"/>
      <c r="G783" s="27"/>
      <c r="H783" s="332"/>
      <c r="I783" s="332"/>
      <c r="J783" s="332"/>
      <c r="K783" s="332"/>
      <c r="L783" s="332"/>
      <c r="M783" s="332"/>
      <c r="N783" s="332"/>
      <c r="O783" s="332"/>
      <c r="P783" s="332"/>
      <c r="Q783" s="332"/>
      <c r="R783" s="332"/>
      <c r="S783" s="332"/>
      <c r="T783" s="332"/>
      <c r="U783" s="332"/>
      <c r="V783" s="332"/>
      <c r="W783" s="332"/>
      <c r="X783" s="332"/>
      <c r="Y783" s="332"/>
      <c r="Z783" s="332"/>
    </row>
    <row r="784" ht="15.75" customHeight="1">
      <c r="A784" s="27"/>
      <c r="B784" s="27"/>
      <c r="C784" s="27"/>
      <c r="D784" s="114"/>
      <c r="E784" s="114"/>
      <c r="F784" s="27"/>
      <c r="G784" s="27"/>
      <c r="H784" s="332"/>
      <c r="I784" s="332"/>
      <c r="J784" s="332"/>
      <c r="K784" s="332"/>
      <c r="L784" s="332"/>
      <c r="M784" s="332"/>
      <c r="N784" s="332"/>
      <c r="O784" s="332"/>
      <c r="P784" s="332"/>
      <c r="Q784" s="332"/>
      <c r="R784" s="332"/>
      <c r="S784" s="332"/>
      <c r="T784" s="332"/>
      <c r="U784" s="332"/>
      <c r="V784" s="332"/>
      <c r="W784" s="332"/>
      <c r="X784" s="332"/>
      <c r="Y784" s="332"/>
      <c r="Z784" s="332"/>
    </row>
    <row r="785" ht="15.75" customHeight="1">
      <c r="A785" s="27"/>
      <c r="B785" s="27"/>
      <c r="C785" s="27"/>
      <c r="D785" s="114"/>
      <c r="E785" s="114"/>
      <c r="F785" s="27"/>
      <c r="G785" s="27"/>
      <c r="H785" s="332"/>
      <c r="I785" s="332"/>
      <c r="J785" s="332"/>
      <c r="K785" s="332"/>
      <c r="L785" s="332"/>
      <c r="M785" s="332"/>
      <c r="N785" s="332"/>
      <c r="O785" s="332"/>
      <c r="P785" s="332"/>
      <c r="Q785" s="332"/>
      <c r="R785" s="332"/>
      <c r="S785" s="332"/>
      <c r="T785" s="332"/>
      <c r="U785" s="332"/>
      <c r="V785" s="332"/>
      <c r="W785" s="332"/>
      <c r="X785" s="332"/>
      <c r="Y785" s="332"/>
      <c r="Z785" s="332"/>
    </row>
    <row r="786" ht="15.75" customHeight="1">
      <c r="A786" s="27"/>
      <c r="B786" s="27"/>
      <c r="C786" s="27"/>
      <c r="D786" s="114"/>
      <c r="E786" s="114"/>
      <c r="F786" s="27"/>
      <c r="G786" s="27"/>
      <c r="H786" s="332"/>
      <c r="I786" s="332"/>
      <c r="J786" s="332"/>
      <c r="K786" s="332"/>
      <c r="L786" s="332"/>
      <c r="M786" s="332"/>
      <c r="N786" s="332"/>
      <c r="O786" s="332"/>
      <c r="P786" s="332"/>
      <c r="Q786" s="332"/>
      <c r="R786" s="332"/>
      <c r="S786" s="332"/>
      <c r="T786" s="332"/>
      <c r="U786" s="332"/>
      <c r="V786" s="332"/>
      <c r="W786" s="332"/>
      <c r="X786" s="332"/>
      <c r="Y786" s="332"/>
      <c r="Z786" s="332"/>
    </row>
    <row r="787" ht="15.75" customHeight="1">
      <c r="A787" s="27"/>
      <c r="B787" s="27"/>
      <c r="C787" s="27"/>
      <c r="D787" s="114"/>
      <c r="E787" s="114"/>
      <c r="F787" s="27"/>
      <c r="G787" s="27"/>
      <c r="H787" s="332"/>
      <c r="I787" s="332"/>
      <c r="J787" s="332"/>
      <c r="K787" s="332"/>
      <c r="L787" s="332"/>
      <c r="M787" s="332"/>
      <c r="N787" s="332"/>
      <c r="O787" s="332"/>
      <c r="P787" s="332"/>
      <c r="Q787" s="332"/>
      <c r="R787" s="332"/>
      <c r="S787" s="332"/>
      <c r="T787" s="332"/>
      <c r="U787" s="332"/>
      <c r="V787" s="332"/>
      <c r="W787" s="332"/>
      <c r="X787" s="332"/>
      <c r="Y787" s="332"/>
      <c r="Z787" s="332"/>
    </row>
    <row r="788" ht="15.75" customHeight="1">
      <c r="A788" s="27"/>
      <c r="B788" s="27"/>
      <c r="C788" s="27"/>
      <c r="D788" s="114"/>
      <c r="E788" s="114"/>
      <c r="F788" s="27"/>
      <c r="G788" s="27"/>
      <c r="H788" s="332"/>
      <c r="I788" s="332"/>
      <c r="J788" s="332"/>
      <c r="K788" s="332"/>
      <c r="L788" s="332"/>
      <c r="M788" s="332"/>
      <c r="N788" s="332"/>
      <c r="O788" s="332"/>
      <c r="P788" s="332"/>
      <c r="Q788" s="332"/>
      <c r="R788" s="332"/>
      <c r="S788" s="332"/>
      <c r="T788" s="332"/>
      <c r="U788" s="332"/>
      <c r="V788" s="332"/>
      <c r="W788" s="332"/>
      <c r="X788" s="332"/>
      <c r="Y788" s="332"/>
      <c r="Z788" s="332"/>
    </row>
    <row r="789" ht="15.75" customHeight="1">
      <c r="A789" s="27"/>
      <c r="B789" s="27"/>
      <c r="C789" s="27"/>
      <c r="D789" s="114"/>
      <c r="E789" s="114"/>
      <c r="F789" s="27"/>
      <c r="G789" s="27"/>
      <c r="H789" s="332"/>
      <c r="I789" s="332"/>
      <c r="J789" s="332"/>
      <c r="K789" s="332"/>
      <c r="L789" s="332"/>
      <c r="M789" s="332"/>
      <c r="N789" s="332"/>
      <c r="O789" s="332"/>
      <c r="P789" s="332"/>
      <c r="Q789" s="332"/>
      <c r="R789" s="332"/>
      <c r="S789" s="332"/>
      <c r="T789" s="332"/>
      <c r="U789" s="332"/>
      <c r="V789" s="332"/>
      <c r="W789" s="332"/>
      <c r="X789" s="332"/>
      <c r="Y789" s="332"/>
      <c r="Z789" s="332"/>
    </row>
    <row r="790" ht="15.75" customHeight="1">
      <c r="A790" s="27"/>
      <c r="B790" s="27"/>
      <c r="C790" s="27"/>
      <c r="D790" s="114"/>
      <c r="E790" s="114"/>
      <c r="F790" s="27"/>
      <c r="G790" s="27"/>
      <c r="H790" s="332"/>
      <c r="I790" s="332"/>
      <c r="J790" s="332"/>
      <c r="K790" s="332"/>
      <c r="L790" s="332"/>
      <c r="M790" s="332"/>
      <c r="N790" s="332"/>
      <c r="O790" s="332"/>
      <c r="P790" s="332"/>
      <c r="Q790" s="332"/>
      <c r="R790" s="332"/>
      <c r="S790" s="332"/>
      <c r="T790" s="332"/>
      <c r="U790" s="332"/>
      <c r="V790" s="332"/>
      <c r="W790" s="332"/>
      <c r="X790" s="332"/>
      <c r="Y790" s="332"/>
      <c r="Z790" s="332"/>
    </row>
    <row r="791" ht="15.75" customHeight="1">
      <c r="A791" s="27"/>
      <c r="B791" s="27"/>
      <c r="C791" s="27"/>
      <c r="D791" s="114"/>
      <c r="E791" s="114"/>
      <c r="F791" s="27"/>
      <c r="G791" s="27"/>
      <c r="H791" s="332"/>
      <c r="I791" s="332"/>
      <c r="J791" s="332"/>
      <c r="K791" s="332"/>
      <c r="L791" s="332"/>
      <c r="M791" s="332"/>
      <c r="N791" s="332"/>
      <c r="O791" s="332"/>
      <c r="P791" s="332"/>
      <c r="Q791" s="332"/>
      <c r="R791" s="332"/>
      <c r="S791" s="332"/>
      <c r="T791" s="332"/>
      <c r="U791" s="332"/>
      <c r="V791" s="332"/>
      <c r="W791" s="332"/>
      <c r="X791" s="332"/>
      <c r="Y791" s="332"/>
      <c r="Z791" s="332"/>
    </row>
    <row r="792" ht="15.75" customHeight="1">
      <c r="A792" s="27"/>
      <c r="B792" s="27"/>
      <c r="C792" s="27"/>
      <c r="D792" s="114"/>
      <c r="E792" s="114"/>
      <c r="F792" s="27"/>
      <c r="G792" s="27"/>
      <c r="H792" s="332"/>
      <c r="I792" s="332"/>
      <c r="J792" s="332"/>
      <c r="K792" s="332"/>
      <c r="L792" s="332"/>
      <c r="M792" s="332"/>
      <c r="N792" s="332"/>
      <c r="O792" s="332"/>
      <c r="P792" s="332"/>
      <c r="Q792" s="332"/>
      <c r="R792" s="332"/>
      <c r="S792" s="332"/>
      <c r="T792" s="332"/>
      <c r="U792" s="332"/>
      <c r="V792" s="332"/>
      <c r="W792" s="332"/>
      <c r="X792" s="332"/>
      <c r="Y792" s="332"/>
      <c r="Z792" s="332"/>
    </row>
    <row r="793" ht="15.75" customHeight="1">
      <c r="A793" s="27"/>
      <c r="B793" s="27"/>
      <c r="C793" s="27"/>
      <c r="D793" s="114"/>
      <c r="E793" s="114"/>
      <c r="F793" s="27"/>
      <c r="G793" s="27"/>
      <c r="H793" s="332"/>
      <c r="I793" s="332"/>
      <c r="J793" s="332"/>
      <c r="K793" s="332"/>
      <c r="L793" s="332"/>
      <c r="M793" s="332"/>
      <c r="N793" s="332"/>
      <c r="O793" s="332"/>
      <c r="P793" s="332"/>
      <c r="Q793" s="332"/>
      <c r="R793" s="332"/>
      <c r="S793" s="332"/>
      <c r="T793" s="332"/>
      <c r="U793" s="332"/>
      <c r="V793" s="332"/>
      <c r="W793" s="332"/>
      <c r="X793" s="332"/>
      <c r="Y793" s="332"/>
      <c r="Z793" s="332"/>
    </row>
    <row r="794" ht="15.75" customHeight="1">
      <c r="A794" s="27"/>
      <c r="B794" s="27"/>
      <c r="C794" s="27"/>
      <c r="D794" s="114"/>
      <c r="E794" s="114"/>
      <c r="F794" s="27"/>
      <c r="G794" s="27"/>
      <c r="H794" s="332"/>
      <c r="I794" s="332"/>
      <c r="J794" s="332"/>
      <c r="K794" s="332"/>
      <c r="L794" s="332"/>
      <c r="M794" s="332"/>
      <c r="N794" s="332"/>
      <c r="O794" s="332"/>
      <c r="P794" s="332"/>
      <c r="Q794" s="332"/>
      <c r="R794" s="332"/>
      <c r="S794" s="332"/>
      <c r="T794" s="332"/>
      <c r="U794" s="332"/>
      <c r="V794" s="332"/>
      <c r="W794" s="332"/>
      <c r="X794" s="332"/>
      <c r="Y794" s="332"/>
      <c r="Z794" s="332"/>
    </row>
    <row r="795" ht="15.75" customHeight="1">
      <c r="A795" s="27"/>
      <c r="B795" s="27"/>
      <c r="C795" s="27"/>
      <c r="D795" s="114"/>
      <c r="E795" s="114"/>
      <c r="F795" s="27"/>
      <c r="G795" s="27"/>
      <c r="H795" s="332"/>
      <c r="I795" s="332"/>
      <c r="J795" s="332"/>
      <c r="K795" s="332"/>
      <c r="L795" s="332"/>
      <c r="M795" s="332"/>
      <c r="N795" s="332"/>
      <c r="O795" s="332"/>
      <c r="P795" s="332"/>
      <c r="Q795" s="332"/>
      <c r="R795" s="332"/>
      <c r="S795" s="332"/>
      <c r="T795" s="332"/>
      <c r="U795" s="332"/>
      <c r="V795" s="332"/>
      <c r="W795" s="332"/>
      <c r="X795" s="332"/>
      <c r="Y795" s="332"/>
      <c r="Z795" s="332"/>
    </row>
    <row r="796" ht="15.75" customHeight="1">
      <c r="A796" s="27"/>
      <c r="B796" s="27"/>
      <c r="C796" s="27"/>
      <c r="D796" s="114"/>
      <c r="E796" s="114"/>
      <c r="F796" s="27"/>
      <c r="G796" s="27"/>
      <c r="H796" s="332"/>
      <c r="I796" s="332"/>
      <c r="J796" s="332"/>
      <c r="K796" s="332"/>
      <c r="L796" s="332"/>
      <c r="M796" s="332"/>
      <c r="N796" s="332"/>
      <c r="O796" s="332"/>
      <c r="P796" s="332"/>
      <c r="Q796" s="332"/>
      <c r="R796" s="332"/>
      <c r="S796" s="332"/>
      <c r="T796" s="332"/>
      <c r="U796" s="332"/>
      <c r="V796" s="332"/>
      <c r="W796" s="332"/>
      <c r="X796" s="332"/>
      <c r="Y796" s="332"/>
      <c r="Z796" s="332"/>
    </row>
    <row r="797" ht="15.75" customHeight="1">
      <c r="A797" s="27"/>
      <c r="B797" s="27"/>
      <c r="C797" s="27"/>
      <c r="D797" s="114"/>
      <c r="E797" s="114"/>
      <c r="F797" s="27"/>
      <c r="G797" s="27"/>
      <c r="H797" s="332"/>
      <c r="I797" s="332"/>
      <c r="J797" s="332"/>
      <c r="K797" s="332"/>
      <c r="L797" s="332"/>
      <c r="M797" s="332"/>
      <c r="N797" s="332"/>
      <c r="O797" s="332"/>
      <c r="P797" s="332"/>
      <c r="Q797" s="332"/>
      <c r="R797" s="332"/>
      <c r="S797" s="332"/>
      <c r="T797" s="332"/>
      <c r="U797" s="332"/>
      <c r="V797" s="332"/>
      <c r="W797" s="332"/>
      <c r="X797" s="332"/>
      <c r="Y797" s="332"/>
      <c r="Z797" s="332"/>
    </row>
    <row r="798" ht="15.75" customHeight="1">
      <c r="A798" s="27"/>
      <c r="B798" s="27"/>
      <c r="C798" s="27"/>
      <c r="D798" s="114"/>
      <c r="E798" s="114"/>
      <c r="F798" s="27"/>
      <c r="G798" s="27"/>
      <c r="H798" s="332"/>
      <c r="I798" s="332"/>
      <c r="J798" s="332"/>
      <c r="K798" s="332"/>
      <c r="L798" s="332"/>
      <c r="M798" s="332"/>
      <c r="N798" s="332"/>
      <c r="O798" s="332"/>
      <c r="P798" s="332"/>
      <c r="Q798" s="332"/>
      <c r="R798" s="332"/>
      <c r="S798" s="332"/>
      <c r="T798" s="332"/>
      <c r="U798" s="332"/>
      <c r="V798" s="332"/>
      <c r="W798" s="332"/>
      <c r="X798" s="332"/>
      <c r="Y798" s="332"/>
      <c r="Z798" s="332"/>
    </row>
    <row r="799" ht="15.75" customHeight="1">
      <c r="A799" s="27"/>
      <c r="B799" s="27"/>
      <c r="C799" s="27"/>
      <c r="D799" s="114"/>
      <c r="E799" s="114"/>
      <c r="F799" s="27"/>
      <c r="G799" s="27"/>
      <c r="H799" s="332"/>
      <c r="I799" s="332"/>
      <c r="J799" s="332"/>
      <c r="K799" s="332"/>
      <c r="L799" s="332"/>
      <c r="M799" s="332"/>
      <c r="N799" s="332"/>
      <c r="O799" s="332"/>
      <c r="P799" s="332"/>
      <c r="Q799" s="332"/>
      <c r="R799" s="332"/>
      <c r="S799" s="332"/>
      <c r="T799" s="332"/>
      <c r="U799" s="332"/>
      <c r="V799" s="332"/>
      <c r="W799" s="332"/>
      <c r="X799" s="332"/>
      <c r="Y799" s="332"/>
      <c r="Z799" s="332"/>
    </row>
    <row r="800" ht="15.75" customHeight="1">
      <c r="A800" s="27"/>
      <c r="B800" s="27"/>
      <c r="C800" s="27"/>
      <c r="D800" s="114"/>
      <c r="E800" s="114"/>
      <c r="F800" s="27"/>
      <c r="G800" s="27"/>
      <c r="H800" s="332"/>
      <c r="I800" s="332"/>
      <c r="J800" s="332"/>
      <c r="K800" s="332"/>
      <c r="L800" s="332"/>
      <c r="M800" s="332"/>
      <c r="N800" s="332"/>
      <c r="O800" s="332"/>
      <c r="P800" s="332"/>
      <c r="Q800" s="332"/>
      <c r="R800" s="332"/>
      <c r="S800" s="332"/>
      <c r="T800" s="332"/>
      <c r="U800" s="332"/>
      <c r="V800" s="332"/>
      <c r="W800" s="332"/>
      <c r="X800" s="332"/>
      <c r="Y800" s="332"/>
      <c r="Z800" s="332"/>
    </row>
    <row r="801" ht="15.75" customHeight="1">
      <c r="A801" s="27"/>
      <c r="B801" s="27"/>
      <c r="C801" s="27"/>
      <c r="D801" s="114"/>
      <c r="E801" s="114"/>
      <c r="F801" s="27"/>
      <c r="G801" s="27"/>
      <c r="H801" s="332"/>
      <c r="I801" s="332"/>
      <c r="J801" s="332"/>
      <c r="K801" s="332"/>
      <c r="L801" s="332"/>
      <c r="M801" s="332"/>
      <c r="N801" s="332"/>
      <c r="O801" s="332"/>
      <c r="P801" s="332"/>
      <c r="Q801" s="332"/>
      <c r="R801" s="332"/>
      <c r="S801" s="332"/>
      <c r="T801" s="332"/>
      <c r="U801" s="332"/>
      <c r="V801" s="332"/>
      <c r="W801" s="332"/>
      <c r="X801" s="332"/>
      <c r="Y801" s="332"/>
      <c r="Z801" s="332"/>
    </row>
    <row r="802" ht="15.75" customHeight="1">
      <c r="A802" s="27"/>
      <c r="B802" s="27"/>
      <c r="C802" s="27"/>
      <c r="D802" s="114"/>
      <c r="E802" s="114"/>
      <c r="F802" s="27"/>
      <c r="G802" s="27"/>
      <c r="H802" s="332"/>
      <c r="I802" s="332"/>
      <c r="J802" s="332"/>
      <c r="K802" s="332"/>
      <c r="L802" s="332"/>
      <c r="M802" s="332"/>
      <c r="N802" s="332"/>
      <c r="O802" s="332"/>
      <c r="P802" s="332"/>
      <c r="Q802" s="332"/>
      <c r="R802" s="332"/>
      <c r="S802" s="332"/>
      <c r="T802" s="332"/>
      <c r="U802" s="332"/>
      <c r="V802" s="332"/>
      <c r="W802" s="332"/>
      <c r="X802" s="332"/>
      <c r="Y802" s="332"/>
      <c r="Z802" s="332"/>
    </row>
    <row r="803" ht="15.75" customHeight="1">
      <c r="A803" s="27"/>
      <c r="B803" s="27"/>
      <c r="C803" s="27"/>
      <c r="D803" s="114"/>
      <c r="E803" s="114"/>
      <c r="F803" s="27"/>
      <c r="G803" s="27"/>
      <c r="H803" s="332"/>
      <c r="I803" s="332"/>
      <c r="J803" s="332"/>
      <c r="K803" s="332"/>
      <c r="L803" s="332"/>
      <c r="M803" s="332"/>
      <c r="N803" s="332"/>
      <c r="O803" s="332"/>
      <c r="P803" s="332"/>
      <c r="Q803" s="332"/>
      <c r="R803" s="332"/>
      <c r="S803" s="332"/>
      <c r="T803" s="332"/>
      <c r="U803" s="332"/>
      <c r="V803" s="332"/>
      <c r="W803" s="332"/>
      <c r="X803" s="332"/>
      <c r="Y803" s="332"/>
      <c r="Z803" s="332"/>
    </row>
    <row r="804" ht="15.75" customHeight="1">
      <c r="A804" s="27"/>
      <c r="B804" s="27"/>
      <c r="C804" s="27"/>
      <c r="D804" s="114"/>
      <c r="E804" s="114"/>
      <c r="F804" s="27"/>
      <c r="G804" s="27"/>
      <c r="H804" s="332"/>
      <c r="I804" s="332"/>
      <c r="J804" s="332"/>
      <c r="K804" s="332"/>
      <c r="L804" s="332"/>
      <c r="M804" s="332"/>
      <c r="N804" s="332"/>
      <c r="O804" s="332"/>
      <c r="P804" s="332"/>
      <c r="Q804" s="332"/>
      <c r="R804" s="332"/>
      <c r="S804" s="332"/>
      <c r="T804" s="332"/>
      <c r="U804" s="332"/>
      <c r="V804" s="332"/>
      <c r="W804" s="332"/>
      <c r="X804" s="332"/>
      <c r="Y804" s="332"/>
      <c r="Z804" s="332"/>
    </row>
    <row r="805" ht="15.75" customHeight="1">
      <c r="A805" s="27"/>
      <c r="B805" s="27"/>
      <c r="C805" s="27"/>
      <c r="D805" s="114"/>
      <c r="E805" s="114"/>
      <c r="F805" s="27"/>
      <c r="G805" s="27"/>
      <c r="H805" s="332"/>
      <c r="I805" s="332"/>
      <c r="J805" s="332"/>
      <c r="K805" s="332"/>
      <c r="L805" s="332"/>
      <c r="M805" s="332"/>
      <c r="N805" s="332"/>
      <c r="O805" s="332"/>
      <c r="P805" s="332"/>
      <c r="Q805" s="332"/>
      <c r="R805" s="332"/>
      <c r="S805" s="332"/>
      <c r="T805" s="332"/>
      <c r="U805" s="332"/>
      <c r="V805" s="332"/>
      <c r="W805" s="332"/>
      <c r="X805" s="332"/>
      <c r="Y805" s="332"/>
      <c r="Z805" s="332"/>
    </row>
    <row r="806" ht="15.75" customHeight="1">
      <c r="A806" s="27"/>
      <c r="B806" s="27"/>
      <c r="C806" s="27"/>
      <c r="D806" s="114"/>
      <c r="E806" s="114"/>
      <c r="F806" s="27"/>
      <c r="G806" s="27"/>
      <c r="H806" s="332"/>
      <c r="I806" s="332"/>
      <c r="J806" s="332"/>
      <c r="K806" s="332"/>
      <c r="L806" s="332"/>
      <c r="M806" s="332"/>
      <c r="N806" s="332"/>
      <c r="O806" s="332"/>
      <c r="P806" s="332"/>
      <c r="Q806" s="332"/>
      <c r="R806" s="332"/>
      <c r="S806" s="332"/>
      <c r="T806" s="332"/>
      <c r="U806" s="332"/>
      <c r="V806" s="332"/>
      <c r="W806" s="332"/>
      <c r="X806" s="332"/>
      <c r="Y806" s="332"/>
      <c r="Z806" s="332"/>
    </row>
    <row r="807" ht="15.75" customHeight="1">
      <c r="A807" s="27"/>
      <c r="B807" s="27"/>
      <c r="C807" s="27"/>
      <c r="D807" s="114"/>
      <c r="E807" s="114"/>
      <c r="F807" s="27"/>
      <c r="G807" s="27"/>
      <c r="H807" s="332"/>
      <c r="I807" s="332"/>
      <c r="J807" s="332"/>
      <c r="K807" s="332"/>
      <c r="L807" s="332"/>
      <c r="M807" s="332"/>
      <c r="N807" s="332"/>
      <c r="O807" s="332"/>
      <c r="P807" s="332"/>
      <c r="Q807" s="332"/>
      <c r="R807" s="332"/>
      <c r="S807" s="332"/>
      <c r="T807" s="332"/>
      <c r="U807" s="332"/>
      <c r="V807" s="332"/>
      <c r="W807" s="332"/>
      <c r="X807" s="332"/>
      <c r="Y807" s="332"/>
      <c r="Z807" s="332"/>
    </row>
    <row r="808" ht="15.75" customHeight="1">
      <c r="A808" s="27"/>
      <c r="B808" s="27"/>
      <c r="C808" s="27"/>
      <c r="D808" s="114"/>
      <c r="E808" s="114"/>
      <c r="F808" s="27"/>
      <c r="G808" s="27"/>
      <c r="H808" s="332"/>
      <c r="I808" s="332"/>
      <c r="J808" s="332"/>
      <c r="K808" s="332"/>
      <c r="L808" s="332"/>
      <c r="M808" s="332"/>
      <c r="N808" s="332"/>
      <c r="O808" s="332"/>
      <c r="P808" s="332"/>
      <c r="Q808" s="332"/>
      <c r="R808" s="332"/>
      <c r="S808" s="332"/>
      <c r="T808" s="332"/>
      <c r="U808" s="332"/>
      <c r="V808" s="332"/>
      <c r="W808" s="332"/>
      <c r="X808" s="332"/>
      <c r="Y808" s="332"/>
      <c r="Z808" s="332"/>
    </row>
    <row r="809" ht="15.75" customHeight="1">
      <c r="A809" s="27"/>
      <c r="B809" s="27"/>
      <c r="C809" s="27"/>
      <c r="D809" s="114"/>
      <c r="E809" s="114"/>
      <c r="F809" s="27"/>
      <c r="G809" s="27"/>
      <c r="H809" s="332"/>
      <c r="I809" s="332"/>
      <c r="J809" s="332"/>
      <c r="K809" s="332"/>
      <c r="L809" s="332"/>
      <c r="M809" s="332"/>
      <c r="N809" s="332"/>
      <c r="O809" s="332"/>
      <c r="P809" s="332"/>
      <c r="Q809" s="332"/>
      <c r="R809" s="332"/>
      <c r="S809" s="332"/>
      <c r="T809" s="332"/>
      <c r="U809" s="332"/>
      <c r="V809" s="332"/>
      <c r="W809" s="332"/>
      <c r="X809" s="332"/>
      <c r="Y809" s="332"/>
      <c r="Z809" s="332"/>
    </row>
    <row r="810" ht="15.75" customHeight="1">
      <c r="A810" s="27"/>
      <c r="B810" s="27"/>
      <c r="C810" s="27"/>
      <c r="D810" s="114"/>
      <c r="E810" s="114"/>
      <c r="F810" s="27"/>
      <c r="G810" s="27"/>
      <c r="H810" s="332"/>
      <c r="I810" s="332"/>
      <c r="J810" s="332"/>
      <c r="K810" s="332"/>
      <c r="L810" s="332"/>
      <c r="M810" s="332"/>
      <c r="N810" s="332"/>
      <c r="O810" s="332"/>
      <c r="P810" s="332"/>
      <c r="Q810" s="332"/>
      <c r="R810" s="332"/>
      <c r="S810" s="332"/>
      <c r="T810" s="332"/>
      <c r="U810" s="332"/>
      <c r="V810" s="332"/>
      <c r="W810" s="332"/>
      <c r="X810" s="332"/>
      <c r="Y810" s="332"/>
      <c r="Z810" s="332"/>
    </row>
    <row r="811" ht="15.75" customHeight="1">
      <c r="A811" s="27"/>
      <c r="B811" s="27"/>
      <c r="C811" s="27"/>
      <c r="D811" s="114"/>
      <c r="E811" s="114"/>
      <c r="F811" s="27"/>
      <c r="G811" s="27"/>
      <c r="H811" s="332"/>
      <c r="I811" s="332"/>
      <c r="J811" s="332"/>
      <c r="K811" s="332"/>
      <c r="L811" s="332"/>
      <c r="M811" s="332"/>
      <c r="N811" s="332"/>
      <c r="O811" s="332"/>
      <c r="P811" s="332"/>
      <c r="Q811" s="332"/>
      <c r="R811" s="332"/>
      <c r="S811" s="332"/>
      <c r="T811" s="332"/>
      <c r="U811" s="332"/>
      <c r="V811" s="332"/>
      <c r="W811" s="332"/>
      <c r="X811" s="332"/>
      <c r="Y811" s="332"/>
      <c r="Z811" s="332"/>
    </row>
    <row r="812" ht="15.75" customHeight="1">
      <c r="A812" s="27"/>
      <c r="B812" s="27"/>
      <c r="C812" s="27"/>
      <c r="D812" s="114"/>
      <c r="E812" s="114"/>
      <c r="F812" s="27"/>
      <c r="G812" s="27"/>
      <c r="H812" s="332"/>
      <c r="I812" s="332"/>
      <c r="J812" s="332"/>
      <c r="K812" s="332"/>
      <c r="L812" s="332"/>
      <c r="M812" s="332"/>
      <c r="N812" s="332"/>
      <c r="O812" s="332"/>
      <c r="P812" s="332"/>
      <c r="Q812" s="332"/>
      <c r="R812" s="332"/>
      <c r="S812" s="332"/>
      <c r="T812" s="332"/>
      <c r="U812" s="332"/>
      <c r="V812" s="332"/>
      <c r="W812" s="332"/>
      <c r="X812" s="332"/>
      <c r="Y812" s="332"/>
      <c r="Z812" s="332"/>
    </row>
    <row r="813" ht="15.75" customHeight="1">
      <c r="A813" s="27"/>
      <c r="B813" s="27"/>
      <c r="C813" s="27"/>
      <c r="D813" s="114"/>
      <c r="E813" s="114"/>
      <c r="F813" s="27"/>
      <c r="G813" s="27"/>
      <c r="H813" s="332"/>
      <c r="I813" s="332"/>
      <c r="J813" s="332"/>
      <c r="K813" s="332"/>
      <c r="L813" s="332"/>
      <c r="M813" s="332"/>
      <c r="N813" s="332"/>
      <c r="O813" s="332"/>
      <c r="P813" s="332"/>
      <c r="Q813" s="332"/>
      <c r="R813" s="332"/>
      <c r="S813" s="332"/>
      <c r="T813" s="332"/>
      <c r="U813" s="332"/>
      <c r="V813" s="332"/>
      <c r="W813" s="332"/>
      <c r="X813" s="332"/>
      <c r="Y813" s="332"/>
      <c r="Z813" s="332"/>
    </row>
    <row r="814" ht="15.75" customHeight="1">
      <c r="A814" s="27"/>
      <c r="B814" s="27"/>
      <c r="C814" s="27"/>
      <c r="D814" s="114"/>
      <c r="E814" s="114"/>
      <c r="F814" s="27"/>
      <c r="G814" s="27"/>
      <c r="H814" s="332"/>
      <c r="I814" s="332"/>
      <c r="J814" s="332"/>
      <c r="K814" s="332"/>
      <c r="L814" s="332"/>
      <c r="M814" s="332"/>
      <c r="N814" s="332"/>
      <c r="O814" s="332"/>
      <c r="P814" s="332"/>
      <c r="Q814" s="332"/>
      <c r="R814" s="332"/>
      <c r="S814" s="332"/>
      <c r="T814" s="332"/>
      <c r="U814" s="332"/>
      <c r="V814" s="332"/>
      <c r="W814" s="332"/>
      <c r="X814" s="332"/>
      <c r="Y814" s="332"/>
      <c r="Z814" s="332"/>
    </row>
    <row r="815" ht="15.75" customHeight="1">
      <c r="A815" s="27"/>
      <c r="B815" s="27"/>
      <c r="C815" s="27"/>
      <c r="D815" s="114"/>
      <c r="E815" s="114"/>
      <c r="F815" s="27"/>
      <c r="G815" s="27"/>
      <c r="H815" s="332"/>
      <c r="I815" s="332"/>
      <c r="J815" s="332"/>
      <c r="K815" s="332"/>
      <c r="L815" s="332"/>
      <c r="M815" s="332"/>
      <c r="N815" s="332"/>
      <c r="O815" s="332"/>
      <c r="P815" s="332"/>
      <c r="Q815" s="332"/>
      <c r="R815" s="332"/>
      <c r="S815" s="332"/>
      <c r="T815" s="332"/>
      <c r="U815" s="332"/>
      <c r="V815" s="332"/>
      <c r="W815" s="332"/>
      <c r="X815" s="332"/>
      <c r="Y815" s="332"/>
      <c r="Z815" s="332"/>
    </row>
    <row r="816" ht="15.75" customHeight="1">
      <c r="A816" s="27"/>
      <c r="B816" s="27"/>
      <c r="C816" s="27"/>
      <c r="D816" s="114"/>
      <c r="E816" s="114"/>
      <c r="F816" s="27"/>
      <c r="G816" s="27"/>
      <c r="H816" s="332"/>
      <c r="I816" s="332"/>
      <c r="J816" s="332"/>
      <c r="K816" s="332"/>
      <c r="L816" s="332"/>
      <c r="M816" s="332"/>
      <c r="N816" s="332"/>
      <c r="O816" s="332"/>
      <c r="P816" s="332"/>
      <c r="Q816" s="332"/>
      <c r="R816" s="332"/>
      <c r="S816" s="332"/>
      <c r="T816" s="332"/>
      <c r="U816" s="332"/>
      <c r="V816" s="332"/>
      <c r="W816" s="332"/>
      <c r="X816" s="332"/>
      <c r="Y816" s="332"/>
      <c r="Z816" s="332"/>
    </row>
    <row r="817" ht="15.75" customHeight="1">
      <c r="A817" s="27"/>
      <c r="B817" s="27"/>
      <c r="C817" s="27"/>
      <c r="D817" s="114"/>
      <c r="E817" s="114"/>
      <c r="F817" s="27"/>
      <c r="G817" s="27"/>
      <c r="H817" s="332"/>
      <c r="I817" s="332"/>
      <c r="J817" s="332"/>
      <c r="K817" s="332"/>
      <c r="L817" s="332"/>
      <c r="M817" s="332"/>
      <c r="N817" s="332"/>
      <c r="O817" s="332"/>
      <c r="P817" s="332"/>
      <c r="Q817" s="332"/>
      <c r="R817" s="332"/>
      <c r="S817" s="332"/>
      <c r="T817" s="332"/>
      <c r="U817" s="332"/>
      <c r="V817" s="332"/>
      <c r="W817" s="332"/>
      <c r="X817" s="332"/>
      <c r="Y817" s="332"/>
      <c r="Z817" s="332"/>
    </row>
    <row r="818" ht="15.75" customHeight="1">
      <c r="A818" s="27"/>
      <c r="B818" s="27"/>
      <c r="C818" s="27"/>
      <c r="D818" s="114"/>
      <c r="E818" s="114"/>
      <c r="F818" s="27"/>
      <c r="G818" s="27"/>
      <c r="H818" s="332"/>
      <c r="I818" s="332"/>
      <c r="J818" s="332"/>
      <c r="K818" s="332"/>
      <c r="L818" s="332"/>
      <c r="M818" s="332"/>
      <c r="N818" s="332"/>
      <c r="O818" s="332"/>
      <c r="P818" s="332"/>
      <c r="Q818" s="332"/>
      <c r="R818" s="332"/>
      <c r="S818" s="332"/>
      <c r="T818" s="332"/>
      <c r="U818" s="332"/>
      <c r="V818" s="332"/>
      <c r="W818" s="332"/>
      <c r="X818" s="332"/>
      <c r="Y818" s="332"/>
      <c r="Z818" s="332"/>
    </row>
    <row r="819" ht="15.75" customHeight="1">
      <c r="A819" s="27"/>
      <c r="B819" s="27"/>
      <c r="C819" s="27"/>
      <c r="D819" s="114"/>
      <c r="E819" s="114"/>
      <c r="F819" s="27"/>
      <c r="G819" s="27"/>
      <c r="H819" s="332"/>
      <c r="I819" s="332"/>
      <c r="J819" s="332"/>
      <c r="K819" s="332"/>
      <c r="L819" s="332"/>
      <c r="M819" s="332"/>
      <c r="N819" s="332"/>
      <c r="O819" s="332"/>
      <c r="P819" s="332"/>
      <c r="Q819" s="332"/>
      <c r="R819" s="332"/>
      <c r="S819" s="332"/>
      <c r="T819" s="332"/>
      <c r="U819" s="332"/>
      <c r="V819" s="332"/>
      <c r="W819" s="332"/>
      <c r="X819" s="332"/>
      <c r="Y819" s="332"/>
      <c r="Z819" s="332"/>
    </row>
    <row r="820" ht="15.75" customHeight="1">
      <c r="A820" s="27"/>
      <c r="B820" s="27"/>
      <c r="C820" s="27"/>
      <c r="D820" s="114"/>
      <c r="E820" s="114"/>
      <c r="F820" s="27"/>
      <c r="G820" s="27"/>
      <c r="H820" s="332"/>
      <c r="I820" s="332"/>
      <c r="J820" s="332"/>
      <c r="K820" s="332"/>
      <c r="L820" s="332"/>
      <c r="M820" s="332"/>
      <c r="N820" s="332"/>
      <c r="O820" s="332"/>
      <c r="P820" s="332"/>
      <c r="Q820" s="332"/>
      <c r="R820" s="332"/>
      <c r="S820" s="332"/>
      <c r="T820" s="332"/>
      <c r="U820" s="332"/>
      <c r="V820" s="332"/>
      <c r="W820" s="332"/>
      <c r="X820" s="332"/>
      <c r="Y820" s="332"/>
      <c r="Z820" s="332"/>
    </row>
    <row r="821" ht="15.75" customHeight="1">
      <c r="A821" s="27"/>
      <c r="B821" s="27"/>
      <c r="C821" s="27"/>
      <c r="D821" s="114"/>
      <c r="E821" s="114"/>
      <c r="F821" s="27"/>
      <c r="G821" s="27"/>
      <c r="H821" s="332"/>
      <c r="I821" s="332"/>
      <c r="J821" s="332"/>
      <c r="K821" s="332"/>
      <c r="L821" s="332"/>
      <c r="M821" s="332"/>
      <c r="N821" s="332"/>
      <c r="O821" s="332"/>
      <c r="P821" s="332"/>
      <c r="Q821" s="332"/>
      <c r="R821" s="332"/>
      <c r="S821" s="332"/>
      <c r="T821" s="332"/>
      <c r="U821" s="332"/>
      <c r="V821" s="332"/>
      <c r="W821" s="332"/>
      <c r="X821" s="332"/>
      <c r="Y821" s="332"/>
      <c r="Z821" s="332"/>
    </row>
    <row r="822" ht="15.75" customHeight="1">
      <c r="A822" s="27"/>
      <c r="B822" s="27"/>
      <c r="C822" s="27"/>
      <c r="D822" s="114"/>
      <c r="E822" s="114"/>
      <c r="F822" s="27"/>
      <c r="G822" s="27"/>
      <c r="H822" s="332"/>
      <c r="I822" s="332"/>
      <c r="J822" s="332"/>
      <c r="K822" s="332"/>
      <c r="L822" s="332"/>
      <c r="M822" s="332"/>
      <c r="N822" s="332"/>
      <c r="O822" s="332"/>
      <c r="P822" s="332"/>
      <c r="Q822" s="332"/>
      <c r="R822" s="332"/>
      <c r="S822" s="332"/>
      <c r="T822" s="332"/>
      <c r="U822" s="332"/>
      <c r="V822" s="332"/>
      <c r="W822" s="332"/>
      <c r="X822" s="332"/>
      <c r="Y822" s="332"/>
      <c r="Z822" s="332"/>
    </row>
    <row r="823" ht="15.75" customHeight="1">
      <c r="A823" s="27"/>
      <c r="B823" s="27"/>
      <c r="C823" s="27"/>
      <c r="D823" s="114"/>
      <c r="E823" s="114"/>
      <c r="F823" s="27"/>
      <c r="G823" s="27"/>
      <c r="H823" s="332"/>
      <c r="I823" s="332"/>
      <c r="J823" s="332"/>
      <c r="K823" s="332"/>
      <c r="L823" s="332"/>
      <c r="M823" s="332"/>
      <c r="N823" s="332"/>
      <c r="O823" s="332"/>
      <c r="P823" s="332"/>
      <c r="Q823" s="332"/>
      <c r="R823" s="332"/>
      <c r="S823" s="332"/>
      <c r="T823" s="332"/>
      <c r="U823" s="332"/>
      <c r="V823" s="332"/>
      <c r="W823" s="332"/>
      <c r="X823" s="332"/>
      <c r="Y823" s="332"/>
      <c r="Z823" s="332"/>
    </row>
    <row r="824" ht="15.75" customHeight="1">
      <c r="A824" s="27"/>
      <c r="B824" s="27"/>
      <c r="C824" s="27"/>
      <c r="D824" s="114"/>
      <c r="E824" s="114"/>
      <c r="F824" s="27"/>
      <c r="G824" s="27"/>
      <c r="H824" s="332"/>
      <c r="I824" s="332"/>
      <c r="J824" s="332"/>
      <c r="K824" s="332"/>
      <c r="L824" s="332"/>
      <c r="M824" s="332"/>
      <c r="N824" s="332"/>
      <c r="O824" s="332"/>
      <c r="P824" s="332"/>
      <c r="Q824" s="332"/>
      <c r="R824" s="332"/>
      <c r="S824" s="332"/>
      <c r="T824" s="332"/>
      <c r="U824" s="332"/>
      <c r="V824" s="332"/>
      <c r="W824" s="332"/>
      <c r="X824" s="332"/>
      <c r="Y824" s="332"/>
      <c r="Z824" s="332"/>
    </row>
    <row r="825" ht="15.75" customHeight="1">
      <c r="A825" s="27"/>
      <c r="B825" s="27"/>
      <c r="C825" s="27"/>
      <c r="D825" s="114"/>
      <c r="E825" s="114"/>
      <c r="F825" s="27"/>
      <c r="G825" s="27"/>
      <c r="H825" s="332"/>
      <c r="I825" s="332"/>
      <c r="J825" s="332"/>
      <c r="K825" s="332"/>
      <c r="L825" s="332"/>
      <c r="M825" s="332"/>
      <c r="N825" s="332"/>
      <c r="O825" s="332"/>
      <c r="P825" s="332"/>
      <c r="Q825" s="332"/>
      <c r="R825" s="332"/>
      <c r="S825" s="332"/>
      <c r="T825" s="332"/>
      <c r="U825" s="332"/>
      <c r="V825" s="332"/>
      <c r="W825" s="332"/>
      <c r="X825" s="332"/>
      <c r="Y825" s="332"/>
      <c r="Z825" s="332"/>
    </row>
    <row r="826" ht="15.75" customHeight="1">
      <c r="A826" s="27"/>
      <c r="B826" s="27"/>
      <c r="C826" s="27"/>
      <c r="D826" s="114"/>
      <c r="E826" s="114"/>
      <c r="F826" s="27"/>
      <c r="G826" s="27"/>
      <c r="H826" s="332"/>
      <c r="I826" s="332"/>
      <c r="J826" s="332"/>
      <c r="K826" s="332"/>
      <c r="L826" s="332"/>
      <c r="M826" s="332"/>
      <c r="N826" s="332"/>
      <c r="O826" s="332"/>
      <c r="P826" s="332"/>
      <c r="Q826" s="332"/>
      <c r="R826" s="332"/>
      <c r="S826" s="332"/>
      <c r="T826" s="332"/>
      <c r="U826" s="332"/>
      <c r="V826" s="332"/>
      <c r="W826" s="332"/>
      <c r="X826" s="332"/>
      <c r="Y826" s="332"/>
      <c r="Z826" s="332"/>
    </row>
    <row r="827" ht="15.75" customHeight="1">
      <c r="A827" s="27"/>
      <c r="B827" s="27"/>
      <c r="C827" s="27"/>
      <c r="D827" s="114"/>
      <c r="E827" s="114"/>
      <c r="F827" s="27"/>
      <c r="G827" s="27"/>
      <c r="H827" s="332"/>
      <c r="I827" s="332"/>
      <c r="J827" s="332"/>
      <c r="K827" s="332"/>
      <c r="L827" s="332"/>
      <c r="M827" s="332"/>
      <c r="N827" s="332"/>
      <c r="O827" s="332"/>
      <c r="P827" s="332"/>
      <c r="Q827" s="332"/>
      <c r="R827" s="332"/>
      <c r="S827" s="332"/>
      <c r="T827" s="332"/>
      <c r="U827" s="332"/>
      <c r="V827" s="332"/>
      <c r="W827" s="332"/>
      <c r="X827" s="332"/>
      <c r="Y827" s="332"/>
      <c r="Z827" s="332"/>
    </row>
    <row r="828" ht="15.75" customHeight="1">
      <c r="A828" s="27"/>
      <c r="B828" s="27"/>
      <c r="C828" s="27"/>
      <c r="D828" s="114"/>
      <c r="E828" s="114"/>
      <c r="F828" s="27"/>
      <c r="G828" s="27"/>
      <c r="H828" s="332"/>
      <c r="I828" s="332"/>
      <c r="J828" s="332"/>
      <c r="K828" s="332"/>
      <c r="L828" s="332"/>
      <c r="M828" s="332"/>
      <c r="N828" s="332"/>
      <c r="O828" s="332"/>
      <c r="P828" s="332"/>
      <c r="Q828" s="332"/>
      <c r="R828" s="332"/>
      <c r="S828" s="332"/>
      <c r="T828" s="332"/>
      <c r="U828" s="332"/>
      <c r="V828" s="332"/>
      <c r="W828" s="332"/>
      <c r="X828" s="332"/>
      <c r="Y828" s="332"/>
      <c r="Z828" s="332"/>
    </row>
    <row r="829" ht="15.75" customHeight="1">
      <c r="A829" s="27"/>
      <c r="B829" s="27"/>
      <c r="C829" s="27"/>
      <c r="D829" s="114"/>
      <c r="E829" s="114"/>
      <c r="F829" s="27"/>
      <c r="G829" s="27"/>
      <c r="H829" s="332"/>
      <c r="I829" s="332"/>
      <c r="J829" s="332"/>
      <c r="K829" s="332"/>
      <c r="L829" s="332"/>
      <c r="M829" s="332"/>
      <c r="N829" s="332"/>
      <c r="O829" s="332"/>
      <c r="P829" s="332"/>
      <c r="Q829" s="332"/>
      <c r="R829" s="332"/>
      <c r="S829" s="332"/>
      <c r="T829" s="332"/>
      <c r="U829" s="332"/>
      <c r="V829" s="332"/>
      <c r="W829" s="332"/>
      <c r="X829" s="332"/>
      <c r="Y829" s="332"/>
      <c r="Z829" s="332"/>
    </row>
    <row r="830" ht="15.75" customHeight="1">
      <c r="A830" s="27"/>
      <c r="B830" s="27"/>
      <c r="C830" s="27"/>
      <c r="D830" s="114"/>
      <c r="E830" s="114"/>
      <c r="F830" s="27"/>
      <c r="G830" s="27"/>
      <c r="H830" s="332"/>
      <c r="I830" s="332"/>
      <c r="J830" s="332"/>
      <c r="K830" s="332"/>
      <c r="L830" s="332"/>
      <c r="M830" s="332"/>
      <c r="N830" s="332"/>
      <c r="O830" s="332"/>
      <c r="P830" s="332"/>
      <c r="Q830" s="332"/>
      <c r="R830" s="332"/>
      <c r="S830" s="332"/>
      <c r="T830" s="332"/>
      <c r="U830" s="332"/>
      <c r="V830" s="332"/>
      <c r="W830" s="332"/>
      <c r="X830" s="332"/>
      <c r="Y830" s="332"/>
      <c r="Z830" s="332"/>
    </row>
    <row r="831" ht="15.75" customHeight="1">
      <c r="A831" s="27"/>
      <c r="B831" s="27"/>
      <c r="C831" s="27"/>
      <c r="D831" s="114"/>
      <c r="E831" s="114"/>
      <c r="F831" s="27"/>
      <c r="G831" s="27"/>
      <c r="H831" s="332"/>
      <c r="I831" s="332"/>
      <c r="J831" s="332"/>
      <c r="K831" s="332"/>
      <c r="L831" s="332"/>
      <c r="M831" s="332"/>
      <c r="N831" s="332"/>
      <c r="O831" s="332"/>
      <c r="P831" s="332"/>
      <c r="Q831" s="332"/>
      <c r="R831" s="332"/>
      <c r="S831" s="332"/>
      <c r="T831" s="332"/>
      <c r="U831" s="332"/>
      <c r="V831" s="332"/>
      <c r="W831" s="332"/>
      <c r="X831" s="332"/>
      <c r="Y831" s="332"/>
      <c r="Z831" s="332"/>
    </row>
    <row r="832" ht="15.75" customHeight="1">
      <c r="A832" s="27"/>
      <c r="B832" s="27"/>
      <c r="C832" s="27"/>
      <c r="D832" s="114"/>
      <c r="E832" s="114"/>
      <c r="F832" s="27"/>
      <c r="G832" s="27"/>
      <c r="H832" s="332"/>
      <c r="I832" s="332"/>
      <c r="J832" s="332"/>
      <c r="K832" s="332"/>
      <c r="L832" s="332"/>
      <c r="M832" s="332"/>
      <c r="N832" s="332"/>
      <c r="O832" s="332"/>
      <c r="P832" s="332"/>
      <c r="Q832" s="332"/>
      <c r="R832" s="332"/>
      <c r="S832" s="332"/>
      <c r="T832" s="332"/>
      <c r="U832" s="332"/>
      <c r="V832" s="332"/>
      <c r="W832" s="332"/>
      <c r="X832" s="332"/>
      <c r="Y832" s="332"/>
      <c r="Z832" s="332"/>
    </row>
    <row r="833" ht="15.75" customHeight="1">
      <c r="A833" s="27"/>
      <c r="B833" s="27"/>
      <c r="C833" s="27"/>
      <c r="D833" s="114"/>
      <c r="E833" s="114"/>
      <c r="F833" s="27"/>
      <c r="G833" s="27"/>
      <c r="H833" s="332"/>
      <c r="I833" s="332"/>
      <c r="J833" s="332"/>
      <c r="K833" s="332"/>
      <c r="L833" s="332"/>
      <c r="M833" s="332"/>
      <c r="N833" s="332"/>
      <c r="O833" s="332"/>
      <c r="P833" s="332"/>
      <c r="Q833" s="332"/>
      <c r="R833" s="332"/>
      <c r="S833" s="332"/>
      <c r="T833" s="332"/>
      <c r="U833" s="332"/>
      <c r="V833" s="332"/>
      <c r="W833" s="332"/>
      <c r="X833" s="332"/>
      <c r="Y833" s="332"/>
      <c r="Z833" s="332"/>
    </row>
    <row r="834" ht="15.75" customHeight="1">
      <c r="A834" s="27"/>
      <c r="B834" s="27"/>
      <c r="C834" s="27"/>
      <c r="D834" s="114"/>
      <c r="E834" s="114"/>
      <c r="F834" s="27"/>
      <c r="G834" s="27"/>
      <c r="H834" s="332"/>
      <c r="I834" s="332"/>
      <c r="J834" s="332"/>
      <c r="K834" s="332"/>
      <c r="L834" s="332"/>
      <c r="M834" s="332"/>
      <c r="N834" s="332"/>
      <c r="O834" s="332"/>
      <c r="P834" s="332"/>
      <c r="Q834" s="332"/>
      <c r="R834" s="332"/>
      <c r="S834" s="332"/>
      <c r="T834" s="332"/>
      <c r="U834" s="332"/>
      <c r="V834" s="332"/>
      <c r="W834" s="332"/>
      <c r="X834" s="332"/>
      <c r="Y834" s="332"/>
      <c r="Z834" s="332"/>
    </row>
    <row r="835" ht="15.75" customHeight="1">
      <c r="A835" s="27"/>
      <c r="B835" s="27"/>
      <c r="C835" s="27"/>
      <c r="D835" s="114"/>
      <c r="E835" s="114"/>
      <c r="F835" s="27"/>
      <c r="G835" s="27"/>
      <c r="H835" s="332"/>
      <c r="I835" s="332"/>
      <c r="J835" s="332"/>
      <c r="K835" s="332"/>
      <c r="L835" s="332"/>
      <c r="M835" s="332"/>
      <c r="N835" s="332"/>
      <c r="O835" s="332"/>
      <c r="P835" s="332"/>
      <c r="Q835" s="332"/>
      <c r="R835" s="332"/>
      <c r="S835" s="332"/>
      <c r="T835" s="332"/>
      <c r="U835" s="332"/>
      <c r="V835" s="332"/>
      <c r="W835" s="332"/>
      <c r="X835" s="332"/>
      <c r="Y835" s="332"/>
      <c r="Z835" s="332"/>
    </row>
    <row r="836" ht="15.75" customHeight="1">
      <c r="A836" s="27"/>
      <c r="B836" s="27"/>
      <c r="C836" s="27"/>
      <c r="D836" s="114"/>
      <c r="E836" s="114"/>
      <c r="F836" s="27"/>
      <c r="G836" s="27"/>
      <c r="H836" s="332"/>
      <c r="I836" s="332"/>
      <c r="J836" s="332"/>
      <c r="K836" s="332"/>
      <c r="L836" s="332"/>
      <c r="M836" s="332"/>
      <c r="N836" s="332"/>
      <c r="O836" s="332"/>
      <c r="P836" s="332"/>
      <c r="Q836" s="332"/>
      <c r="R836" s="332"/>
      <c r="S836" s="332"/>
      <c r="T836" s="332"/>
      <c r="U836" s="332"/>
      <c r="V836" s="332"/>
      <c r="W836" s="332"/>
      <c r="X836" s="332"/>
      <c r="Y836" s="332"/>
      <c r="Z836" s="332"/>
    </row>
    <row r="837" ht="15.75" customHeight="1">
      <c r="A837" s="27"/>
      <c r="B837" s="27"/>
      <c r="C837" s="27"/>
      <c r="D837" s="114"/>
      <c r="E837" s="114"/>
      <c r="F837" s="27"/>
      <c r="G837" s="27"/>
      <c r="H837" s="332"/>
      <c r="I837" s="332"/>
      <c r="J837" s="332"/>
      <c r="K837" s="332"/>
      <c r="L837" s="332"/>
      <c r="M837" s="332"/>
      <c r="N837" s="332"/>
      <c r="O837" s="332"/>
      <c r="P837" s="332"/>
      <c r="Q837" s="332"/>
      <c r="R837" s="332"/>
      <c r="S837" s="332"/>
      <c r="T837" s="332"/>
      <c r="U837" s="332"/>
      <c r="V837" s="332"/>
      <c r="W837" s="332"/>
      <c r="X837" s="332"/>
      <c r="Y837" s="332"/>
      <c r="Z837" s="332"/>
    </row>
    <row r="838" ht="15.75" customHeight="1">
      <c r="A838" s="27"/>
      <c r="B838" s="27"/>
      <c r="C838" s="27"/>
      <c r="D838" s="114"/>
      <c r="E838" s="114"/>
      <c r="F838" s="27"/>
      <c r="G838" s="27"/>
      <c r="H838" s="332"/>
      <c r="I838" s="332"/>
      <c r="J838" s="332"/>
      <c r="K838" s="332"/>
      <c r="L838" s="332"/>
      <c r="M838" s="332"/>
      <c r="N838" s="332"/>
      <c r="O838" s="332"/>
      <c r="P838" s="332"/>
      <c r="Q838" s="332"/>
      <c r="R838" s="332"/>
      <c r="S838" s="332"/>
      <c r="T838" s="332"/>
      <c r="U838" s="332"/>
      <c r="V838" s="332"/>
      <c r="W838" s="332"/>
      <c r="X838" s="332"/>
      <c r="Y838" s="332"/>
      <c r="Z838" s="332"/>
    </row>
    <row r="839" ht="15.75" customHeight="1">
      <c r="A839" s="27"/>
      <c r="B839" s="27"/>
      <c r="C839" s="27"/>
      <c r="D839" s="114"/>
      <c r="E839" s="114"/>
      <c r="F839" s="27"/>
      <c r="G839" s="27"/>
      <c r="H839" s="332"/>
      <c r="I839" s="332"/>
      <c r="J839" s="332"/>
      <c r="K839" s="332"/>
      <c r="L839" s="332"/>
      <c r="M839" s="332"/>
      <c r="N839" s="332"/>
      <c r="O839" s="332"/>
      <c r="P839" s="332"/>
      <c r="Q839" s="332"/>
      <c r="R839" s="332"/>
      <c r="S839" s="332"/>
      <c r="T839" s="332"/>
      <c r="U839" s="332"/>
      <c r="V839" s="332"/>
      <c r="W839" s="332"/>
      <c r="X839" s="332"/>
      <c r="Y839" s="332"/>
      <c r="Z839" s="332"/>
    </row>
    <row r="840" ht="15.75" customHeight="1">
      <c r="A840" s="27"/>
      <c r="B840" s="27"/>
      <c r="C840" s="27"/>
      <c r="D840" s="114"/>
      <c r="E840" s="114"/>
      <c r="F840" s="27"/>
      <c r="G840" s="27"/>
      <c r="H840" s="332"/>
      <c r="I840" s="332"/>
      <c r="J840" s="332"/>
      <c r="K840" s="332"/>
      <c r="L840" s="332"/>
      <c r="M840" s="332"/>
      <c r="N840" s="332"/>
      <c r="O840" s="332"/>
      <c r="P840" s="332"/>
      <c r="Q840" s="332"/>
      <c r="R840" s="332"/>
      <c r="S840" s="332"/>
      <c r="T840" s="332"/>
      <c r="U840" s="332"/>
      <c r="V840" s="332"/>
      <c r="W840" s="332"/>
      <c r="X840" s="332"/>
      <c r="Y840" s="332"/>
      <c r="Z840" s="332"/>
    </row>
    <row r="841" ht="15.75" customHeight="1">
      <c r="A841" s="27"/>
      <c r="B841" s="27"/>
      <c r="C841" s="27"/>
      <c r="D841" s="114"/>
      <c r="E841" s="114"/>
      <c r="F841" s="27"/>
      <c r="G841" s="27"/>
      <c r="H841" s="332"/>
      <c r="I841" s="332"/>
      <c r="J841" s="332"/>
      <c r="K841" s="332"/>
      <c r="L841" s="332"/>
      <c r="M841" s="332"/>
      <c r="N841" s="332"/>
      <c r="O841" s="332"/>
      <c r="P841" s="332"/>
      <c r="Q841" s="332"/>
      <c r="R841" s="332"/>
      <c r="S841" s="332"/>
      <c r="T841" s="332"/>
      <c r="U841" s="332"/>
      <c r="V841" s="332"/>
      <c r="W841" s="332"/>
      <c r="X841" s="332"/>
      <c r="Y841" s="332"/>
      <c r="Z841" s="332"/>
    </row>
    <row r="842" ht="15.75" customHeight="1">
      <c r="A842" s="27"/>
      <c r="B842" s="27"/>
      <c r="C842" s="27"/>
      <c r="D842" s="114"/>
      <c r="E842" s="114"/>
      <c r="F842" s="27"/>
      <c r="G842" s="27"/>
      <c r="H842" s="332"/>
      <c r="I842" s="332"/>
      <c r="J842" s="332"/>
      <c r="K842" s="332"/>
      <c r="L842" s="332"/>
      <c r="M842" s="332"/>
      <c r="N842" s="332"/>
      <c r="O842" s="332"/>
      <c r="P842" s="332"/>
      <c r="Q842" s="332"/>
      <c r="R842" s="332"/>
      <c r="S842" s="332"/>
      <c r="T842" s="332"/>
      <c r="U842" s="332"/>
      <c r="V842" s="332"/>
      <c r="W842" s="332"/>
      <c r="X842" s="332"/>
      <c r="Y842" s="332"/>
      <c r="Z842" s="332"/>
    </row>
    <row r="843" ht="15.75" customHeight="1">
      <c r="A843" s="27"/>
      <c r="B843" s="27"/>
      <c r="C843" s="27"/>
      <c r="D843" s="114"/>
      <c r="E843" s="114"/>
      <c r="F843" s="27"/>
      <c r="G843" s="27"/>
      <c r="H843" s="332"/>
      <c r="I843" s="332"/>
      <c r="J843" s="332"/>
      <c r="K843" s="332"/>
      <c r="L843" s="332"/>
      <c r="M843" s="332"/>
      <c r="N843" s="332"/>
      <c r="O843" s="332"/>
      <c r="P843" s="332"/>
      <c r="Q843" s="332"/>
      <c r="R843" s="332"/>
      <c r="S843" s="332"/>
      <c r="T843" s="332"/>
      <c r="U843" s="332"/>
      <c r="V843" s="332"/>
      <c r="W843" s="332"/>
      <c r="X843" s="332"/>
      <c r="Y843" s="332"/>
      <c r="Z843" s="332"/>
    </row>
    <row r="844" ht="15.75" customHeight="1">
      <c r="A844" s="27"/>
      <c r="B844" s="27"/>
      <c r="C844" s="27"/>
      <c r="D844" s="114"/>
      <c r="E844" s="114"/>
      <c r="F844" s="27"/>
      <c r="G844" s="27"/>
      <c r="H844" s="332"/>
      <c r="I844" s="332"/>
      <c r="J844" s="332"/>
      <c r="K844" s="332"/>
      <c r="L844" s="332"/>
      <c r="M844" s="332"/>
      <c r="N844" s="332"/>
      <c r="O844" s="332"/>
      <c r="P844" s="332"/>
      <c r="Q844" s="332"/>
      <c r="R844" s="332"/>
      <c r="S844" s="332"/>
      <c r="T844" s="332"/>
      <c r="U844" s="332"/>
      <c r="V844" s="332"/>
      <c r="W844" s="332"/>
      <c r="X844" s="332"/>
      <c r="Y844" s="332"/>
      <c r="Z844" s="332"/>
    </row>
    <row r="845" ht="15.75" customHeight="1">
      <c r="A845" s="27"/>
      <c r="B845" s="27"/>
      <c r="C845" s="27"/>
      <c r="D845" s="114"/>
      <c r="E845" s="114"/>
      <c r="F845" s="27"/>
      <c r="G845" s="27"/>
      <c r="H845" s="332"/>
      <c r="I845" s="332"/>
      <c r="J845" s="332"/>
      <c r="K845" s="332"/>
      <c r="L845" s="332"/>
      <c r="M845" s="332"/>
      <c r="N845" s="332"/>
      <c r="O845" s="332"/>
      <c r="P845" s="332"/>
      <c r="Q845" s="332"/>
      <c r="R845" s="332"/>
      <c r="S845" s="332"/>
      <c r="T845" s="332"/>
      <c r="U845" s="332"/>
      <c r="V845" s="332"/>
      <c r="W845" s="332"/>
      <c r="X845" s="332"/>
      <c r="Y845" s="332"/>
      <c r="Z845" s="332"/>
    </row>
    <row r="846" ht="15.75" customHeight="1">
      <c r="A846" s="27"/>
      <c r="B846" s="27"/>
      <c r="C846" s="27"/>
      <c r="D846" s="114"/>
      <c r="E846" s="114"/>
      <c r="F846" s="27"/>
      <c r="G846" s="27"/>
      <c r="H846" s="332"/>
      <c r="I846" s="332"/>
      <c r="J846" s="332"/>
      <c r="K846" s="332"/>
      <c r="L846" s="332"/>
      <c r="M846" s="332"/>
      <c r="N846" s="332"/>
      <c r="O846" s="332"/>
      <c r="P846" s="332"/>
      <c r="Q846" s="332"/>
      <c r="R846" s="332"/>
      <c r="S846" s="332"/>
      <c r="T846" s="332"/>
      <c r="U846" s="332"/>
      <c r="V846" s="332"/>
      <c r="W846" s="332"/>
      <c r="X846" s="332"/>
      <c r="Y846" s="332"/>
      <c r="Z846" s="332"/>
    </row>
    <row r="847" ht="15.75" customHeight="1">
      <c r="A847" s="27"/>
      <c r="B847" s="27"/>
      <c r="C847" s="27"/>
      <c r="D847" s="114"/>
      <c r="E847" s="114"/>
      <c r="F847" s="27"/>
      <c r="G847" s="27"/>
      <c r="H847" s="332"/>
      <c r="I847" s="332"/>
      <c r="J847" s="332"/>
      <c r="K847" s="332"/>
      <c r="L847" s="332"/>
      <c r="M847" s="332"/>
      <c r="N847" s="332"/>
      <c r="O847" s="332"/>
      <c r="P847" s="332"/>
      <c r="Q847" s="332"/>
      <c r="R847" s="332"/>
      <c r="S847" s="332"/>
      <c r="T847" s="332"/>
      <c r="U847" s="332"/>
      <c r="V847" s="332"/>
      <c r="W847" s="332"/>
      <c r="X847" s="332"/>
      <c r="Y847" s="332"/>
      <c r="Z847" s="332"/>
    </row>
    <row r="848" ht="15.75" customHeight="1">
      <c r="A848" s="27"/>
      <c r="B848" s="27"/>
      <c r="C848" s="27"/>
      <c r="D848" s="114"/>
      <c r="E848" s="114"/>
      <c r="F848" s="27"/>
      <c r="G848" s="27"/>
      <c r="H848" s="332"/>
      <c r="I848" s="332"/>
      <c r="J848" s="332"/>
      <c r="K848" s="332"/>
      <c r="L848" s="332"/>
      <c r="M848" s="332"/>
      <c r="N848" s="332"/>
      <c r="O848" s="332"/>
      <c r="P848" s="332"/>
      <c r="Q848" s="332"/>
      <c r="R848" s="332"/>
      <c r="S848" s="332"/>
      <c r="T848" s="332"/>
      <c r="U848" s="332"/>
      <c r="V848" s="332"/>
      <c r="W848" s="332"/>
      <c r="X848" s="332"/>
      <c r="Y848" s="332"/>
      <c r="Z848" s="332"/>
    </row>
    <row r="849" ht="15.75" customHeight="1">
      <c r="A849" s="27"/>
      <c r="B849" s="27"/>
      <c r="C849" s="27"/>
      <c r="D849" s="114"/>
      <c r="E849" s="114"/>
      <c r="F849" s="27"/>
      <c r="G849" s="27"/>
      <c r="H849" s="332"/>
      <c r="I849" s="332"/>
      <c r="J849" s="332"/>
      <c r="K849" s="332"/>
      <c r="L849" s="332"/>
      <c r="M849" s="332"/>
      <c r="N849" s="332"/>
      <c r="O849" s="332"/>
      <c r="P849" s="332"/>
      <c r="Q849" s="332"/>
      <c r="R849" s="332"/>
      <c r="S849" s="332"/>
      <c r="T849" s="332"/>
      <c r="U849" s="332"/>
      <c r="V849" s="332"/>
      <c r="W849" s="332"/>
      <c r="X849" s="332"/>
      <c r="Y849" s="332"/>
      <c r="Z849" s="332"/>
    </row>
    <row r="850" ht="15.75" customHeight="1">
      <c r="A850" s="27"/>
      <c r="B850" s="27"/>
      <c r="C850" s="27"/>
      <c r="D850" s="114"/>
      <c r="E850" s="114"/>
      <c r="F850" s="27"/>
      <c r="G850" s="27"/>
      <c r="H850" s="332"/>
      <c r="I850" s="332"/>
      <c r="J850" s="332"/>
      <c r="K850" s="332"/>
      <c r="L850" s="332"/>
      <c r="M850" s="332"/>
      <c r="N850" s="332"/>
      <c r="O850" s="332"/>
      <c r="P850" s="332"/>
      <c r="Q850" s="332"/>
      <c r="R850" s="332"/>
      <c r="S850" s="332"/>
      <c r="T850" s="332"/>
      <c r="U850" s="332"/>
      <c r="V850" s="332"/>
      <c r="W850" s="332"/>
      <c r="X850" s="332"/>
      <c r="Y850" s="332"/>
      <c r="Z850" s="332"/>
    </row>
    <row r="851" ht="15.75" customHeight="1">
      <c r="A851" s="27"/>
      <c r="B851" s="27"/>
      <c r="C851" s="27"/>
      <c r="D851" s="114"/>
      <c r="E851" s="114"/>
      <c r="F851" s="27"/>
      <c r="G851" s="27"/>
      <c r="H851" s="332"/>
      <c r="I851" s="332"/>
      <c r="J851" s="332"/>
      <c r="K851" s="332"/>
      <c r="L851" s="332"/>
      <c r="M851" s="332"/>
      <c r="N851" s="332"/>
      <c r="O851" s="332"/>
      <c r="P851" s="332"/>
      <c r="Q851" s="332"/>
      <c r="R851" s="332"/>
      <c r="S851" s="332"/>
      <c r="T851" s="332"/>
      <c r="U851" s="332"/>
      <c r="V851" s="332"/>
      <c r="W851" s="332"/>
      <c r="X851" s="332"/>
      <c r="Y851" s="332"/>
      <c r="Z851" s="332"/>
    </row>
    <row r="852" ht="15.75" customHeight="1">
      <c r="A852" s="27"/>
      <c r="B852" s="27"/>
      <c r="C852" s="27"/>
      <c r="D852" s="114"/>
      <c r="E852" s="114"/>
      <c r="F852" s="27"/>
      <c r="G852" s="27"/>
      <c r="H852" s="332"/>
      <c r="I852" s="332"/>
      <c r="J852" s="332"/>
      <c r="K852" s="332"/>
      <c r="L852" s="332"/>
      <c r="M852" s="332"/>
      <c r="N852" s="332"/>
      <c r="O852" s="332"/>
      <c r="P852" s="332"/>
      <c r="Q852" s="332"/>
      <c r="R852" s="332"/>
      <c r="S852" s="332"/>
      <c r="T852" s="332"/>
      <c r="U852" s="332"/>
      <c r="V852" s="332"/>
      <c r="W852" s="332"/>
      <c r="X852" s="332"/>
      <c r="Y852" s="332"/>
      <c r="Z852" s="332"/>
    </row>
    <row r="853" ht="15.75" customHeight="1">
      <c r="A853" s="27"/>
      <c r="B853" s="27"/>
      <c r="C853" s="27"/>
      <c r="D853" s="114"/>
      <c r="E853" s="114"/>
      <c r="F853" s="27"/>
      <c r="G853" s="27"/>
      <c r="H853" s="332"/>
      <c r="I853" s="332"/>
      <c r="J853" s="332"/>
      <c r="K853" s="332"/>
      <c r="L853" s="332"/>
      <c r="M853" s="332"/>
      <c r="N853" s="332"/>
      <c r="O853" s="332"/>
      <c r="P853" s="332"/>
      <c r="Q853" s="332"/>
      <c r="R853" s="332"/>
      <c r="S853" s="332"/>
      <c r="T853" s="332"/>
      <c r="U853" s="332"/>
      <c r="V853" s="332"/>
      <c r="W853" s="332"/>
      <c r="X853" s="332"/>
      <c r="Y853" s="332"/>
      <c r="Z853" s="332"/>
    </row>
    <row r="854" ht="15.75" customHeight="1">
      <c r="A854" s="27"/>
      <c r="B854" s="27"/>
      <c r="C854" s="27"/>
      <c r="D854" s="114"/>
      <c r="E854" s="114"/>
      <c r="F854" s="27"/>
      <c r="G854" s="27"/>
      <c r="H854" s="332"/>
      <c r="I854" s="332"/>
      <c r="J854" s="332"/>
      <c r="K854" s="332"/>
      <c r="L854" s="332"/>
      <c r="M854" s="332"/>
      <c r="N854" s="332"/>
      <c r="O854" s="332"/>
      <c r="P854" s="332"/>
      <c r="Q854" s="332"/>
      <c r="R854" s="332"/>
      <c r="S854" s="332"/>
      <c r="T854" s="332"/>
      <c r="U854" s="332"/>
      <c r="V854" s="332"/>
      <c r="W854" s="332"/>
      <c r="X854" s="332"/>
      <c r="Y854" s="332"/>
      <c r="Z854" s="332"/>
    </row>
    <row r="855" ht="15.75" customHeight="1">
      <c r="A855" s="27"/>
      <c r="B855" s="27"/>
      <c r="C855" s="27"/>
      <c r="D855" s="114"/>
      <c r="E855" s="114"/>
      <c r="F855" s="27"/>
      <c r="G855" s="27"/>
      <c r="H855" s="332"/>
      <c r="I855" s="332"/>
      <c r="J855" s="332"/>
      <c r="K855" s="332"/>
      <c r="L855" s="332"/>
      <c r="M855" s="332"/>
      <c r="N855" s="332"/>
      <c r="O855" s="332"/>
      <c r="P855" s="332"/>
      <c r="Q855" s="332"/>
      <c r="R855" s="332"/>
      <c r="S855" s="332"/>
      <c r="T855" s="332"/>
      <c r="U855" s="332"/>
      <c r="V855" s="332"/>
      <c r="W855" s="332"/>
      <c r="X855" s="332"/>
      <c r="Y855" s="332"/>
      <c r="Z855" s="332"/>
    </row>
    <row r="856" ht="15.75" customHeight="1">
      <c r="A856" s="27"/>
      <c r="B856" s="27"/>
      <c r="C856" s="27"/>
      <c r="D856" s="114"/>
      <c r="E856" s="114"/>
      <c r="F856" s="27"/>
      <c r="G856" s="27"/>
      <c r="H856" s="332"/>
      <c r="I856" s="332"/>
      <c r="J856" s="332"/>
      <c r="K856" s="332"/>
      <c r="L856" s="332"/>
      <c r="M856" s="332"/>
      <c r="N856" s="332"/>
      <c r="O856" s="332"/>
      <c r="P856" s="332"/>
      <c r="Q856" s="332"/>
      <c r="R856" s="332"/>
      <c r="S856" s="332"/>
      <c r="T856" s="332"/>
      <c r="U856" s="332"/>
      <c r="V856" s="332"/>
      <c r="W856" s="332"/>
      <c r="X856" s="332"/>
      <c r="Y856" s="332"/>
      <c r="Z856" s="332"/>
    </row>
    <row r="857" ht="15.75" customHeight="1">
      <c r="A857" s="27"/>
      <c r="B857" s="27"/>
      <c r="C857" s="27"/>
      <c r="D857" s="114"/>
      <c r="E857" s="114"/>
      <c r="F857" s="27"/>
      <c r="G857" s="27"/>
      <c r="H857" s="332"/>
      <c r="I857" s="332"/>
      <c r="J857" s="332"/>
      <c r="K857" s="332"/>
      <c r="L857" s="332"/>
      <c r="M857" s="332"/>
      <c r="N857" s="332"/>
      <c r="O857" s="332"/>
      <c r="P857" s="332"/>
      <c r="Q857" s="332"/>
      <c r="R857" s="332"/>
      <c r="S857" s="332"/>
      <c r="T857" s="332"/>
      <c r="U857" s="332"/>
      <c r="V857" s="332"/>
      <c r="W857" s="332"/>
      <c r="X857" s="332"/>
      <c r="Y857" s="332"/>
      <c r="Z857" s="332"/>
    </row>
    <row r="858" ht="15.75" customHeight="1">
      <c r="A858" s="27"/>
      <c r="B858" s="27"/>
      <c r="C858" s="27"/>
      <c r="D858" s="114"/>
      <c r="E858" s="114"/>
      <c r="F858" s="27"/>
      <c r="G858" s="27"/>
      <c r="H858" s="332"/>
      <c r="I858" s="332"/>
      <c r="J858" s="332"/>
      <c r="K858" s="332"/>
      <c r="L858" s="332"/>
      <c r="M858" s="332"/>
      <c r="N858" s="332"/>
      <c r="O858" s="332"/>
      <c r="P858" s="332"/>
      <c r="Q858" s="332"/>
      <c r="R858" s="332"/>
      <c r="S858" s="332"/>
      <c r="T858" s="332"/>
      <c r="U858" s="332"/>
      <c r="V858" s="332"/>
      <c r="W858" s="332"/>
      <c r="X858" s="332"/>
      <c r="Y858" s="332"/>
      <c r="Z858" s="332"/>
    </row>
    <row r="859" ht="15.75" customHeight="1">
      <c r="A859" s="27"/>
      <c r="B859" s="27"/>
      <c r="C859" s="27"/>
      <c r="D859" s="114"/>
      <c r="E859" s="114"/>
      <c r="F859" s="27"/>
      <c r="G859" s="27"/>
      <c r="H859" s="332"/>
      <c r="I859" s="332"/>
      <c r="J859" s="332"/>
      <c r="K859" s="332"/>
      <c r="L859" s="332"/>
      <c r="M859" s="332"/>
      <c r="N859" s="332"/>
      <c r="O859" s="332"/>
      <c r="P859" s="332"/>
      <c r="Q859" s="332"/>
      <c r="R859" s="332"/>
      <c r="S859" s="332"/>
      <c r="T859" s="332"/>
      <c r="U859" s="332"/>
      <c r="V859" s="332"/>
      <c r="W859" s="332"/>
      <c r="X859" s="332"/>
      <c r="Y859" s="332"/>
      <c r="Z859" s="332"/>
    </row>
    <row r="860" ht="15.75" customHeight="1">
      <c r="A860" s="27"/>
      <c r="B860" s="27"/>
      <c r="C860" s="27"/>
      <c r="D860" s="114"/>
      <c r="E860" s="114"/>
      <c r="F860" s="27"/>
      <c r="G860" s="27"/>
      <c r="H860" s="332"/>
      <c r="I860" s="332"/>
      <c r="J860" s="332"/>
      <c r="K860" s="332"/>
      <c r="L860" s="332"/>
      <c r="M860" s="332"/>
      <c r="N860" s="332"/>
      <c r="O860" s="332"/>
      <c r="P860" s="332"/>
      <c r="Q860" s="332"/>
      <c r="R860" s="332"/>
      <c r="S860" s="332"/>
      <c r="T860" s="332"/>
      <c r="U860" s="332"/>
      <c r="V860" s="332"/>
      <c r="W860" s="332"/>
      <c r="X860" s="332"/>
      <c r="Y860" s="332"/>
      <c r="Z860" s="332"/>
    </row>
    <row r="861" ht="15.75" customHeight="1">
      <c r="A861" s="27"/>
      <c r="B861" s="27"/>
      <c r="C861" s="27"/>
      <c r="D861" s="114"/>
      <c r="E861" s="114"/>
      <c r="F861" s="27"/>
      <c r="G861" s="27"/>
      <c r="H861" s="332"/>
      <c r="I861" s="332"/>
      <c r="J861" s="332"/>
      <c r="K861" s="332"/>
      <c r="L861" s="332"/>
      <c r="M861" s="332"/>
      <c r="N861" s="332"/>
      <c r="O861" s="332"/>
      <c r="P861" s="332"/>
      <c r="Q861" s="332"/>
      <c r="R861" s="332"/>
      <c r="S861" s="332"/>
      <c r="T861" s="332"/>
      <c r="U861" s="332"/>
      <c r="V861" s="332"/>
      <c r="W861" s="332"/>
      <c r="X861" s="332"/>
      <c r="Y861" s="332"/>
      <c r="Z861" s="332"/>
    </row>
    <row r="862" ht="15.75" customHeight="1">
      <c r="A862" s="27"/>
      <c r="B862" s="27"/>
      <c r="C862" s="27"/>
      <c r="D862" s="114"/>
      <c r="E862" s="114"/>
      <c r="F862" s="27"/>
      <c r="G862" s="27"/>
      <c r="H862" s="332"/>
      <c r="I862" s="332"/>
      <c r="J862" s="332"/>
      <c r="K862" s="332"/>
      <c r="L862" s="332"/>
      <c r="M862" s="332"/>
      <c r="N862" s="332"/>
      <c r="O862" s="332"/>
      <c r="P862" s="332"/>
      <c r="Q862" s="332"/>
      <c r="R862" s="332"/>
      <c r="S862" s="332"/>
      <c r="T862" s="332"/>
      <c r="U862" s="332"/>
      <c r="V862" s="332"/>
      <c r="W862" s="332"/>
      <c r="X862" s="332"/>
      <c r="Y862" s="332"/>
      <c r="Z862" s="332"/>
    </row>
    <row r="863" ht="15.75" customHeight="1">
      <c r="A863" s="27"/>
      <c r="B863" s="27"/>
      <c r="C863" s="27"/>
      <c r="D863" s="114"/>
      <c r="E863" s="114"/>
      <c r="F863" s="27"/>
      <c r="G863" s="27"/>
      <c r="H863" s="332"/>
      <c r="I863" s="332"/>
      <c r="J863" s="332"/>
      <c r="K863" s="332"/>
      <c r="L863" s="332"/>
      <c r="M863" s="332"/>
      <c r="N863" s="332"/>
      <c r="O863" s="332"/>
      <c r="P863" s="332"/>
      <c r="Q863" s="332"/>
      <c r="R863" s="332"/>
      <c r="S863" s="332"/>
      <c r="T863" s="332"/>
      <c r="U863" s="332"/>
      <c r="V863" s="332"/>
      <c r="W863" s="332"/>
      <c r="X863" s="332"/>
      <c r="Y863" s="332"/>
      <c r="Z863" s="332"/>
    </row>
    <row r="864" ht="15.75" customHeight="1">
      <c r="A864" s="27"/>
      <c r="B864" s="27"/>
      <c r="C864" s="27"/>
      <c r="D864" s="114"/>
      <c r="E864" s="114"/>
      <c r="F864" s="27"/>
      <c r="G864" s="27"/>
      <c r="H864" s="332"/>
      <c r="I864" s="332"/>
      <c r="J864" s="332"/>
      <c r="K864" s="332"/>
      <c r="L864" s="332"/>
      <c r="M864" s="332"/>
      <c r="N864" s="332"/>
      <c r="O864" s="332"/>
      <c r="P864" s="332"/>
      <c r="Q864" s="332"/>
      <c r="R864" s="332"/>
      <c r="S864" s="332"/>
      <c r="T864" s="332"/>
      <c r="U864" s="332"/>
      <c r="V864" s="332"/>
      <c r="W864" s="332"/>
      <c r="X864" s="332"/>
      <c r="Y864" s="332"/>
      <c r="Z864" s="332"/>
    </row>
    <row r="865" ht="15.75" customHeight="1">
      <c r="A865" s="27"/>
      <c r="B865" s="27"/>
      <c r="C865" s="27"/>
      <c r="D865" s="114"/>
      <c r="E865" s="114"/>
      <c r="F865" s="27"/>
      <c r="G865" s="27"/>
      <c r="H865" s="332"/>
      <c r="I865" s="332"/>
      <c r="J865" s="332"/>
      <c r="K865" s="332"/>
      <c r="L865" s="332"/>
      <c r="M865" s="332"/>
      <c r="N865" s="332"/>
      <c r="O865" s="332"/>
      <c r="P865" s="332"/>
      <c r="Q865" s="332"/>
      <c r="R865" s="332"/>
      <c r="S865" s="332"/>
      <c r="T865" s="332"/>
      <c r="U865" s="332"/>
      <c r="V865" s="332"/>
      <c r="W865" s="332"/>
      <c r="X865" s="332"/>
      <c r="Y865" s="332"/>
      <c r="Z865" s="332"/>
    </row>
    <row r="866" ht="15.75" customHeight="1">
      <c r="A866" s="27"/>
      <c r="B866" s="27"/>
      <c r="C866" s="27"/>
      <c r="D866" s="114"/>
      <c r="E866" s="114"/>
      <c r="F866" s="27"/>
      <c r="G866" s="27"/>
      <c r="H866" s="332"/>
      <c r="I866" s="332"/>
      <c r="J866" s="332"/>
      <c r="K866" s="332"/>
      <c r="L866" s="332"/>
      <c r="M866" s="332"/>
      <c r="N866" s="332"/>
      <c r="O866" s="332"/>
      <c r="P866" s="332"/>
      <c r="Q866" s="332"/>
      <c r="R866" s="332"/>
      <c r="S866" s="332"/>
      <c r="T866" s="332"/>
      <c r="U866" s="332"/>
      <c r="V866" s="332"/>
      <c r="W866" s="332"/>
      <c r="X866" s="332"/>
      <c r="Y866" s="332"/>
      <c r="Z866" s="332"/>
    </row>
    <row r="867" ht="15.75" customHeight="1">
      <c r="A867" s="27"/>
      <c r="B867" s="27"/>
      <c r="C867" s="27"/>
      <c r="D867" s="114"/>
      <c r="E867" s="114"/>
      <c r="F867" s="27"/>
      <c r="G867" s="27"/>
      <c r="H867" s="332"/>
      <c r="I867" s="332"/>
      <c r="J867" s="332"/>
      <c r="K867" s="332"/>
      <c r="L867" s="332"/>
      <c r="M867" s="332"/>
      <c r="N867" s="332"/>
      <c r="O867" s="332"/>
      <c r="P867" s="332"/>
      <c r="Q867" s="332"/>
      <c r="R867" s="332"/>
      <c r="S867" s="332"/>
      <c r="T867" s="332"/>
      <c r="U867" s="332"/>
      <c r="V867" s="332"/>
      <c r="W867" s="332"/>
      <c r="X867" s="332"/>
      <c r="Y867" s="332"/>
      <c r="Z867" s="332"/>
    </row>
    <row r="868" ht="15.75" customHeight="1">
      <c r="A868" s="27"/>
      <c r="B868" s="27"/>
      <c r="C868" s="27"/>
      <c r="D868" s="114"/>
      <c r="E868" s="114"/>
      <c r="F868" s="27"/>
      <c r="G868" s="27"/>
      <c r="H868" s="332"/>
      <c r="I868" s="332"/>
      <c r="J868" s="332"/>
      <c r="K868" s="332"/>
      <c r="L868" s="332"/>
      <c r="M868" s="332"/>
      <c r="N868" s="332"/>
      <c r="O868" s="332"/>
      <c r="P868" s="332"/>
      <c r="Q868" s="332"/>
      <c r="R868" s="332"/>
      <c r="S868" s="332"/>
      <c r="T868" s="332"/>
      <c r="U868" s="332"/>
      <c r="V868" s="332"/>
      <c r="W868" s="332"/>
      <c r="X868" s="332"/>
      <c r="Y868" s="332"/>
      <c r="Z868" s="332"/>
    </row>
    <row r="869" ht="15.75" customHeight="1">
      <c r="A869" s="27"/>
      <c r="B869" s="27"/>
      <c r="C869" s="27"/>
      <c r="D869" s="114"/>
      <c r="E869" s="114"/>
      <c r="F869" s="27"/>
      <c r="G869" s="27"/>
      <c r="H869" s="332"/>
      <c r="I869" s="332"/>
      <c r="J869" s="332"/>
      <c r="K869" s="332"/>
      <c r="L869" s="332"/>
      <c r="M869" s="332"/>
      <c r="N869" s="332"/>
      <c r="O869" s="332"/>
      <c r="P869" s="332"/>
      <c r="Q869" s="332"/>
      <c r="R869" s="332"/>
      <c r="S869" s="332"/>
      <c r="T869" s="332"/>
      <c r="U869" s="332"/>
      <c r="V869" s="332"/>
      <c r="W869" s="332"/>
      <c r="X869" s="332"/>
      <c r="Y869" s="332"/>
      <c r="Z869" s="332"/>
    </row>
    <row r="870" ht="15.75" customHeight="1">
      <c r="A870" s="27"/>
      <c r="B870" s="27"/>
      <c r="C870" s="27"/>
      <c r="D870" s="114"/>
      <c r="E870" s="114"/>
      <c r="F870" s="27"/>
      <c r="G870" s="27"/>
      <c r="H870" s="332"/>
      <c r="I870" s="332"/>
      <c r="J870" s="332"/>
      <c r="K870" s="332"/>
      <c r="L870" s="332"/>
      <c r="M870" s="332"/>
      <c r="N870" s="332"/>
      <c r="O870" s="332"/>
      <c r="P870" s="332"/>
      <c r="Q870" s="332"/>
      <c r="R870" s="332"/>
      <c r="S870" s="332"/>
      <c r="T870" s="332"/>
      <c r="U870" s="332"/>
      <c r="V870" s="332"/>
      <c r="W870" s="332"/>
      <c r="X870" s="332"/>
      <c r="Y870" s="332"/>
      <c r="Z870" s="332"/>
    </row>
    <row r="871" ht="15.75" customHeight="1">
      <c r="A871" s="27"/>
      <c r="B871" s="27"/>
      <c r="C871" s="27"/>
      <c r="D871" s="114"/>
      <c r="E871" s="114"/>
      <c r="F871" s="27"/>
      <c r="G871" s="27"/>
      <c r="H871" s="332"/>
      <c r="I871" s="332"/>
      <c r="J871" s="332"/>
      <c r="K871" s="332"/>
      <c r="L871" s="332"/>
      <c r="M871" s="332"/>
      <c r="N871" s="332"/>
      <c r="O871" s="332"/>
      <c r="P871" s="332"/>
      <c r="Q871" s="332"/>
      <c r="R871" s="332"/>
      <c r="S871" s="332"/>
      <c r="T871" s="332"/>
      <c r="U871" s="332"/>
      <c r="V871" s="332"/>
      <c r="W871" s="332"/>
      <c r="X871" s="332"/>
      <c r="Y871" s="332"/>
      <c r="Z871" s="332"/>
    </row>
    <row r="872" ht="15.75" customHeight="1">
      <c r="A872" s="27"/>
      <c r="B872" s="27"/>
      <c r="C872" s="27"/>
      <c r="D872" s="114"/>
      <c r="E872" s="114"/>
      <c r="F872" s="27"/>
      <c r="G872" s="27"/>
      <c r="H872" s="332"/>
      <c r="I872" s="332"/>
      <c r="J872" s="332"/>
      <c r="K872" s="332"/>
      <c r="L872" s="332"/>
      <c r="M872" s="332"/>
      <c r="N872" s="332"/>
      <c r="O872" s="332"/>
      <c r="P872" s="332"/>
      <c r="Q872" s="332"/>
      <c r="R872" s="332"/>
      <c r="S872" s="332"/>
      <c r="T872" s="332"/>
      <c r="U872" s="332"/>
      <c r="V872" s="332"/>
      <c r="W872" s="332"/>
      <c r="X872" s="332"/>
      <c r="Y872" s="332"/>
      <c r="Z872" s="332"/>
    </row>
    <row r="873" ht="15.75" customHeight="1">
      <c r="A873" s="27"/>
      <c r="B873" s="27"/>
      <c r="C873" s="27"/>
      <c r="D873" s="114"/>
      <c r="E873" s="114"/>
      <c r="F873" s="27"/>
      <c r="G873" s="27"/>
      <c r="H873" s="332"/>
      <c r="I873" s="332"/>
      <c r="J873" s="332"/>
      <c r="K873" s="332"/>
      <c r="L873" s="332"/>
      <c r="M873" s="332"/>
      <c r="N873" s="332"/>
      <c r="O873" s="332"/>
      <c r="P873" s="332"/>
      <c r="Q873" s="332"/>
      <c r="R873" s="332"/>
      <c r="S873" s="332"/>
      <c r="T873" s="332"/>
      <c r="U873" s="332"/>
      <c r="V873" s="332"/>
      <c r="W873" s="332"/>
      <c r="X873" s="332"/>
      <c r="Y873" s="332"/>
      <c r="Z873" s="332"/>
    </row>
    <row r="874" ht="15.75" customHeight="1">
      <c r="A874" s="27"/>
      <c r="B874" s="27"/>
      <c r="C874" s="27"/>
      <c r="D874" s="114"/>
      <c r="E874" s="114"/>
      <c r="F874" s="27"/>
      <c r="G874" s="27"/>
      <c r="H874" s="332"/>
      <c r="I874" s="332"/>
      <c r="J874" s="332"/>
      <c r="K874" s="332"/>
      <c r="L874" s="332"/>
      <c r="M874" s="332"/>
      <c r="N874" s="332"/>
      <c r="O874" s="332"/>
      <c r="P874" s="332"/>
      <c r="Q874" s="332"/>
      <c r="R874" s="332"/>
      <c r="S874" s="332"/>
      <c r="T874" s="332"/>
      <c r="U874" s="332"/>
      <c r="V874" s="332"/>
      <c r="W874" s="332"/>
      <c r="X874" s="332"/>
      <c r="Y874" s="332"/>
      <c r="Z874" s="332"/>
    </row>
    <row r="875" ht="15.75" customHeight="1">
      <c r="A875" s="27"/>
      <c r="B875" s="27"/>
      <c r="C875" s="27"/>
      <c r="D875" s="114"/>
      <c r="E875" s="114"/>
      <c r="F875" s="27"/>
      <c r="G875" s="27"/>
      <c r="H875" s="332"/>
      <c r="I875" s="332"/>
      <c r="J875" s="332"/>
      <c r="K875" s="332"/>
      <c r="L875" s="332"/>
      <c r="M875" s="332"/>
      <c r="N875" s="332"/>
      <c r="O875" s="332"/>
      <c r="P875" s="332"/>
      <c r="Q875" s="332"/>
      <c r="R875" s="332"/>
      <c r="S875" s="332"/>
      <c r="T875" s="332"/>
      <c r="U875" s="332"/>
      <c r="V875" s="332"/>
      <c r="W875" s="332"/>
      <c r="X875" s="332"/>
      <c r="Y875" s="332"/>
      <c r="Z875" s="332"/>
    </row>
    <row r="876" ht="15.75" customHeight="1">
      <c r="A876" s="27"/>
      <c r="B876" s="27"/>
      <c r="C876" s="27"/>
      <c r="D876" s="114"/>
      <c r="E876" s="114"/>
      <c r="F876" s="27"/>
      <c r="G876" s="27"/>
      <c r="H876" s="332"/>
      <c r="I876" s="332"/>
      <c r="J876" s="332"/>
      <c r="K876" s="332"/>
      <c r="L876" s="332"/>
      <c r="M876" s="332"/>
      <c r="N876" s="332"/>
      <c r="O876" s="332"/>
      <c r="P876" s="332"/>
      <c r="Q876" s="332"/>
      <c r="R876" s="332"/>
      <c r="S876" s="332"/>
      <c r="T876" s="332"/>
      <c r="U876" s="332"/>
      <c r="V876" s="332"/>
      <c r="W876" s="332"/>
      <c r="X876" s="332"/>
      <c r="Y876" s="332"/>
      <c r="Z876" s="332"/>
    </row>
    <row r="877" ht="15.75" customHeight="1">
      <c r="A877" s="27"/>
      <c r="B877" s="27"/>
      <c r="C877" s="27"/>
      <c r="D877" s="114"/>
      <c r="E877" s="114"/>
      <c r="F877" s="27"/>
      <c r="G877" s="27"/>
      <c r="H877" s="332"/>
      <c r="I877" s="332"/>
      <c r="J877" s="332"/>
      <c r="K877" s="332"/>
      <c r="L877" s="332"/>
      <c r="M877" s="332"/>
      <c r="N877" s="332"/>
      <c r="O877" s="332"/>
      <c r="P877" s="332"/>
      <c r="Q877" s="332"/>
      <c r="R877" s="332"/>
      <c r="S877" s="332"/>
      <c r="T877" s="332"/>
      <c r="U877" s="332"/>
      <c r="V877" s="332"/>
      <c r="W877" s="332"/>
      <c r="X877" s="332"/>
      <c r="Y877" s="332"/>
      <c r="Z877" s="332"/>
    </row>
    <row r="878" ht="15.75" customHeight="1">
      <c r="A878" s="27"/>
      <c r="B878" s="27"/>
      <c r="C878" s="27"/>
      <c r="D878" s="114"/>
      <c r="E878" s="114"/>
      <c r="F878" s="27"/>
      <c r="G878" s="27"/>
      <c r="H878" s="332"/>
      <c r="I878" s="332"/>
      <c r="J878" s="332"/>
      <c r="K878" s="332"/>
      <c r="L878" s="332"/>
      <c r="M878" s="332"/>
      <c r="N878" s="332"/>
      <c r="O878" s="332"/>
      <c r="P878" s="332"/>
      <c r="Q878" s="332"/>
      <c r="R878" s="332"/>
      <c r="S878" s="332"/>
      <c r="T878" s="332"/>
      <c r="U878" s="332"/>
      <c r="V878" s="332"/>
      <c r="W878" s="332"/>
      <c r="X878" s="332"/>
      <c r="Y878" s="332"/>
      <c r="Z878" s="332"/>
    </row>
    <row r="879" ht="15.75" customHeight="1">
      <c r="A879" s="27"/>
      <c r="B879" s="27"/>
      <c r="C879" s="27"/>
      <c r="D879" s="114"/>
      <c r="E879" s="114"/>
      <c r="F879" s="27"/>
      <c r="G879" s="27"/>
      <c r="H879" s="332"/>
      <c r="I879" s="332"/>
      <c r="J879" s="332"/>
      <c r="K879" s="332"/>
      <c r="L879" s="332"/>
      <c r="M879" s="332"/>
      <c r="N879" s="332"/>
      <c r="O879" s="332"/>
      <c r="P879" s="332"/>
      <c r="Q879" s="332"/>
      <c r="R879" s="332"/>
      <c r="S879" s="332"/>
      <c r="T879" s="332"/>
      <c r="U879" s="332"/>
      <c r="V879" s="332"/>
      <c r="W879" s="332"/>
      <c r="X879" s="332"/>
      <c r="Y879" s="332"/>
      <c r="Z879" s="332"/>
    </row>
    <row r="880" ht="15.75" customHeight="1">
      <c r="A880" s="27"/>
      <c r="B880" s="27"/>
      <c r="C880" s="27"/>
      <c r="D880" s="114"/>
      <c r="E880" s="114"/>
      <c r="F880" s="27"/>
      <c r="G880" s="27"/>
      <c r="H880" s="332"/>
      <c r="I880" s="332"/>
      <c r="J880" s="332"/>
      <c r="K880" s="332"/>
      <c r="L880" s="332"/>
      <c r="M880" s="332"/>
      <c r="N880" s="332"/>
      <c r="O880" s="332"/>
      <c r="P880" s="332"/>
      <c r="Q880" s="332"/>
      <c r="R880" s="332"/>
      <c r="S880" s="332"/>
      <c r="T880" s="332"/>
      <c r="U880" s="332"/>
      <c r="V880" s="332"/>
      <c r="W880" s="332"/>
      <c r="X880" s="332"/>
      <c r="Y880" s="332"/>
      <c r="Z880" s="332"/>
    </row>
    <row r="881" ht="15.75" customHeight="1">
      <c r="A881" s="27"/>
      <c r="B881" s="27"/>
      <c r="C881" s="27"/>
      <c r="D881" s="114"/>
      <c r="E881" s="114"/>
      <c r="F881" s="27"/>
      <c r="G881" s="27"/>
      <c r="H881" s="332"/>
      <c r="I881" s="332"/>
      <c r="J881" s="332"/>
      <c r="K881" s="332"/>
      <c r="L881" s="332"/>
      <c r="M881" s="332"/>
      <c r="N881" s="332"/>
      <c r="O881" s="332"/>
      <c r="P881" s="332"/>
      <c r="Q881" s="332"/>
      <c r="R881" s="332"/>
      <c r="S881" s="332"/>
      <c r="T881" s="332"/>
      <c r="U881" s="332"/>
      <c r="V881" s="332"/>
      <c r="W881" s="332"/>
      <c r="X881" s="332"/>
      <c r="Y881" s="332"/>
      <c r="Z881" s="332"/>
    </row>
    <row r="882" ht="15.75" customHeight="1">
      <c r="A882" s="27"/>
      <c r="B882" s="27"/>
      <c r="C882" s="27"/>
      <c r="D882" s="114"/>
      <c r="E882" s="114"/>
      <c r="F882" s="27"/>
      <c r="G882" s="27"/>
      <c r="H882" s="332"/>
      <c r="I882" s="332"/>
      <c r="J882" s="332"/>
      <c r="K882" s="332"/>
      <c r="L882" s="332"/>
      <c r="M882" s="332"/>
      <c r="N882" s="332"/>
      <c r="O882" s="332"/>
      <c r="P882" s="332"/>
      <c r="Q882" s="332"/>
      <c r="R882" s="332"/>
      <c r="S882" s="332"/>
      <c r="T882" s="332"/>
      <c r="U882" s="332"/>
      <c r="V882" s="332"/>
      <c r="W882" s="332"/>
      <c r="X882" s="332"/>
      <c r="Y882" s="332"/>
      <c r="Z882" s="332"/>
    </row>
    <row r="883" ht="15.75" customHeight="1">
      <c r="A883" s="27"/>
      <c r="B883" s="27"/>
      <c r="C883" s="27"/>
      <c r="D883" s="114"/>
      <c r="E883" s="114"/>
      <c r="F883" s="27"/>
      <c r="G883" s="27"/>
      <c r="H883" s="332"/>
      <c r="I883" s="332"/>
      <c r="J883" s="332"/>
      <c r="K883" s="332"/>
      <c r="L883" s="332"/>
      <c r="M883" s="332"/>
      <c r="N883" s="332"/>
      <c r="O883" s="332"/>
      <c r="P883" s="332"/>
      <c r="Q883" s="332"/>
      <c r="R883" s="332"/>
      <c r="S883" s="332"/>
      <c r="T883" s="332"/>
      <c r="U883" s="332"/>
      <c r="V883" s="332"/>
      <c r="W883" s="332"/>
      <c r="X883" s="332"/>
      <c r="Y883" s="332"/>
      <c r="Z883" s="332"/>
    </row>
    <row r="884" ht="15.75" customHeight="1">
      <c r="A884" s="27"/>
      <c r="B884" s="27"/>
      <c r="C884" s="27"/>
      <c r="D884" s="114"/>
      <c r="E884" s="114"/>
      <c r="F884" s="27"/>
      <c r="G884" s="27"/>
      <c r="H884" s="332"/>
      <c r="I884" s="332"/>
      <c r="J884" s="332"/>
      <c r="K884" s="332"/>
      <c r="L884" s="332"/>
      <c r="M884" s="332"/>
      <c r="N884" s="332"/>
      <c r="O884" s="332"/>
      <c r="P884" s="332"/>
      <c r="Q884" s="332"/>
      <c r="R884" s="332"/>
      <c r="S884" s="332"/>
      <c r="T884" s="332"/>
      <c r="U884" s="332"/>
      <c r="V884" s="332"/>
      <c r="W884" s="332"/>
      <c r="X884" s="332"/>
      <c r="Y884" s="332"/>
      <c r="Z884" s="332"/>
    </row>
    <row r="885" ht="15.75" customHeight="1">
      <c r="A885" s="27"/>
      <c r="B885" s="27"/>
      <c r="C885" s="27"/>
      <c r="D885" s="114"/>
      <c r="E885" s="114"/>
      <c r="F885" s="27"/>
      <c r="G885" s="27"/>
      <c r="H885" s="332"/>
      <c r="I885" s="332"/>
      <c r="J885" s="332"/>
      <c r="K885" s="332"/>
      <c r="L885" s="332"/>
      <c r="M885" s="332"/>
      <c r="N885" s="332"/>
      <c r="O885" s="332"/>
      <c r="P885" s="332"/>
      <c r="Q885" s="332"/>
      <c r="R885" s="332"/>
      <c r="S885" s="332"/>
      <c r="T885" s="332"/>
      <c r="U885" s="332"/>
      <c r="V885" s="332"/>
      <c r="W885" s="332"/>
      <c r="X885" s="332"/>
      <c r="Y885" s="332"/>
      <c r="Z885" s="332"/>
    </row>
    <row r="886" ht="15.75" customHeight="1">
      <c r="A886" s="27"/>
      <c r="B886" s="27"/>
      <c r="C886" s="27"/>
      <c r="D886" s="114"/>
      <c r="E886" s="114"/>
      <c r="F886" s="27"/>
      <c r="G886" s="27"/>
      <c r="H886" s="332"/>
      <c r="I886" s="332"/>
      <c r="J886" s="332"/>
      <c r="K886" s="332"/>
      <c r="L886" s="332"/>
      <c r="M886" s="332"/>
      <c r="N886" s="332"/>
      <c r="O886" s="332"/>
      <c r="P886" s="332"/>
      <c r="Q886" s="332"/>
      <c r="R886" s="332"/>
      <c r="S886" s="332"/>
      <c r="T886" s="332"/>
      <c r="U886" s="332"/>
      <c r="V886" s="332"/>
      <c r="W886" s="332"/>
      <c r="X886" s="332"/>
      <c r="Y886" s="332"/>
      <c r="Z886" s="332"/>
    </row>
    <row r="887" ht="15.75" customHeight="1">
      <c r="A887" s="27"/>
      <c r="B887" s="27"/>
      <c r="C887" s="27"/>
      <c r="D887" s="114"/>
      <c r="E887" s="114"/>
      <c r="F887" s="27"/>
      <c r="G887" s="27"/>
      <c r="H887" s="332"/>
      <c r="I887" s="332"/>
      <c r="J887" s="332"/>
      <c r="K887" s="332"/>
      <c r="L887" s="332"/>
      <c r="M887" s="332"/>
      <c r="N887" s="332"/>
      <c r="O887" s="332"/>
      <c r="P887" s="332"/>
      <c r="Q887" s="332"/>
      <c r="R887" s="332"/>
      <c r="S887" s="332"/>
      <c r="T887" s="332"/>
      <c r="U887" s="332"/>
      <c r="V887" s="332"/>
      <c r="W887" s="332"/>
      <c r="X887" s="332"/>
      <c r="Y887" s="332"/>
      <c r="Z887" s="332"/>
    </row>
    <row r="888" ht="15.75" customHeight="1">
      <c r="A888" s="27"/>
      <c r="B888" s="27"/>
      <c r="C888" s="27"/>
      <c r="D888" s="114"/>
      <c r="E888" s="114"/>
      <c r="F888" s="27"/>
      <c r="G888" s="27"/>
      <c r="H888" s="332"/>
      <c r="I888" s="332"/>
      <c r="J888" s="332"/>
      <c r="K888" s="332"/>
      <c r="L888" s="332"/>
      <c r="M888" s="332"/>
      <c r="N888" s="332"/>
      <c r="O888" s="332"/>
      <c r="P888" s="332"/>
      <c r="Q888" s="332"/>
      <c r="R888" s="332"/>
      <c r="S888" s="332"/>
      <c r="T888" s="332"/>
      <c r="U888" s="332"/>
      <c r="V888" s="332"/>
      <c r="W888" s="332"/>
      <c r="X888" s="332"/>
      <c r="Y888" s="332"/>
      <c r="Z888" s="332"/>
    </row>
    <row r="889" ht="15.75" customHeight="1">
      <c r="A889" s="27"/>
      <c r="B889" s="27"/>
      <c r="C889" s="27"/>
      <c r="D889" s="114"/>
      <c r="E889" s="114"/>
      <c r="F889" s="27"/>
      <c r="G889" s="27"/>
      <c r="H889" s="332"/>
      <c r="I889" s="332"/>
      <c r="J889" s="332"/>
      <c r="K889" s="332"/>
      <c r="L889" s="332"/>
      <c r="M889" s="332"/>
      <c r="N889" s="332"/>
      <c r="O889" s="332"/>
      <c r="P889" s="332"/>
      <c r="Q889" s="332"/>
      <c r="R889" s="332"/>
      <c r="S889" s="332"/>
      <c r="T889" s="332"/>
      <c r="U889" s="332"/>
      <c r="V889" s="332"/>
      <c r="W889" s="332"/>
      <c r="X889" s="332"/>
      <c r="Y889" s="332"/>
      <c r="Z889" s="332"/>
    </row>
    <row r="890" ht="15.75" customHeight="1">
      <c r="A890" s="27"/>
      <c r="B890" s="27"/>
      <c r="C890" s="27"/>
      <c r="D890" s="114"/>
      <c r="E890" s="114"/>
      <c r="F890" s="27"/>
      <c r="G890" s="27"/>
      <c r="H890" s="332"/>
      <c r="I890" s="332"/>
      <c r="J890" s="332"/>
      <c r="K890" s="332"/>
      <c r="L890" s="332"/>
      <c r="M890" s="332"/>
      <c r="N890" s="332"/>
      <c r="O890" s="332"/>
      <c r="P890" s="332"/>
      <c r="Q890" s="332"/>
      <c r="R890" s="332"/>
      <c r="S890" s="332"/>
      <c r="T890" s="332"/>
      <c r="U890" s="332"/>
      <c r="V890" s="332"/>
      <c r="W890" s="332"/>
      <c r="X890" s="332"/>
      <c r="Y890" s="332"/>
      <c r="Z890" s="332"/>
    </row>
    <row r="891" ht="15.75" customHeight="1">
      <c r="A891" s="27"/>
      <c r="B891" s="27"/>
      <c r="C891" s="27"/>
      <c r="D891" s="114"/>
      <c r="E891" s="114"/>
      <c r="F891" s="27"/>
      <c r="G891" s="27"/>
      <c r="H891" s="332"/>
      <c r="I891" s="332"/>
      <c r="J891" s="332"/>
      <c r="K891" s="332"/>
      <c r="L891" s="332"/>
      <c r="M891" s="332"/>
      <c r="N891" s="332"/>
      <c r="O891" s="332"/>
      <c r="P891" s="332"/>
      <c r="Q891" s="332"/>
      <c r="R891" s="332"/>
      <c r="S891" s="332"/>
      <c r="T891" s="332"/>
      <c r="U891" s="332"/>
      <c r="V891" s="332"/>
      <c r="W891" s="332"/>
      <c r="X891" s="332"/>
      <c r="Y891" s="332"/>
      <c r="Z891" s="332"/>
    </row>
    <row r="892" ht="15.75" customHeight="1">
      <c r="A892" s="27"/>
      <c r="B892" s="27"/>
      <c r="C892" s="27"/>
      <c r="D892" s="114"/>
      <c r="E892" s="114"/>
      <c r="F892" s="27"/>
      <c r="G892" s="27"/>
      <c r="H892" s="332"/>
      <c r="I892" s="332"/>
      <c r="J892" s="332"/>
      <c r="K892" s="332"/>
      <c r="L892" s="332"/>
      <c r="M892" s="332"/>
      <c r="N892" s="332"/>
      <c r="O892" s="332"/>
      <c r="P892" s="332"/>
      <c r="Q892" s="332"/>
      <c r="R892" s="332"/>
      <c r="S892" s="332"/>
      <c r="T892" s="332"/>
      <c r="U892" s="332"/>
      <c r="V892" s="332"/>
      <c r="W892" s="332"/>
      <c r="X892" s="332"/>
      <c r="Y892" s="332"/>
      <c r="Z892" s="332"/>
    </row>
    <row r="893" ht="15.75" customHeight="1">
      <c r="A893" s="27"/>
      <c r="B893" s="27"/>
      <c r="C893" s="27"/>
      <c r="D893" s="114"/>
      <c r="E893" s="114"/>
      <c r="F893" s="27"/>
      <c r="G893" s="27"/>
      <c r="H893" s="332"/>
      <c r="I893" s="332"/>
      <c r="J893" s="332"/>
      <c r="K893" s="332"/>
      <c r="L893" s="332"/>
      <c r="M893" s="332"/>
      <c r="N893" s="332"/>
      <c r="O893" s="332"/>
      <c r="P893" s="332"/>
      <c r="Q893" s="332"/>
      <c r="R893" s="332"/>
      <c r="S893" s="332"/>
      <c r="T893" s="332"/>
      <c r="U893" s="332"/>
      <c r="V893" s="332"/>
      <c r="W893" s="332"/>
      <c r="X893" s="332"/>
      <c r="Y893" s="332"/>
      <c r="Z893" s="332"/>
    </row>
    <row r="894" ht="15.75" customHeight="1">
      <c r="A894" s="27"/>
      <c r="B894" s="27"/>
      <c r="C894" s="27"/>
      <c r="D894" s="114"/>
      <c r="E894" s="114"/>
      <c r="F894" s="27"/>
      <c r="G894" s="27"/>
      <c r="H894" s="332"/>
      <c r="I894" s="332"/>
      <c r="J894" s="332"/>
      <c r="K894" s="332"/>
      <c r="L894" s="332"/>
      <c r="M894" s="332"/>
      <c r="N894" s="332"/>
      <c r="O894" s="332"/>
      <c r="P894" s="332"/>
      <c r="Q894" s="332"/>
      <c r="R894" s="332"/>
      <c r="S894" s="332"/>
      <c r="T894" s="332"/>
      <c r="U894" s="332"/>
      <c r="V894" s="332"/>
      <c r="W894" s="332"/>
      <c r="X894" s="332"/>
      <c r="Y894" s="332"/>
      <c r="Z894" s="332"/>
    </row>
    <row r="895" ht="15.75" customHeight="1">
      <c r="A895" s="27"/>
      <c r="B895" s="27"/>
      <c r="C895" s="27"/>
      <c r="D895" s="114"/>
      <c r="E895" s="114"/>
      <c r="F895" s="27"/>
      <c r="G895" s="27"/>
      <c r="H895" s="332"/>
      <c r="I895" s="332"/>
      <c r="J895" s="332"/>
      <c r="K895" s="332"/>
      <c r="L895" s="332"/>
      <c r="M895" s="332"/>
      <c r="N895" s="332"/>
      <c r="O895" s="332"/>
      <c r="P895" s="332"/>
      <c r="Q895" s="332"/>
      <c r="R895" s="332"/>
      <c r="S895" s="332"/>
      <c r="T895" s="332"/>
      <c r="U895" s="332"/>
      <c r="V895" s="332"/>
      <c r="W895" s="332"/>
      <c r="X895" s="332"/>
      <c r="Y895" s="332"/>
      <c r="Z895" s="332"/>
    </row>
    <row r="896" ht="15.75" customHeight="1">
      <c r="A896" s="27"/>
      <c r="B896" s="27"/>
      <c r="C896" s="27"/>
      <c r="D896" s="114"/>
      <c r="E896" s="114"/>
      <c r="F896" s="27"/>
      <c r="G896" s="27"/>
      <c r="H896" s="332"/>
      <c r="I896" s="332"/>
      <c r="J896" s="332"/>
      <c r="K896" s="332"/>
      <c r="L896" s="332"/>
      <c r="M896" s="332"/>
      <c r="N896" s="332"/>
      <c r="O896" s="332"/>
      <c r="P896" s="332"/>
      <c r="Q896" s="332"/>
      <c r="R896" s="332"/>
      <c r="S896" s="332"/>
      <c r="T896" s="332"/>
      <c r="U896" s="332"/>
      <c r="V896" s="332"/>
      <c r="W896" s="332"/>
      <c r="X896" s="332"/>
      <c r="Y896" s="332"/>
      <c r="Z896" s="332"/>
    </row>
    <row r="897" ht="15.75" customHeight="1">
      <c r="A897" s="27"/>
      <c r="B897" s="27"/>
      <c r="C897" s="27"/>
      <c r="D897" s="114"/>
      <c r="E897" s="114"/>
      <c r="F897" s="27"/>
      <c r="G897" s="27"/>
      <c r="H897" s="332"/>
      <c r="I897" s="332"/>
      <c r="J897" s="332"/>
      <c r="K897" s="332"/>
      <c r="L897" s="332"/>
      <c r="M897" s="332"/>
      <c r="N897" s="332"/>
      <c r="O897" s="332"/>
      <c r="P897" s="332"/>
      <c r="Q897" s="332"/>
      <c r="R897" s="332"/>
      <c r="S897" s="332"/>
      <c r="T897" s="332"/>
      <c r="U897" s="332"/>
      <c r="V897" s="332"/>
      <c r="W897" s="332"/>
      <c r="X897" s="332"/>
      <c r="Y897" s="332"/>
      <c r="Z897" s="332"/>
    </row>
    <row r="898" ht="15.75" customHeight="1">
      <c r="A898" s="27"/>
      <c r="B898" s="27"/>
      <c r="C898" s="27"/>
      <c r="D898" s="114"/>
      <c r="E898" s="114"/>
      <c r="F898" s="27"/>
      <c r="G898" s="27"/>
      <c r="H898" s="332"/>
      <c r="I898" s="332"/>
      <c r="J898" s="332"/>
      <c r="K898" s="332"/>
      <c r="L898" s="332"/>
      <c r="M898" s="332"/>
      <c r="N898" s="332"/>
      <c r="O898" s="332"/>
      <c r="P898" s="332"/>
      <c r="Q898" s="332"/>
      <c r="R898" s="332"/>
      <c r="S898" s="332"/>
      <c r="T898" s="332"/>
      <c r="U898" s="332"/>
      <c r="V898" s="332"/>
      <c r="W898" s="332"/>
      <c r="X898" s="332"/>
      <c r="Y898" s="332"/>
      <c r="Z898" s="332"/>
    </row>
    <row r="899" ht="15.75" customHeight="1">
      <c r="A899" s="27"/>
      <c r="B899" s="27"/>
      <c r="C899" s="27"/>
      <c r="D899" s="114"/>
      <c r="E899" s="114"/>
      <c r="F899" s="27"/>
      <c r="G899" s="27"/>
      <c r="H899" s="332"/>
      <c r="I899" s="332"/>
      <c r="J899" s="332"/>
      <c r="K899" s="332"/>
      <c r="L899" s="332"/>
      <c r="M899" s="332"/>
      <c r="N899" s="332"/>
      <c r="O899" s="332"/>
      <c r="P899" s="332"/>
      <c r="Q899" s="332"/>
      <c r="R899" s="332"/>
      <c r="S899" s="332"/>
      <c r="T899" s="332"/>
      <c r="U899" s="332"/>
      <c r="V899" s="332"/>
      <c r="W899" s="332"/>
      <c r="X899" s="332"/>
      <c r="Y899" s="332"/>
      <c r="Z899" s="332"/>
    </row>
    <row r="900" ht="15.75" customHeight="1">
      <c r="A900" s="27"/>
      <c r="B900" s="27"/>
      <c r="C900" s="27"/>
      <c r="D900" s="114"/>
      <c r="E900" s="114"/>
      <c r="F900" s="27"/>
      <c r="G900" s="27"/>
      <c r="H900" s="332"/>
      <c r="I900" s="332"/>
      <c r="J900" s="332"/>
      <c r="K900" s="332"/>
      <c r="L900" s="332"/>
      <c r="M900" s="332"/>
      <c r="N900" s="332"/>
      <c r="O900" s="332"/>
      <c r="P900" s="332"/>
      <c r="Q900" s="332"/>
      <c r="R900" s="332"/>
      <c r="S900" s="332"/>
      <c r="T900" s="332"/>
      <c r="U900" s="332"/>
      <c r="V900" s="332"/>
      <c r="W900" s="332"/>
      <c r="X900" s="332"/>
      <c r="Y900" s="332"/>
      <c r="Z900" s="332"/>
    </row>
    <row r="901" ht="15.75" customHeight="1">
      <c r="A901" s="27"/>
      <c r="B901" s="27"/>
      <c r="C901" s="27"/>
      <c r="D901" s="114"/>
      <c r="E901" s="114"/>
      <c r="F901" s="27"/>
      <c r="G901" s="27"/>
      <c r="H901" s="332"/>
      <c r="I901" s="332"/>
      <c r="J901" s="332"/>
      <c r="K901" s="332"/>
      <c r="L901" s="332"/>
      <c r="M901" s="332"/>
      <c r="N901" s="332"/>
      <c r="O901" s="332"/>
      <c r="P901" s="332"/>
      <c r="Q901" s="332"/>
      <c r="R901" s="332"/>
      <c r="S901" s="332"/>
      <c r="T901" s="332"/>
      <c r="U901" s="332"/>
      <c r="V901" s="332"/>
      <c r="W901" s="332"/>
      <c r="X901" s="332"/>
      <c r="Y901" s="332"/>
      <c r="Z901" s="332"/>
    </row>
    <row r="902" ht="15.75" customHeight="1">
      <c r="A902" s="27"/>
      <c r="B902" s="27"/>
      <c r="C902" s="27"/>
      <c r="D902" s="114"/>
      <c r="E902" s="114"/>
      <c r="F902" s="27"/>
      <c r="G902" s="27"/>
      <c r="H902" s="332"/>
      <c r="I902" s="332"/>
      <c r="J902" s="332"/>
      <c r="K902" s="332"/>
      <c r="L902" s="332"/>
      <c r="M902" s="332"/>
      <c r="N902" s="332"/>
      <c r="O902" s="332"/>
      <c r="P902" s="332"/>
      <c r="Q902" s="332"/>
      <c r="R902" s="332"/>
      <c r="S902" s="332"/>
      <c r="T902" s="332"/>
      <c r="U902" s="332"/>
      <c r="V902" s="332"/>
      <c r="W902" s="332"/>
      <c r="X902" s="332"/>
      <c r="Y902" s="332"/>
      <c r="Z902" s="332"/>
    </row>
    <row r="903" ht="15.75" customHeight="1">
      <c r="A903" s="27"/>
      <c r="B903" s="27"/>
      <c r="C903" s="27"/>
      <c r="D903" s="114"/>
      <c r="E903" s="114"/>
      <c r="F903" s="27"/>
      <c r="G903" s="27"/>
      <c r="H903" s="332"/>
      <c r="I903" s="332"/>
      <c r="J903" s="332"/>
      <c r="K903" s="332"/>
      <c r="L903" s="332"/>
      <c r="M903" s="332"/>
      <c r="N903" s="332"/>
      <c r="O903" s="332"/>
      <c r="P903" s="332"/>
      <c r="Q903" s="332"/>
      <c r="R903" s="332"/>
      <c r="S903" s="332"/>
      <c r="T903" s="332"/>
      <c r="U903" s="332"/>
      <c r="V903" s="332"/>
      <c r="W903" s="332"/>
      <c r="X903" s="332"/>
      <c r="Y903" s="332"/>
      <c r="Z903" s="332"/>
    </row>
    <row r="904" ht="15.75" customHeight="1">
      <c r="A904" s="27"/>
      <c r="B904" s="27"/>
      <c r="C904" s="27"/>
      <c r="D904" s="114"/>
      <c r="E904" s="114"/>
      <c r="F904" s="27"/>
      <c r="G904" s="27"/>
      <c r="H904" s="332"/>
      <c r="I904" s="332"/>
      <c r="J904" s="332"/>
      <c r="K904" s="332"/>
      <c r="L904" s="332"/>
      <c r="M904" s="332"/>
      <c r="N904" s="332"/>
      <c r="O904" s="332"/>
      <c r="P904" s="332"/>
      <c r="Q904" s="332"/>
      <c r="R904" s="332"/>
      <c r="S904" s="332"/>
      <c r="T904" s="332"/>
      <c r="U904" s="332"/>
      <c r="V904" s="332"/>
      <c r="W904" s="332"/>
      <c r="X904" s="332"/>
      <c r="Y904" s="332"/>
      <c r="Z904" s="332"/>
    </row>
    <row r="905" ht="15.75" customHeight="1">
      <c r="A905" s="27"/>
      <c r="B905" s="27"/>
      <c r="C905" s="27"/>
      <c r="D905" s="114"/>
      <c r="E905" s="114"/>
      <c r="F905" s="27"/>
      <c r="G905" s="27"/>
      <c r="H905" s="332"/>
      <c r="I905" s="332"/>
      <c r="J905" s="332"/>
      <c r="K905" s="332"/>
      <c r="L905" s="332"/>
      <c r="M905" s="332"/>
      <c r="N905" s="332"/>
      <c r="O905" s="332"/>
      <c r="P905" s="332"/>
      <c r="Q905" s="332"/>
      <c r="R905" s="332"/>
      <c r="S905" s="332"/>
      <c r="T905" s="332"/>
      <c r="U905" s="332"/>
      <c r="V905" s="332"/>
      <c r="W905" s="332"/>
      <c r="X905" s="332"/>
      <c r="Y905" s="332"/>
      <c r="Z905" s="332"/>
    </row>
    <row r="906" ht="15.75" customHeight="1">
      <c r="A906" s="27"/>
      <c r="B906" s="27"/>
      <c r="C906" s="27"/>
      <c r="D906" s="114"/>
      <c r="E906" s="114"/>
      <c r="F906" s="27"/>
      <c r="G906" s="27"/>
      <c r="H906" s="332"/>
      <c r="I906" s="332"/>
      <c r="J906" s="332"/>
      <c r="K906" s="332"/>
      <c r="L906" s="332"/>
      <c r="M906" s="332"/>
      <c r="N906" s="332"/>
      <c r="O906" s="332"/>
      <c r="P906" s="332"/>
      <c r="Q906" s="332"/>
      <c r="R906" s="332"/>
      <c r="S906" s="332"/>
      <c r="T906" s="332"/>
      <c r="U906" s="332"/>
      <c r="V906" s="332"/>
      <c r="W906" s="332"/>
      <c r="X906" s="332"/>
      <c r="Y906" s="332"/>
      <c r="Z906" s="332"/>
    </row>
    <row r="907" ht="15.75" customHeight="1">
      <c r="A907" s="27"/>
      <c r="B907" s="27"/>
      <c r="C907" s="27"/>
      <c r="D907" s="114"/>
      <c r="E907" s="114"/>
      <c r="F907" s="27"/>
      <c r="G907" s="27"/>
      <c r="H907" s="332"/>
      <c r="I907" s="332"/>
      <c r="J907" s="332"/>
      <c r="K907" s="332"/>
      <c r="L907" s="332"/>
      <c r="M907" s="332"/>
      <c r="N907" s="332"/>
      <c r="O907" s="332"/>
      <c r="P907" s="332"/>
      <c r="Q907" s="332"/>
      <c r="R907" s="332"/>
      <c r="S907" s="332"/>
      <c r="T907" s="332"/>
      <c r="U907" s="332"/>
      <c r="V907" s="332"/>
      <c r="W907" s="332"/>
      <c r="X907" s="332"/>
      <c r="Y907" s="332"/>
      <c r="Z907" s="332"/>
    </row>
    <row r="908" ht="15.75" customHeight="1">
      <c r="A908" s="27"/>
      <c r="B908" s="27"/>
      <c r="C908" s="27"/>
      <c r="D908" s="114"/>
      <c r="E908" s="114"/>
      <c r="F908" s="27"/>
      <c r="G908" s="27"/>
      <c r="H908" s="332"/>
      <c r="I908" s="332"/>
      <c r="J908" s="332"/>
      <c r="K908" s="332"/>
      <c r="L908" s="332"/>
      <c r="M908" s="332"/>
      <c r="N908" s="332"/>
      <c r="O908" s="332"/>
      <c r="P908" s="332"/>
      <c r="Q908" s="332"/>
      <c r="R908" s="332"/>
      <c r="S908" s="332"/>
      <c r="T908" s="332"/>
      <c r="U908" s="332"/>
      <c r="V908" s="332"/>
      <c r="W908" s="332"/>
      <c r="X908" s="332"/>
      <c r="Y908" s="332"/>
      <c r="Z908" s="332"/>
    </row>
    <row r="909" ht="15.75" customHeight="1">
      <c r="A909" s="27"/>
      <c r="B909" s="27"/>
      <c r="C909" s="27"/>
      <c r="D909" s="114"/>
      <c r="E909" s="114"/>
      <c r="F909" s="27"/>
      <c r="G909" s="27"/>
      <c r="H909" s="332"/>
      <c r="I909" s="332"/>
      <c r="J909" s="332"/>
      <c r="K909" s="332"/>
      <c r="L909" s="332"/>
      <c r="M909" s="332"/>
      <c r="N909" s="332"/>
      <c r="O909" s="332"/>
      <c r="P909" s="332"/>
      <c r="Q909" s="332"/>
      <c r="R909" s="332"/>
      <c r="S909" s="332"/>
      <c r="T909" s="332"/>
      <c r="U909" s="332"/>
      <c r="V909" s="332"/>
      <c r="W909" s="332"/>
      <c r="X909" s="332"/>
      <c r="Y909" s="332"/>
      <c r="Z909" s="332"/>
    </row>
    <row r="910" ht="15.75" customHeight="1">
      <c r="A910" s="27"/>
      <c r="B910" s="27"/>
      <c r="C910" s="27"/>
      <c r="D910" s="114"/>
      <c r="E910" s="114"/>
      <c r="F910" s="27"/>
      <c r="G910" s="27"/>
      <c r="H910" s="332"/>
      <c r="I910" s="332"/>
      <c r="J910" s="332"/>
      <c r="K910" s="332"/>
      <c r="L910" s="332"/>
      <c r="M910" s="332"/>
      <c r="N910" s="332"/>
      <c r="O910" s="332"/>
      <c r="P910" s="332"/>
      <c r="Q910" s="332"/>
      <c r="R910" s="332"/>
      <c r="S910" s="332"/>
      <c r="T910" s="332"/>
      <c r="U910" s="332"/>
      <c r="V910" s="332"/>
      <c r="W910" s="332"/>
      <c r="X910" s="332"/>
      <c r="Y910" s="332"/>
      <c r="Z910" s="332"/>
    </row>
    <row r="911" ht="15.75" customHeight="1">
      <c r="A911" s="27"/>
      <c r="B911" s="27"/>
      <c r="C911" s="27"/>
      <c r="D911" s="114"/>
      <c r="E911" s="114"/>
      <c r="F911" s="27"/>
      <c r="G911" s="27"/>
      <c r="H911" s="332"/>
      <c r="I911" s="332"/>
      <c r="J911" s="332"/>
      <c r="K911" s="332"/>
      <c r="L911" s="332"/>
      <c r="M911" s="332"/>
      <c r="N911" s="332"/>
      <c r="O911" s="332"/>
      <c r="P911" s="332"/>
      <c r="Q911" s="332"/>
      <c r="R911" s="332"/>
      <c r="S911" s="332"/>
      <c r="T911" s="332"/>
      <c r="U911" s="332"/>
      <c r="V911" s="332"/>
      <c r="W911" s="332"/>
      <c r="X911" s="332"/>
      <c r="Y911" s="332"/>
      <c r="Z911" s="332"/>
    </row>
    <row r="912" ht="15.75" customHeight="1">
      <c r="A912" s="27"/>
      <c r="B912" s="27"/>
      <c r="C912" s="27"/>
      <c r="D912" s="114"/>
      <c r="E912" s="114"/>
      <c r="F912" s="27"/>
      <c r="G912" s="27"/>
      <c r="H912" s="332"/>
      <c r="I912" s="332"/>
      <c r="J912" s="332"/>
      <c r="K912" s="332"/>
      <c r="L912" s="332"/>
      <c r="M912" s="332"/>
      <c r="N912" s="332"/>
      <c r="O912" s="332"/>
      <c r="P912" s="332"/>
      <c r="Q912" s="332"/>
      <c r="R912" s="332"/>
      <c r="S912" s="332"/>
      <c r="T912" s="332"/>
      <c r="U912" s="332"/>
      <c r="V912" s="332"/>
      <c r="W912" s="332"/>
      <c r="X912" s="332"/>
      <c r="Y912" s="332"/>
      <c r="Z912" s="332"/>
    </row>
    <row r="913" ht="15.75" customHeight="1">
      <c r="A913" s="27"/>
      <c r="B913" s="27"/>
      <c r="C913" s="27"/>
      <c r="D913" s="114"/>
      <c r="E913" s="114"/>
      <c r="F913" s="27"/>
      <c r="G913" s="27"/>
      <c r="H913" s="332"/>
      <c r="I913" s="332"/>
      <c r="J913" s="332"/>
      <c r="K913" s="332"/>
      <c r="L913" s="332"/>
      <c r="M913" s="332"/>
      <c r="N913" s="332"/>
      <c r="O913" s="332"/>
      <c r="P913" s="332"/>
      <c r="Q913" s="332"/>
      <c r="R913" s="332"/>
      <c r="S913" s="332"/>
      <c r="T913" s="332"/>
      <c r="U913" s="332"/>
      <c r="V913" s="332"/>
      <c r="W913" s="332"/>
      <c r="X913" s="332"/>
      <c r="Y913" s="332"/>
      <c r="Z913" s="332"/>
    </row>
    <row r="914" ht="15.75" customHeight="1">
      <c r="A914" s="27"/>
      <c r="B914" s="27"/>
      <c r="C914" s="27"/>
      <c r="D914" s="114"/>
      <c r="E914" s="114"/>
      <c r="F914" s="27"/>
      <c r="G914" s="27"/>
      <c r="H914" s="332"/>
      <c r="I914" s="332"/>
      <c r="J914" s="332"/>
      <c r="K914" s="332"/>
      <c r="L914" s="332"/>
      <c r="M914" s="332"/>
      <c r="N914" s="332"/>
      <c r="O914" s="332"/>
      <c r="P914" s="332"/>
      <c r="Q914" s="332"/>
      <c r="R914" s="332"/>
      <c r="S914" s="332"/>
      <c r="T914" s="332"/>
      <c r="U914" s="332"/>
      <c r="V914" s="332"/>
      <c r="W914" s="332"/>
      <c r="X914" s="332"/>
      <c r="Y914" s="332"/>
      <c r="Z914" s="332"/>
    </row>
    <row r="915" ht="15.75" customHeight="1">
      <c r="A915" s="27"/>
      <c r="B915" s="27"/>
      <c r="C915" s="27"/>
      <c r="D915" s="114"/>
      <c r="E915" s="114"/>
      <c r="F915" s="27"/>
      <c r="G915" s="27"/>
      <c r="H915" s="332"/>
      <c r="I915" s="332"/>
      <c r="J915" s="332"/>
      <c r="K915" s="332"/>
      <c r="L915" s="332"/>
      <c r="M915" s="332"/>
      <c r="N915" s="332"/>
      <c r="O915" s="332"/>
      <c r="P915" s="332"/>
      <c r="Q915" s="332"/>
      <c r="R915" s="332"/>
      <c r="S915" s="332"/>
      <c r="T915" s="332"/>
      <c r="U915" s="332"/>
      <c r="V915" s="332"/>
      <c r="W915" s="332"/>
      <c r="X915" s="332"/>
      <c r="Y915" s="332"/>
      <c r="Z915" s="332"/>
    </row>
    <row r="916" ht="15.75" customHeight="1">
      <c r="A916" s="27"/>
      <c r="B916" s="27"/>
      <c r="C916" s="27"/>
      <c r="D916" s="114"/>
      <c r="E916" s="114"/>
      <c r="F916" s="27"/>
      <c r="G916" s="27"/>
      <c r="H916" s="332"/>
      <c r="I916" s="332"/>
      <c r="J916" s="332"/>
      <c r="K916" s="332"/>
      <c r="L916" s="332"/>
      <c r="M916" s="332"/>
      <c r="N916" s="332"/>
      <c r="O916" s="332"/>
      <c r="P916" s="332"/>
      <c r="Q916" s="332"/>
      <c r="R916" s="332"/>
      <c r="S916" s="332"/>
      <c r="T916" s="332"/>
      <c r="U916" s="332"/>
      <c r="V916" s="332"/>
      <c r="W916" s="332"/>
      <c r="X916" s="332"/>
      <c r="Y916" s="332"/>
      <c r="Z916" s="332"/>
    </row>
    <row r="917" ht="15.75" customHeight="1">
      <c r="A917" s="27"/>
      <c r="B917" s="27"/>
      <c r="C917" s="27"/>
      <c r="D917" s="114"/>
      <c r="E917" s="114"/>
      <c r="F917" s="27"/>
      <c r="G917" s="27"/>
      <c r="H917" s="332"/>
      <c r="I917" s="332"/>
      <c r="J917" s="332"/>
      <c r="K917" s="332"/>
      <c r="L917" s="332"/>
      <c r="M917" s="332"/>
      <c r="N917" s="332"/>
      <c r="O917" s="332"/>
      <c r="P917" s="332"/>
      <c r="Q917" s="332"/>
      <c r="R917" s="332"/>
      <c r="S917" s="332"/>
      <c r="T917" s="332"/>
      <c r="U917" s="332"/>
      <c r="V917" s="332"/>
      <c r="W917" s="332"/>
      <c r="X917" s="332"/>
      <c r="Y917" s="332"/>
      <c r="Z917" s="332"/>
    </row>
    <row r="918" ht="15.75" customHeight="1">
      <c r="A918" s="27"/>
      <c r="B918" s="27"/>
      <c r="C918" s="27"/>
      <c r="D918" s="114"/>
      <c r="E918" s="114"/>
      <c r="F918" s="27"/>
      <c r="G918" s="27"/>
      <c r="H918" s="332"/>
      <c r="I918" s="332"/>
      <c r="J918" s="332"/>
      <c r="K918" s="332"/>
      <c r="L918" s="332"/>
      <c r="M918" s="332"/>
      <c r="N918" s="332"/>
      <c r="O918" s="332"/>
      <c r="P918" s="332"/>
      <c r="Q918" s="332"/>
      <c r="R918" s="332"/>
      <c r="S918" s="332"/>
      <c r="T918" s="332"/>
      <c r="U918" s="332"/>
      <c r="V918" s="332"/>
      <c r="W918" s="332"/>
      <c r="X918" s="332"/>
      <c r="Y918" s="332"/>
      <c r="Z918" s="332"/>
    </row>
    <row r="919" ht="15.75" customHeight="1">
      <c r="A919" s="27"/>
      <c r="B919" s="27"/>
      <c r="C919" s="27"/>
      <c r="D919" s="114"/>
      <c r="E919" s="114"/>
      <c r="F919" s="27"/>
      <c r="G919" s="27"/>
      <c r="H919" s="332"/>
      <c r="I919" s="332"/>
      <c r="J919" s="332"/>
      <c r="K919" s="332"/>
      <c r="L919" s="332"/>
      <c r="M919" s="332"/>
      <c r="N919" s="332"/>
      <c r="O919" s="332"/>
      <c r="P919" s="332"/>
      <c r="Q919" s="332"/>
      <c r="R919" s="332"/>
      <c r="S919" s="332"/>
      <c r="T919" s="332"/>
      <c r="U919" s="332"/>
      <c r="V919" s="332"/>
      <c r="W919" s="332"/>
      <c r="X919" s="332"/>
      <c r="Y919" s="332"/>
      <c r="Z919" s="332"/>
    </row>
    <row r="920" ht="15.75" customHeight="1">
      <c r="A920" s="27"/>
      <c r="B920" s="27"/>
      <c r="C920" s="27"/>
      <c r="D920" s="114"/>
      <c r="E920" s="114"/>
      <c r="F920" s="27"/>
      <c r="G920" s="27"/>
      <c r="H920" s="332"/>
      <c r="I920" s="332"/>
      <c r="J920" s="332"/>
      <c r="K920" s="332"/>
      <c r="L920" s="332"/>
      <c r="M920" s="332"/>
      <c r="N920" s="332"/>
      <c r="O920" s="332"/>
      <c r="P920" s="332"/>
      <c r="Q920" s="332"/>
      <c r="R920" s="332"/>
      <c r="S920" s="332"/>
      <c r="T920" s="332"/>
      <c r="U920" s="332"/>
      <c r="V920" s="332"/>
      <c r="W920" s="332"/>
      <c r="X920" s="332"/>
      <c r="Y920" s="332"/>
      <c r="Z920" s="332"/>
    </row>
    <row r="921" ht="15.75" customHeight="1">
      <c r="A921" s="27"/>
      <c r="B921" s="27"/>
      <c r="C921" s="27"/>
      <c r="D921" s="114"/>
      <c r="E921" s="114"/>
      <c r="F921" s="27"/>
      <c r="G921" s="27"/>
      <c r="H921" s="332"/>
      <c r="I921" s="332"/>
      <c r="J921" s="332"/>
      <c r="K921" s="332"/>
      <c r="L921" s="332"/>
      <c r="M921" s="332"/>
      <c r="N921" s="332"/>
      <c r="O921" s="332"/>
      <c r="P921" s="332"/>
      <c r="Q921" s="332"/>
      <c r="R921" s="332"/>
      <c r="S921" s="332"/>
      <c r="T921" s="332"/>
      <c r="U921" s="332"/>
      <c r="V921" s="332"/>
      <c r="W921" s="332"/>
      <c r="X921" s="332"/>
      <c r="Y921" s="332"/>
      <c r="Z921" s="332"/>
    </row>
    <row r="922" ht="15.75" customHeight="1">
      <c r="A922" s="27"/>
      <c r="B922" s="27"/>
      <c r="C922" s="27"/>
      <c r="D922" s="114"/>
      <c r="E922" s="114"/>
      <c r="F922" s="27"/>
      <c r="G922" s="27"/>
      <c r="H922" s="332"/>
      <c r="I922" s="332"/>
      <c r="J922" s="332"/>
      <c r="K922" s="332"/>
      <c r="L922" s="332"/>
      <c r="M922" s="332"/>
      <c r="N922" s="332"/>
      <c r="O922" s="332"/>
      <c r="P922" s="332"/>
      <c r="Q922" s="332"/>
      <c r="R922" s="332"/>
      <c r="S922" s="332"/>
      <c r="T922" s="332"/>
      <c r="U922" s="332"/>
      <c r="V922" s="332"/>
      <c r="W922" s="332"/>
      <c r="X922" s="332"/>
      <c r="Y922" s="332"/>
      <c r="Z922" s="332"/>
    </row>
    <row r="923" ht="15.75" customHeight="1">
      <c r="A923" s="27"/>
      <c r="B923" s="27"/>
      <c r="C923" s="27"/>
      <c r="D923" s="114"/>
      <c r="E923" s="114"/>
      <c r="F923" s="27"/>
      <c r="G923" s="27"/>
      <c r="H923" s="332"/>
      <c r="I923" s="332"/>
      <c r="J923" s="332"/>
      <c r="K923" s="332"/>
      <c r="L923" s="332"/>
      <c r="M923" s="332"/>
      <c r="N923" s="332"/>
      <c r="O923" s="332"/>
      <c r="P923" s="332"/>
      <c r="Q923" s="332"/>
      <c r="R923" s="332"/>
      <c r="S923" s="332"/>
      <c r="T923" s="332"/>
      <c r="U923" s="332"/>
      <c r="V923" s="332"/>
      <c r="W923" s="332"/>
      <c r="X923" s="332"/>
      <c r="Y923" s="332"/>
      <c r="Z923" s="332"/>
    </row>
    <row r="924" ht="15.75" customHeight="1">
      <c r="A924" s="27"/>
      <c r="B924" s="27"/>
      <c r="C924" s="27"/>
      <c r="D924" s="114"/>
      <c r="E924" s="114"/>
      <c r="F924" s="27"/>
      <c r="G924" s="27"/>
      <c r="H924" s="332"/>
      <c r="I924" s="332"/>
      <c r="J924" s="332"/>
      <c r="K924" s="332"/>
      <c r="L924" s="332"/>
      <c r="M924" s="332"/>
      <c r="N924" s="332"/>
      <c r="O924" s="332"/>
      <c r="P924" s="332"/>
      <c r="Q924" s="332"/>
      <c r="R924" s="332"/>
      <c r="S924" s="332"/>
      <c r="T924" s="332"/>
      <c r="U924" s="332"/>
      <c r="V924" s="332"/>
      <c r="W924" s="332"/>
      <c r="X924" s="332"/>
      <c r="Y924" s="332"/>
      <c r="Z924" s="332"/>
    </row>
    <row r="925" ht="15.75" customHeight="1">
      <c r="A925" s="27"/>
      <c r="B925" s="27"/>
      <c r="C925" s="27"/>
      <c r="D925" s="114"/>
      <c r="E925" s="114"/>
      <c r="F925" s="27"/>
      <c r="G925" s="27"/>
      <c r="H925" s="332"/>
      <c r="I925" s="332"/>
      <c r="J925" s="332"/>
      <c r="K925" s="332"/>
      <c r="L925" s="332"/>
      <c r="M925" s="332"/>
      <c r="N925" s="332"/>
      <c r="O925" s="332"/>
      <c r="P925" s="332"/>
      <c r="Q925" s="332"/>
      <c r="R925" s="332"/>
      <c r="S925" s="332"/>
      <c r="T925" s="332"/>
      <c r="U925" s="332"/>
      <c r="V925" s="332"/>
      <c r="W925" s="332"/>
      <c r="X925" s="332"/>
      <c r="Y925" s="332"/>
      <c r="Z925" s="332"/>
    </row>
    <row r="926" ht="15.75" customHeight="1">
      <c r="A926" s="27"/>
      <c r="B926" s="27"/>
      <c r="C926" s="27"/>
      <c r="D926" s="114"/>
      <c r="E926" s="114"/>
      <c r="F926" s="27"/>
      <c r="G926" s="27"/>
      <c r="H926" s="332"/>
      <c r="I926" s="332"/>
      <c r="J926" s="332"/>
      <c r="K926" s="332"/>
      <c r="L926" s="332"/>
      <c r="M926" s="332"/>
      <c r="N926" s="332"/>
      <c r="O926" s="332"/>
      <c r="P926" s="332"/>
      <c r="Q926" s="332"/>
      <c r="R926" s="332"/>
      <c r="S926" s="332"/>
      <c r="T926" s="332"/>
      <c r="U926" s="332"/>
      <c r="V926" s="332"/>
      <c r="W926" s="332"/>
      <c r="X926" s="332"/>
      <c r="Y926" s="332"/>
      <c r="Z926" s="332"/>
    </row>
    <row r="927" ht="15.75" customHeight="1">
      <c r="A927" s="27"/>
      <c r="B927" s="27"/>
      <c r="C927" s="27"/>
      <c r="D927" s="114"/>
      <c r="E927" s="114"/>
      <c r="F927" s="27"/>
      <c r="G927" s="27"/>
      <c r="H927" s="332"/>
      <c r="I927" s="332"/>
      <c r="J927" s="332"/>
      <c r="K927" s="332"/>
      <c r="L927" s="332"/>
      <c r="M927" s="332"/>
      <c r="N927" s="332"/>
      <c r="O927" s="332"/>
      <c r="P927" s="332"/>
      <c r="Q927" s="332"/>
      <c r="R927" s="332"/>
      <c r="S927" s="332"/>
      <c r="T927" s="332"/>
      <c r="U927" s="332"/>
      <c r="V927" s="332"/>
      <c r="W927" s="332"/>
      <c r="X927" s="332"/>
      <c r="Y927" s="332"/>
      <c r="Z927" s="332"/>
    </row>
    <row r="928" ht="15.75" customHeight="1">
      <c r="A928" s="27"/>
      <c r="B928" s="27"/>
      <c r="C928" s="27"/>
      <c r="D928" s="114"/>
      <c r="E928" s="114"/>
      <c r="F928" s="27"/>
      <c r="G928" s="27"/>
      <c r="H928" s="332"/>
      <c r="I928" s="332"/>
      <c r="J928" s="332"/>
      <c r="K928" s="332"/>
      <c r="L928" s="332"/>
      <c r="M928" s="332"/>
      <c r="N928" s="332"/>
      <c r="O928" s="332"/>
      <c r="P928" s="332"/>
      <c r="Q928" s="332"/>
      <c r="R928" s="332"/>
      <c r="S928" s="332"/>
      <c r="T928" s="332"/>
      <c r="U928" s="332"/>
      <c r="V928" s="332"/>
      <c r="W928" s="332"/>
      <c r="X928" s="332"/>
      <c r="Y928" s="332"/>
      <c r="Z928" s="332"/>
    </row>
    <row r="929" ht="15.75" customHeight="1">
      <c r="A929" s="27"/>
      <c r="B929" s="27"/>
      <c r="C929" s="27"/>
      <c r="D929" s="114"/>
      <c r="E929" s="114"/>
      <c r="F929" s="27"/>
      <c r="G929" s="27"/>
      <c r="H929" s="332"/>
      <c r="I929" s="332"/>
      <c r="J929" s="332"/>
      <c r="K929" s="332"/>
      <c r="L929" s="332"/>
      <c r="M929" s="332"/>
      <c r="N929" s="332"/>
      <c r="O929" s="332"/>
      <c r="P929" s="332"/>
      <c r="Q929" s="332"/>
      <c r="R929" s="332"/>
      <c r="S929" s="332"/>
      <c r="T929" s="332"/>
      <c r="U929" s="332"/>
      <c r="V929" s="332"/>
      <c r="W929" s="332"/>
      <c r="X929" s="332"/>
      <c r="Y929" s="332"/>
      <c r="Z929" s="332"/>
    </row>
    <row r="930" ht="15.75" customHeight="1">
      <c r="A930" s="27"/>
      <c r="B930" s="27"/>
      <c r="C930" s="27"/>
      <c r="D930" s="114"/>
      <c r="E930" s="114"/>
      <c r="F930" s="27"/>
      <c r="G930" s="27"/>
      <c r="H930" s="332"/>
      <c r="I930" s="332"/>
      <c r="J930" s="332"/>
      <c r="K930" s="332"/>
      <c r="L930" s="332"/>
      <c r="M930" s="332"/>
      <c r="N930" s="332"/>
      <c r="O930" s="332"/>
      <c r="P930" s="332"/>
      <c r="Q930" s="332"/>
      <c r="R930" s="332"/>
      <c r="S930" s="332"/>
      <c r="T930" s="332"/>
      <c r="U930" s="332"/>
      <c r="V930" s="332"/>
      <c r="W930" s="332"/>
      <c r="X930" s="332"/>
      <c r="Y930" s="332"/>
      <c r="Z930" s="332"/>
    </row>
    <row r="931" ht="15.75" customHeight="1">
      <c r="A931" s="27"/>
      <c r="B931" s="27"/>
      <c r="C931" s="27"/>
      <c r="D931" s="114"/>
      <c r="E931" s="114"/>
      <c r="F931" s="27"/>
      <c r="G931" s="27"/>
      <c r="H931" s="332"/>
      <c r="I931" s="332"/>
      <c r="J931" s="332"/>
      <c r="K931" s="332"/>
      <c r="L931" s="332"/>
      <c r="M931" s="332"/>
      <c r="N931" s="332"/>
      <c r="O931" s="332"/>
      <c r="P931" s="332"/>
      <c r="Q931" s="332"/>
      <c r="R931" s="332"/>
      <c r="S931" s="332"/>
      <c r="T931" s="332"/>
      <c r="U931" s="332"/>
      <c r="V931" s="332"/>
      <c r="W931" s="332"/>
      <c r="X931" s="332"/>
      <c r="Y931" s="332"/>
      <c r="Z931" s="332"/>
    </row>
    <row r="932" ht="15.75" customHeight="1">
      <c r="A932" s="27"/>
      <c r="B932" s="27"/>
      <c r="C932" s="27"/>
      <c r="D932" s="114"/>
      <c r="E932" s="114"/>
      <c r="F932" s="27"/>
      <c r="G932" s="27"/>
      <c r="H932" s="332"/>
      <c r="I932" s="332"/>
      <c r="J932" s="332"/>
      <c r="K932" s="332"/>
      <c r="L932" s="332"/>
      <c r="M932" s="332"/>
      <c r="N932" s="332"/>
      <c r="O932" s="332"/>
      <c r="P932" s="332"/>
      <c r="Q932" s="332"/>
      <c r="R932" s="332"/>
      <c r="S932" s="332"/>
      <c r="T932" s="332"/>
      <c r="U932" s="332"/>
      <c r="V932" s="332"/>
      <c r="W932" s="332"/>
      <c r="X932" s="332"/>
      <c r="Y932" s="332"/>
      <c r="Z932" s="332"/>
    </row>
    <row r="933" ht="15.75" customHeight="1">
      <c r="A933" s="27"/>
      <c r="B933" s="27"/>
      <c r="C933" s="27"/>
      <c r="D933" s="114"/>
      <c r="E933" s="114"/>
      <c r="F933" s="27"/>
      <c r="G933" s="27"/>
      <c r="H933" s="332"/>
      <c r="I933" s="332"/>
      <c r="J933" s="332"/>
      <c r="K933" s="332"/>
      <c r="L933" s="332"/>
      <c r="M933" s="332"/>
      <c r="N933" s="332"/>
      <c r="O933" s="332"/>
      <c r="P933" s="332"/>
      <c r="Q933" s="332"/>
      <c r="R933" s="332"/>
      <c r="S933" s="332"/>
      <c r="T933" s="332"/>
      <c r="U933" s="332"/>
      <c r="V933" s="332"/>
      <c r="W933" s="332"/>
      <c r="X933" s="332"/>
      <c r="Y933" s="332"/>
      <c r="Z933" s="332"/>
    </row>
    <row r="934" ht="15.75" customHeight="1">
      <c r="A934" s="27"/>
      <c r="B934" s="27"/>
      <c r="C934" s="27"/>
      <c r="D934" s="114"/>
      <c r="E934" s="114"/>
      <c r="F934" s="27"/>
      <c r="G934" s="27"/>
      <c r="H934" s="332"/>
      <c r="I934" s="332"/>
      <c r="J934" s="332"/>
      <c r="K934" s="332"/>
      <c r="L934" s="332"/>
      <c r="M934" s="332"/>
      <c r="N934" s="332"/>
      <c r="O934" s="332"/>
      <c r="P934" s="332"/>
      <c r="Q934" s="332"/>
      <c r="R934" s="332"/>
      <c r="S934" s="332"/>
      <c r="T934" s="332"/>
      <c r="U934" s="332"/>
      <c r="V934" s="332"/>
      <c r="W934" s="332"/>
      <c r="X934" s="332"/>
      <c r="Y934" s="332"/>
      <c r="Z934" s="332"/>
    </row>
    <row r="935" ht="15.75" customHeight="1">
      <c r="A935" s="27"/>
      <c r="B935" s="27"/>
      <c r="C935" s="27"/>
      <c r="D935" s="114"/>
      <c r="E935" s="114"/>
      <c r="F935" s="27"/>
      <c r="G935" s="27"/>
      <c r="H935" s="332"/>
      <c r="I935" s="332"/>
      <c r="J935" s="332"/>
      <c r="K935" s="332"/>
      <c r="L935" s="332"/>
      <c r="M935" s="332"/>
      <c r="N935" s="332"/>
      <c r="O935" s="332"/>
      <c r="P935" s="332"/>
      <c r="Q935" s="332"/>
      <c r="R935" s="332"/>
      <c r="S935" s="332"/>
      <c r="T935" s="332"/>
      <c r="U935" s="332"/>
      <c r="V935" s="332"/>
      <c r="W935" s="332"/>
      <c r="X935" s="332"/>
      <c r="Y935" s="332"/>
      <c r="Z935" s="332"/>
    </row>
    <row r="936" ht="15.75" customHeight="1">
      <c r="A936" s="27"/>
      <c r="B936" s="27"/>
      <c r="C936" s="27"/>
      <c r="D936" s="114"/>
      <c r="E936" s="114"/>
      <c r="F936" s="27"/>
      <c r="G936" s="27"/>
      <c r="H936" s="332"/>
      <c r="I936" s="332"/>
      <c r="J936" s="332"/>
      <c r="K936" s="332"/>
      <c r="L936" s="332"/>
      <c r="M936" s="332"/>
      <c r="N936" s="332"/>
      <c r="O936" s="332"/>
      <c r="P936" s="332"/>
      <c r="Q936" s="332"/>
      <c r="R936" s="332"/>
      <c r="S936" s="332"/>
      <c r="T936" s="332"/>
      <c r="U936" s="332"/>
      <c r="V936" s="332"/>
      <c r="W936" s="332"/>
      <c r="X936" s="332"/>
      <c r="Y936" s="332"/>
      <c r="Z936" s="332"/>
    </row>
    <row r="937" ht="15.75" customHeight="1">
      <c r="A937" s="27"/>
      <c r="B937" s="27"/>
      <c r="C937" s="27"/>
      <c r="D937" s="114"/>
      <c r="E937" s="114"/>
      <c r="F937" s="27"/>
      <c r="G937" s="27"/>
      <c r="H937" s="332"/>
      <c r="I937" s="332"/>
      <c r="J937" s="332"/>
      <c r="K937" s="332"/>
      <c r="L937" s="332"/>
      <c r="M937" s="332"/>
      <c r="N937" s="332"/>
      <c r="O937" s="332"/>
      <c r="P937" s="332"/>
      <c r="Q937" s="332"/>
      <c r="R937" s="332"/>
      <c r="S937" s="332"/>
      <c r="T937" s="332"/>
      <c r="U937" s="332"/>
      <c r="V937" s="332"/>
      <c r="W937" s="332"/>
      <c r="X937" s="332"/>
      <c r="Y937" s="332"/>
      <c r="Z937" s="332"/>
    </row>
    <row r="938" ht="15.75" customHeight="1">
      <c r="A938" s="27"/>
      <c r="B938" s="27"/>
      <c r="C938" s="27"/>
      <c r="D938" s="114"/>
      <c r="E938" s="114"/>
      <c r="F938" s="27"/>
      <c r="G938" s="27"/>
      <c r="H938" s="332"/>
      <c r="I938" s="332"/>
      <c r="J938" s="332"/>
      <c r="K938" s="332"/>
      <c r="L938" s="332"/>
      <c r="M938" s="332"/>
      <c r="N938" s="332"/>
      <c r="O938" s="332"/>
      <c r="P938" s="332"/>
      <c r="Q938" s="332"/>
      <c r="R938" s="332"/>
      <c r="S938" s="332"/>
      <c r="T938" s="332"/>
      <c r="U938" s="332"/>
      <c r="V938" s="332"/>
      <c r="W938" s="332"/>
      <c r="X938" s="332"/>
      <c r="Y938" s="332"/>
      <c r="Z938" s="332"/>
    </row>
    <row r="939" ht="15.75" customHeight="1">
      <c r="A939" s="27"/>
      <c r="B939" s="27"/>
      <c r="C939" s="27"/>
      <c r="D939" s="114"/>
      <c r="E939" s="114"/>
      <c r="F939" s="27"/>
      <c r="G939" s="27"/>
      <c r="H939" s="332"/>
      <c r="I939" s="332"/>
      <c r="J939" s="332"/>
      <c r="K939" s="332"/>
      <c r="L939" s="332"/>
      <c r="M939" s="332"/>
      <c r="N939" s="332"/>
      <c r="O939" s="332"/>
      <c r="P939" s="332"/>
      <c r="Q939" s="332"/>
      <c r="R939" s="332"/>
      <c r="S939" s="332"/>
      <c r="T939" s="332"/>
      <c r="U939" s="332"/>
      <c r="V939" s="332"/>
      <c r="W939" s="332"/>
      <c r="X939" s="332"/>
      <c r="Y939" s="332"/>
      <c r="Z939" s="332"/>
    </row>
    <row r="940" ht="15.75" customHeight="1">
      <c r="A940" s="27"/>
      <c r="B940" s="27"/>
      <c r="C940" s="27"/>
      <c r="D940" s="114"/>
      <c r="E940" s="114"/>
      <c r="F940" s="27"/>
      <c r="G940" s="27"/>
      <c r="H940" s="332"/>
      <c r="I940" s="332"/>
      <c r="J940" s="332"/>
      <c r="K940" s="332"/>
      <c r="L940" s="332"/>
      <c r="M940" s="332"/>
      <c r="N940" s="332"/>
      <c r="O940" s="332"/>
      <c r="P940" s="332"/>
      <c r="Q940" s="332"/>
      <c r="R940" s="332"/>
      <c r="S940" s="332"/>
      <c r="T940" s="332"/>
      <c r="U940" s="332"/>
      <c r="V940" s="332"/>
      <c r="W940" s="332"/>
      <c r="X940" s="332"/>
      <c r="Y940" s="332"/>
      <c r="Z940" s="332"/>
    </row>
    <row r="941" ht="15.75" customHeight="1">
      <c r="A941" s="27"/>
      <c r="B941" s="27"/>
      <c r="C941" s="27"/>
      <c r="D941" s="114"/>
      <c r="E941" s="114"/>
      <c r="F941" s="27"/>
      <c r="G941" s="27"/>
      <c r="H941" s="332"/>
      <c r="I941" s="332"/>
      <c r="J941" s="332"/>
      <c r="K941" s="332"/>
      <c r="L941" s="332"/>
      <c r="M941" s="332"/>
      <c r="N941" s="332"/>
      <c r="O941" s="332"/>
      <c r="P941" s="332"/>
      <c r="Q941" s="332"/>
      <c r="R941" s="332"/>
      <c r="S941" s="332"/>
      <c r="T941" s="332"/>
      <c r="U941" s="332"/>
      <c r="V941" s="332"/>
      <c r="W941" s="332"/>
      <c r="X941" s="332"/>
      <c r="Y941" s="332"/>
      <c r="Z941" s="332"/>
    </row>
    <row r="942" ht="15.75" customHeight="1">
      <c r="A942" s="27"/>
      <c r="B942" s="27"/>
      <c r="C942" s="27"/>
      <c r="D942" s="114"/>
      <c r="E942" s="114"/>
      <c r="F942" s="27"/>
      <c r="G942" s="27"/>
      <c r="H942" s="332"/>
      <c r="I942" s="332"/>
      <c r="J942" s="332"/>
      <c r="K942" s="332"/>
      <c r="L942" s="332"/>
      <c r="M942" s="332"/>
      <c r="N942" s="332"/>
      <c r="O942" s="332"/>
      <c r="P942" s="332"/>
      <c r="Q942" s="332"/>
      <c r="R942" s="332"/>
      <c r="S942" s="332"/>
      <c r="T942" s="332"/>
      <c r="U942" s="332"/>
      <c r="V942" s="332"/>
      <c r="W942" s="332"/>
      <c r="X942" s="332"/>
      <c r="Y942" s="332"/>
      <c r="Z942" s="332"/>
    </row>
    <row r="943" ht="15.75" customHeight="1">
      <c r="A943" s="27"/>
      <c r="B943" s="27"/>
      <c r="C943" s="27"/>
      <c r="D943" s="114"/>
      <c r="E943" s="114"/>
      <c r="F943" s="27"/>
      <c r="G943" s="27"/>
      <c r="H943" s="332"/>
      <c r="I943" s="332"/>
      <c r="J943" s="332"/>
      <c r="K943" s="332"/>
      <c r="L943" s="332"/>
      <c r="M943" s="332"/>
      <c r="N943" s="332"/>
      <c r="O943" s="332"/>
      <c r="P943" s="332"/>
      <c r="Q943" s="332"/>
      <c r="R943" s="332"/>
      <c r="S943" s="332"/>
      <c r="T943" s="332"/>
      <c r="U943" s="332"/>
      <c r="V943" s="332"/>
      <c r="W943" s="332"/>
      <c r="X943" s="332"/>
      <c r="Y943" s="332"/>
      <c r="Z943" s="332"/>
    </row>
    <row r="944" ht="15.75" customHeight="1">
      <c r="A944" s="27"/>
      <c r="B944" s="27"/>
      <c r="C944" s="27"/>
      <c r="D944" s="114"/>
      <c r="E944" s="114"/>
      <c r="F944" s="27"/>
      <c r="G944" s="27"/>
      <c r="H944" s="332"/>
      <c r="I944" s="332"/>
      <c r="J944" s="332"/>
      <c r="K944" s="332"/>
      <c r="L944" s="332"/>
      <c r="M944" s="332"/>
      <c r="N944" s="332"/>
      <c r="O944" s="332"/>
      <c r="P944" s="332"/>
      <c r="Q944" s="332"/>
      <c r="R944" s="332"/>
      <c r="S944" s="332"/>
      <c r="T944" s="332"/>
      <c r="U944" s="332"/>
      <c r="V944" s="332"/>
      <c r="W944" s="332"/>
      <c r="X944" s="332"/>
      <c r="Y944" s="332"/>
      <c r="Z944" s="332"/>
    </row>
    <row r="945" ht="15.75" customHeight="1">
      <c r="A945" s="27"/>
      <c r="B945" s="27"/>
      <c r="C945" s="27"/>
      <c r="D945" s="114"/>
      <c r="E945" s="114"/>
      <c r="F945" s="27"/>
      <c r="G945" s="27"/>
      <c r="H945" s="332"/>
      <c r="I945" s="332"/>
      <c r="J945" s="332"/>
      <c r="K945" s="332"/>
      <c r="L945" s="332"/>
      <c r="M945" s="332"/>
      <c r="N945" s="332"/>
      <c r="O945" s="332"/>
      <c r="P945" s="332"/>
      <c r="Q945" s="332"/>
      <c r="R945" s="332"/>
      <c r="S945" s="332"/>
      <c r="T945" s="332"/>
      <c r="U945" s="332"/>
      <c r="V945" s="332"/>
      <c r="W945" s="332"/>
      <c r="X945" s="332"/>
      <c r="Y945" s="332"/>
      <c r="Z945" s="332"/>
    </row>
    <row r="946" ht="15.75" customHeight="1">
      <c r="A946" s="27"/>
      <c r="B946" s="27"/>
      <c r="C946" s="27"/>
      <c r="D946" s="114"/>
      <c r="E946" s="114"/>
      <c r="F946" s="27"/>
      <c r="G946" s="27"/>
      <c r="H946" s="332"/>
      <c r="I946" s="332"/>
      <c r="J946" s="332"/>
      <c r="K946" s="332"/>
      <c r="L946" s="332"/>
      <c r="M946" s="332"/>
      <c r="N946" s="332"/>
      <c r="O946" s="332"/>
      <c r="P946" s="332"/>
      <c r="Q946" s="332"/>
      <c r="R946" s="332"/>
      <c r="S946" s="332"/>
      <c r="T946" s="332"/>
      <c r="U946" s="332"/>
      <c r="V946" s="332"/>
      <c r="W946" s="332"/>
      <c r="X946" s="332"/>
      <c r="Y946" s="332"/>
      <c r="Z946" s="332"/>
    </row>
    <row r="947" ht="15.75" customHeight="1">
      <c r="A947" s="27"/>
      <c r="B947" s="27"/>
      <c r="C947" s="27"/>
      <c r="D947" s="114"/>
      <c r="E947" s="114"/>
      <c r="F947" s="27"/>
      <c r="G947" s="27"/>
      <c r="H947" s="332"/>
      <c r="I947" s="332"/>
      <c r="J947" s="332"/>
      <c r="K947" s="332"/>
      <c r="L947" s="332"/>
      <c r="M947" s="332"/>
      <c r="N947" s="332"/>
      <c r="O947" s="332"/>
      <c r="P947" s="332"/>
      <c r="Q947" s="332"/>
      <c r="R947" s="332"/>
      <c r="S947" s="332"/>
      <c r="T947" s="332"/>
      <c r="U947" s="332"/>
      <c r="V947" s="332"/>
      <c r="W947" s="332"/>
      <c r="X947" s="332"/>
      <c r="Y947" s="332"/>
      <c r="Z947" s="332"/>
    </row>
    <row r="948" ht="15.75" customHeight="1">
      <c r="A948" s="27"/>
      <c r="B948" s="27"/>
      <c r="C948" s="27"/>
      <c r="D948" s="114"/>
      <c r="E948" s="114"/>
      <c r="F948" s="27"/>
      <c r="G948" s="27"/>
      <c r="H948" s="332"/>
      <c r="I948" s="332"/>
      <c r="J948" s="332"/>
      <c r="K948" s="332"/>
      <c r="L948" s="332"/>
      <c r="M948" s="332"/>
      <c r="N948" s="332"/>
      <c r="O948" s="332"/>
      <c r="P948" s="332"/>
      <c r="Q948" s="332"/>
      <c r="R948" s="332"/>
      <c r="S948" s="332"/>
      <c r="T948" s="332"/>
      <c r="U948" s="332"/>
      <c r="V948" s="332"/>
      <c r="W948" s="332"/>
      <c r="X948" s="332"/>
      <c r="Y948" s="332"/>
      <c r="Z948" s="332"/>
    </row>
    <row r="949" ht="15.75" customHeight="1">
      <c r="A949" s="27"/>
      <c r="B949" s="27"/>
      <c r="C949" s="27"/>
      <c r="D949" s="114"/>
      <c r="E949" s="114"/>
      <c r="F949" s="27"/>
      <c r="G949" s="27"/>
      <c r="H949" s="332"/>
      <c r="I949" s="332"/>
      <c r="J949" s="332"/>
      <c r="K949" s="332"/>
      <c r="L949" s="332"/>
      <c r="M949" s="332"/>
      <c r="N949" s="332"/>
      <c r="O949" s="332"/>
      <c r="P949" s="332"/>
      <c r="Q949" s="332"/>
      <c r="R949" s="332"/>
      <c r="S949" s="332"/>
      <c r="T949" s="332"/>
      <c r="U949" s="332"/>
      <c r="V949" s="332"/>
      <c r="W949" s="332"/>
      <c r="X949" s="332"/>
      <c r="Y949" s="332"/>
      <c r="Z949" s="332"/>
    </row>
    <row r="950" ht="15.75" customHeight="1">
      <c r="A950" s="27"/>
      <c r="B950" s="27"/>
      <c r="C950" s="27"/>
      <c r="D950" s="114"/>
      <c r="E950" s="114"/>
      <c r="F950" s="27"/>
      <c r="G950" s="27"/>
      <c r="H950" s="332"/>
      <c r="I950" s="332"/>
      <c r="J950" s="332"/>
      <c r="K950" s="332"/>
      <c r="L950" s="332"/>
      <c r="M950" s="332"/>
      <c r="N950" s="332"/>
      <c r="O950" s="332"/>
      <c r="P950" s="332"/>
      <c r="Q950" s="332"/>
      <c r="R950" s="332"/>
      <c r="S950" s="332"/>
      <c r="T950" s="332"/>
      <c r="U950" s="332"/>
      <c r="V950" s="332"/>
      <c r="W950" s="332"/>
      <c r="X950" s="332"/>
      <c r="Y950" s="332"/>
      <c r="Z950" s="332"/>
    </row>
    <row r="951" ht="15.75" customHeight="1">
      <c r="A951" s="27"/>
      <c r="B951" s="27"/>
      <c r="C951" s="27"/>
      <c r="D951" s="114"/>
      <c r="E951" s="114"/>
      <c r="F951" s="27"/>
      <c r="G951" s="27"/>
      <c r="H951" s="332"/>
      <c r="I951" s="332"/>
      <c r="J951" s="332"/>
      <c r="K951" s="332"/>
      <c r="L951" s="332"/>
      <c r="M951" s="332"/>
      <c r="N951" s="332"/>
      <c r="O951" s="332"/>
      <c r="P951" s="332"/>
      <c r="Q951" s="332"/>
      <c r="R951" s="332"/>
      <c r="S951" s="332"/>
      <c r="T951" s="332"/>
      <c r="U951" s="332"/>
      <c r="V951" s="332"/>
      <c r="W951" s="332"/>
      <c r="X951" s="332"/>
      <c r="Y951" s="332"/>
      <c r="Z951" s="332"/>
    </row>
    <row r="952" ht="15.75" customHeight="1">
      <c r="A952" s="27"/>
      <c r="B952" s="27"/>
      <c r="C952" s="27"/>
      <c r="D952" s="114"/>
      <c r="E952" s="114"/>
      <c r="F952" s="27"/>
      <c r="G952" s="27"/>
      <c r="H952" s="332"/>
      <c r="I952" s="332"/>
      <c r="J952" s="332"/>
      <c r="K952" s="332"/>
      <c r="L952" s="332"/>
      <c r="M952" s="332"/>
      <c r="N952" s="332"/>
      <c r="O952" s="332"/>
      <c r="P952" s="332"/>
      <c r="Q952" s="332"/>
      <c r="R952" s="332"/>
      <c r="S952" s="332"/>
      <c r="T952" s="332"/>
      <c r="U952" s="332"/>
      <c r="V952" s="332"/>
      <c r="W952" s="332"/>
      <c r="X952" s="332"/>
      <c r="Y952" s="332"/>
      <c r="Z952" s="332"/>
    </row>
    <row r="953" ht="15.75" customHeight="1">
      <c r="A953" s="27"/>
      <c r="B953" s="27"/>
      <c r="C953" s="27"/>
      <c r="D953" s="114"/>
      <c r="E953" s="114"/>
      <c r="F953" s="27"/>
      <c r="G953" s="27"/>
      <c r="H953" s="332"/>
      <c r="I953" s="332"/>
      <c r="J953" s="332"/>
      <c r="K953" s="332"/>
      <c r="L953" s="332"/>
      <c r="M953" s="332"/>
      <c r="N953" s="332"/>
      <c r="O953" s="332"/>
      <c r="P953" s="332"/>
      <c r="Q953" s="332"/>
      <c r="R953" s="332"/>
      <c r="S953" s="332"/>
      <c r="T953" s="332"/>
      <c r="U953" s="332"/>
      <c r="V953" s="332"/>
      <c r="W953" s="332"/>
      <c r="X953" s="332"/>
      <c r="Y953" s="332"/>
      <c r="Z953" s="332"/>
    </row>
    <row r="954" ht="15.75" customHeight="1">
      <c r="A954" s="27"/>
      <c r="B954" s="27"/>
      <c r="C954" s="27"/>
      <c r="D954" s="114"/>
      <c r="E954" s="114"/>
      <c r="F954" s="27"/>
      <c r="G954" s="27"/>
      <c r="H954" s="332"/>
      <c r="I954" s="332"/>
      <c r="J954" s="332"/>
      <c r="K954" s="332"/>
      <c r="L954" s="332"/>
      <c r="M954" s="332"/>
      <c r="N954" s="332"/>
      <c r="O954" s="332"/>
      <c r="P954" s="332"/>
      <c r="Q954" s="332"/>
      <c r="R954" s="332"/>
      <c r="S954" s="332"/>
      <c r="T954" s="332"/>
      <c r="U954" s="332"/>
      <c r="V954" s="332"/>
      <c r="W954" s="332"/>
      <c r="X954" s="332"/>
      <c r="Y954" s="332"/>
      <c r="Z954" s="332"/>
    </row>
    <row r="955" ht="15.75" customHeight="1">
      <c r="A955" s="27"/>
      <c r="B955" s="27"/>
      <c r="C955" s="27"/>
      <c r="D955" s="114"/>
      <c r="E955" s="114"/>
      <c r="F955" s="27"/>
      <c r="G955" s="27"/>
      <c r="H955" s="332"/>
      <c r="I955" s="332"/>
      <c r="J955" s="332"/>
      <c r="K955" s="332"/>
      <c r="L955" s="332"/>
      <c r="M955" s="332"/>
      <c r="N955" s="332"/>
      <c r="O955" s="332"/>
      <c r="P955" s="332"/>
      <c r="Q955" s="332"/>
      <c r="R955" s="332"/>
      <c r="S955" s="332"/>
      <c r="T955" s="332"/>
      <c r="U955" s="332"/>
      <c r="V955" s="332"/>
      <c r="W955" s="332"/>
      <c r="X955" s="332"/>
      <c r="Y955" s="332"/>
      <c r="Z955" s="332"/>
    </row>
    <row r="956" ht="15.75" customHeight="1">
      <c r="A956" s="27"/>
      <c r="B956" s="27"/>
      <c r="C956" s="27"/>
      <c r="D956" s="114"/>
      <c r="E956" s="114"/>
      <c r="F956" s="27"/>
      <c r="G956" s="27"/>
      <c r="H956" s="332"/>
      <c r="I956" s="332"/>
      <c r="J956" s="332"/>
      <c r="K956" s="332"/>
      <c r="L956" s="332"/>
      <c r="M956" s="332"/>
      <c r="N956" s="332"/>
      <c r="O956" s="332"/>
      <c r="P956" s="332"/>
      <c r="Q956" s="332"/>
      <c r="R956" s="332"/>
      <c r="S956" s="332"/>
      <c r="T956" s="332"/>
      <c r="U956" s="332"/>
      <c r="V956" s="332"/>
      <c r="W956" s="332"/>
      <c r="X956" s="332"/>
      <c r="Y956" s="332"/>
      <c r="Z956" s="332"/>
    </row>
    <row r="957" ht="15.75" customHeight="1">
      <c r="A957" s="27"/>
      <c r="B957" s="27"/>
      <c r="C957" s="27"/>
      <c r="D957" s="114"/>
      <c r="E957" s="114"/>
      <c r="F957" s="27"/>
      <c r="G957" s="27"/>
      <c r="H957" s="332"/>
      <c r="I957" s="332"/>
      <c r="J957" s="332"/>
      <c r="K957" s="332"/>
      <c r="L957" s="332"/>
      <c r="M957" s="332"/>
      <c r="N957" s="332"/>
      <c r="O957" s="332"/>
      <c r="P957" s="332"/>
      <c r="Q957" s="332"/>
      <c r="R957" s="332"/>
      <c r="S957" s="332"/>
      <c r="T957" s="332"/>
      <c r="U957" s="332"/>
      <c r="V957" s="332"/>
      <c r="W957" s="332"/>
      <c r="X957" s="332"/>
      <c r="Y957" s="332"/>
      <c r="Z957" s="332"/>
    </row>
    <row r="958" ht="15.75" customHeight="1">
      <c r="A958" s="27"/>
      <c r="B958" s="27"/>
      <c r="C958" s="27"/>
      <c r="D958" s="114"/>
      <c r="E958" s="114"/>
      <c r="F958" s="27"/>
      <c r="G958" s="27"/>
      <c r="H958" s="332"/>
      <c r="I958" s="332"/>
      <c r="J958" s="332"/>
      <c r="K958" s="332"/>
      <c r="L958" s="332"/>
      <c r="M958" s="332"/>
      <c r="N958" s="332"/>
      <c r="O958" s="332"/>
      <c r="P958" s="332"/>
      <c r="Q958" s="332"/>
      <c r="R958" s="332"/>
      <c r="S958" s="332"/>
      <c r="T958" s="332"/>
      <c r="U958" s="332"/>
      <c r="V958" s="332"/>
      <c r="W958" s="332"/>
      <c r="X958" s="332"/>
      <c r="Y958" s="332"/>
      <c r="Z958" s="332"/>
    </row>
    <row r="959" ht="15.75" customHeight="1">
      <c r="A959" s="27"/>
      <c r="B959" s="27"/>
      <c r="C959" s="27"/>
      <c r="D959" s="114"/>
      <c r="E959" s="114"/>
      <c r="F959" s="27"/>
      <c r="G959" s="27"/>
      <c r="H959" s="332"/>
      <c r="I959" s="332"/>
      <c r="J959" s="332"/>
      <c r="K959" s="332"/>
      <c r="L959" s="332"/>
      <c r="M959" s="332"/>
      <c r="N959" s="332"/>
      <c r="O959" s="332"/>
      <c r="P959" s="332"/>
      <c r="Q959" s="332"/>
      <c r="R959" s="332"/>
      <c r="S959" s="332"/>
      <c r="T959" s="332"/>
      <c r="U959" s="332"/>
      <c r="V959" s="332"/>
      <c r="W959" s="332"/>
      <c r="X959" s="332"/>
      <c r="Y959" s="332"/>
      <c r="Z959" s="332"/>
    </row>
    <row r="960" ht="15.75" customHeight="1">
      <c r="A960" s="27"/>
      <c r="B960" s="27"/>
      <c r="C960" s="27"/>
      <c r="D960" s="114"/>
      <c r="E960" s="114"/>
      <c r="F960" s="27"/>
      <c r="G960" s="27"/>
      <c r="H960" s="332"/>
      <c r="I960" s="332"/>
      <c r="J960" s="332"/>
      <c r="K960" s="332"/>
      <c r="L960" s="332"/>
      <c r="M960" s="332"/>
      <c r="N960" s="332"/>
      <c r="O960" s="332"/>
      <c r="P960" s="332"/>
      <c r="Q960" s="332"/>
      <c r="R960" s="332"/>
      <c r="S960" s="332"/>
      <c r="T960" s="332"/>
      <c r="U960" s="332"/>
      <c r="V960" s="332"/>
      <c r="W960" s="332"/>
      <c r="X960" s="332"/>
      <c r="Y960" s="332"/>
      <c r="Z960" s="332"/>
    </row>
    <row r="961" ht="15.75" customHeight="1">
      <c r="A961" s="27"/>
      <c r="B961" s="27"/>
      <c r="C961" s="27"/>
      <c r="D961" s="114"/>
      <c r="E961" s="114"/>
      <c r="F961" s="27"/>
      <c r="G961" s="27"/>
      <c r="H961" s="332"/>
      <c r="I961" s="332"/>
      <c r="J961" s="332"/>
      <c r="K961" s="332"/>
      <c r="L961" s="332"/>
      <c r="M961" s="332"/>
      <c r="N961" s="332"/>
      <c r="O961" s="332"/>
      <c r="P961" s="332"/>
      <c r="Q961" s="332"/>
      <c r="R961" s="332"/>
      <c r="S961" s="332"/>
      <c r="T961" s="332"/>
      <c r="U961" s="332"/>
      <c r="V961" s="332"/>
      <c r="W961" s="332"/>
      <c r="X961" s="332"/>
      <c r="Y961" s="332"/>
      <c r="Z961" s="332"/>
    </row>
    <row r="962" ht="15.75" customHeight="1">
      <c r="A962" s="27"/>
      <c r="B962" s="27"/>
      <c r="C962" s="27"/>
      <c r="D962" s="114"/>
      <c r="E962" s="114"/>
      <c r="F962" s="27"/>
      <c r="G962" s="27"/>
      <c r="H962" s="332"/>
      <c r="I962" s="332"/>
      <c r="J962" s="332"/>
      <c r="K962" s="332"/>
      <c r="L962" s="332"/>
      <c r="M962" s="332"/>
      <c r="N962" s="332"/>
      <c r="O962" s="332"/>
      <c r="P962" s="332"/>
      <c r="Q962" s="332"/>
      <c r="R962" s="332"/>
      <c r="S962" s="332"/>
      <c r="T962" s="332"/>
      <c r="U962" s="332"/>
      <c r="V962" s="332"/>
      <c r="W962" s="332"/>
      <c r="X962" s="332"/>
      <c r="Y962" s="332"/>
      <c r="Z962" s="332"/>
    </row>
    <row r="963" ht="15.75" customHeight="1">
      <c r="A963" s="27"/>
      <c r="B963" s="27"/>
      <c r="C963" s="27"/>
      <c r="D963" s="114"/>
      <c r="E963" s="114"/>
      <c r="F963" s="27"/>
      <c r="G963" s="27"/>
      <c r="H963" s="332"/>
      <c r="I963" s="332"/>
      <c r="J963" s="332"/>
      <c r="K963" s="332"/>
      <c r="L963" s="332"/>
      <c r="M963" s="332"/>
      <c r="N963" s="332"/>
      <c r="O963" s="332"/>
      <c r="P963" s="332"/>
      <c r="Q963" s="332"/>
      <c r="R963" s="332"/>
      <c r="S963" s="332"/>
      <c r="T963" s="332"/>
      <c r="U963" s="332"/>
      <c r="V963" s="332"/>
      <c r="W963" s="332"/>
      <c r="X963" s="332"/>
      <c r="Y963" s="332"/>
      <c r="Z963" s="332"/>
    </row>
    <row r="964" ht="15.75" customHeight="1">
      <c r="A964" s="27"/>
      <c r="B964" s="27"/>
      <c r="C964" s="27"/>
      <c r="D964" s="114"/>
      <c r="E964" s="114"/>
      <c r="F964" s="27"/>
      <c r="G964" s="27"/>
      <c r="H964" s="332"/>
      <c r="I964" s="332"/>
      <c r="J964" s="332"/>
      <c r="K964" s="332"/>
      <c r="L964" s="332"/>
      <c r="M964" s="332"/>
      <c r="N964" s="332"/>
      <c r="O964" s="332"/>
      <c r="P964" s="332"/>
      <c r="Q964" s="332"/>
      <c r="R964" s="332"/>
      <c r="S964" s="332"/>
      <c r="T964" s="332"/>
      <c r="U964" s="332"/>
      <c r="V964" s="332"/>
      <c r="W964" s="332"/>
      <c r="X964" s="332"/>
      <c r="Y964" s="332"/>
      <c r="Z964" s="332"/>
    </row>
    <row r="965" ht="15.75" customHeight="1">
      <c r="A965" s="27"/>
      <c r="B965" s="27"/>
      <c r="C965" s="27"/>
      <c r="D965" s="114"/>
      <c r="E965" s="114"/>
      <c r="F965" s="27"/>
      <c r="G965" s="27"/>
      <c r="H965" s="332"/>
      <c r="I965" s="332"/>
      <c r="J965" s="332"/>
      <c r="K965" s="332"/>
      <c r="L965" s="332"/>
      <c r="M965" s="332"/>
      <c r="N965" s="332"/>
      <c r="O965" s="332"/>
      <c r="P965" s="332"/>
      <c r="Q965" s="332"/>
      <c r="R965" s="332"/>
      <c r="S965" s="332"/>
      <c r="T965" s="332"/>
      <c r="U965" s="332"/>
      <c r="V965" s="332"/>
      <c r="W965" s="332"/>
      <c r="X965" s="332"/>
      <c r="Y965" s="332"/>
      <c r="Z965" s="332"/>
    </row>
    <row r="966" ht="15.75" customHeight="1">
      <c r="A966" s="27"/>
      <c r="B966" s="27"/>
      <c r="C966" s="27"/>
      <c r="D966" s="114"/>
      <c r="E966" s="114"/>
      <c r="F966" s="27"/>
      <c r="G966" s="27"/>
      <c r="H966" s="332"/>
      <c r="I966" s="332"/>
      <c r="J966" s="332"/>
      <c r="K966" s="332"/>
      <c r="L966" s="332"/>
      <c r="M966" s="332"/>
      <c r="N966" s="332"/>
      <c r="O966" s="332"/>
      <c r="P966" s="332"/>
      <c r="Q966" s="332"/>
      <c r="R966" s="332"/>
      <c r="S966" s="332"/>
      <c r="T966" s="332"/>
      <c r="U966" s="332"/>
      <c r="V966" s="332"/>
      <c r="W966" s="332"/>
      <c r="X966" s="332"/>
      <c r="Y966" s="332"/>
      <c r="Z966" s="332"/>
    </row>
    <row r="967" ht="15.75" customHeight="1">
      <c r="A967" s="27"/>
      <c r="B967" s="27"/>
      <c r="C967" s="27"/>
      <c r="D967" s="114"/>
      <c r="E967" s="114"/>
      <c r="F967" s="27"/>
      <c r="G967" s="27"/>
      <c r="H967" s="332"/>
      <c r="I967" s="332"/>
      <c r="J967" s="332"/>
      <c r="K967" s="332"/>
      <c r="L967" s="332"/>
      <c r="M967" s="332"/>
      <c r="N967" s="332"/>
      <c r="O967" s="332"/>
      <c r="P967" s="332"/>
      <c r="Q967" s="332"/>
      <c r="R967" s="332"/>
      <c r="S967" s="332"/>
      <c r="T967" s="332"/>
      <c r="U967" s="332"/>
      <c r="V967" s="332"/>
      <c r="W967" s="332"/>
      <c r="X967" s="332"/>
      <c r="Y967" s="332"/>
      <c r="Z967" s="332"/>
    </row>
    <row r="968" ht="15.75" customHeight="1">
      <c r="A968" s="27"/>
      <c r="B968" s="27"/>
      <c r="C968" s="27"/>
      <c r="D968" s="114"/>
      <c r="E968" s="114"/>
      <c r="F968" s="27"/>
      <c r="G968" s="27"/>
      <c r="H968" s="332"/>
      <c r="I968" s="332"/>
      <c r="J968" s="332"/>
      <c r="K968" s="332"/>
      <c r="L968" s="332"/>
      <c r="M968" s="332"/>
      <c r="N968" s="332"/>
      <c r="O968" s="332"/>
      <c r="P968" s="332"/>
      <c r="Q968" s="332"/>
      <c r="R968" s="332"/>
      <c r="S968" s="332"/>
      <c r="T968" s="332"/>
      <c r="U968" s="332"/>
      <c r="V968" s="332"/>
      <c r="W968" s="332"/>
      <c r="X968" s="332"/>
      <c r="Y968" s="332"/>
      <c r="Z968" s="332"/>
    </row>
    <row r="969" ht="15.75" customHeight="1">
      <c r="A969" s="27"/>
      <c r="B969" s="27"/>
      <c r="C969" s="27"/>
      <c r="D969" s="114"/>
      <c r="E969" s="114"/>
      <c r="F969" s="27"/>
      <c r="G969" s="27"/>
      <c r="H969" s="332"/>
      <c r="I969" s="332"/>
      <c r="J969" s="332"/>
      <c r="K969" s="332"/>
      <c r="L969" s="332"/>
      <c r="M969" s="332"/>
      <c r="N969" s="332"/>
      <c r="O969" s="332"/>
      <c r="P969" s="332"/>
      <c r="Q969" s="332"/>
      <c r="R969" s="332"/>
      <c r="S969" s="332"/>
      <c r="T969" s="332"/>
      <c r="U969" s="332"/>
      <c r="V969" s="332"/>
      <c r="W969" s="332"/>
      <c r="X969" s="332"/>
      <c r="Y969" s="332"/>
      <c r="Z969" s="332"/>
    </row>
    <row r="970" ht="15.75" customHeight="1">
      <c r="A970" s="27"/>
      <c r="B970" s="27"/>
      <c r="C970" s="27"/>
      <c r="D970" s="114"/>
      <c r="E970" s="114"/>
      <c r="F970" s="27"/>
      <c r="G970" s="27"/>
      <c r="H970" s="332"/>
      <c r="I970" s="332"/>
      <c r="J970" s="332"/>
      <c r="K970" s="332"/>
      <c r="L970" s="332"/>
      <c r="M970" s="332"/>
      <c r="N970" s="332"/>
      <c r="O970" s="332"/>
      <c r="P970" s="332"/>
      <c r="Q970" s="332"/>
      <c r="R970" s="332"/>
      <c r="S970" s="332"/>
      <c r="T970" s="332"/>
      <c r="U970" s="332"/>
      <c r="V970" s="332"/>
      <c r="W970" s="332"/>
      <c r="X970" s="332"/>
      <c r="Y970" s="332"/>
      <c r="Z970" s="332"/>
    </row>
    <row r="971" ht="15.75" customHeight="1">
      <c r="A971" s="27"/>
      <c r="B971" s="27"/>
      <c r="C971" s="27"/>
      <c r="D971" s="114"/>
      <c r="E971" s="114"/>
      <c r="F971" s="27"/>
      <c r="G971" s="27"/>
      <c r="H971" s="332"/>
      <c r="I971" s="332"/>
      <c r="J971" s="332"/>
      <c r="K971" s="332"/>
      <c r="L971" s="332"/>
      <c r="M971" s="332"/>
      <c r="N971" s="332"/>
      <c r="O971" s="332"/>
      <c r="P971" s="332"/>
      <c r="Q971" s="332"/>
      <c r="R971" s="332"/>
      <c r="S971" s="332"/>
      <c r="T971" s="332"/>
      <c r="U971" s="332"/>
      <c r="V971" s="332"/>
      <c r="W971" s="332"/>
      <c r="X971" s="332"/>
      <c r="Y971" s="332"/>
      <c r="Z971" s="332"/>
    </row>
    <row r="972" ht="15.75" customHeight="1">
      <c r="A972" s="27"/>
      <c r="B972" s="27"/>
      <c r="C972" s="27"/>
      <c r="D972" s="114"/>
      <c r="E972" s="114"/>
      <c r="F972" s="27"/>
      <c r="G972" s="27"/>
      <c r="H972" s="332"/>
      <c r="I972" s="332"/>
      <c r="J972" s="332"/>
      <c r="K972" s="332"/>
      <c r="L972" s="332"/>
      <c r="M972" s="332"/>
      <c r="N972" s="332"/>
      <c r="O972" s="332"/>
      <c r="P972" s="332"/>
      <c r="Q972" s="332"/>
      <c r="R972" s="332"/>
      <c r="S972" s="332"/>
      <c r="T972" s="332"/>
      <c r="U972" s="332"/>
      <c r="V972" s="332"/>
      <c r="W972" s="332"/>
      <c r="X972" s="332"/>
      <c r="Y972" s="332"/>
      <c r="Z972" s="332"/>
    </row>
    <row r="973" ht="15.75" customHeight="1">
      <c r="A973" s="27"/>
      <c r="B973" s="27"/>
      <c r="C973" s="27"/>
      <c r="D973" s="114"/>
      <c r="E973" s="114"/>
      <c r="F973" s="27"/>
      <c r="G973" s="27"/>
      <c r="H973" s="332"/>
      <c r="I973" s="332"/>
      <c r="J973" s="332"/>
      <c r="K973" s="332"/>
      <c r="L973" s="332"/>
      <c r="M973" s="332"/>
      <c r="N973" s="332"/>
      <c r="O973" s="332"/>
      <c r="P973" s="332"/>
      <c r="Q973" s="332"/>
      <c r="R973" s="332"/>
      <c r="S973" s="332"/>
      <c r="T973" s="332"/>
      <c r="U973" s="332"/>
      <c r="V973" s="332"/>
      <c r="W973" s="332"/>
      <c r="X973" s="332"/>
      <c r="Y973" s="332"/>
      <c r="Z973" s="332"/>
    </row>
    <row r="974" ht="15.75" customHeight="1">
      <c r="A974" s="27"/>
      <c r="B974" s="27"/>
      <c r="C974" s="27"/>
      <c r="D974" s="114"/>
      <c r="E974" s="114"/>
      <c r="F974" s="27"/>
      <c r="G974" s="27"/>
      <c r="H974" s="332"/>
      <c r="I974" s="332"/>
      <c r="J974" s="332"/>
      <c r="K974" s="332"/>
      <c r="L974" s="332"/>
      <c r="M974" s="332"/>
      <c r="N974" s="332"/>
      <c r="O974" s="332"/>
      <c r="P974" s="332"/>
      <c r="Q974" s="332"/>
      <c r="R974" s="332"/>
      <c r="S974" s="332"/>
      <c r="T974" s="332"/>
      <c r="U974" s="332"/>
      <c r="V974" s="332"/>
      <c r="W974" s="332"/>
      <c r="X974" s="332"/>
      <c r="Y974" s="332"/>
      <c r="Z974" s="332"/>
    </row>
    <row r="975" ht="15.75" customHeight="1">
      <c r="A975" s="27"/>
      <c r="B975" s="27"/>
      <c r="C975" s="27"/>
      <c r="D975" s="114"/>
      <c r="E975" s="114"/>
      <c r="F975" s="27"/>
      <c r="G975" s="27"/>
      <c r="H975" s="332"/>
      <c r="I975" s="332"/>
      <c r="J975" s="332"/>
      <c r="K975" s="332"/>
      <c r="L975" s="332"/>
      <c r="M975" s="332"/>
      <c r="N975" s="332"/>
      <c r="O975" s="332"/>
      <c r="P975" s="332"/>
      <c r="Q975" s="332"/>
      <c r="R975" s="332"/>
      <c r="S975" s="332"/>
      <c r="T975" s="332"/>
      <c r="U975" s="332"/>
      <c r="V975" s="332"/>
      <c r="W975" s="332"/>
      <c r="X975" s="332"/>
      <c r="Y975" s="332"/>
      <c r="Z975" s="332"/>
    </row>
    <row r="976" ht="15.75" customHeight="1">
      <c r="A976" s="27"/>
      <c r="B976" s="27"/>
      <c r="C976" s="27"/>
      <c r="D976" s="114"/>
      <c r="E976" s="114"/>
      <c r="F976" s="27"/>
      <c r="G976" s="27"/>
      <c r="H976" s="332"/>
      <c r="I976" s="332"/>
      <c r="J976" s="332"/>
      <c r="K976" s="332"/>
      <c r="L976" s="332"/>
      <c r="M976" s="332"/>
      <c r="N976" s="332"/>
      <c r="O976" s="332"/>
      <c r="P976" s="332"/>
      <c r="Q976" s="332"/>
      <c r="R976" s="332"/>
      <c r="S976" s="332"/>
      <c r="T976" s="332"/>
      <c r="U976" s="332"/>
      <c r="V976" s="332"/>
      <c r="W976" s="332"/>
      <c r="X976" s="332"/>
      <c r="Y976" s="332"/>
      <c r="Z976" s="332"/>
    </row>
    <row r="977" ht="15.75" customHeight="1">
      <c r="A977" s="27"/>
      <c r="B977" s="27"/>
      <c r="C977" s="27"/>
      <c r="D977" s="114"/>
      <c r="E977" s="114"/>
      <c r="F977" s="27"/>
      <c r="G977" s="27"/>
      <c r="H977" s="332"/>
      <c r="I977" s="332"/>
      <c r="J977" s="332"/>
      <c r="K977" s="332"/>
      <c r="L977" s="332"/>
      <c r="M977" s="332"/>
      <c r="N977" s="332"/>
      <c r="O977" s="332"/>
      <c r="P977" s="332"/>
      <c r="Q977" s="332"/>
      <c r="R977" s="332"/>
      <c r="S977" s="332"/>
      <c r="T977" s="332"/>
      <c r="U977" s="332"/>
      <c r="V977" s="332"/>
      <c r="W977" s="332"/>
      <c r="X977" s="332"/>
      <c r="Y977" s="332"/>
      <c r="Z977" s="332"/>
    </row>
    <row r="978" ht="15.75" customHeight="1">
      <c r="A978" s="27"/>
      <c r="B978" s="27"/>
      <c r="C978" s="27"/>
      <c r="D978" s="114"/>
      <c r="E978" s="114"/>
      <c r="F978" s="27"/>
      <c r="G978" s="27"/>
      <c r="H978" s="332"/>
      <c r="I978" s="332"/>
      <c r="J978" s="332"/>
      <c r="K978" s="332"/>
      <c r="L978" s="332"/>
      <c r="M978" s="332"/>
      <c r="N978" s="332"/>
      <c r="O978" s="332"/>
      <c r="P978" s="332"/>
      <c r="Q978" s="332"/>
      <c r="R978" s="332"/>
      <c r="S978" s="332"/>
      <c r="T978" s="332"/>
      <c r="U978" s="332"/>
      <c r="V978" s="332"/>
      <c r="W978" s="332"/>
      <c r="X978" s="332"/>
      <c r="Y978" s="332"/>
      <c r="Z978" s="332"/>
    </row>
    <row r="979" ht="15.75" customHeight="1">
      <c r="A979" s="27"/>
      <c r="B979" s="27"/>
      <c r="C979" s="27"/>
      <c r="D979" s="114"/>
      <c r="E979" s="114"/>
      <c r="F979" s="27"/>
      <c r="G979" s="27"/>
      <c r="H979" s="332"/>
      <c r="I979" s="332"/>
      <c r="J979" s="332"/>
      <c r="K979" s="332"/>
      <c r="L979" s="332"/>
      <c r="M979" s="332"/>
      <c r="N979" s="332"/>
      <c r="O979" s="332"/>
      <c r="P979" s="332"/>
      <c r="Q979" s="332"/>
      <c r="R979" s="332"/>
      <c r="S979" s="332"/>
      <c r="T979" s="332"/>
      <c r="U979" s="332"/>
      <c r="V979" s="332"/>
      <c r="W979" s="332"/>
      <c r="X979" s="332"/>
      <c r="Y979" s="332"/>
      <c r="Z979" s="332"/>
    </row>
    <row r="980" ht="15.75" customHeight="1">
      <c r="A980" s="27"/>
      <c r="B980" s="27"/>
      <c r="C980" s="27"/>
      <c r="D980" s="114"/>
      <c r="E980" s="114"/>
      <c r="F980" s="27"/>
      <c r="G980" s="27"/>
      <c r="H980" s="332"/>
      <c r="I980" s="332"/>
      <c r="J980" s="332"/>
      <c r="K980" s="332"/>
      <c r="L980" s="332"/>
      <c r="M980" s="332"/>
      <c r="N980" s="332"/>
      <c r="O980" s="332"/>
      <c r="P980" s="332"/>
      <c r="Q980" s="332"/>
      <c r="R980" s="332"/>
      <c r="S980" s="332"/>
      <c r="T980" s="332"/>
      <c r="U980" s="332"/>
      <c r="V980" s="332"/>
      <c r="W980" s="332"/>
      <c r="X980" s="332"/>
      <c r="Y980" s="332"/>
      <c r="Z980" s="332"/>
    </row>
    <row r="981" ht="15.75" customHeight="1">
      <c r="A981" s="27"/>
      <c r="B981" s="27"/>
      <c r="C981" s="27"/>
      <c r="D981" s="114"/>
      <c r="E981" s="114"/>
      <c r="F981" s="27"/>
      <c r="G981" s="27"/>
      <c r="H981" s="332"/>
      <c r="I981" s="332"/>
      <c r="J981" s="332"/>
      <c r="K981" s="332"/>
      <c r="L981" s="332"/>
      <c r="M981" s="332"/>
      <c r="N981" s="332"/>
      <c r="O981" s="332"/>
      <c r="P981" s="332"/>
      <c r="Q981" s="332"/>
      <c r="R981" s="332"/>
      <c r="S981" s="332"/>
      <c r="T981" s="332"/>
      <c r="U981" s="332"/>
      <c r="V981" s="332"/>
      <c r="W981" s="332"/>
      <c r="X981" s="332"/>
      <c r="Y981" s="332"/>
      <c r="Z981" s="332"/>
    </row>
    <row r="982" ht="15.75" customHeight="1">
      <c r="A982" s="27"/>
      <c r="B982" s="27"/>
      <c r="C982" s="27"/>
      <c r="D982" s="114"/>
      <c r="E982" s="114"/>
      <c r="F982" s="27"/>
      <c r="G982" s="27"/>
      <c r="H982" s="332"/>
      <c r="I982" s="332"/>
      <c r="J982" s="332"/>
      <c r="K982" s="332"/>
      <c r="L982" s="332"/>
      <c r="M982" s="332"/>
      <c r="N982" s="332"/>
      <c r="O982" s="332"/>
      <c r="P982" s="332"/>
      <c r="Q982" s="332"/>
      <c r="R982" s="332"/>
      <c r="S982" s="332"/>
      <c r="T982" s="332"/>
      <c r="U982" s="332"/>
      <c r="V982" s="332"/>
      <c r="W982" s="332"/>
      <c r="X982" s="332"/>
      <c r="Y982" s="332"/>
      <c r="Z982" s="332"/>
    </row>
    <row r="983" ht="15.75" customHeight="1">
      <c r="A983" s="27"/>
      <c r="B983" s="27"/>
      <c r="C983" s="27"/>
      <c r="D983" s="114"/>
      <c r="E983" s="114"/>
      <c r="F983" s="27"/>
      <c r="G983" s="27"/>
      <c r="H983" s="332"/>
      <c r="I983" s="332"/>
      <c r="J983" s="332"/>
      <c r="K983" s="332"/>
      <c r="L983" s="332"/>
      <c r="M983" s="332"/>
      <c r="N983" s="332"/>
      <c r="O983" s="332"/>
      <c r="P983" s="332"/>
      <c r="Q983" s="332"/>
      <c r="R983" s="332"/>
      <c r="S983" s="332"/>
      <c r="T983" s="332"/>
      <c r="U983" s="332"/>
      <c r="V983" s="332"/>
      <c r="W983" s="332"/>
      <c r="X983" s="332"/>
      <c r="Y983" s="332"/>
      <c r="Z983" s="332"/>
    </row>
    <row r="984" ht="15.75" customHeight="1">
      <c r="A984" s="27"/>
      <c r="B984" s="27"/>
      <c r="C984" s="27"/>
      <c r="D984" s="114"/>
      <c r="E984" s="114"/>
      <c r="F984" s="27"/>
      <c r="G984" s="27"/>
      <c r="H984" s="332"/>
      <c r="I984" s="332"/>
      <c r="J984" s="332"/>
      <c r="K984" s="332"/>
      <c r="L984" s="332"/>
      <c r="M984" s="332"/>
      <c r="N984" s="332"/>
      <c r="O984" s="332"/>
      <c r="P984" s="332"/>
      <c r="Q984" s="332"/>
      <c r="R984" s="332"/>
      <c r="S984" s="332"/>
      <c r="T984" s="332"/>
      <c r="U984" s="332"/>
      <c r="V984" s="332"/>
      <c r="W984" s="332"/>
      <c r="X984" s="332"/>
      <c r="Y984" s="332"/>
      <c r="Z984" s="332"/>
    </row>
    <row r="985" ht="15.75" customHeight="1">
      <c r="A985" s="27"/>
      <c r="B985" s="27"/>
      <c r="C985" s="27"/>
      <c r="D985" s="114"/>
      <c r="E985" s="114"/>
      <c r="F985" s="27"/>
      <c r="G985" s="27"/>
      <c r="H985" s="332"/>
      <c r="I985" s="332"/>
      <c r="J985" s="332"/>
      <c r="K985" s="332"/>
      <c r="L985" s="332"/>
      <c r="M985" s="332"/>
      <c r="N985" s="332"/>
      <c r="O985" s="332"/>
      <c r="P985" s="332"/>
      <c r="Q985" s="332"/>
      <c r="R985" s="332"/>
      <c r="S985" s="332"/>
      <c r="T985" s="332"/>
      <c r="U985" s="332"/>
      <c r="V985" s="332"/>
      <c r="W985" s="332"/>
      <c r="X985" s="332"/>
      <c r="Y985" s="332"/>
      <c r="Z985" s="332"/>
    </row>
    <row r="986" ht="15.75" customHeight="1">
      <c r="A986" s="27"/>
      <c r="B986" s="27"/>
      <c r="C986" s="27"/>
      <c r="D986" s="114"/>
      <c r="E986" s="114"/>
      <c r="F986" s="27"/>
      <c r="G986" s="27"/>
      <c r="H986" s="332"/>
      <c r="I986" s="332"/>
      <c r="J986" s="332"/>
      <c r="K986" s="332"/>
      <c r="L986" s="332"/>
      <c r="M986" s="332"/>
      <c r="N986" s="332"/>
      <c r="O986" s="332"/>
      <c r="P986" s="332"/>
      <c r="Q986" s="332"/>
      <c r="R986" s="332"/>
      <c r="S986" s="332"/>
      <c r="T986" s="332"/>
      <c r="U986" s="332"/>
      <c r="V986" s="332"/>
      <c r="W986" s="332"/>
      <c r="X986" s="332"/>
      <c r="Y986" s="332"/>
      <c r="Z986" s="332"/>
    </row>
    <row r="987" ht="15.75" customHeight="1">
      <c r="A987" s="27"/>
      <c r="B987" s="27"/>
      <c r="C987" s="27"/>
      <c r="D987" s="114"/>
      <c r="E987" s="114"/>
      <c r="F987" s="27"/>
      <c r="G987" s="27"/>
      <c r="H987" s="332"/>
      <c r="I987" s="332"/>
      <c r="J987" s="332"/>
      <c r="K987" s="332"/>
      <c r="L987" s="332"/>
      <c r="M987" s="332"/>
      <c r="N987" s="332"/>
      <c r="O987" s="332"/>
      <c r="P987" s="332"/>
      <c r="Q987" s="332"/>
      <c r="R987" s="332"/>
      <c r="S987" s="332"/>
      <c r="T987" s="332"/>
      <c r="U987" s="332"/>
      <c r="V987" s="332"/>
      <c r="W987" s="332"/>
      <c r="X987" s="332"/>
      <c r="Y987" s="332"/>
      <c r="Z987" s="332"/>
    </row>
    <row r="988" ht="15.75" customHeight="1">
      <c r="A988" s="27"/>
      <c r="B988" s="27"/>
      <c r="C988" s="27"/>
      <c r="D988" s="114"/>
      <c r="E988" s="114"/>
      <c r="F988" s="27"/>
      <c r="G988" s="27"/>
      <c r="H988" s="332"/>
      <c r="I988" s="332"/>
      <c r="J988" s="332"/>
      <c r="K988" s="332"/>
      <c r="L988" s="332"/>
      <c r="M988" s="332"/>
      <c r="N988" s="332"/>
      <c r="O988" s="332"/>
      <c r="P988" s="332"/>
      <c r="Q988" s="332"/>
      <c r="R988" s="332"/>
      <c r="S988" s="332"/>
      <c r="T988" s="332"/>
      <c r="U988" s="332"/>
      <c r="V988" s="332"/>
      <c r="W988" s="332"/>
      <c r="X988" s="332"/>
      <c r="Y988" s="332"/>
      <c r="Z988" s="332"/>
    </row>
    <row r="989" ht="15.75" customHeight="1">
      <c r="A989" s="27"/>
      <c r="B989" s="27"/>
      <c r="C989" s="27"/>
      <c r="D989" s="114"/>
      <c r="E989" s="114"/>
      <c r="F989" s="27"/>
      <c r="G989" s="27"/>
      <c r="H989" s="332"/>
      <c r="I989" s="332"/>
      <c r="J989" s="332"/>
      <c r="K989" s="332"/>
      <c r="L989" s="332"/>
      <c r="M989" s="332"/>
      <c r="N989" s="332"/>
      <c r="O989" s="332"/>
      <c r="P989" s="332"/>
      <c r="Q989" s="332"/>
      <c r="R989" s="332"/>
      <c r="S989" s="332"/>
      <c r="T989" s="332"/>
      <c r="U989" s="332"/>
      <c r="V989" s="332"/>
      <c r="W989" s="332"/>
      <c r="X989" s="332"/>
      <c r="Y989" s="332"/>
      <c r="Z989" s="332"/>
    </row>
    <row r="990" ht="15.75" customHeight="1">
      <c r="A990" s="27"/>
      <c r="B990" s="27"/>
      <c r="C990" s="27"/>
      <c r="D990" s="114"/>
      <c r="E990" s="114"/>
      <c r="F990" s="27"/>
      <c r="G990" s="27"/>
      <c r="H990" s="332"/>
      <c r="I990" s="332"/>
      <c r="J990" s="332"/>
      <c r="K990" s="332"/>
      <c r="L990" s="332"/>
      <c r="M990" s="332"/>
      <c r="N990" s="332"/>
      <c r="O990" s="332"/>
      <c r="P990" s="332"/>
      <c r="Q990" s="332"/>
      <c r="R990" s="332"/>
      <c r="S990" s="332"/>
      <c r="T990" s="332"/>
      <c r="U990" s="332"/>
      <c r="V990" s="332"/>
      <c r="W990" s="332"/>
      <c r="X990" s="332"/>
      <c r="Y990" s="332"/>
      <c r="Z990" s="332"/>
    </row>
    <row r="991" ht="15.75" customHeight="1">
      <c r="A991" s="27"/>
      <c r="B991" s="27"/>
      <c r="C991" s="27"/>
      <c r="D991" s="114"/>
      <c r="E991" s="114"/>
      <c r="F991" s="27"/>
      <c r="G991" s="27"/>
      <c r="H991" s="332"/>
      <c r="I991" s="332"/>
      <c r="J991" s="332"/>
      <c r="K991" s="332"/>
      <c r="L991" s="332"/>
      <c r="M991" s="332"/>
      <c r="N991" s="332"/>
      <c r="O991" s="332"/>
      <c r="P991" s="332"/>
      <c r="Q991" s="332"/>
      <c r="R991" s="332"/>
      <c r="S991" s="332"/>
      <c r="T991" s="332"/>
      <c r="U991" s="332"/>
      <c r="V991" s="332"/>
      <c r="W991" s="332"/>
      <c r="X991" s="332"/>
      <c r="Y991" s="332"/>
      <c r="Z991" s="332"/>
    </row>
    <row r="992" ht="15.75" customHeight="1">
      <c r="A992" s="27"/>
      <c r="B992" s="27"/>
      <c r="C992" s="27"/>
      <c r="D992" s="114"/>
      <c r="E992" s="114"/>
      <c r="F992" s="27"/>
      <c r="G992" s="27"/>
      <c r="H992" s="332"/>
      <c r="I992" s="332"/>
      <c r="J992" s="332"/>
      <c r="K992" s="332"/>
      <c r="L992" s="332"/>
      <c r="M992" s="332"/>
      <c r="N992" s="332"/>
      <c r="O992" s="332"/>
      <c r="P992" s="332"/>
      <c r="Q992" s="332"/>
      <c r="R992" s="332"/>
      <c r="S992" s="332"/>
      <c r="T992" s="332"/>
      <c r="U992" s="332"/>
      <c r="V992" s="332"/>
      <c r="W992" s="332"/>
      <c r="X992" s="332"/>
      <c r="Y992" s="332"/>
      <c r="Z992" s="332"/>
    </row>
    <row r="993" ht="15.75" customHeight="1">
      <c r="A993" s="27"/>
      <c r="B993" s="27"/>
      <c r="C993" s="27"/>
      <c r="D993" s="114"/>
      <c r="E993" s="114"/>
      <c r="F993" s="27"/>
      <c r="G993" s="27"/>
      <c r="H993" s="332"/>
      <c r="I993" s="332"/>
      <c r="J993" s="332"/>
      <c r="K993" s="332"/>
      <c r="L993" s="332"/>
      <c r="M993" s="332"/>
      <c r="N993" s="332"/>
      <c r="O993" s="332"/>
      <c r="P993" s="332"/>
      <c r="Q993" s="332"/>
      <c r="R993" s="332"/>
      <c r="S993" s="332"/>
      <c r="T993" s="332"/>
      <c r="U993" s="332"/>
      <c r="V993" s="332"/>
      <c r="W993" s="332"/>
      <c r="X993" s="332"/>
      <c r="Y993" s="332"/>
      <c r="Z993" s="332"/>
    </row>
  </sheetData>
  <conditionalFormatting sqref="D6:Z8 D11:Z14 D17:Z18 D20:Z22 D24:Z25 D27:Z28 D30:Z30 D32:Z32 D34:Z36 D38:Z38 D40:Z43 D45:Z45 D48:Z50 D52:Z55 D57:Z62 D65:Z66 D68:Z71 D74:Z993">
    <cfRule type="containsText" dxfId="1" priority="1" operator="containsText" text="Mayor a 5">
      <formula>NOT(ISERROR(SEARCH(("Mayor a 5"),(D6))))</formula>
    </cfRule>
  </conditionalFormatting>
  <conditionalFormatting sqref="D6:Z8 D11:Z14 D17:Z18 D20:Z22 D24:Z25 D27:Z28 D30:Z30 D32:Z32 D34:Z36 D38:Z38 D40:Z43 D45:Z45 D48:Z50 D52:Z55 D57:Z62 D65:Z66 D68:Z71 D74:Z993">
    <cfRule type="containsText" dxfId="2" priority="2" operator="containsText" text="Menor a 5">
      <formula>NOT(ISERROR(SEARCH(("Menor a 5"),(D6))))</formula>
    </cfRule>
  </conditionalFormatting>
  <conditionalFormatting sqref="D6:Z8 D11:Z14 D17:Z18 D20:Z22 D24:Z25 D27:Z28 D30:Z30 D32:Z32 D34:Z36 D38:Z38 D40:Z43 D45:Z45 D48:Z50 D52:Z55 D57:Z62 D65:Z66 D68:Z71 D74:Z993">
    <cfRule type="containsText" dxfId="3" priority="3" operator="containsText" text="Sin stock">
      <formula>NOT(ISERROR(SEARCH(("Sin stock"),(D6))))</formula>
    </cfRule>
  </conditionalFormatting>
  <hyperlinks>
    <hyperlink r:id="rId1" ref="B4"/>
    <hyperlink r:id="rId2" ref="B6"/>
    <hyperlink r:id="rId3" ref="B7"/>
    <hyperlink r:id="rId4" ref="B8"/>
    <hyperlink r:id="rId5" ref="B9"/>
    <hyperlink r:id="rId6" ref="B11"/>
    <hyperlink r:id="rId7" ref="B12"/>
    <hyperlink r:id="rId8" ref="B13"/>
    <hyperlink r:id="rId9" ref="B14"/>
    <hyperlink r:id="rId10" ref="B17"/>
    <hyperlink r:id="rId11" ref="B18"/>
    <hyperlink r:id="rId12" ref="B20"/>
    <hyperlink r:id="rId13" ref="B21"/>
    <hyperlink r:id="rId14" ref="B22"/>
    <hyperlink r:id="rId15" ref="B24"/>
    <hyperlink r:id="rId16" ref="B25"/>
    <hyperlink r:id="rId17" ref="B27"/>
    <hyperlink r:id="rId18" ref="B28"/>
    <hyperlink r:id="rId19" ref="B30"/>
    <hyperlink r:id="rId20" ref="B32"/>
    <hyperlink r:id="rId21" ref="B34"/>
    <hyperlink r:id="rId22" ref="B35"/>
    <hyperlink r:id="rId23" ref="B36"/>
    <hyperlink r:id="rId24" ref="B38"/>
    <hyperlink r:id="rId25" ref="B40"/>
    <hyperlink r:id="rId26" ref="B41"/>
    <hyperlink r:id="rId27" ref="B42"/>
    <hyperlink r:id="rId28" ref="B43"/>
    <hyperlink r:id="rId29" ref="B45"/>
    <hyperlink r:id="rId30" ref="B48"/>
    <hyperlink r:id="rId31" ref="B49"/>
    <hyperlink r:id="rId32" ref="B50"/>
    <hyperlink r:id="rId33" ref="B52"/>
    <hyperlink r:id="rId34" ref="B53"/>
    <hyperlink r:id="rId35" ref="B54"/>
    <hyperlink r:id="rId36" ref="B55"/>
    <hyperlink r:id="rId37" ref="B57"/>
    <hyperlink r:id="rId38" ref="B58"/>
    <hyperlink r:id="rId39" ref="B59"/>
    <hyperlink r:id="rId40" ref="B60"/>
    <hyperlink r:id="rId41" ref="B61"/>
    <hyperlink r:id="rId42" ref="B62"/>
    <hyperlink r:id="rId43" ref="B65"/>
    <hyperlink r:id="rId44" ref="B66"/>
    <hyperlink r:id="rId45" ref="B68"/>
    <hyperlink r:id="rId46" ref="B69"/>
    <hyperlink r:id="rId47" ref="B70"/>
    <hyperlink r:id="rId48" ref="B71"/>
    <hyperlink r:id="rId49" ref="B74"/>
    <hyperlink r:id="rId50" ref="B75"/>
    <hyperlink r:id="rId51" ref="B76"/>
    <hyperlink r:id="rId52" ref="B77"/>
  </hyperlinks>
  <printOptions/>
  <pageMargins bottom="0.75" footer="0.0" header="0.0" left="0.7" right="0.7" top="0.75"/>
  <pageSetup orientation="landscape"/>
  <drawing r:id="rId5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pageSetUpPr/>
  </sheetPr>
  <sheetViews>
    <sheetView workbookViewId="0"/>
  </sheetViews>
  <sheetFormatPr customHeight="1" defaultColWidth="12.63" defaultRowHeight="15.0"/>
  <cols>
    <col customWidth="1" min="1" max="1" width="13.25"/>
    <col customWidth="1" min="2" max="2" width="21.5"/>
    <col customWidth="1" min="3" max="3" width="74.0"/>
    <col customWidth="1" min="4" max="4" width="15.0"/>
    <col customWidth="1" min="5" max="5" width="14.25"/>
    <col customWidth="1" min="6" max="26" width="9.25"/>
  </cols>
  <sheetData>
    <row r="1" ht="15.75" customHeight="1">
      <c r="A1" s="8" t="s">
        <v>23</v>
      </c>
      <c r="B1" s="8" t="s">
        <v>24</v>
      </c>
      <c r="C1" s="333" t="s">
        <v>26</v>
      </c>
      <c r="D1" s="26" t="s">
        <v>26</v>
      </c>
      <c r="E1" s="26" t="s">
        <v>27</v>
      </c>
      <c r="F1" s="8" t="s">
        <v>28</v>
      </c>
      <c r="G1" s="8" t="s">
        <v>29</v>
      </c>
      <c r="H1" s="312"/>
      <c r="I1" s="312"/>
      <c r="J1" s="312"/>
      <c r="K1" s="312"/>
      <c r="L1" s="312"/>
      <c r="M1" s="312"/>
      <c r="N1" s="312"/>
      <c r="O1" s="312"/>
      <c r="P1" s="312"/>
      <c r="Q1" s="312"/>
      <c r="R1" s="312"/>
      <c r="S1" s="312"/>
      <c r="T1" s="312"/>
      <c r="U1" s="312"/>
      <c r="V1" s="312"/>
      <c r="W1" s="312"/>
      <c r="X1" s="312"/>
      <c r="Y1" s="312"/>
      <c r="Z1" s="312"/>
    </row>
    <row r="2" ht="15.75" customHeight="1">
      <c r="A2" s="243" t="s">
        <v>6829</v>
      </c>
      <c r="B2" s="244"/>
      <c r="C2" s="244"/>
      <c r="D2" s="90"/>
      <c r="E2" s="90"/>
      <c r="F2" s="244"/>
      <c r="G2" s="244"/>
      <c r="H2" s="27"/>
      <c r="I2" s="27"/>
      <c r="J2" s="27"/>
      <c r="K2" s="27"/>
      <c r="L2" s="27"/>
      <c r="M2" s="27"/>
      <c r="N2" s="27"/>
      <c r="O2" s="27"/>
      <c r="P2" s="27"/>
      <c r="Q2" s="27"/>
      <c r="R2" s="27"/>
      <c r="S2" s="27"/>
      <c r="T2" s="27"/>
      <c r="U2" s="27"/>
      <c r="V2" s="27"/>
      <c r="W2" s="27"/>
      <c r="X2" s="27"/>
      <c r="Y2" s="27"/>
      <c r="Z2" s="27"/>
    </row>
    <row r="3" ht="15.75" customHeight="1">
      <c r="A3" s="28" t="s">
        <v>7038</v>
      </c>
      <c r="B3" s="31"/>
      <c r="C3" s="31"/>
      <c r="D3" s="31"/>
      <c r="E3" s="31"/>
      <c r="F3" s="31"/>
      <c r="G3" s="31"/>
      <c r="H3" s="27"/>
      <c r="I3" s="27"/>
      <c r="J3" s="27"/>
      <c r="K3" s="27"/>
      <c r="L3" s="27"/>
      <c r="M3" s="27"/>
      <c r="N3" s="27"/>
      <c r="O3" s="27"/>
      <c r="P3" s="27"/>
      <c r="Q3" s="27"/>
      <c r="R3" s="27"/>
      <c r="S3" s="27"/>
      <c r="T3" s="27"/>
      <c r="U3" s="27"/>
      <c r="V3" s="27"/>
      <c r="W3" s="27"/>
      <c r="X3" s="27"/>
      <c r="Y3" s="27"/>
      <c r="Z3" s="27"/>
    </row>
    <row r="4" ht="15.75" customHeight="1">
      <c r="A4" s="40" t="s">
        <v>7039</v>
      </c>
      <c r="B4" s="64" t="s">
        <v>7040</v>
      </c>
      <c r="C4" s="42" t="s">
        <v>7041</v>
      </c>
      <c r="D4" s="96" t="s">
        <v>7042</v>
      </c>
      <c r="E4" s="96" t="s">
        <v>7043</v>
      </c>
      <c r="F4" s="44">
        <v>0.21</v>
      </c>
      <c r="G4" s="321" t="str">
        <f>IFERROR(VLOOKUP("GPX",STOCK!$B$1:$Q$5632,3,FALSE),"SIN STOCK")</f>
        <v>Menor a 5</v>
      </c>
      <c r="H4" s="27"/>
      <c r="I4" s="27"/>
      <c r="J4" s="27"/>
      <c r="K4" s="27"/>
      <c r="L4" s="27"/>
      <c r="M4" s="27"/>
      <c r="N4" s="27"/>
      <c r="O4" s="27"/>
      <c r="P4" s="27"/>
      <c r="Q4" s="27"/>
      <c r="R4" s="27"/>
      <c r="S4" s="27"/>
      <c r="T4" s="27"/>
      <c r="U4" s="27"/>
      <c r="V4" s="27"/>
      <c r="W4" s="27"/>
      <c r="X4" s="27"/>
      <c r="Y4" s="27"/>
      <c r="Z4" s="27"/>
    </row>
    <row r="5" ht="15.75" customHeight="1">
      <c r="A5" s="33" t="s">
        <v>7039</v>
      </c>
      <c r="B5" s="65" t="s">
        <v>7044</v>
      </c>
      <c r="C5" s="34" t="s">
        <v>7045</v>
      </c>
      <c r="D5" s="101" t="s">
        <v>2068</v>
      </c>
      <c r="E5" s="101" t="s">
        <v>2068</v>
      </c>
      <c r="F5" s="37">
        <v>0.21</v>
      </c>
      <c r="G5" s="321" t="str">
        <f>IFERROR(VLOOKUP("GPXA",STOCK!$B$1:$Q$5632,3,FALSE),"SIN STOCK")</f>
        <v>Menor a 5</v>
      </c>
      <c r="H5" s="27"/>
      <c r="I5" s="27"/>
      <c r="J5" s="27"/>
      <c r="K5" s="27"/>
      <c r="L5" s="27"/>
      <c r="M5" s="27"/>
      <c r="N5" s="27"/>
      <c r="O5" s="27"/>
      <c r="P5" s="27"/>
      <c r="Q5" s="27"/>
      <c r="R5" s="27"/>
      <c r="S5" s="27"/>
      <c r="T5" s="27"/>
      <c r="U5" s="27"/>
      <c r="V5" s="27"/>
      <c r="W5" s="27"/>
      <c r="X5" s="27"/>
      <c r="Y5" s="27"/>
      <c r="Z5" s="27"/>
    </row>
    <row r="6" ht="15.75" customHeight="1">
      <c r="A6" s="40" t="s">
        <v>7039</v>
      </c>
      <c r="B6" s="41" t="s">
        <v>7046</v>
      </c>
      <c r="C6" s="42" t="s">
        <v>7047</v>
      </c>
      <c r="D6" s="96" t="s">
        <v>7048</v>
      </c>
      <c r="E6" s="96" t="s">
        <v>7049</v>
      </c>
      <c r="F6" s="44">
        <v>0.21</v>
      </c>
      <c r="G6" s="321" t="str">
        <f>IFERROR(VLOOKUP("GPX",STOCK!$B$1:$Q$5632,3,FALSE),"SIN STOCK")</f>
        <v>Menor a 5</v>
      </c>
      <c r="H6" s="27"/>
      <c r="I6" s="27"/>
      <c r="J6" s="27"/>
      <c r="K6" s="27"/>
      <c r="L6" s="27"/>
      <c r="M6" s="27"/>
      <c r="N6" s="27"/>
      <c r="O6" s="27"/>
      <c r="P6" s="27"/>
      <c r="Q6" s="27"/>
      <c r="R6" s="27"/>
      <c r="S6" s="27"/>
      <c r="T6" s="27"/>
      <c r="U6" s="27"/>
      <c r="V6" s="27"/>
      <c r="W6" s="27"/>
      <c r="X6" s="27"/>
      <c r="Y6" s="27"/>
      <c r="Z6" s="27"/>
    </row>
    <row r="7" ht="15.75" customHeight="1">
      <c r="A7" s="33" t="s">
        <v>7039</v>
      </c>
      <c r="B7" s="45" t="s">
        <v>7050</v>
      </c>
      <c r="C7" s="34" t="s">
        <v>7051</v>
      </c>
      <c r="D7" s="101" t="s">
        <v>7052</v>
      </c>
      <c r="E7" s="101" t="s">
        <v>7053</v>
      </c>
      <c r="F7" s="37">
        <v>0.21</v>
      </c>
      <c r="G7" s="321" t="str">
        <f>IFERROR(VLOOKUP("GPXA",STOCK!$B$1:$Q$5632,3,FALSE),"SIN STOCK")</f>
        <v>Menor a 5</v>
      </c>
      <c r="H7" s="27"/>
      <c r="I7" s="27"/>
      <c r="J7" s="27"/>
      <c r="K7" s="27"/>
      <c r="L7" s="27"/>
      <c r="M7" s="27"/>
      <c r="N7" s="27"/>
      <c r="O7" s="27"/>
      <c r="P7" s="27"/>
      <c r="Q7" s="27"/>
      <c r="R7" s="27"/>
      <c r="S7" s="27"/>
      <c r="T7" s="27"/>
      <c r="U7" s="27"/>
      <c r="V7" s="27"/>
      <c r="W7" s="27"/>
      <c r="X7" s="27"/>
      <c r="Y7" s="27"/>
      <c r="Z7" s="27"/>
    </row>
    <row r="8" ht="15.75" customHeight="1">
      <c r="A8" s="243" t="s">
        <v>6870</v>
      </c>
      <c r="B8" s="244"/>
      <c r="C8" s="244"/>
      <c r="D8" s="90"/>
      <c r="E8" s="90"/>
      <c r="F8" s="244"/>
      <c r="G8" s="244"/>
      <c r="H8" s="27"/>
      <c r="I8" s="27"/>
      <c r="J8" s="27"/>
      <c r="K8" s="27"/>
      <c r="L8" s="27"/>
      <c r="M8" s="27"/>
      <c r="N8" s="27"/>
      <c r="O8" s="27"/>
      <c r="P8" s="27"/>
      <c r="Q8" s="27"/>
      <c r="R8" s="27"/>
      <c r="S8" s="27"/>
      <c r="T8" s="27"/>
      <c r="U8" s="27"/>
      <c r="V8" s="27"/>
      <c r="W8" s="27"/>
      <c r="X8" s="27"/>
      <c r="Y8" s="27"/>
      <c r="Z8" s="27"/>
    </row>
    <row r="9" ht="15.75" customHeight="1">
      <c r="A9" s="28" t="s">
        <v>7054</v>
      </c>
      <c r="B9" s="31"/>
      <c r="C9" s="31"/>
      <c r="D9" s="31"/>
      <c r="E9" s="31"/>
      <c r="F9" s="31"/>
      <c r="G9" s="31"/>
      <c r="H9" s="27"/>
      <c r="I9" s="27"/>
      <c r="J9" s="27"/>
      <c r="K9" s="27"/>
      <c r="L9" s="27"/>
      <c r="M9" s="27"/>
      <c r="N9" s="27"/>
      <c r="O9" s="27"/>
      <c r="P9" s="27"/>
      <c r="Q9" s="27"/>
      <c r="R9" s="27"/>
      <c r="S9" s="27"/>
      <c r="T9" s="27"/>
      <c r="U9" s="27"/>
      <c r="V9" s="27"/>
      <c r="W9" s="27"/>
      <c r="X9" s="27"/>
      <c r="Y9" s="27"/>
      <c r="Z9" s="27"/>
    </row>
    <row r="10" ht="15.75" customHeight="1">
      <c r="A10" s="40" t="s">
        <v>7039</v>
      </c>
      <c r="B10" s="41" t="s">
        <v>7055</v>
      </c>
      <c r="C10" s="42" t="s">
        <v>7056</v>
      </c>
      <c r="D10" s="96" t="s">
        <v>7057</v>
      </c>
      <c r="E10" s="96" t="s">
        <v>7058</v>
      </c>
      <c r="F10" s="44">
        <v>0.21</v>
      </c>
      <c r="G10" s="330" t="str">
        <f>IFERROR(VLOOKUP("GH4",STOCK!$B$1:$Q$5632,3,FALSE),"SIN STOCK")</f>
        <v>Mayor a 5</v>
      </c>
      <c r="H10" s="27"/>
      <c r="I10" s="27"/>
      <c r="J10" s="27"/>
      <c r="K10" s="27"/>
      <c r="L10" s="27"/>
      <c r="M10" s="27"/>
      <c r="N10" s="27"/>
      <c r="O10" s="27"/>
      <c r="P10" s="27"/>
      <c r="Q10" s="27"/>
      <c r="R10" s="27"/>
      <c r="S10" s="27"/>
      <c r="T10" s="27"/>
      <c r="U10" s="27"/>
      <c r="V10" s="27"/>
      <c r="W10" s="27"/>
      <c r="X10" s="27"/>
      <c r="Y10" s="27"/>
      <c r="Z10" s="27"/>
    </row>
    <row r="11" ht="15.75" customHeight="1">
      <c r="A11" s="33" t="s">
        <v>7039</v>
      </c>
      <c r="B11" s="45" t="s">
        <v>7059</v>
      </c>
      <c r="C11" s="34" t="s">
        <v>7060</v>
      </c>
      <c r="D11" s="101" t="s">
        <v>7061</v>
      </c>
      <c r="E11" s="101" t="s">
        <v>7062</v>
      </c>
      <c r="F11" s="37">
        <v>0.21</v>
      </c>
      <c r="G11" s="330" t="str">
        <f>IFERROR(VLOOKUP("GH12",STOCK!$B$1:$Q$5632,3,FALSE),"SIN STOCK")</f>
        <v>Mayor a 5</v>
      </c>
      <c r="H11" s="27"/>
      <c r="I11" s="27"/>
      <c r="J11" s="27"/>
      <c r="K11" s="27"/>
      <c r="L11" s="27"/>
      <c r="M11" s="27"/>
      <c r="N11" s="27"/>
      <c r="O11" s="27"/>
      <c r="P11" s="27"/>
      <c r="Q11" s="27"/>
      <c r="R11" s="27"/>
      <c r="S11" s="27"/>
      <c r="T11" s="27"/>
      <c r="U11" s="27"/>
      <c r="V11" s="27"/>
      <c r="W11" s="27"/>
      <c r="X11" s="27"/>
      <c r="Y11" s="27"/>
      <c r="Z11" s="27"/>
    </row>
    <row r="12" ht="15.75" customHeight="1">
      <c r="A12" s="40" t="s">
        <v>7039</v>
      </c>
      <c r="B12" s="41" t="s">
        <v>7063</v>
      </c>
      <c r="C12" s="42" t="s">
        <v>7064</v>
      </c>
      <c r="D12" s="96" t="s">
        <v>7065</v>
      </c>
      <c r="E12" s="96" t="s">
        <v>7066</v>
      </c>
      <c r="F12" s="44">
        <v>0.21</v>
      </c>
      <c r="G12" s="321" t="str">
        <f>IFERROR(VLOOKUP("GH4-FLY",STOCK!$B$1:$Q$5632,3,FALSE),"SIN STOCK")</f>
        <v>Menor a 5</v>
      </c>
      <c r="H12" s="27"/>
      <c r="I12" s="27"/>
      <c r="J12" s="27"/>
      <c r="K12" s="27"/>
      <c r="L12" s="27"/>
      <c r="M12" s="27"/>
      <c r="N12" s="27"/>
      <c r="O12" s="27"/>
      <c r="P12" s="27"/>
      <c r="Q12" s="27"/>
      <c r="R12" s="27"/>
      <c r="S12" s="27"/>
      <c r="T12" s="27"/>
      <c r="U12" s="27"/>
      <c r="V12" s="27"/>
      <c r="W12" s="27"/>
      <c r="X12" s="27"/>
      <c r="Y12" s="27"/>
      <c r="Z12" s="27"/>
    </row>
    <row r="13" ht="15.75" customHeight="1">
      <c r="A13" s="33" t="s">
        <v>7039</v>
      </c>
      <c r="B13" s="45" t="s">
        <v>7067</v>
      </c>
      <c r="C13" s="34" t="s">
        <v>7068</v>
      </c>
      <c r="D13" s="101" t="s">
        <v>7069</v>
      </c>
      <c r="E13" s="101" t="s">
        <v>7070</v>
      </c>
      <c r="F13" s="37">
        <v>0.21</v>
      </c>
      <c r="G13" s="321" t="str">
        <f>IFERROR(VLOOKUP("GH4-JOINT",STOCK!$B$1:$Q$5632,3,FALSE),"SIN STOCK")</f>
        <v>Menor a 5</v>
      </c>
      <c r="H13" s="27"/>
      <c r="I13" s="27"/>
      <c r="J13" s="27"/>
      <c r="K13" s="27"/>
      <c r="L13" s="27"/>
      <c r="M13" s="27"/>
      <c r="N13" s="27"/>
      <c r="O13" s="27"/>
      <c r="P13" s="27"/>
      <c r="Q13" s="27"/>
      <c r="R13" s="27"/>
      <c r="S13" s="27"/>
      <c r="T13" s="27"/>
      <c r="U13" s="27"/>
      <c r="V13" s="27"/>
      <c r="W13" s="27"/>
      <c r="X13" s="27"/>
      <c r="Y13" s="27"/>
      <c r="Z13" s="27"/>
    </row>
    <row r="14" ht="15.75" customHeight="1">
      <c r="A14" s="40" t="s">
        <v>7039</v>
      </c>
      <c r="B14" s="41" t="s">
        <v>7071</v>
      </c>
      <c r="C14" s="42" t="s">
        <v>7072</v>
      </c>
      <c r="D14" s="96" t="s">
        <v>7073</v>
      </c>
      <c r="E14" s="96" t="s">
        <v>7074</v>
      </c>
      <c r="F14" s="44">
        <v>0.21</v>
      </c>
      <c r="G14" s="321" t="str">
        <f>IFERROR(VLOOKUP("GH4-WALL",STOCK!$B$1:$Q$5632,3,FALSE),"SIN STOCK")</f>
        <v>Menor a 5</v>
      </c>
      <c r="H14" s="27"/>
      <c r="I14" s="27"/>
      <c r="J14" s="27"/>
      <c r="K14" s="27"/>
      <c r="L14" s="27"/>
      <c r="M14" s="27"/>
      <c r="N14" s="27"/>
      <c r="O14" s="27"/>
      <c r="P14" s="27"/>
      <c r="Q14" s="27"/>
      <c r="R14" s="27"/>
      <c r="S14" s="27"/>
      <c r="T14" s="27"/>
      <c r="U14" s="27"/>
      <c r="V14" s="27"/>
      <c r="W14" s="27"/>
      <c r="X14" s="27"/>
      <c r="Y14" s="27"/>
      <c r="Z14" s="27"/>
    </row>
    <row r="15" ht="15.75" customHeight="1">
      <c r="A15" s="33" t="s">
        <v>7039</v>
      </c>
      <c r="B15" s="45" t="s">
        <v>7075</v>
      </c>
      <c r="C15" s="34" t="s">
        <v>7076</v>
      </c>
      <c r="D15" s="101" t="s">
        <v>7077</v>
      </c>
      <c r="E15" s="101" t="s">
        <v>7078</v>
      </c>
      <c r="F15" s="37">
        <v>0.21</v>
      </c>
      <c r="G15" s="321" t="str">
        <f>IFERROR(VLOOKUP("GH-FLY",STOCK!$B$1:$Q$5632,3,FALSE),"SIN STOCK")</f>
        <v>Menor a 5</v>
      </c>
      <c r="H15" s="27"/>
      <c r="I15" s="27"/>
      <c r="J15" s="27"/>
      <c r="K15" s="27"/>
      <c r="L15" s="27"/>
      <c r="M15" s="27"/>
      <c r="N15" s="27"/>
      <c r="O15" s="27"/>
      <c r="P15" s="27"/>
      <c r="Q15" s="27"/>
      <c r="R15" s="27"/>
      <c r="S15" s="27"/>
      <c r="T15" s="27"/>
      <c r="U15" s="27"/>
      <c r="V15" s="27"/>
      <c r="W15" s="27"/>
      <c r="X15" s="27"/>
      <c r="Y15" s="27"/>
      <c r="Z15" s="27"/>
    </row>
    <row r="16" ht="15.75" customHeight="1">
      <c r="A16" s="40" t="s">
        <v>7039</v>
      </c>
      <c r="B16" s="41" t="s">
        <v>7079</v>
      </c>
      <c r="C16" s="42" t="s">
        <v>7080</v>
      </c>
      <c r="D16" s="96" t="s">
        <v>7081</v>
      </c>
      <c r="E16" s="96" t="s">
        <v>7082</v>
      </c>
      <c r="F16" s="44">
        <v>0.21</v>
      </c>
      <c r="G16" s="330" t="str">
        <f>IFERROR(VLOOKUP("GH-JOINT",STOCK!$B$1:$Q$5632,3,FALSE),"SIN STOCK")</f>
        <v>Mayor a 5</v>
      </c>
      <c r="H16" s="27"/>
      <c r="I16" s="27"/>
      <c r="J16" s="27"/>
      <c r="K16" s="27"/>
      <c r="L16" s="27"/>
      <c r="M16" s="27"/>
      <c r="N16" s="27"/>
      <c r="O16" s="27"/>
      <c r="P16" s="27"/>
      <c r="Q16" s="27"/>
      <c r="R16" s="27"/>
      <c r="S16" s="27"/>
      <c r="T16" s="27"/>
      <c r="U16" s="27"/>
      <c r="V16" s="27"/>
      <c r="W16" s="27"/>
      <c r="X16" s="27"/>
      <c r="Y16" s="27"/>
      <c r="Z16" s="27"/>
    </row>
    <row r="17" ht="15.75" customHeight="1">
      <c r="A17" s="28" t="s">
        <v>7083</v>
      </c>
      <c r="B17" s="31"/>
      <c r="C17" s="31"/>
      <c r="D17" s="31"/>
      <c r="E17" s="31"/>
      <c r="F17" s="31"/>
      <c r="G17" s="31"/>
      <c r="H17" s="27"/>
      <c r="I17" s="27"/>
      <c r="J17" s="27"/>
      <c r="K17" s="27"/>
      <c r="L17" s="27"/>
      <c r="M17" s="27"/>
      <c r="N17" s="27"/>
      <c r="O17" s="27"/>
      <c r="P17" s="27"/>
      <c r="Q17" s="27"/>
      <c r="R17" s="27"/>
      <c r="S17" s="27"/>
      <c r="T17" s="27"/>
      <c r="U17" s="27"/>
      <c r="V17" s="27"/>
      <c r="W17" s="27"/>
      <c r="X17" s="27"/>
      <c r="Y17" s="27"/>
      <c r="Z17" s="27"/>
    </row>
    <row r="18" ht="15.75" customHeight="1">
      <c r="A18" s="40" t="s">
        <v>7039</v>
      </c>
      <c r="B18" s="41" t="s">
        <v>7084</v>
      </c>
      <c r="C18" s="42" t="s">
        <v>7085</v>
      </c>
      <c r="D18" s="96" t="s">
        <v>7086</v>
      </c>
      <c r="E18" s="96" t="s">
        <v>7087</v>
      </c>
      <c r="F18" s="44">
        <v>0.21</v>
      </c>
      <c r="G18" s="330" t="str">
        <f>IFERROR(VLOOKUP("GF22",STOCK!$B$1:$Q$5632,3,FALSE),"SIN STOCK")</f>
        <v>Mayor a 5</v>
      </c>
      <c r="H18" s="32"/>
      <c r="I18" s="27"/>
      <c r="J18" s="27"/>
      <c r="K18" s="27"/>
      <c r="L18" s="27"/>
      <c r="M18" s="27"/>
      <c r="N18" s="27"/>
      <c r="O18" s="27"/>
      <c r="P18" s="27"/>
      <c r="Q18" s="27"/>
      <c r="R18" s="27"/>
      <c r="S18" s="27"/>
      <c r="T18" s="27"/>
      <c r="U18" s="27"/>
      <c r="V18" s="27"/>
      <c r="W18" s="27"/>
      <c r="X18" s="27"/>
      <c r="Y18" s="27"/>
      <c r="Z18" s="27"/>
    </row>
    <row r="19" ht="15.75" customHeight="1">
      <c r="A19" s="33" t="s">
        <v>7039</v>
      </c>
      <c r="B19" s="45" t="s">
        <v>7088</v>
      </c>
      <c r="C19" s="34" t="s">
        <v>7089</v>
      </c>
      <c r="D19" s="101" t="s">
        <v>7086</v>
      </c>
      <c r="E19" s="101" t="s">
        <v>7087</v>
      </c>
      <c r="F19" s="37">
        <v>0.21</v>
      </c>
      <c r="G19" s="330" t="str">
        <f>IFERROR(VLOOKUP("GF22W",STOCK!$B$1:$Q$5632,3,FALSE),"SIN STOCK")</f>
        <v>Mayor a 5</v>
      </c>
      <c r="H19" s="27"/>
      <c r="I19" s="27"/>
      <c r="J19" s="27"/>
      <c r="K19" s="27"/>
      <c r="L19" s="27"/>
      <c r="M19" s="27"/>
      <c r="N19" s="27"/>
      <c r="O19" s="27"/>
      <c r="P19" s="27"/>
      <c r="Q19" s="27"/>
      <c r="R19" s="27"/>
      <c r="S19" s="27"/>
      <c r="T19" s="27"/>
      <c r="U19" s="27"/>
      <c r="V19" s="27"/>
      <c r="W19" s="27"/>
      <c r="X19" s="27"/>
      <c r="Y19" s="27"/>
      <c r="Z19" s="27"/>
    </row>
    <row r="20" ht="15.75" customHeight="1">
      <c r="A20" s="40" t="s">
        <v>7039</v>
      </c>
      <c r="B20" s="41" t="s">
        <v>7090</v>
      </c>
      <c r="C20" s="42" t="s">
        <v>7091</v>
      </c>
      <c r="D20" s="96" t="s">
        <v>7092</v>
      </c>
      <c r="E20" s="96" t="s">
        <v>7093</v>
      </c>
      <c r="F20" s="44">
        <v>0.21</v>
      </c>
      <c r="G20" s="321" t="str">
        <f>IFERROR(VLOOKUP("GA201",STOCK!$B$1:$Q$5632,3,FALSE),"SIN STOCK")</f>
        <v>Menor a 5</v>
      </c>
      <c r="H20" s="27"/>
      <c r="I20" s="27"/>
      <c r="J20" s="27"/>
      <c r="K20" s="27"/>
      <c r="L20" s="27"/>
      <c r="M20" s="27"/>
      <c r="N20" s="27"/>
      <c r="O20" s="27"/>
      <c r="P20" s="27"/>
      <c r="Q20" s="27"/>
      <c r="R20" s="27"/>
      <c r="S20" s="27"/>
      <c r="T20" s="27"/>
      <c r="U20" s="27"/>
      <c r="V20" s="27"/>
      <c r="W20" s="27"/>
      <c r="X20" s="27"/>
      <c r="Y20" s="27"/>
      <c r="Z20" s="27"/>
    </row>
    <row r="21" ht="15.75" customHeight="1">
      <c r="A21" s="33" t="s">
        <v>7039</v>
      </c>
      <c r="B21" s="45" t="s">
        <v>7094</v>
      </c>
      <c r="C21" s="34" t="s">
        <v>7091</v>
      </c>
      <c r="D21" s="101" t="s">
        <v>7092</v>
      </c>
      <c r="E21" s="101" t="s">
        <v>7093</v>
      </c>
      <c r="F21" s="37">
        <v>0.21</v>
      </c>
      <c r="G21" s="321" t="str">
        <f>IFERROR(VLOOKUP("GA41L",STOCK!$B$1:$Q$5632,3,FALSE),"SIN STOCK")</f>
        <v>Menor a 5</v>
      </c>
      <c r="H21" s="27"/>
      <c r="I21" s="27"/>
      <c r="J21" s="27"/>
      <c r="K21" s="27"/>
      <c r="L21" s="27"/>
      <c r="M21" s="27"/>
      <c r="N21" s="27"/>
      <c r="O21" s="27"/>
      <c r="P21" s="27"/>
      <c r="Q21" s="27"/>
      <c r="R21" s="27"/>
      <c r="S21" s="27"/>
      <c r="T21" s="27"/>
      <c r="U21" s="27"/>
      <c r="V21" s="27"/>
      <c r="W21" s="27"/>
      <c r="X21" s="27"/>
      <c r="Y21" s="27"/>
      <c r="Z21" s="27"/>
    </row>
    <row r="22" ht="15.75" customHeight="1">
      <c r="A22" s="40" t="s">
        <v>7039</v>
      </c>
      <c r="B22" s="41" t="s">
        <v>7095</v>
      </c>
      <c r="C22" s="42" t="s">
        <v>7096</v>
      </c>
      <c r="D22" s="96" t="s">
        <v>7097</v>
      </c>
      <c r="E22" s="96" t="s">
        <v>7098</v>
      </c>
      <c r="F22" s="44">
        <v>0.21</v>
      </c>
      <c r="G22" s="327" t="str">
        <f>IFERROR(VLOOKUP("GF82",STOCK!$B$1:$Q$5632,3,FALSE),"SIN STOCK")</f>
        <v>Menor a 5</v>
      </c>
      <c r="H22" s="27"/>
      <c r="I22" s="27"/>
      <c r="J22" s="27"/>
      <c r="K22" s="27"/>
      <c r="L22" s="27"/>
      <c r="M22" s="27"/>
      <c r="N22" s="27"/>
      <c r="O22" s="27"/>
      <c r="P22" s="27"/>
      <c r="Q22" s="27"/>
      <c r="R22" s="27"/>
      <c r="S22" s="27"/>
      <c r="T22" s="27"/>
      <c r="U22" s="27"/>
      <c r="V22" s="27"/>
      <c r="W22" s="27"/>
      <c r="X22" s="27"/>
      <c r="Y22" s="27"/>
      <c r="Z22" s="27"/>
    </row>
    <row r="23" ht="15.75" customHeight="1">
      <c r="A23" s="33" t="s">
        <v>7039</v>
      </c>
      <c r="B23" s="45" t="s">
        <v>7099</v>
      </c>
      <c r="C23" s="34" t="s">
        <v>7100</v>
      </c>
      <c r="D23" s="101" t="s">
        <v>7097</v>
      </c>
      <c r="E23" s="101" t="s">
        <v>7098</v>
      </c>
      <c r="F23" s="37">
        <v>0.21</v>
      </c>
      <c r="G23" s="327" t="str">
        <f>IFERROR(VLOOKUP("GF82W",STOCK!$B$1:$Q$5632,3,FALSE),"SIN STOCK")</f>
        <v>Menor a 5</v>
      </c>
      <c r="H23" s="27"/>
      <c r="I23" s="27"/>
      <c r="J23" s="27"/>
      <c r="K23" s="27"/>
      <c r="L23" s="27"/>
      <c r="M23" s="27"/>
      <c r="N23" s="27"/>
      <c r="O23" s="27"/>
      <c r="P23" s="27"/>
      <c r="Q23" s="27"/>
      <c r="R23" s="27"/>
      <c r="S23" s="27"/>
      <c r="T23" s="27"/>
      <c r="U23" s="27"/>
      <c r="V23" s="27"/>
      <c r="W23" s="27"/>
      <c r="X23" s="27"/>
      <c r="Y23" s="27"/>
      <c r="Z23" s="27"/>
    </row>
    <row r="24" ht="15.75" customHeight="1">
      <c r="A24" s="40" t="s">
        <v>7039</v>
      </c>
      <c r="B24" s="41" t="s">
        <v>7101</v>
      </c>
      <c r="C24" s="42" t="s">
        <v>7102</v>
      </c>
      <c r="D24" s="96" t="s">
        <v>7103</v>
      </c>
      <c r="E24" s="96" t="s">
        <v>7104</v>
      </c>
      <c r="F24" s="44">
        <v>0.21</v>
      </c>
      <c r="G24" s="327" t="str">
        <f>IFERROR(VLOOKUP("GF82W",STOCK!$B$1:$Q$5632,3,FALSE),"SIN STOCK")</f>
        <v>Menor a 5</v>
      </c>
      <c r="H24" s="27"/>
      <c r="I24" s="27"/>
      <c r="J24" s="27"/>
      <c r="K24" s="27"/>
      <c r="L24" s="27"/>
      <c r="M24" s="27"/>
      <c r="N24" s="27"/>
      <c r="O24" s="27"/>
      <c r="P24" s="27"/>
      <c r="Q24" s="27"/>
      <c r="R24" s="27"/>
      <c r="S24" s="27"/>
      <c r="T24" s="27"/>
      <c r="U24" s="27"/>
      <c r="V24" s="27"/>
      <c r="W24" s="27"/>
      <c r="X24" s="27"/>
      <c r="Y24" s="27"/>
      <c r="Z24" s="27"/>
    </row>
    <row r="25" ht="15.75" customHeight="1">
      <c r="A25" s="33" t="s">
        <v>7039</v>
      </c>
      <c r="B25" s="45" t="s">
        <v>7105</v>
      </c>
      <c r="C25" s="34" t="s">
        <v>7106</v>
      </c>
      <c r="D25" s="101" t="s">
        <v>7107</v>
      </c>
      <c r="E25" s="101" t="s">
        <v>7108</v>
      </c>
      <c r="F25" s="37">
        <v>0.21</v>
      </c>
      <c r="G25" s="327" t="str">
        <f>IFERROR(VLOOKUP("GF82W",STOCK!$B$1:$Q$5632,3,FALSE),"SIN STOCK")</f>
        <v>Menor a 5</v>
      </c>
      <c r="H25" s="27"/>
      <c r="I25" s="27"/>
      <c r="J25" s="27"/>
      <c r="K25" s="27"/>
      <c r="L25" s="27"/>
      <c r="M25" s="27"/>
      <c r="N25" s="27"/>
      <c r="O25" s="27"/>
      <c r="P25" s="27"/>
      <c r="Q25" s="27"/>
      <c r="R25" s="27"/>
      <c r="S25" s="27"/>
      <c r="T25" s="27"/>
      <c r="U25" s="27"/>
      <c r="V25" s="27"/>
      <c r="W25" s="27"/>
      <c r="X25" s="27"/>
      <c r="Y25" s="27"/>
      <c r="Z25" s="27"/>
    </row>
    <row r="26" ht="15.75" customHeight="1">
      <c r="A26" s="40" t="s">
        <v>7039</v>
      </c>
      <c r="B26" s="41" t="s">
        <v>7109</v>
      </c>
      <c r="C26" s="42" t="s">
        <v>7110</v>
      </c>
      <c r="D26" s="96" t="s">
        <v>7107</v>
      </c>
      <c r="E26" s="96" t="s">
        <v>7108</v>
      </c>
      <c r="F26" s="44">
        <v>0.21</v>
      </c>
      <c r="G26" s="327" t="str">
        <f>IFERROR(VLOOKUP("GF82W",STOCK!$B$1:$Q$5632,3,FALSE),"SIN STOCK")</f>
        <v>Menor a 5</v>
      </c>
      <c r="H26" s="27"/>
      <c r="I26" s="27"/>
      <c r="J26" s="27"/>
      <c r="K26" s="27"/>
      <c r="L26" s="27"/>
      <c r="M26" s="27"/>
      <c r="N26" s="27"/>
      <c r="O26" s="27"/>
      <c r="P26" s="27"/>
      <c r="Q26" s="27"/>
      <c r="R26" s="27"/>
      <c r="S26" s="27"/>
      <c r="T26" s="27"/>
      <c r="U26" s="27"/>
      <c r="V26" s="27"/>
      <c r="W26" s="27"/>
      <c r="X26" s="27"/>
      <c r="Y26" s="27"/>
      <c r="Z26" s="27"/>
    </row>
    <row r="27" ht="15.75" customHeight="1">
      <c r="A27" s="243" t="s">
        <v>6957</v>
      </c>
      <c r="B27" s="244"/>
      <c r="C27" s="244"/>
      <c r="D27" s="90"/>
      <c r="E27" s="90"/>
      <c r="F27" s="244"/>
      <c r="G27" s="244"/>
      <c r="H27" s="27"/>
      <c r="I27" s="27"/>
      <c r="J27" s="27"/>
      <c r="K27" s="27"/>
      <c r="L27" s="27"/>
      <c r="M27" s="27"/>
      <c r="N27" s="27"/>
      <c r="O27" s="27"/>
      <c r="P27" s="27"/>
      <c r="Q27" s="27"/>
      <c r="R27" s="27"/>
      <c r="S27" s="27"/>
      <c r="T27" s="27"/>
      <c r="U27" s="27"/>
      <c r="V27" s="27"/>
      <c r="W27" s="27"/>
      <c r="X27" s="27"/>
      <c r="Y27" s="27"/>
      <c r="Z27" s="27"/>
    </row>
    <row r="28" ht="15.75" customHeight="1">
      <c r="A28" s="28" t="s">
        <v>7111</v>
      </c>
      <c r="B28" s="31"/>
      <c r="C28" s="31"/>
      <c r="D28" s="31"/>
      <c r="E28" s="31"/>
      <c r="F28" s="31"/>
      <c r="G28" s="31"/>
      <c r="H28" s="27"/>
      <c r="I28" s="27"/>
      <c r="J28" s="27"/>
      <c r="K28" s="27"/>
      <c r="L28" s="27"/>
      <c r="M28" s="27"/>
      <c r="N28" s="27"/>
      <c r="O28" s="27"/>
      <c r="P28" s="27"/>
      <c r="Q28" s="27"/>
      <c r="R28" s="27"/>
      <c r="S28" s="27"/>
      <c r="T28" s="27"/>
      <c r="U28" s="27"/>
      <c r="V28" s="27"/>
      <c r="W28" s="27"/>
      <c r="X28" s="27"/>
      <c r="Y28" s="27"/>
      <c r="Z28" s="27"/>
    </row>
    <row r="29" ht="15.75" customHeight="1">
      <c r="A29" s="40" t="s">
        <v>7039</v>
      </c>
      <c r="B29" s="41" t="s">
        <v>7112</v>
      </c>
      <c r="C29" s="42" t="s">
        <v>7113</v>
      </c>
      <c r="D29" s="96" t="s">
        <v>7114</v>
      </c>
      <c r="E29" s="96" t="s">
        <v>7115</v>
      </c>
      <c r="F29" s="44">
        <v>0.21</v>
      </c>
      <c r="G29" s="321" t="str">
        <f>IFERROR(VLOOKUP("GS6",STOCK!$B$1:$Q$5632,3,FALSE),"SIN STOCK")</f>
        <v>Menor a 5</v>
      </c>
      <c r="H29" s="27"/>
      <c r="I29" s="27"/>
      <c r="J29" s="27"/>
      <c r="K29" s="27"/>
      <c r="L29" s="27"/>
      <c r="M29" s="27"/>
      <c r="N29" s="27"/>
      <c r="O29" s="27"/>
      <c r="P29" s="27"/>
      <c r="Q29" s="27"/>
      <c r="R29" s="27"/>
      <c r="S29" s="27"/>
      <c r="T29" s="27"/>
      <c r="U29" s="27"/>
      <c r="V29" s="27"/>
      <c r="W29" s="27"/>
      <c r="X29" s="27"/>
      <c r="Y29" s="27"/>
      <c r="Z29" s="27"/>
    </row>
    <row r="30" ht="15.75" customHeight="1">
      <c r="A30" s="33" t="s">
        <v>7039</v>
      </c>
      <c r="B30" s="45" t="s">
        <v>7116</v>
      </c>
      <c r="C30" s="34" t="s">
        <v>7117</v>
      </c>
      <c r="D30" s="101" t="s">
        <v>7118</v>
      </c>
      <c r="E30" s="101" t="s">
        <v>7119</v>
      </c>
      <c r="F30" s="37">
        <v>0.21</v>
      </c>
      <c r="G30" s="330" t="str">
        <f>IFERROR(VLOOKUP("GS12",STOCK!$B$1:$Q$5632,3,FALSE),"SIN STOCK")</f>
        <v>Mayor a 5</v>
      </c>
      <c r="H30" s="27"/>
      <c r="I30" s="27"/>
      <c r="J30" s="27"/>
      <c r="K30" s="27"/>
      <c r="L30" s="27"/>
      <c r="M30" s="27"/>
      <c r="N30" s="27"/>
      <c r="O30" s="27"/>
      <c r="P30" s="27"/>
      <c r="Q30" s="27"/>
      <c r="R30" s="27"/>
      <c r="S30" s="27"/>
      <c r="T30" s="27"/>
      <c r="U30" s="27"/>
      <c r="V30" s="27"/>
      <c r="W30" s="27"/>
      <c r="X30" s="27"/>
      <c r="Y30" s="27"/>
      <c r="Z30" s="27"/>
    </row>
    <row r="31" ht="15.75" customHeight="1">
      <c r="A31" s="40" t="s">
        <v>7039</v>
      </c>
      <c r="B31" s="41" t="s">
        <v>7120</v>
      </c>
      <c r="C31" s="42" t="s">
        <v>7121</v>
      </c>
      <c r="D31" s="96" t="s">
        <v>7122</v>
      </c>
      <c r="E31" s="96" t="s">
        <v>7123</v>
      </c>
      <c r="F31" s="44">
        <v>0.21</v>
      </c>
      <c r="G31" s="321" t="str">
        <f>IFERROR(VLOOKUP("GS218",STOCK!$B$1:$Q$5632,3,FALSE),"SIN STOCK")</f>
        <v>Menor a 5</v>
      </c>
      <c r="H31" s="27"/>
      <c r="I31" s="27"/>
      <c r="J31" s="27"/>
      <c r="K31" s="27"/>
      <c r="L31" s="27"/>
      <c r="M31" s="27"/>
      <c r="N31" s="27"/>
      <c r="O31" s="27"/>
      <c r="P31" s="27"/>
      <c r="Q31" s="27"/>
      <c r="R31" s="27"/>
      <c r="S31" s="27"/>
      <c r="T31" s="27"/>
      <c r="U31" s="27"/>
      <c r="V31" s="27"/>
      <c r="W31" s="27"/>
      <c r="X31" s="27"/>
      <c r="Y31" s="27"/>
      <c r="Z31" s="27"/>
    </row>
    <row r="32" ht="15.75" customHeight="1">
      <c r="A32" s="243" t="s">
        <v>7124</v>
      </c>
      <c r="B32" s="244"/>
      <c r="C32" s="244"/>
      <c r="D32" s="88"/>
      <c r="E32" s="88"/>
      <c r="F32" s="247"/>
      <c r="G32" s="244"/>
      <c r="H32" s="27"/>
      <c r="I32" s="27"/>
      <c r="J32" s="27"/>
      <c r="K32" s="27"/>
      <c r="L32" s="27"/>
      <c r="M32" s="27"/>
      <c r="N32" s="27"/>
      <c r="O32" s="27"/>
      <c r="P32" s="27"/>
      <c r="Q32" s="27"/>
      <c r="R32" s="27"/>
      <c r="S32" s="27"/>
      <c r="T32" s="27"/>
      <c r="U32" s="27"/>
      <c r="V32" s="27"/>
      <c r="W32" s="27"/>
      <c r="X32" s="27"/>
      <c r="Y32" s="27"/>
      <c r="Z32" s="27"/>
    </row>
    <row r="33" ht="15.75" customHeight="1">
      <c r="A33" s="28" t="s">
        <v>7125</v>
      </c>
      <c r="B33" s="31"/>
      <c r="C33" s="31"/>
      <c r="D33" s="31"/>
      <c r="E33" s="31"/>
      <c r="F33" s="31"/>
      <c r="G33" s="31"/>
      <c r="H33" s="27"/>
      <c r="I33" s="27"/>
      <c r="J33" s="27"/>
      <c r="K33" s="27"/>
      <c r="L33" s="27"/>
      <c r="M33" s="27"/>
      <c r="N33" s="27"/>
      <c r="O33" s="27"/>
      <c r="P33" s="27"/>
      <c r="Q33" s="27"/>
      <c r="R33" s="27"/>
      <c r="S33" s="27"/>
      <c r="T33" s="27"/>
      <c r="U33" s="27"/>
      <c r="V33" s="27"/>
      <c r="W33" s="27"/>
      <c r="X33" s="27"/>
      <c r="Y33" s="27"/>
      <c r="Z33" s="27"/>
    </row>
    <row r="34" ht="15.75" customHeight="1">
      <c r="A34" s="40" t="s">
        <v>7039</v>
      </c>
      <c r="B34" s="41" t="s">
        <v>7126</v>
      </c>
      <c r="C34" s="42" t="s">
        <v>7127</v>
      </c>
      <c r="D34" s="96" t="s">
        <v>7128</v>
      </c>
      <c r="E34" s="96" t="s">
        <v>7129</v>
      </c>
      <c r="F34" s="44">
        <v>0.21</v>
      </c>
      <c r="G34" s="321" t="str">
        <f>IFERROR(VLOOKUP("GA201",STOCK!$B$1:$Q$5632,3,FALSE),"SIN STOCK")</f>
        <v>Menor a 5</v>
      </c>
      <c r="H34" s="27"/>
      <c r="I34" s="27"/>
      <c r="J34" s="27"/>
      <c r="K34" s="27"/>
      <c r="L34" s="27"/>
      <c r="M34" s="27"/>
      <c r="N34" s="27"/>
      <c r="O34" s="27"/>
      <c r="P34" s="27"/>
      <c r="Q34" s="27"/>
      <c r="R34" s="27"/>
      <c r="S34" s="27"/>
      <c r="T34" s="27"/>
      <c r="U34" s="27"/>
      <c r="V34" s="27"/>
      <c r="W34" s="27"/>
      <c r="X34" s="27"/>
      <c r="Y34" s="27"/>
      <c r="Z34" s="27"/>
    </row>
    <row r="35" ht="15.75" customHeight="1">
      <c r="A35" s="33" t="s">
        <v>7039</v>
      </c>
      <c r="B35" s="45" t="s">
        <v>7130</v>
      </c>
      <c r="C35" s="34" t="s">
        <v>7131</v>
      </c>
      <c r="D35" s="101" t="s">
        <v>7132</v>
      </c>
      <c r="E35" s="101" t="s">
        <v>7133</v>
      </c>
      <c r="F35" s="37">
        <v>0.21</v>
      </c>
      <c r="G35" s="321" t="str">
        <f>IFERROR(VLOOKUP("GA41L",STOCK!$B$1:$Q$5632,3,FALSE),"SIN STOCK")</f>
        <v>Menor a 5</v>
      </c>
      <c r="H35" s="27"/>
      <c r="I35" s="27"/>
      <c r="J35" s="27"/>
      <c r="K35" s="27"/>
      <c r="L35" s="27"/>
      <c r="M35" s="27"/>
      <c r="N35" s="27"/>
      <c r="O35" s="27"/>
      <c r="P35" s="27"/>
      <c r="Q35" s="27"/>
      <c r="R35" s="27"/>
      <c r="S35" s="27"/>
      <c r="T35" s="27"/>
      <c r="U35" s="27"/>
      <c r="V35" s="27"/>
      <c r="W35" s="27"/>
      <c r="X35" s="27"/>
      <c r="Y35" s="27"/>
      <c r="Z35" s="27"/>
    </row>
    <row r="36" ht="15.75" customHeight="1">
      <c r="A36" s="40" t="s">
        <v>7039</v>
      </c>
      <c r="B36" s="41" t="s">
        <v>7134</v>
      </c>
      <c r="C36" s="42" t="s">
        <v>7135</v>
      </c>
      <c r="D36" s="96" t="s">
        <v>7136</v>
      </c>
      <c r="E36" s="96" t="s">
        <v>7137</v>
      </c>
      <c r="F36" s="44">
        <v>0.21</v>
      </c>
      <c r="G36" s="321" t="str">
        <f>IFERROR(VLOOKUP("GA43",STOCK!$B$1:$Q$5632,3,FALSE),"SIN STOCK")</f>
        <v>Menor a 5</v>
      </c>
      <c r="H36" s="27"/>
      <c r="I36" s="27"/>
      <c r="J36" s="27"/>
      <c r="K36" s="27"/>
      <c r="L36" s="27"/>
      <c r="M36" s="27"/>
      <c r="N36" s="27"/>
      <c r="O36" s="27"/>
      <c r="P36" s="27"/>
      <c r="Q36" s="27"/>
      <c r="R36" s="27"/>
      <c r="S36" s="27"/>
      <c r="T36" s="27"/>
      <c r="U36" s="27"/>
      <c r="V36" s="27"/>
      <c r="W36" s="27"/>
      <c r="X36" s="27"/>
      <c r="Y36" s="27"/>
      <c r="Z36" s="27"/>
    </row>
    <row r="37" ht="15.75" customHeight="1">
      <c r="A37" s="33" t="s">
        <v>7039</v>
      </c>
      <c r="B37" s="45" t="s">
        <v>7138</v>
      </c>
      <c r="C37" s="34" t="s">
        <v>7139</v>
      </c>
      <c r="D37" s="101" t="s">
        <v>7140</v>
      </c>
      <c r="E37" s="101" t="s">
        <v>7141</v>
      </c>
      <c r="F37" s="37">
        <v>0.21</v>
      </c>
      <c r="G37" s="330" t="str">
        <f>IFERROR(VLOOKUP("GA46",STOCK!$B$1:$Q$5632,3,FALSE),"SIN STOCK")</f>
        <v>Mayor a 5</v>
      </c>
      <c r="H37" s="27"/>
      <c r="I37" s="27"/>
      <c r="J37" s="27"/>
      <c r="K37" s="27"/>
      <c r="L37" s="27"/>
      <c r="M37" s="27"/>
      <c r="N37" s="27"/>
      <c r="O37" s="27"/>
      <c r="P37" s="27"/>
      <c r="Q37" s="27"/>
      <c r="R37" s="27"/>
      <c r="S37" s="27"/>
      <c r="T37" s="27"/>
      <c r="U37" s="27"/>
      <c r="V37" s="27"/>
      <c r="W37" s="27"/>
      <c r="X37" s="27"/>
      <c r="Y37" s="27"/>
      <c r="Z37" s="27"/>
    </row>
    <row r="38" ht="15.75" customHeight="1">
      <c r="A38" s="243" t="s">
        <v>7142</v>
      </c>
      <c r="B38" s="244"/>
      <c r="C38" s="244"/>
      <c r="D38" s="90"/>
      <c r="E38" s="90"/>
      <c r="F38" s="244"/>
      <c r="G38" s="244"/>
      <c r="H38" s="27"/>
      <c r="I38" s="27"/>
      <c r="J38" s="27"/>
      <c r="K38" s="27"/>
      <c r="L38" s="27"/>
      <c r="M38" s="27"/>
      <c r="N38" s="27"/>
      <c r="O38" s="27"/>
      <c r="P38" s="27"/>
      <c r="Q38" s="27"/>
      <c r="R38" s="27"/>
      <c r="S38" s="27"/>
      <c r="T38" s="27"/>
      <c r="U38" s="27"/>
      <c r="V38" s="27"/>
      <c r="W38" s="27"/>
      <c r="X38" s="27"/>
      <c r="Y38" s="27"/>
      <c r="Z38" s="27"/>
    </row>
    <row r="39" ht="15.75" customHeight="1">
      <c r="A39" s="28" t="s">
        <v>7143</v>
      </c>
      <c r="B39" s="31"/>
      <c r="C39" s="31"/>
      <c r="D39" s="31"/>
      <c r="E39" s="31"/>
      <c r="F39" s="31"/>
      <c r="G39" s="31"/>
      <c r="H39" s="27"/>
      <c r="I39" s="27"/>
      <c r="J39" s="27"/>
      <c r="K39" s="27"/>
      <c r="L39" s="27"/>
      <c r="M39" s="27"/>
      <c r="N39" s="27"/>
      <c r="O39" s="27"/>
      <c r="P39" s="27"/>
      <c r="Q39" s="27"/>
      <c r="R39" s="27"/>
      <c r="S39" s="27"/>
      <c r="T39" s="27"/>
      <c r="U39" s="27"/>
      <c r="V39" s="27"/>
      <c r="W39" s="27"/>
      <c r="X39" s="27"/>
      <c r="Y39" s="27"/>
      <c r="Z39" s="27"/>
    </row>
    <row r="40" ht="15.75" customHeight="1">
      <c r="A40" s="40" t="s">
        <v>7039</v>
      </c>
      <c r="B40" s="40" t="s">
        <v>7144</v>
      </c>
      <c r="C40" s="153"/>
      <c r="D40" s="96" t="s">
        <v>7145</v>
      </c>
      <c r="E40" s="96" t="s">
        <v>7146</v>
      </c>
      <c r="F40" s="44">
        <v>0.21</v>
      </c>
      <c r="G40" s="321" t="str">
        <f>IFERROR(VLOOKUP("GA201",STOCK!$B$1:$Q$5632,3,FALSE),"SIN STOCK")</f>
        <v>Menor a 5</v>
      </c>
      <c r="H40" s="27"/>
      <c r="I40" s="27"/>
      <c r="J40" s="27"/>
      <c r="K40" s="27"/>
      <c r="L40" s="27"/>
      <c r="M40" s="27"/>
      <c r="N40" s="27"/>
      <c r="O40" s="27"/>
      <c r="P40" s="27"/>
      <c r="Q40" s="27"/>
      <c r="R40" s="27"/>
      <c r="S40" s="27"/>
      <c r="T40" s="27"/>
      <c r="U40" s="27"/>
      <c r="V40" s="27"/>
      <c r="W40" s="27"/>
      <c r="X40" s="27"/>
      <c r="Y40" s="27"/>
      <c r="Z40" s="27"/>
    </row>
    <row r="41" ht="15.75" customHeight="1">
      <c r="A41" s="33" t="s">
        <v>7039</v>
      </c>
      <c r="B41" s="33" t="s">
        <v>7147</v>
      </c>
      <c r="C41" s="152"/>
      <c r="D41" s="101" t="s">
        <v>7148</v>
      </c>
      <c r="E41" s="101" t="s">
        <v>7149</v>
      </c>
      <c r="F41" s="37">
        <v>0.21</v>
      </c>
      <c r="G41" s="321" t="str">
        <f>IFERROR(VLOOKUP("GA41L",STOCK!$B$1:$Q$5632,3,FALSE),"SIN STOCK")</f>
        <v>Menor a 5</v>
      </c>
      <c r="H41" s="27"/>
      <c r="I41" s="27"/>
      <c r="J41" s="27"/>
      <c r="K41" s="27"/>
      <c r="L41" s="27"/>
      <c r="M41" s="27"/>
      <c r="N41" s="27"/>
      <c r="O41" s="27"/>
      <c r="P41" s="27"/>
      <c r="Q41" s="27"/>
      <c r="R41" s="27"/>
      <c r="S41" s="27"/>
      <c r="T41" s="27"/>
      <c r="U41" s="27"/>
      <c r="V41" s="27"/>
      <c r="W41" s="27"/>
      <c r="X41" s="27"/>
      <c r="Y41" s="27"/>
      <c r="Z41" s="27"/>
    </row>
    <row r="42" ht="15.75" customHeight="1">
      <c r="A42" s="40" t="s">
        <v>7039</v>
      </c>
      <c r="B42" s="40" t="s">
        <v>7150</v>
      </c>
      <c r="C42" s="153"/>
      <c r="D42" s="96" t="s">
        <v>7151</v>
      </c>
      <c r="E42" s="96" t="s">
        <v>7152</v>
      </c>
      <c r="F42" s="44">
        <v>0.21</v>
      </c>
      <c r="G42" s="321" t="str">
        <f>IFERROR(VLOOKUP("GA201",STOCK!$B$1:$Q$5632,3,FALSE),"SIN STOCK")</f>
        <v>Menor a 5</v>
      </c>
      <c r="H42" s="27"/>
      <c r="I42" s="27"/>
      <c r="J42" s="27"/>
      <c r="K42" s="27"/>
      <c r="L42" s="27"/>
      <c r="M42" s="27"/>
      <c r="N42" s="27"/>
      <c r="O42" s="27"/>
      <c r="P42" s="27"/>
      <c r="Q42" s="27"/>
      <c r="R42" s="27"/>
      <c r="S42" s="27"/>
      <c r="T42" s="27"/>
      <c r="U42" s="27"/>
      <c r="V42" s="27"/>
      <c r="W42" s="27"/>
      <c r="X42" s="27"/>
      <c r="Y42" s="27"/>
      <c r="Z42" s="27"/>
    </row>
    <row r="43" ht="15.75" customHeight="1">
      <c r="A43" s="33" t="s">
        <v>7039</v>
      </c>
      <c r="B43" s="33" t="s">
        <v>7153</v>
      </c>
      <c r="C43" s="152"/>
      <c r="D43" s="101" t="s">
        <v>7154</v>
      </c>
      <c r="E43" s="101" t="s">
        <v>7155</v>
      </c>
      <c r="F43" s="37">
        <v>0.21</v>
      </c>
      <c r="G43" s="321" t="str">
        <f>IFERROR(VLOOKUP("GA201",STOCK!$B$1:$Q$5632,3,FALSE),"SIN STOCK")</f>
        <v>Menor a 5</v>
      </c>
      <c r="H43" s="27"/>
      <c r="I43" s="27"/>
      <c r="J43" s="27"/>
      <c r="K43" s="27"/>
      <c r="L43" s="27"/>
      <c r="M43" s="27"/>
      <c r="N43" s="27"/>
      <c r="O43" s="27"/>
      <c r="P43" s="27"/>
      <c r="Q43" s="27"/>
      <c r="R43" s="27"/>
      <c r="S43" s="27"/>
      <c r="T43" s="27"/>
      <c r="U43" s="27"/>
      <c r="V43" s="27"/>
      <c r="W43" s="27"/>
      <c r="X43" s="27"/>
      <c r="Y43" s="27"/>
      <c r="Z43" s="27"/>
    </row>
    <row r="44" ht="15.75" customHeight="1">
      <c r="A44" s="40" t="s">
        <v>7039</v>
      </c>
      <c r="B44" s="40" t="s">
        <v>7156</v>
      </c>
      <c r="C44" s="153"/>
      <c r="D44" s="96" t="s">
        <v>7157</v>
      </c>
      <c r="E44" s="96" t="s">
        <v>7158</v>
      </c>
      <c r="F44" s="44">
        <v>0.21</v>
      </c>
      <c r="G44" s="321" t="str">
        <f>IFERROR(VLOOKUP("GA41L",STOCK!$B$1:$Q$5632,3,FALSE),"SIN STOCK")</f>
        <v>Menor a 5</v>
      </c>
      <c r="H44" s="27"/>
      <c r="I44" s="27"/>
      <c r="J44" s="27"/>
      <c r="K44" s="27"/>
      <c r="L44" s="27"/>
      <c r="M44" s="27"/>
      <c r="N44" s="27"/>
      <c r="O44" s="27"/>
      <c r="P44" s="27"/>
      <c r="Q44" s="27"/>
      <c r="R44" s="27"/>
      <c r="S44" s="27"/>
      <c r="T44" s="27"/>
      <c r="U44" s="27"/>
      <c r="V44" s="27"/>
      <c r="W44" s="27"/>
      <c r="X44" s="27"/>
      <c r="Y44" s="27"/>
      <c r="Z44" s="27"/>
    </row>
    <row r="45" ht="15.75" customHeight="1">
      <c r="A45" s="28" t="s">
        <v>7159</v>
      </c>
      <c r="B45" s="31"/>
      <c r="C45" s="31"/>
      <c r="D45" s="31"/>
      <c r="E45" s="31"/>
      <c r="F45" s="31"/>
      <c r="G45" s="31"/>
      <c r="H45" s="27"/>
      <c r="I45" s="27"/>
      <c r="J45" s="27"/>
      <c r="K45" s="27"/>
      <c r="L45" s="27"/>
      <c r="M45" s="27"/>
      <c r="N45" s="27"/>
      <c r="O45" s="27"/>
      <c r="P45" s="27"/>
      <c r="Q45" s="27"/>
      <c r="R45" s="27"/>
      <c r="S45" s="27"/>
      <c r="T45" s="27"/>
      <c r="U45" s="27"/>
      <c r="V45" s="27"/>
      <c r="W45" s="27"/>
      <c r="X45" s="27"/>
      <c r="Y45" s="27"/>
      <c r="Z45" s="27"/>
    </row>
    <row r="46" ht="15.75" customHeight="1">
      <c r="A46" s="40" t="s">
        <v>7039</v>
      </c>
      <c r="B46" s="40" t="s">
        <v>7160</v>
      </c>
      <c r="C46" s="153"/>
      <c r="D46" s="96" t="s">
        <v>7161</v>
      </c>
      <c r="E46" s="96" t="s">
        <v>7162</v>
      </c>
      <c r="F46" s="44">
        <v>0.21</v>
      </c>
      <c r="G46" s="321" t="str">
        <f>IFERROR(VLOOKUP("GA201",STOCK!$B$1:$Q$5632,3,FALSE),"SIN STOCK")</f>
        <v>Menor a 5</v>
      </c>
      <c r="H46" s="27"/>
      <c r="I46" s="27"/>
      <c r="J46" s="27"/>
      <c r="K46" s="27"/>
      <c r="L46" s="27"/>
      <c r="M46" s="27"/>
      <c r="N46" s="27"/>
      <c r="O46" s="27"/>
      <c r="P46" s="27"/>
      <c r="Q46" s="27"/>
      <c r="R46" s="27"/>
      <c r="S46" s="27"/>
      <c r="T46" s="27"/>
      <c r="U46" s="27"/>
      <c r="V46" s="27"/>
      <c r="W46" s="27"/>
      <c r="X46" s="27"/>
      <c r="Y46" s="27"/>
      <c r="Z46" s="27"/>
    </row>
    <row r="47" ht="15.75" customHeight="1">
      <c r="A47" s="33" t="s">
        <v>7039</v>
      </c>
      <c r="B47" s="33" t="s">
        <v>7163</v>
      </c>
      <c r="C47" s="152"/>
      <c r="D47" s="101" t="s">
        <v>7161</v>
      </c>
      <c r="E47" s="101" t="s">
        <v>7162</v>
      </c>
      <c r="F47" s="37">
        <v>0.21</v>
      </c>
      <c r="G47" s="321" t="str">
        <f>IFERROR(VLOOKUP("GA41L",STOCK!$B$1:$Q$5632,3,FALSE),"SIN STOCK")</f>
        <v>Menor a 5</v>
      </c>
      <c r="H47" s="27"/>
      <c r="I47" s="27"/>
      <c r="J47" s="27"/>
      <c r="K47" s="27"/>
      <c r="L47" s="27"/>
      <c r="M47" s="27"/>
      <c r="N47" s="27"/>
      <c r="O47" s="27"/>
      <c r="P47" s="27"/>
      <c r="Q47" s="27"/>
      <c r="R47" s="27"/>
      <c r="S47" s="27"/>
      <c r="T47" s="27"/>
      <c r="U47" s="27"/>
      <c r="V47" s="27"/>
      <c r="W47" s="27"/>
      <c r="X47" s="27"/>
      <c r="Y47" s="27"/>
      <c r="Z47" s="27"/>
    </row>
    <row r="48" ht="15.75" customHeight="1">
      <c r="A48" s="27"/>
      <c r="B48" s="27"/>
      <c r="C48" s="27"/>
      <c r="D48" s="114"/>
      <c r="E48" s="114"/>
      <c r="F48" s="27"/>
      <c r="G48" s="27"/>
      <c r="H48" s="27"/>
      <c r="I48" s="27"/>
      <c r="J48" s="27"/>
      <c r="K48" s="27"/>
      <c r="L48" s="27"/>
      <c r="M48" s="27"/>
      <c r="N48" s="27"/>
      <c r="O48" s="27"/>
      <c r="P48" s="27"/>
      <c r="Q48" s="27"/>
      <c r="R48" s="27"/>
      <c r="S48" s="27"/>
      <c r="T48" s="27"/>
      <c r="U48" s="27"/>
      <c r="V48" s="27"/>
      <c r="W48" s="27"/>
      <c r="X48" s="27"/>
      <c r="Y48" s="27"/>
      <c r="Z48" s="27"/>
    </row>
    <row r="49" ht="15.75" customHeight="1">
      <c r="A49" s="27"/>
      <c r="B49" s="27"/>
      <c r="C49" s="27"/>
      <c r="D49" s="114"/>
      <c r="E49" s="114"/>
      <c r="F49" s="27"/>
      <c r="G49" s="27"/>
      <c r="H49" s="27"/>
      <c r="I49" s="27"/>
      <c r="J49" s="27"/>
      <c r="K49" s="27"/>
      <c r="L49" s="27"/>
      <c r="M49" s="27"/>
      <c r="N49" s="27"/>
      <c r="O49" s="27"/>
      <c r="P49" s="27"/>
      <c r="Q49" s="27"/>
      <c r="R49" s="27"/>
      <c r="S49" s="27"/>
      <c r="T49" s="27"/>
      <c r="U49" s="27"/>
      <c r="V49" s="27"/>
      <c r="W49" s="27"/>
      <c r="X49" s="27"/>
      <c r="Y49" s="27"/>
      <c r="Z49" s="27"/>
    </row>
    <row r="50" ht="15.75" customHeight="1">
      <c r="A50" s="27"/>
      <c r="B50" s="27"/>
      <c r="C50" s="27"/>
      <c r="D50" s="114"/>
      <c r="E50" s="114"/>
      <c r="F50" s="27"/>
      <c r="G50" s="27"/>
      <c r="H50" s="27"/>
      <c r="I50" s="27"/>
      <c r="J50" s="27"/>
      <c r="K50" s="27"/>
      <c r="L50" s="27"/>
      <c r="M50" s="27"/>
      <c r="N50" s="27"/>
      <c r="O50" s="27"/>
      <c r="P50" s="27"/>
      <c r="Q50" s="27"/>
      <c r="R50" s="27"/>
      <c r="S50" s="27"/>
      <c r="T50" s="27"/>
      <c r="U50" s="27"/>
      <c r="V50" s="27"/>
      <c r="W50" s="27"/>
      <c r="X50" s="27"/>
      <c r="Y50" s="27"/>
      <c r="Z50" s="27"/>
    </row>
    <row r="51" ht="15.75" customHeight="1">
      <c r="A51" s="27"/>
      <c r="B51" s="27"/>
      <c r="C51" s="27"/>
      <c r="D51" s="114"/>
      <c r="E51" s="114"/>
      <c r="F51" s="27"/>
      <c r="G51" s="27"/>
      <c r="H51" s="27"/>
      <c r="I51" s="27"/>
      <c r="J51" s="27"/>
      <c r="K51" s="27"/>
      <c r="L51" s="27"/>
      <c r="M51" s="27"/>
      <c r="N51" s="27"/>
      <c r="O51" s="27"/>
      <c r="P51" s="27"/>
      <c r="Q51" s="27"/>
      <c r="R51" s="27"/>
      <c r="S51" s="27"/>
      <c r="T51" s="27"/>
      <c r="U51" s="27"/>
      <c r="V51" s="27"/>
      <c r="W51" s="27"/>
      <c r="X51" s="27"/>
      <c r="Y51" s="27"/>
      <c r="Z51" s="27"/>
    </row>
    <row r="52" ht="15.75" customHeight="1">
      <c r="A52" s="27"/>
      <c r="B52" s="27"/>
      <c r="C52" s="27"/>
      <c r="D52" s="114"/>
      <c r="E52" s="114"/>
      <c r="F52" s="27"/>
      <c r="G52" s="27"/>
      <c r="H52" s="27"/>
      <c r="I52" s="27"/>
      <c r="J52" s="27"/>
      <c r="K52" s="27"/>
      <c r="L52" s="27"/>
      <c r="M52" s="27"/>
      <c r="N52" s="27"/>
      <c r="O52" s="27"/>
      <c r="P52" s="27"/>
      <c r="Q52" s="27"/>
      <c r="R52" s="27"/>
      <c r="S52" s="27"/>
      <c r="T52" s="27"/>
      <c r="U52" s="27"/>
      <c r="V52" s="27"/>
      <c r="W52" s="27"/>
      <c r="X52" s="27"/>
      <c r="Y52" s="27"/>
      <c r="Z52" s="27"/>
    </row>
    <row r="53" ht="15.75" customHeight="1">
      <c r="A53" s="27"/>
      <c r="B53" s="27"/>
      <c r="C53" s="27"/>
      <c r="D53" s="114"/>
      <c r="E53" s="114"/>
      <c r="F53" s="27"/>
      <c r="G53" s="27"/>
      <c r="H53" s="27"/>
      <c r="I53" s="27"/>
      <c r="J53" s="27"/>
      <c r="K53" s="27"/>
      <c r="L53" s="27"/>
      <c r="M53" s="27"/>
      <c r="N53" s="27"/>
      <c r="O53" s="27"/>
      <c r="P53" s="27"/>
      <c r="Q53" s="27"/>
      <c r="R53" s="27"/>
      <c r="S53" s="27"/>
      <c r="T53" s="27"/>
      <c r="U53" s="27"/>
      <c r="V53" s="27"/>
      <c r="W53" s="27"/>
      <c r="X53" s="27"/>
      <c r="Y53" s="27"/>
      <c r="Z53" s="27"/>
    </row>
    <row r="54" ht="15.75" customHeight="1">
      <c r="A54" s="27"/>
      <c r="B54" s="27"/>
      <c r="C54" s="27"/>
      <c r="D54" s="114"/>
      <c r="E54" s="114"/>
      <c r="F54" s="27"/>
      <c r="G54" s="27"/>
      <c r="H54" s="27"/>
      <c r="I54" s="27"/>
      <c r="J54" s="27"/>
      <c r="K54" s="27"/>
      <c r="L54" s="27"/>
      <c r="M54" s="27"/>
      <c r="N54" s="27"/>
      <c r="O54" s="27"/>
      <c r="P54" s="27"/>
      <c r="Q54" s="27"/>
      <c r="R54" s="27"/>
      <c r="S54" s="27"/>
      <c r="T54" s="27"/>
      <c r="U54" s="27"/>
      <c r="V54" s="27"/>
      <c r="W54" s="27"/>
      <c r="X54" s="27"/>
      <c r="Y54" s="27"/>
      <c r="Z54" s="27"/>
    </row>
    <row r="55" ht="15.75" customHeight="1">
      <c r="A55" s="27"/>
      <c r="B55" s="27"/>
      <c r="C55" s="27"/>
      <c r="D55" s="114"/>
      <c r="E55" s="114"/>
      <c r="F55" s="27"/>
      <c r="G55" s="27"/>
      <c r="H55" s="27"/>
      <c r="I55" s="27"/>
      <c r="J55" s="27"/>
      <c r="K55" s="27"/>
      <c r="L55" s="27"/>
      <c r="M55" s="27"/>
      <c r="N55" s="27"/>
      <c r="O55" s="27"/>
      <c r="P55" s="27"/>
      <c r="Q55" s="27"/>
      <c r="R55" s="27"/>
      <c r="S55" s="27"/>
      <c r="T55" s="27"/>
      <c r="U55" s="27"/>
      <c r="V55" s="27"/>
      <c r="W55" s="27"/>
      <c r="X55" s="27"/>
      <c r="Y55" s="27"/>
      <c r="Z55" s="27"/>
    </row>
    <row r="56" ht="15.75" customHeight="1">
      <c r="A56" s="27"/>
      <c r="B56" s="27"/>
      <c r="C56" s="27"/>
      <c r="D56" s="114"/>
      <c r="E56" s="114"/>
      <c r="F56" s="27"/>
      <c r="G56" s="27"/>
      <c r="H56" s="27"/>
      <c r="I56" s="27"/>
      <c r="J56" s="27"/>
      <c r="K56" s="27"/>
      <c r="L56" s="27"/>
      <c r="M56" s="27"/>
      <c r="N56" s="27"/>
      <c r="O56" s="27"/>
      <c r="P56" s="27"/>
      <c r="Q56" s="27"/>
      <c r="R56" s="27"/>
      <c r="S56" s="27"/>
      <c r="T56" s="27"/>
      <c r="U56" s="27"/>
      <c r="V56" s="27"/>
      <c r="W56" s="27"/>
      <c r="X56" s="27"/>
      <c r="Y56" s="27"/>
      <c r="Z56" s="27"/>
    </row>
    <row r="57" ht="15.75" customHeight="1">
      <c r="A57" s="27"/>
      <c r="B57" s="27"/>
      <c r="C57" s="27"/>
      <c r="D57" s="114"/>
      <c r="E57" s="114"/>
      <c r="F57" s="27"/>
      <c r="G57" s="27"/>
      <c r="H57" s="27"/>
      <c r="I57" s="27"/>
      <c r="J57" s="27"/>
      <c r="K57" s="27"/>
      <c r="L57" s="27"/>
      <c r="M57" s="27"/>
      <c r="N57" s="27"/>
      <c r="O57" s="27"/>
      <c r="P57" s="27"/>
      <c r="Q57" s="27"/>
      <c r="R57" s="27"/>
      <c r="S57" s="27"/>
      <c r="T57" s="27"/>
      <c r="U57" s="27"/>
      <c r="V57" s="27"/>
      <c r="W57" s="27"/>
      <c r="X57" s="27"/>
      <c r="Y57" s="27"/>
      <c r="Z57" s="27"/>
    </row>
    <row r="58" ht="15.75" customHeight="1">
      <c r="A58" s="27"/>
      <c r="B58" s="27"/>
      <c r="C58" s="27"/>
      <c r="D58" s="114"/>
      <c r="E58" s="114"/>
      <c r="F58" s="27"/>
      <c r="G58" s="27"/>
      <c r="H58" s="27"/>
      <c r="I58" s="27"/>
      <c r="J58" s="27"/>
      <c r="K58" s="27"/>
      <c r="L58" s="27"/>
      <c r="M58" s="27"/>
      <c r="N58" s="27"/>
      <c r="O58" s="27"/>
      <c r="P58" s="27"/>
      <c r="Q58" s="27"/>
      <c r="R58" s="27"/>
      <c r="S58" s="27"/>
      <c r="T58" s="27"/>
      <c r="U58" s="27"/>
      <c r="V58" s="27"/>
      <c r="W58" s="27"/>
      <c r="X58" s="27"/>
      <c r="Y58" s="27"/>
      <c r="Z58" s="27"/>
    </row>
    <row r="59" ht="15.75" customHeight="1">
      <c r="A59" s="27"/>
      <c r="B59" s="27"/>
      <c r="C59" s="27"/>
      <c r="D59" s="114"/>
      <c r="E59" s="114"/>
      <c r="F59" s="27"/>
      <c r="G59" s="27"/>
      <c r="H59" s="27"/>
      <c r="I59" s="27"/>
      <c r="J59" s="27"/>
      <c r="K59" s="27"/>
      <c r="L59" s="27"/>
      <c r="M59" s="27"/>
      <c r="N59" s="27"/>
      <c r="O59" s="27"/>
      <c r="P59" s="27"/>
      <c r="Q59" s="27"/>
      <c r="R59" s="27"/>
      <c r="S59" s="27"/>
      <c r="T59" s="27"/>
      <c r="U59" s="27"/>
      <c r="V59" s="27"/>
      <c r="W59" s="27"/>
      <c r="X59" s="27"/>
      <c r="Y59" s="27"/>
      <c r="Z59" s="27"/>
    </row>
    <row r="60" ht="15.75" customHeight="1">
      <c r="A60" s="27"/>
      <c r="B60" s="27"/>
      <c r="C60" s="27"/>
      <c r="D60" s="114"/>
      <c r="E60" s="114"/>
      <c r="F60" s="27"/>
      <c r="G60" s="27"/>
      <c r="H60" s="27"/>
      <c r="I60" s="27"/>
      <c r="J60" s="27"/>
      <c r="K60" s="27"/>
      <c r="L60" s="27"/>
      <c r="M60" s="27"/>
      <c r="N60" s="27"/>
      <c r="O60" s="27"/>
      <c r="P60" s="27"/>
      <c r="Q60" s="27"/>
      <c r="R60" s="27"/>
      <c r="S60" s="27"/>
      <c r="T60" s="27"/>
      <c r="U60" s="27"/>
      <c r="V60" s="27"/>
      <c r="W60" s="27"/>
      <c r="X60" s="27"/>
      <c r="Y60" s="27"/>
      <c r="Z60" s="27"/>
    </row>
    <row r="61" ht="15.75" customHeight="1">
      <c r="A61" s="27"/>
      <c r="B61" s="27"/>
      <c r="C61" s="27"/>
      <c r="D61" s="114"/>
      <c r="E61" s="114"/>
      <c r="F61" s="27"/>
      <c r="G61" s="27"/>
      <c r="H61" s="27"/>
      <c r="I61" s="27"/>
      <c r="J61" s="27"/>
      <c r="K61" s="27"/>
      <c r="L61" s="27"/>
      <c r="M61" s="27"/>
      <c r="N61" s="27"/>
      <c r="O61" s="27"/>
      <c r="P61" s="27"/>
      <c r="Q61" s="27"/>
      <c r="R61" s="27"/>
      <c r="S61" s="27"/>
      <c r="T61" s="27"/>
      <c r="U61" s="27"/>
      <c r="V61" s="27"/>
      <c r="W61" s="27"/>
      <c r="X61" s="27"/>
      <c r="Y61" s="27"/>
      <c r="Z61" s="27"/>
    </row>
    <row r="62" ht="15.75" customHeight="1">
      <c r="A62" s="27"/>
      <c r="B62" s="27"/>
      <c r="C62" s="27"/>
      <c r="D62" s="114"/>
      <c r="E62" s="114"/>
      <c r="F62" s="27"/>
      <c r="G62" s="27"/>
      <c r="H62" s="27"/>
      <c r="I62" s="27"/>
      <c r="J62" s="27"/>
      <c r="K62" s="27"/>
      <c r="L62" s="27"/>
      <c r="M62" s="27"/>
      <c r="N62" s="27"/>
      <c r="O62" s="27"/>
      <c r="P62" s="27"/>
      <c r="Q62" s="27"/>
      <c r="R62" s="27"/>
      <c r="S62" s="27"/>
      <c r="T62" s="27"/>
      <c r="U62" s="27"/>
      <c r="V62" s="27"/>
      <c r="W62" s="27"/>
      <c r="X62" s="27"/>
      <c r="Y62" s="27"/>
      <c r="Z62" s="27"/>
    </row>
    <row r="63" ht="15.75" customHeight="1">
      <c r="A63" s="27"/>
      <c r="B63" s="27"/>
      <c r="C63" s="27"/>
      <c r="D63" s="114"/>
      <c r="E63" s="114"/>
      <c r="F63" s="27"/>
      <c r="G63" s="27"/>
      <c r="H63" s="27"/>
      <c r="I63" s="27"/>
      <c r="J63" s="27"/>
      <c r="K63" s="27"/>
      <c r="L63" s="27"/>
      <c r="M63" s="27"/>
      <c r="N63" s="27"/>
      <c r="O63" s="27"/>
      <c r="P63" s="27"/>
      <c r="Q63" s="27"/>
      <c r="R63" s="27"/>
      <c r="S63" s="27"/>
      <c r="T63" s="27"/>
      <c r="U63" s="27"/>
      <c r="V63" s="27"/>
      <c r="W63" s="27"/>
      <c r="X63" s="27"/>
      <c r="Y63" s="27"/>
      <c r="Z63" s="27"/>
    </row>
    <row r="64" ht="15.75" customHeight="1">
      <c r="A64" s="27"/>
      <c r="B64" s="27"/>
      <c r="C64" s="27"/>
      <c r="D64" s="114"/>
      <c r="E64" s="114"/>
      <c r="F64" s="27"/>
      <c r="G64" s="27"/>
      <c r="H64" s="27"/>
      <c r="I64" s="27"/>
      <c r="J64" s="27"/>
      <c r="K64" s="27"/>
      <c r="L64" s="27"/>
      <c r="M64" s="27"/>
      <c r="N64" s="27"/>
      <c r="O64" s="27"/>
      <c r="P64" s="27"/>
      <c r="Q64" s="27"/>
      <c r="R64" s="27"/>
      <c r="S64" s="27"/>
      <c r="T64" s="27"/>
      <c r="U64" s="27"/>
      <c r="V64" s="27"/>
      <c r="W64" s="27"/>
      <c r="X64" s="27"/>
      <c r="Y64" s="27"/>
      <c r="Z64" s="27"/>
    </row>
    <row r="65" ht="15.75" customHeight="1">
      <c r="A65" s="27"/>
      <c r="B65" s="27"/>
      <c r="C65" s="27"/>
      <c r="D65" s="114"/>
      <c r="E65" s="114"/>
      <c r="F65" s="27"/>
      <c r="G65" s="27"/>
      <c r="H65" s="27"/>
      <c r="I65" s="27"/>
      <c r="J65" s="27"/>
      <c r="K65" s="27"/>
      <c r="L65" s="27"/>
      <c r="M65" s="27"/>
      <c r="N65" s="27"/>
      <c r="O65" s="27"/>
      <c r="P65" s="27"/>
      <c r="Q65" s="27"/>
      <c r="R65" s="27"/>
      <c r="S65" s="27"/>
      <c r="T65" s="27"/>
      <c r="U65" s="27"/>
      <c r="V65" s="27"/>
      <c r="W65" s="27"/>
      <c r="X65" s="27"/>
      <c r="Y65" s="27"/>
      <c r="Z65" s="27"/>
    </row>
    <row r="66" ht="15.75" customHeight="1">
      <c r="A66" s="27"/>
      <c r="B66" s="27"/>
      <c r="C66" s="27"/>
      <c r="D66" s="114"/>
      <c r="E66" s="114"/>
      <c r="F66" s="27"/>
      <c r="G66" s="27"/>
      <c r="H66" s="27"/>
      <c r="I66" s="27"/>
      <c r="J66" s="27"/>
      <c r="K66" s="27"/>
      <c r="L66" s="27"/>
      <c r="M66" s="27"/>
      <c r="N66" s="27"/>
      <c r="O66" s="27"/>
      <c r="P66" s="27"/>
      <c r="Q66" s="27"/>
      <c r="R66" s="27"/>
      <c r="S66" s="27"/>
      <c r="T66" s="27"/>
      <c r="U66" s="27"/>
      <c r="V66" s="27"/>
      <c r="W66" s="27"/>
      <c r="X66" s="27"/>
      <c r="Y66" s="27"/>
      <c r="Z66" s="27"/>
    </row>
    <row r="67" ht="15.75" customHeight="1">
      <c r="A67" s="27"/>
      <c r="B67" s="27"/>
      <c r="C67" s="27"/>
      <c r="D67" s="114"/>
      <c r="E67" s="114"/>
      <c r="F67" s="27"/>
      <c r="G67" s="27"/>
      <c r="H67" s="27"/>
      <c r="I67" s="27"/>
      <c r="J67" s="27"/>
      <c r="K67" s="27"/>
      <c r="L67" s="27"/>
      <c r="M67" s="27"/>
      <c r="N67" s="27"/>
      <c r="O67" s="27"/>
      <c r="P67" s="27"/>
      <c r="Q67" s="27"/>
      <c r="R67" s="27"/>
      <c r="S67" s="27"/>
      <c r="T67" s="27"/>
      <c r="U67" s="27"/>
      <c r="V67" s="27"/>
      <c r="W67" s="27"/>
      <c r="X67" s="27"/>
      <c r="Y67" s="27"/>
      <c r="Z67" s="27"/>
    </row>
    <row r="68" ht="15.75" customHeight="1">
      <c r="A68" s="27"/>
      <c r="B68" s="27"/>
      <c r="C68" s="27"/>
      <c r="D68" s="114"/>
      <c r="E68" s="114"/>
      <c r="F68" s="27"/>
      <c r="G68" s="27"/>
      <c r="H68" s="27"/>
      <c r="I68" s="27"/>
      <c r="J68" s="27"/>
      <c r="K68" s="27"/>
      <c r="L68" s="27"/>
      <c r="M68" s="27"/>
      <c r="N68" s="27"/>
      <c r="O68" s="27"/>
      <c r="P68" s="27"/>
      <c r="Q68" s="27"/>
      <c r="R68" s="27"/>
      <c r="S68" s="27"/>
      <c r="T68" s="27"/>
      <c r="U68" s="27"/>
      <c r="V68" s="27"/>
      <c r="W68" s="27"/>
      <c r="X68" s="27"/>
      <c r="Y68" s="27"/>
      <c r="Z68" s="27"/>
    </row>
    <row r="69" ht="15.75" customHeight="1">
      <c r="A69" s="27"/>
      <c r="B69" s="27"/>
      <c r="C69" s="27"/>
      <c r="D69" s="114"/>
      <c r="E69" s="114"/>
      <c r="F69" s="27"/>
      <c r="G69" s="27"/>
      <c r="H69" s="27"/>
      <c r="I69" s="27"/>
      <c r="J69" s="27"/>
      <c r="K69" s="27"/>
      <c r="L69" s="27"/>
      <c r="M69" s="27"/>
      <c r="N69" s="27"/>
      <c r="O69" s="27"/>
      <c r="P69" s="27"/>
      <c r="Q69" s="27"/>
      <c r="R69" s="27"/>
      <c r="S69" s="27"/>
      <c r="T69" s="27"/>
      <c r="U69" s="27"/>
      <c r="V69" s="27"/>
      <c r="W69" s="27"/>
      <c r="X69" s="27"/>
      <c r="Y69" s="27"/>
      <c r="Z69" s="27"/>
    </row>
    <row r="70" ht="15.75" customHeight="1">
      <c r="A70" s="27"/>
      <c r="B70" s="27"/>
      <c r="C70" s="27"/>
      <c r="D70" s="114"/>
      <c r="E70" s="114"/>
      <c r="F70" s="27"/>
      <c r="G70" s="27"/>
      <c r="H70" s="27"/>
      <c r="I70" s="27"/>
      <c r="J70" s="27"/>
      <c r="K70" s="27"/>
      <c r="L70" s="27"/>
      <c r="M70" s="27"/>
      <c r="N70" s="27"/>
      <c r="O70" s="27"/>
      <c r="P70" s="27"/>
      <c r="Q70" s="27"/>
      <c r="R70" s="27"/>
      <c r="S70" s="27"/>
      <c r="T70" s="27"/>
      <c r="U70" s="27"/>
      <c r="V70" s="27"/>
      <c r="W70" s="27"/>
      <c r="X70" s="27"/>
      <c r="Y70" s="27"/>
      <c r="Z70" s="27"/>
    </row>
    <row r="71" ht="15.75" customHeight="1">
      <c r="A71" s="27"/>
      <c r="B71" s="27"/>
      <c r="C71" s="27"/>
      <c r="D71" s="114"/>
      <c r="E71" s="114"/>
      <c r="F71" s="27"/>
      <c r="G71" s="27"/>
      <c r="H71" s="27"/>
      <c r="I71" s="27"/>
      <c r="J71" s="27"/>
      <c r="K71" s="27"/>
      <c r="L71" s="27"/>
      <c r="M71" s="27"/>
      <c r="N71" s="27"/>
      <c r="O71" s="27"/>
      <c r="P71" s="27"/>
      <c r="Q71" s="27"/>
      <c r="R71" s="27"/>
      <c r="S71" s="27"/>
      <c r="T71" s="27"/>
      <c r="U71" s="27"/>
      <c r="V71" s="27"/>
      <c r="W71" s="27"/>
      <c r="X71" s="27"/>
      <c r="Y71" s="27"/>
      <c r="Z71" s="27"/>
    </row>
    <row r="72" ht="15.75" customHeight="1">
      <c r="A72" s="27"/>
      <c r="B72" s="27"/>
      <c r="C72" s="27"/>
      <c r="D72" s="114"/>
      <c r="E72" s="114"/>
      <c r="F72" s="27"/>
      <c r="G72" s="27"/>
      <c r="H72" s="27"/>
      <c r="I72" s="27"/>
      <c r="J72" s="27"/>
      <c r="K72" s="27"/>
      <c r="L72" s="27"/>
      <c r="M72" s="27"/>
      <c r="N72" s="27"/>
      <c r="O72" s="27"/>
      <c r="P72" s="27"/>
      <c r="Q72" s="27"/>
      <c r="R72" s="27"/>
      <c r="S72" s="27"/>
      <c r="T72" s="27"/>
      <c r="U72" s="27"/>
      <c r="V72" s="27"/>
      <c r="W72" s="27"/>
      <c r="X72" s="27"/>
      <c r="Y72" s="27"/>
      <c r="Z72" s="27"/>
    </row>
    <row r="73" ht="15.75" customHeight="1">
      <c r="A73" s="27"/>
      <c r="B73" s="27"/>
      <c r="C73" s="27"/>
      <c r="D73" s="114"/>
      <c r="E73" s="114"/>
      <c r="F73" s="27"/>
      <c r="G73" s="27"/>
      <c r="H73" s="27"/>
      <c r="I73" s="27"/>
      <c r="J73" s="27"/>
      <c r="K73" s="27"/>
      <c r="L73" s="27"/>
      <c r="M73" s="27"/>
      <c r="N73" s="27"/>
      <c r="O73" s="27"/>
      <c r="P73" s="27"/>
      <c r="Q73" s="27"/>
      <c r="R73" s="27"/>
      <c r="S73" s="27"/>
      <c r="T73" s="27"/>
      <c r="U73" s="27"/>
      <c r="V73" s="27"/>
      <c r="W73" s="27"/>
      <c r="X73" s="27"/>
      <c r="Y73" s="27"/>
      <c r="Z73" s="27"/>
    </row>
    <row r="74" ht="15.75" customHeight="1">
      <c r="A74" s="27"/>
      <c r="B74" s="27"/>
      <c r="C74" s="27"/>
      <c r="D74" s="114"/>
      <c r="E74" s="114"/>
      <c r="F74" s="27"/>
      <c r="G74" s="27"/>
      <c r="H74" s="27"/>
      <c r="I74" s="27"/>
      <c r="J74" s="27"/>
      <c r="K74" s="27"/>
      <c r="L74" s="27"/>
      <c r="M74" s="27"/>
      <c r="N74" s="27"/>
      <c r="O74" s="27"/>
      <c r="P74" s="27"/>
      <c r="Q74" s="27"/>
      <c r="R74" s="27"/>
      <c r="S74" s="27"/>
      <c r="T74" s="27"/>
      <c r="U74" s="27"/>
      <c r="V74" s="27"/>
      <c r="W74" s="27"/>
      <c r="X74" s="27"/>
      <c r="Y74" s="27"/>
      <c r="Z74" s="27"/>
    </row>
    <row r="75" ht="15.75" customHeight="1">
      <c r="A75" s="27"/>
      <c r="B75" s="27"/>
      <c r="C75" s="27"/>
      <c r="D75" s="114"/>
      <c r="E75" s="114"/>
      <c r="F75" s="27"/>
      <c r="G75" s="27"/>
      <c r="H75" s="27"/>
      <c r="I75" s="27"/>
      <c r="J75" s="27"/>
      <c r="K75" s="27"/>
      <c r="L75" s="27"/>
      <c r="M75" s="27"/>
      <c r="N75" s="27"/>
      <c r="O75" s="27"/>
      <c r="P75" s="27"/>
      <c r="Q75" s="27"/>
      <c r="R75" s="27"/>
      <c r="S75" s="27"/>
      <c r="T75" s="27"/>
      <c r="U75" s="27"/>
      <c r="V75" s="27"/>
      <c r="W75" s="27"/>
      <c r="X75" s="27"/>
      <c r="Y75" s="27"/>
      <c r="Z75" s="27"/>
    </row>
    <row r="76" ht="15.75" customHeight="1">
      <c r="A76" s="27"/>
      <c r="B76" s="27"/>
      <c r="C76" s="27"/>
      <c r="D76" s="114"/>
      <c r="E76" s="114"/>
      <c r="F76" s="27"/>
      <c r="G76" s="27"/>
      <c r="H76" s="27"/>
      <c r="I76" s="27"/>
      <c r="J76" s="27"/>
      <c r="K76" s="27"/>
      <c r="L76" s="27"/>
      <c r="M76" s="27"/>
      <c r="N76" s="27"/>
      <c r="O76" s="27"/>
      <c r="P76" s="27"/>
      <c r="Q76" s="27"/>
      <c r="R76" s="27"/>
      <c r="S76" s="27"/>
      <c r="T76" s="27"/>
      <c r="U76" s="27"/>
      <c r="V76" s="27"/>
      <c r="W76" s="27"/>
      <c r="X76" s="27"/>
      <c r="Y76" s="27"/>
      <c r="Z76" s="27"/>
    </row>
    <row r="77" ht="15.75" customHeight="1">
      <c r="A77" s="27"/>
      <c r="B77" s="27"/>
      <c r="C77" s="27"/>
      <c r="D77" s="114"/>
      <c r="E77" s="114"/>
      <c r="F77" s="27"/>
      <c r="G77" s="27"/>
      <c r="H77" s="27"/>
      <c r="I77" s="27"/>
      <c r="J77" s="27"/>
      <c r="K77" s="27"/>
      <c r="L77" s="27"/>
      <c r="M77" s="27"/>
      <c r="N77" s="27"/>
      <c r="O77" s="27"/>
      <c r="P77" s="27"/>
      <c r="Q77" s="27"/>
      <c r="R77" s="27"/>
      <c r="S77" s="27"/>
      <c r="T77" s="27"/>
      <c r="U77" s="27"/>
      <c r="V77" s="27"/>
      <c r="W77" s="27"/>
      <c r="X77" s="27"/>
      <c r="Y77" s="27"/>
      <c r="Z77" s="27"/>
    </row>
    <row r="78" ht="15.75" customHeight="1">
      <c r="A78" s="27"/>
      <c r="B78" s="27"/>
      <c r="C78" s="27"/>
      <c r="D78" s="114"/>
      <c r="E78" s="114"/>
      <c r="F78" s="27"/>
      <c r="G78" s="27"/>
      <c r="H78" s="27"/>
      <c r="I78" s="27"/>
      <c r="J78" s="27"/>
      <c r="K78" s="27"/>
      <c r="L78" s="27"/>
      <c r="M78" s="27"/>
      <c r="N78" s="27"/>
      <c r="O78" s="27"/>
      <c r="P78" s="27"/>
      <c r="Q78" s="27"/>
      <c r="R78" s="27"/>
      <c r="S78" s="27"/>
      <c r="T78" s="27"/>
      <c r="U78" s="27"/>
      <c r="V78" s="27"/>
      <c r="W78" s="27"/>
      <c r="X78" s="27"/>
      <c r="Y78" s="27"/>
      <c r="Z78" s="27"/>
    </row>
    <row r="79" ht="15.75" customHeight="1">
      <c r="A79" s="27"/>
      <c r="B79" s="27"/>
      <c r="C79" s="27"/>
      <c r="D79" s="114"/>
      <c r="E79" s="114"/>
      <c r="F79" s="27"/>
      <c r="G79" s="27"/>
      <c r="H79" s="27"/>
      <c r="I79" s="27"/>
      <c r="J79" s="27"/>
      <c r="K79" s="27"/>
      <c r="L79" s="27"/>
      <c r="M79" s="27"/>
      <c r="N79" s="27"/>
      <c r="O79" s="27"/>
      <c r="P79" s="27"/>
      <c r="Q79" s="27"/>
      <c r="R79" s="27"/>
      <c r="S79" s="27"/>
      <c r="T79" s="27"/>
      <c r="U79" s="27"/>
      <c r="V79" s="27"/>
      <c r="W79" s="27"/>
      <c r="X79" s="27"/>
      <c r="Y79" s="27"/>
      <c r="Z79" s="27"/>
    </row>
    <row r="80" ht="15.75" customHeight="1">
      <c r="A80" s="27"/>
      <c r="B80" s="27"/>
      <c r="C80" s="27"/>
      <c r="D80" s="114"/>
      <c r="E80" s="114"/>
      <c r="F80" s="27"/>
      <c r="G80" s="27"/>
      <c r="H80" s="27"/>
      <c r="I80" s="27"/>
      <c r="J80" s="27"/>
      <c r="K80" s="27"/>
      <c r="L80" s="27"/>
      <c r="M80" s="27"/>
      <c r="N80" s="27"/>
      <c r="O80" s="27"/>
      <c r="P80" s="27"/>
      <c r="Q80" s="27"/>
      <c r="R80" s="27"/>
      <c r="S80" s="27"/>
      <c r="T80" s="27"/>
      <c r="U80" s="27"/>
      <c r="V80" s="27"/>
      <c r="W80" s="27"/>
      <c r="X80" s="27"/>
      <c r="Y80" s="27"/>
      <c r="Z80" s="27"/>
    </row>
    <row r="81" ht="15.75" customHeight="1">
      <c r="A81" s="27"/>
      <c r="B81" s="27"/>
      <c r="C81" s="27"/>
      <c r="D81" s="114"/>
      <c r="E81" s="114"/>
      <c r="F81" s="27"/>
      <c r="G81" s="27"/>
      <c r="H81" s="27"/>
      <c r="I81" s="27"/>
      <c r="J81" s="27"/>
      <c r="K81" s="27"/>
      <c r="L81" s="27"/>
      <c r="M81" s="27"/>
      <c r="N81" s="27"/>
      <c r="O81" s="27"/>
      <c r="P81" s="27"/>
      <c r="Q81" s="27"/>
      <c r="R81" s="27"/>
      <c r="S81" s="27"/>
      <c r="T81" s="27"/>
      <c r="U81" s="27"/>
      <c r="V81" s="27"/>
      <c r="W81" s="27"/>
      <c r="X81" s="27"/>
      <c r="Y81" s="27"/>
      <c r="Z81" s="27"/>
    </row>
    <row r="82" ht="15.75" customHeight="1">
      <c r="A82" s="27"/>
      <c r="B82" s="27"/>
      <c r="C82" s="27"/>
      <c r="D82" s="114"/>
      <c r="E82" s="114"/>
      <c r="F82" s="27"/>
      <c r="G82" s="27"/>
      <c r="H82" s="27"/>
      <c r="I82" s="27"/>
      <c r="J82" s="27"/>
      <c r="K82" s="27"/>
      <c r="L82" s="27"/>
      <c r="M82" s="27"/>
      <c r="N82" s="27"/>
      <c r="O82" s="27"/>
      <c r="P82" s="27"/>
      <c r="Q82" s="27"/>
      <c r="R82" s="27"/>
      <c r="S82" s="27"/>
      <c r="T82" s="27"/>
      <c r="U82" s="27"/>
      <c r="V82" s="27"/>
      <c r="W82" s="27"/>
      <c r="X82" s="27"/>
      <c r="Y82" s="27"/>
      <c r="Z82" s="27"/>
    </row>
    <row r="83" ht="15.75" customHeight="1">
      <c r="A83" s="27"/>
      <c r="B83" s="27"/>
      <c r="C83" s="27"/>
      <c r="D83" s="114"/>
      <c r="E83" s="114"/>
      <c r="F83" s="27"/>
      <c r="G83" s="27"/>
      <c r="H83" s="27"/>
      <c r="I83" s="27"/>
      <c r="J83" s="27"/>
      <c r="K83" s="27"/>
      <c r="L83" s="27"/>
      <c r="M83" s="27"/>
      <c r="N83" s="27"/>
      <c r="O83" s="27"/>
      <c r="P83" s="27"/>
      <c r="Q83" s="27"/>
      <c r="R83" s="27"/>
      <c r="S83" s="27"/>
      <c r="T83" s="27"/>
      <c r="U83" s="27"/>
      <c r="V83" s="27"/>
      <c r="W83" s="27"/>
      <c r="X83" s="27"/>
      <c r="Y83" s="27"/>
      <c r="Z83" s="27"/>
    </row>
    <row r="84" ht="15.75" customHeight="1">
      <c r="A84" s="27"/>
      <c r="B84" s="27"/>
      <c r="C84" s="27"/>
      <c r="D84" s="114"/>
      <c r="E84" s="114"/>
      <c r="F84" s="27"/>
      <c r="G84" s="27"/>
      <c r="H84" s="27"/>
      <c r="I84" s="27"/>
      <c r="J84" s="27"/>
      <c r="K84" s="27"/>
      <c r="L84" s="27"/>
      <c r="M84" s="27"/>
      <c r="N84" s="27"/>
      <c r="O84" s="27"/>
      <c r="P84" s="27"/>
      <c r="Q84" s="27"/>
      <c r="R84" s="27"/>
      <c r="S84" s="27"/>
      <c r="T84" s="27"/>
      <c r="U84" s="27"/>
      <c r="V84" s="27"/>
      <c r="W84" s="27"/>
      <c r="X84" s="27"/>
      <c r="Y84" s="27"/>
      <c r="Z84" s="27"/>
    </row>
    <row r="85" ht="15.75" customHeight="1">
      <c r="A85" s="27"/>
      <c r="B85" s="27"/>
      <c r="C85" s="27"/>
      <c r="D85" s="114"/>
      <c r="E85" s="114"/>
      <c r="F85" s="27"/>
      <c r="G85" s="27"/>
      <c r="H85" s="27"/>
      <c r="I85" s="27"/>
      <c r="J85" s="27"/>
      <c r="K85" s="27"/>
      <c r="L85" s="27"/>
      <c r="M85" s="27"/>
      <c r="N85" s="27"/>
      <c r="O85" s="27"/>
      <c r="P85" s="27"/>
      <c r="Q85" s="27"/>
      <c r="R85" s="27"/>
      <c r="S85" s="27"/>
      <c r="T85" s="27"/>
      <c r="U85" s="27"/>
      <c r="V85" s="27"/>
      <c r="W85" s="27"/>
      <c r="X85" s="27"/>
      <c r="Y85" s="27"/>
      <c r="Z85" s="27"/>
    </row>
    <row r="86" ht="15.75" customHeight="1">
      <c r="A86" s="27"/>
      <c r="B86" s="27"/>
      <c r="C86" s="27"/>
      <c r="D86" s="114"/>
      <c r="E86" s="114"/>
      <c r="F86" s="27"/>
      <c r="G86" s="27"/>
      <c r="H86" s="27"/>
      <c r="I86" s="27"/>
      <c r="J86" s="27"/>
      <c r="K86" s="27"/>
      <c r="L86" s="27"/>
      <c r="M86" s="27"/>
      <c r="N86" s="27"/>
      <c r="O86" s="27"/>
      <c r="P86" s="27"/>
      <c r="Q86" s="27"/>
      <c r="R86" s="27"/>
      <c r="S86" s="27"/>
      <c r="T86" s="27"/>
      <c r="U86" s="27"/>
      <c r="V86" s="27"/>
      <c r="W86" s="27"/>
      <c r="X86" s="27"/>
      <c r="Y86" s="27"/>
      <c r="Z86" s="27"/>
    </row>
    <row r="87" ht="15.75" customHeight="1">
      <c r="A87" s="27"/>
      <c r="B87" s="27"/>
      <c r="C87" s="27"/>
      <c r="D87" s="114"/>
      <c r="E87" s="114"/>
      <c r="F87" s="27"/>
      <c r="G87" s="27"/>
      <c r="H87" s="27"/>
      <c r="I87" s="27"/>
      <c r="J87" s="27"/>
      <c r="K87" s="27"/>
      <c r="L87" s="27"/>
      <c r="M87" s="27"/>
      <c r="N87" s="27"/>
      <c r="O87" s="27"/>
      <c r="P87" s="27"/>
      <c r="Q87" s="27"/>
      <c r="R87" s="27"/>
      <c r="S87" s="27"/>
      <c r="T87" s="27"/>
      <c r="U87" s="27"/>
      <c r="V87" s="27"/>
      <c r="W87" s="27"/>
      <c r="X87" s="27"/>
      <c r="Y87" s="27"/>
      <c r="Z87" s="27"/>
    </row>
    <row r="88" ht="15.75" customHeight="1">
      <c r="A88" s="27"/>
      <c r="B88" s="27"/>
      <c r="C88" s="27"/>
      <c r="D88" s="114"/>
      <c r="E88" s="114"/>
      <c r="F88" s="27"/>
      <c r="G88" s="27"/>
      <c r="H88" s="27"/>
      <c r="I88" s="27"/>
      <c r="J88" s="27"/>
      <c r="K88" s="27"/>
      <c r="L88" s="27"/>
      <c r="M88" s="27"/>
      <c r="N88" s="27"/>
      <c r="O88" s="27"/>
      <c r="P88" s="27"/>
      <c r="Q88" s="27"/>
      <c r="R88" s="27"/>
      <c r="S88" s="27"/>
      <c r="T88" s="27"/>
      <c r="U88" s="27"/>
      <c r="V88" s="27"/>
      <c r="W88" s="27"/>
      <c r="X88" s="27"/>
      <c r="Y88" s="27"/>
      <c r="Z88" s="27"/>
    </row>
    <row r="89" ht="15.75" customHeight="1">
      <c r="A89" s="27"/>
      <c r="B89" s="27"/>
      <c r="C89" s="27"/>
      <c r="D89" s="114"/>
      <c r="E89" s="114"/>
      <c r="F89" s="27"/>
      <c r="G89" s="27"/>
      <c r="H89" s="27"/>
      <c r="I89" s="27"/>
      <c r="J89" s="27"/>
      <c r="K89" s="27"/>
      <c r="L89" s="27"/>
      <c r="M89" s="27"/>
      <c r="N89" s="27"/>
      <c r="O89" s="27"/>
      <c r="P89" s="27"/>
      <c r="Q89" s="27"/>
      <c r="R89" s="27"/>
      <c r="S89" s="27"/>
      <c r="T89" s="27"/>
      <c r="U89" s="27"/>
      <c r="V89" s="27"/>
      <c r="W89" s="27"/>
      <c r="X89" s="27"/>
      <c r="Y89" s="27"/>
      <c r="Z89" s="27"/>
    </row>
    <row r="90" ht="15.75" customHeight="1">
      <c r="A90" s="27"/>
      <c r="B90" s="27"/>
      <c r="C90" s="27"/>
      <c r="D90" s="114"/>
      <c r="E90" s="114"/>
      <c r="F90" s="27"/>
      <c r="G90" s="27"/>
      <c r="H90" s="27"/>
      <c r="I90" s="27"/>
      <c r="J90" s="27"/>
      <c r="K90" s="27"/>
      <c r="L90" s="27"/>
      <c r="M90" s="27"/>
      <c r="N90" s="27"/>
      <c r="O90" s="27"/>
      <c r="P90" s="27"/>
      <c r="Q90" s="27"/>
      <c r="R90" s="27"/>
      <c r="S90" s="27"/>
      <c r="T90" s="27"/>
      <c r="U90" s="27"/>
      <c r="V90" s="27"/>
      <c r="W90" s="27"/>
      <c r="X90" s="27"/>
      <c r="Y90" s="27"/>
      <c r="Z90" s="27"/>
    </row>
    <row r="91" ht="15.75" customHeight="1">
      <c r="A91" s="27"/>
      <c r="B91" s="27"/>
      <c r="C91" s="27"/>
      <c r="D91" s="114"/>
      <c r="E91" s="114"/>
      <c r="F91" s="27"/>
      <c r="G91" s="27"/>
      <c r="H91" s="27"/>
      <c r="I91" s="27"/>
      <c r="J91" s="27"/>
      <c r="K91" s="27"/>
      <c r="L91" s="27"/>
      <c r="M91" s="27"/>
      <c r="N91" s="27"/>
      <c r="O91" s="27"/>
      <c r="P91" s="27"/>
      <c r="Q91" s="27"/>
      <c r="R91" s="27"/>
      <c r="S91" s="27"/>
      <c r="T91" s="27"/>
      <c r="U91" s="27"/>
      <c r="V91" s="27"/>
      <c r="W91" s="27"/>
      <c r="X91" s="27"/>
      <c r="Y91" s="27"/>
      <c r="Z91" s="27"/>
    </row>
    <row r="92" ht="15.75" customHeight="1">
      <c r="A92" s="27"/>
      <c r="B92" s="27"/>
      <c r="C92" s="27"/>
      <c r="D92" s="114"/>
      <c r="E92" s="114"/>
      <c r="F92" s="27"/>
      <c r="G92" s="27"/>
      <c r="H92" s="27"/>
      <c r="I92" s="27"/>
      <c r="J92" s="27"/>
      <c r="K92" s="27"/>
      <c r="L92" s="27"/>
      <c r="M92" s="27"/>
      <c r="N92" s="27"/>
      <c r="O92" s="27"/>
      <c r="P92" s="27"/>
      <c r="Q92" s="27"/>
      <c r="R92" s="27"/>
      <c r="S92" s="27"/>
      <c r="T92" s="27"/>
      <c r="U92" s="27"/>
      <c r="V92" s="27"/>
      <c r="W92" s="27"/>
      <c r="X92" s="27"/>
      <c r="Y92" s="27"/>
      <c r="Z92" s="27"/>
    </row>
    <row r="93" ht="15.75" customHeight="1">
      <c r="A93" s="27"/>
      <c r="B93" s="27"/>
      <c r="C93" s="27"/>
      <c r="D93" s="114"/>
      <c r="E93" s="114"/>
      <c r="F93" s="27"/>
      <c r="G93" s="27"/>
      <c r="H93" s="27"/>
      <c r="I93" s="27"/>
      <c r="J93" s="27"/>
      <c r="K93" s="27"/>
      <c r="L93" s="27"/>
      <c r="M93" s="27"/>
      <c r="N93" s="27"/>
      <c r="O93" s="27"/>
      <c r="P93" s="27"/>
      <c r="Q93" s="27"/>
      <c r="R93" s="27"/>
      <c r="S93" s="27"/>
      <c r="T93" s="27"/>
      <c r="U93" s="27"/>
      <c r="V93" s="27"/>
      <c r="W93" s="27"/>
      <c r="X93" s="27"/>
      <c r="Y93" s="27"/>
      <c r="Z93" s="27"/>
    </row>
    <row r="94" ht="15.75" customHeight="1">
      <c r="A94" s="27"/>
      <c r="B94" s="27"/>
      <c r="C94" s="27"/>
      <c r="D94" s="114"/>
      <c r="E94" s="114"/>
      <c r="F94" s="27"/>
      <c r="G94" s="27"/>
      <c r="H94" s="27"/>
      <c r="I94" s="27"/>
      <c r="J94" s="27"/>
      <c r="K94" s="27"/>
      <c r="L94" s="27"/>
      <c r="M94" s="27"/>
      <c r="N94" s="27"/>
      <c r="O94" s="27"/>
      <c r="P94" s="27"/>
      <c r="Q94" s="27"/>
      <c r="R94" s="27"/>
      <c r="S94" s="27"/>
      <c r="T94" s="27"/>
      <c r="U94" s="27"/>
      <c r="V94" s="27"/>
      <c r="W94" s="27"/>
      <c r="X94" s="27"/>
      <c r="Y94" s="27"/>
      <c r="Z94" s="27"/>
    </row>
    <row r="95" ht="15.75" customHeight="1">
      <c r="A95" s="27"/>
      <c r="B95" s="27"/>
      <c r="C95" s="27"/>
      <c r="D95" s="114"/>
      <c r="E95" s="114"/>
      <c r="F95" s="27"/>
      <c r="G95" s="27"/>
      <c r="H95" s="27"/>
      <c r="I95" s="27"/>
      <c r="J95" s="27"/>
      <c r="K95" s="27"/>
      <c r="L95" s="27"/>
      <c r="M95" s="27"/>
      <c r="N95" s="27"/>
      <c r="O95" s="27"/>
      <c r="P95" s="27"/>
      <c r="Q95" s="27"/>
      <c r="R95" s="27"/>
      <c r="S95" s="27"/>
      <c r="T95" s="27"/>
      <c r="U95" s="27"/>
      <c r="V95" s="27"/>
      <c r="W95" s="27"/>
      <c r="X95" s="27"/>
      <c r="Y95" s="27"/>
      <c r="Z95" s="27"/>
    </row>
    <row r="96" ht="15.75" customHeight="1">
      <c r="A96" s="27"/>
      <c r="B96" s="27"/>
      <c r="C96" s="27"/>
      <c r="D96" s="114"/>
      <c r="E96" s="114"/>
      <c r="F96" s="27"/>
      <c r="G96" s="27"/>
      <c r="H96" s="27"/>
      <c r="I96" s="27"/>
      <c r="J96" s="27"/>
      <c r="K96" s="27"/>
      <c r="L96" s="27"/>
      <c r="M96" s="27"/>
      <c r="N96" s="27"/>
      <c r="O96" s="27"/>
      <c r="P96" s="27"/>
      <c r="Q96" s="27"/>
      <c r="R96" s="27"/>
      <c r="S96" s="27"/>
      <c r="T96" s="27"/>
      <c r="U96" s="27"/>
      <c r="V96" s="27"/>
      <c r="W96" s="27"/>
      <c r="X96" s="27"/>
      <c r="Y96" s="27"/>
      <c r="Z96" s="27"/>
    </row>
    <row r="97" ht="15.75" customHeight="1">
      <c r="A97" s="27"/>
      <c r="B97" s="27"/>
      <c r="C97" s="27"/>
      <c r="D97" s="114"/>
      <c r="E97" s="114"/>
      <c r="F97" s="27"/>
      <c r="G97" s="27"/>
      <c r="H97" s="27"/>
      <c r="I97" s="27"/>
      <c r="J97" s="27"/>
      <c r="K97" s="27"/>
      <c r="L97" s="27"/>
      <c r="M97" s="27"/>
      <c r="N97" s="27"/>
      <c r="O97" s="27"/>
      <c r="P97" s="27"/>
      <c r="Q97" s="27"/>
      <c r="R97" s="27"/>
      <c r="S97" s="27"/>
      <c r="T97" s="27"/>
      <c r="U97" s="27"/>
      <c r="V97" s="27"/>
      <c r="W97" s="27"/>
      <c r="X97" s="27"/>
      <c r="Y97" s="27"/>
      <c r="Z97" s="27"/>
    </row>
    <row r="98" ht="15.75" customHeight="1">
      <c r="A98" s="27"/>
      <c r="B98" s="27"/>
      <c r="C98" s="27"/>
      <c r="D98" s="114"/>
      <c r="E98" s="114"/>
      <c r="F98" s="27"/>
      <c r="G98" s="27"/>
      <c r="H98" s="27"/>
      <c r="I98" s="27"/>
      <c r="J98" s="27"/>
      <c r="K98" s="27"/>
      <c r="L98" s="27"/>
      <c r="M98" s="27"/>
      <c r="N98" s="27"/>
      <c r="O98" s="27"/>
      <c r="P98" s="27"/>
      <c r="Q98" s="27"/>
      <c r="R98" s="27"/>
      <c r="S98" s="27"/>
      <c r="T98" s="27"/>
      <c r="U98" s="27"/>
      <c r="V98" s="27"/>
      <c r="W98" s="27"/>
      <c r="X98" s="27"/>
      <c r="Y98" s="27"/>
      <c r="Z98" s="27"/>
    </row>
    <row r="99" ht="15.75" customHeight="1">
      <c r="A99" s="27"/>
      <c r="B99" s="27"/>
      <c r="C99" s="27"/>
      <c r="D99" s="114"/>
      <c r="E99" s="114"/>
      <c r="F99" s="27"/>
      <c r="G99" s="27"/>
      <c r="H99" s="27"/>
      <c r="I99" s="27"/>
      <c r="J99" s="27"/>
      <c r="K99" s="27"/>
      <c r="L99" s="27"/>
      <c r="M99" s="27"/>
      <c r="N99" s="27"/>
      <c r="O99" s="27"/>
      <c r="P99" s="27"/>
      <c r="Q99" s="27"/>
      <c r="R99" s="27"/>
      <c r="S99" s="27"/>
      <c r="T99" s="27"/>
      <c r="U99" s="27"/>
      <c r="V99" s="27"/>
      <c r="W99" s="27"/>
      <c r="X99" s="27"/>
      <c r="Y99" s="27"/>
      <c r="Z99" s="27"/>
    </row>
    <row r="100" ht="15.75" customHeight="1">
      <c r="A100" s="27"/>
      <c r="B100" s="27"/>
      <c r="C100" s="27"/>
      <c r="D100" s="114"/>
      <c r="E100" s="114"/>
      <c r="F100" s="27"/>
      <c r="G100" s="27"/>
      <c r="H100" s="27"/>
      <c r="I100" s="27"/>
      <c r="J100" s="27"/>
      <c r="K100" s="27"/>
      <c r="L100" s="27"/>
      <c r="M100" s="27"/>
      <c r="N100" s="27"/>
      <c r="O100" s="27"/>
      <c r="P100" s="27"/>
      <c r="Q100" s="27"/>
      <c r="R100" s="27"/>
      <c r="S100" s="27"/>
      <c r="T100" s="27"/>
      <c r="U100" s="27"/>
      <c r="V100" s="27"/>
      <c r="W100" s="27"/>
      <c r="X100" s="27"/>
      <c r="Y100" s="27"/>
      <c r="Z100" s="27"/>
    </row>
    <row r="101" ht="15.75" customHeight="1">
      <c r="A101" s="27"/>
      <c r="B101" s="27"/>
      <c r="C101" s="27"/>
      <c r="D101" s="114"/>
      <c r="E101" s="114"/>
      <c r="F101" s="27"/>
      <c r="G101" s="27"/>
      <c r="H101" s="27"/>
      <c r="I101" s="27"/>
      <c r="J101" s="27"/>
      <c r="K101" s="27"/>
      <c r="L101" s="27"/>
      <c r="M101" s="27"/>
      <c r="N101" s="27"/>
      <c r="O101" s="27"/>
      <c r="P101" s="27"/>
      <c r="Q101" s="27"/>
      <c r="R101" s="27"/>
      <c r="S101" s="27"/>
      <c r="T101" s="27"/>
      <c r="U101" s="27"/>
      <c r="V101" s="27"/>
      <c r="W101" s="27"/>
      <c r="X101" s="27"/>
      <c r="Y101" s="27"/>
      <c r="Z101" s="27"/>
    </row>
    <row r="102" ht="15.75" customHeight="1">
      <c r="A102" s="27"/>
      <c r="B102" s="27"/>
      <c r="C102" s="27"/>
      <c r="D102" s="114"/>
      <c r="E102" s="114"/>
      <c r="F102" s="27"/>
      <c r="G102" s="27"/>
      <c r="H102" s="27"/>
      <c r="I102" s="27"/>
      <c r="J102" s="27"/>
      <c r="K102" s="27"/>
      <c r="L102" s="27"/>
      <c r="M102" s="27"/>
      <c r="N102" s="27"/>
      <c r="O102" s="27"/>
      <c r="P102" s="27"/>
      <c r="Q102" s="27"/>
      <c r="R102" s="27"/>
      <c r="S102" s="27"/>
      <c r="T102" s="27"/>
      <c r="U102" s="27"/>
      <c r="V102" s="27"/>
      <c r="W102" s="27"/>
      <c r="X102" s="27"/>
      <c r="Y102" s="27"/>
      <c r="Z102" s="27"/>
    </row>
    <row r="103" ht="15.75" customHeight="1">
      <c r="A103" s="27"/>
      <c r="B103" s="27"/>
      <c r="C103" s="27"/>
      <c r="D103" s="114"/>
      <c r="E103" s="114"/>
      <c r="F103" s="27"/>
      <c r="G103" s="27"/>
      <c r="H103" s="27"/>
      <c r="I103" s="27"/>
      <c r="J103" s="27"/>
      <c r="K103" s="27"/>
      <c r="L103" s="27"/>
      <c r="M103" s="27"/>
      <c r="N103" s="27"/>
      <c r="O103" s="27"/>
      <c r="P103" s="27"/>
      <c r="Q103" s="27"/>
      <c r="R103" s="27"/>
      <c r="S103" s="27"/>
      <c r="T103" s="27"/>
      <c r="U103" s="27"/>
      <c r="V103" s="27"/>
      <c r="W103" s="27"/>
      <c r="X103" s="27"/>
      <c r="Y103" s="27"/>
      <c r="Z103" s="27"/>
    </row>
    <row r="104" ht="15.75" customHeight="1">
      <c r="A104" s="27"/>
      <c r="B104" s="27"/>
      <c r="C104" s="27"/>
      <c r="D104" s="114"/>
      <c r="E104" s="114"/>
      <c r="F104" s="27"/>
      <c r="G104" s="27"/>
      <c r="H104" s="27"/>
      <c r="I104" s="27"/>
      <c r="J104" s="27"/>
      <c r="K104" s="27"/>
      <c r="L104" s="27"/>
      <c r="M104" s="27"/>
      <c r="N104" s="27"/>
      <c r="O104" s="27"/>
      <c r="P104" s="27"/>
      <c r="Q104" s="27"/>
      <c r="R104" s="27"/>
      <c r="S104" s="27"/>
      <c r="T104" s="27"/>
      <c r="U104" s="27"/>
      <c r="V104" s="27"/>
      <c r="W104" s="27"/>
      <c r="X104" s="27"/>
      <c r="Y104" s="27"/>
      <c r="Z104" s="27"/>
    </row>
    <row r="105" ht="15.75" customHeight="1">
      <c r="A105" s="27"/>
      <c r="B105" s="27"/>
      <c r="C105" s="27"/>
      <c r="D105" s="114"/>
      <c r="E105" s="114"/>
      <c r="F105" s="27"/>
      <c r="G105" s="27"/>
      <c r="H105" s="27"/>
      <c r="I105" s="27"/>
      <c r="J105" s="27"/>
      <c r="K105" s="27"/>
      <c r="L105" s="27"/>
      <c r="M105" s="27"/>
      <c r="N105" s="27"/>
      <c r="O105" s="27"/>
      <c r="P105" s="27"/>
      <c r="Q105" s="27"/>
      <c r="R105" s="27"/>
      <c r="S105" s="27"/>
      <c r="T105" s="27"/>
      <c r="U105" s="27"/>
      <c r="V105" s="27"/>
      <c r="W105" s="27"/>
      <c r="X105" s="27"/>
      <c r="Y105" s="27"/>
      <c r="Z105" s="27"/>
    </row>
    <row r="106" ht="15.75" customHeight="1">
      <c r="A106" s="27"/>
      <c r="B106" s="27"/>
      <c r="C106" s="27"/>
      <c r="D106" s="114"/>
      <c r="E106" s="114"/>
      <c r="F106" s="27"/>
      <c r="G106" s="27"/>
      <c r="H106" s="27"/>
      <c r="I106" s="27"/>
      <c r="J106" s="27"/>
      <c r="K106" s="27"/>
      <c r="L106" s="27"/>
      <c r="M106" s="27"/>
      <c r="N106" s="27"/>
      <c r="O106" s="27"/>
      <c r="P106" s="27"/>
      <c r="Q106" s="27"/>
      <c r="R106" s="27"/>
      <c r="S106" s="27"/>
      <c r="T106" s="27"/>
      <c r="U106" s="27"/>
      <c r="V106" s="27"/>
      <c r="W106" s="27"/>
      <c r="X106" s="27"/>
      <c r="Y106" s="27"/>
      <c r="Z106" s="27"/>
    </row>
    <row r="107" ht="15.75" customHeight="1">
      <c r="A107" s="27"/>
      <c r="B107" s="27"/>
      <c r="C107" s="27"/>
      <c r="D107" s="114"/>
      <c r="E107" s="114"/>
      <c r="F107" s="27"/>
      <c r="G107" s="27"/>
      <c r="H107" s="27"/>
      <c r="I107" s="27"/>
      <c r="J107" s="27"/>
      <c r="K107" s="27"/>
      <c r="L107" s="27"/>
      <c r="M107" s="27"/>
      <c r="N107" s="27"/>
      <c r="O107" s="27"/>
      <c r="P107" s="27"/>
      <c r="Q107" s="27"/>
      <c r="R107" s="27"/>
      <c r="S107" s="27"/>
      <c r="T107" s="27"/>
      <c r="U107" s="27"/>
      <c r="V107" s="27"/>
      <c r="W107" s="27"/>
      <c r="X107" s="27"/>
      <c r="Y107" s="27"/>
      <c r="Z107" s="27"/>
    </row>
    <row r="108" ht="15.75" customHeight="1">
      <c r="A108" s="27"/>
      <c r="B108" s="27"/>
      <c r="C108" s="27"/>
      <c r="D108" s="114"/>
      <c r="E108" s="114"/>
      <c r="F108" s="27"/>
      <c r="G108" s="27"/>
      <c r="H108" s="27"/>
      <c r="I108" s="27"/>
      <c r="J108" s="27"/>
      <c r="K108" s="27"/>
      <c r="L108" s="27"/>
      <c r="M108" s="27"/>
      <c r="N108" s="27"/>
      <c r="O108" s="27"/>
      <c r="P108" s="27"/>
      <c r="Q108" s="27"/>
      <c r="R108" s="27"/>
      <c r="S108" s="27"/>
      <c r="T108" s="27"/>
      <c r="U108" s="27"/>
      <c r="V108" s="27"/>
      <c r="W108" s="27"/>
      <c r="X108" s="27"/>
      <c r="Y108" s="27"/>
      <c r="Z108" s="27"/>
    </row>
    <row r="109" ht="15.75" customHeight="1">
      <c r="A109" s="27"/>
      <c r="B109" s="27"/>
      <c r="C109" s="27"/>
      <c r="D109" s="114"/>
      <c r="E109" s="114"/>
      <c r="F109" s="27"/>
      <c r="G109" s="27"/>
      <c r="H109" s="27"/>
      <c r="I109" s="27"/>
      <c r="J109" s="27"/>
      <c r="K109" s="27"/>
      <c r="L109" s="27"/>
      <c r="M109" s="27"/>
      <c r="N109" s="27"/>
      <c r="O109" s="27"/>
      <c r="P109" s="27"/>
      <c r="Q109" s="27"/>
      <c r="R109" s="27"/>
      <c r="S109" s="27"/>
      <c r="T109" s="27"/>
      <c r="U109" s="27"/>
      <c r="V109" s="27"/>
      <c r="W109" s="27"/>
      <c r="X109" s="27"/>
      <c r="Y109" s="27"/>
      <c r="Z109" s="27"/>
    </row>
    <row r="110" ht="15.75" customHeight="1">
      <c r="A110" s="27"/>
      <c r="B110" s="27"/>
      <c r="C110" s="27"/>
      <c r="D110" s="114"/>
      <c r="E110" s="114"/>
      <c r="F110" s="27"/>
      <c r="G110" s="27"/>
      <c r="H110" s="27"/>
      <c r="I110" s="27"/>
      <c r="J110" s="27"/>
      <c r="K110" s="27"/>
      <c r="L110" s="27"/>
      <c r="M110" s="27"/>
      <c r="N110" s="27"/>
      <c r="O110" s="27"/>
      <c r="P110" s="27"/>
      <c r="Q110" s="27"/>
      <c r="R110" s="27"/>
      <c r="S110" s="27"/>
      <c r="T110" s="27"/>
      <c r="U110" s="27"/>
      <c r="V110" s="27"/>
      <c r="W110" s="27"/>
      <c r="X110" s="27"/>
      <c r="Y110" s="27"/>
      <c r="Z110" s="27"/>
    </row>
    <row r="111" ht="15.75" customHeight="1">
      <c r="A111" s="27"/>
      <c r="B111" s="27"/>
      <c r="C111" s="27"/>
      <c r="D111" s="114"/>
      <c r="E111" s="114"/>
      <c r="F111" s="27"/>
      <c r="G111" s="27"/>
      <c r="H111" s="27"/>
      <c r="I111" s="27"/>
      <c r="J111" s="27"/>
      <c r="K111" s="27"/>
      <c r="L111" s="27"/>
      <c r="M111" s="27"/>
      <c r="N111" s="27"/>
      <c r="O111" s="27"/>
      <c r="P111" s="27"/>
      <c r="Q111" s="27"/>
      <c r="R111" s="27"/>
      <c r="S111" s="27"/>
      <c r="T111" s="27"/>
      <c r="U111" s="27"/>
      <c r="V111" s="27"/>
      <c r="W111" s="27"/>
      <c r="X111" s="27"/>
      <c r="Y111" s="27"/>
      <c r="Z111" s="27"/>
    </row>
    <row r="112" ht="15.75" customHeight="1">
      <c r="A112" s="27"/>
      <c r="B112" s="27"/>
      <c r="C112" s="27"/>
      <c r="D112" s="114"/>
      <c r="E112" s="114"/>
      <c r="F112" s="27"/>
      <c r="G112" s="27"/>
      <c r="H112" s="27"/>
      <c r="I112" s="27"/>
      <c r="J112" s="27"/>
      <c r="K112" s="27"/>
      <c r="L112" s="27"/>
      <c r="M112" s="27"/>
      <c r="N112" s="27"/>
      <c r="O112" s="27"/>
      <c r="P112" s="27"/>
      <c r="Q112" s="27"/>
      <c r="R112" s="27"/>
      <c r="S112" s="27"/>
      <c r="T112" s="27"/>
      <c r="U112" s="27"/>
      <c r="V112" s="27"/>
      <c r="W112" s="27"/>
      <c r="X112" s="27"/>
      <c r="Y112" s="27"/>
      <c r="Z112" s="27"/>
    </row>
    <row r="113" ht="15.75" customHeight="1">
      <c r="A113" s="27"/>
      <c r="B113" s="27"/>
      <c r="C113" s="27"/>
      <c r="D113" s="114"/>
      <c r="E113" s="114"/>
      <c r="F113" s="27"/>
      <c r="G113" s="27"/>
      <c r="H113" s="27"/>
      <c r="I113" s="27"/>
      <c r="J113" s="27"/>
      <c r="K113" s="27"/>
      <c r="L113" s="27"/>
      <c r="M113" s="27"/>
      <c r="N113" s="27"/>
      <c r="O113" s="27"/>
      <c r="P113" s="27"/>
      <c r="Q113" s="27"/>
      <c r="R113" s="27"/>
      <c r="S113" s="27"/>
      <c r="T113" s="27"/>
      <c r="U113" s="27"/>
      <c r="V113" s="27"/>
      <c r="W113" s="27"/>
      <c r="X113" s="27"/>
      <c r="Y113" s="27"/>
      <c r="Z113" s="27"/>
    </row>
    <row r="114" ht="15.75" customHeight="1">
      <c r="A114" s="27"/>
      <c r="B114" s="27"/>
      <c r="C114" s="27"/>
      <c r="D114" s="114"/>
      <c r="E114" s="114"/>
      <c r="F114" s="27"/>
      <c r="G114" s="27"/>
      <c r="H114" s="27"/>
      <c r="I114" s="27"/>
      <c r="J114" s="27"/>
      <c r="K114" s="27"/>
      <c r="L114" s="27"/>
      <c r="M114" s="27"/>
      <c r="N114" s="27"/>
      <c r="O114" s="27"/>
      <c r="P114" s="27"/>
      <c r="Q114" s="27"/>
      <c r="R114" s="27"/>
      <c r="S114" s="27"/>
      <c r="T114" s="27"/>
      <c r="U114" s="27"/>
      <c r="V114" s="27"/>
      <c r="W114" s="27"/>
      <c r="X114" s="27"/>
      <c r="Y114" s="27"/>
      <c r="Z114" s="27"/>
    </row>
    <row r="115" ht="15.75" customHeight="1">
      <c r="A115" s="27"/>
      <c r="B115" s="27"/>
      <c r="C115" s="27"/>
      <c r="D115" s="114"/>
      <c r="E115" s="114"/>
      <c r="F115" s="27"/>
      <c r="G115" s="27"/>
      <c r="H115" s="27"/>
      <c r="I115" s="27"/>
      <c r="J115" s="27"/>
      <c r="K115" s="27"/>
      <c r="L115" s="27"/>
      <c r="M115" s="27"/>
      <c r="N115" s="27"/>
      <c r="O115" s="27"/>
      <c r="P115" s="27"/>
      <c r="Q115" s="27"/>
      <c r="R115" s="27"/>
      <c r="S115" s="27"/>
      <c r="T115" s="27"/>
      <c r="U115" s="27"/>
      <c r="V115" s="27"/>
      <c r="W115" s="27"/>
      <c r="X115" s="27"/>
      <c r="Y115" s="27"/>
      <c r="Z115" s="27"/>
    </row>
    <row r="116" ht="15.75" customHeight="1">
      <c r="A116" s="27"/>
      <c r="B116" s="27"/>
      <c r="C116" s="27"/>
      <c r="D116" s="114"/>
      <c r="E116" s="114"/>
      <c r="F116" s="27"/>
      <c r="G116" s="27"/>
      <c r="H116" s="27"/>
      <c r="I116" s="27"/>
      <c r="J116" s="27"/>
      <c r="K116" s="27"/>
      <c r="L116" s="27"/>
      <c r="M116" s="27"/>
      <c r="N116" s="27"/>
      <c r="O116" s="27"/>
      <c r="P116" s="27"/>
      <c r="Q116" s="27"/>
      <c r="R116" s="27"/>
      <c r="S116" s="27"/>
      <c r="T116" s="27"/>
      <c r="U116" s="27"/>
      <c r="V116" s="27"/>
      <c r="W116" s="27"/>
      <c r="X116" s="27"/>
      <c r="Y116" s="27"/>
      <c r="Z116" s="27"/>
    </row>
    <row r="117" ht="15.75" customHeight="1">
      <c r="A117" s="27"/>
      <c r="B117" s="27"/>
      <c r="C117" s="27"/>
      <c r="D117" s="114"/>
      <c r="E117" s="114"/>
      <c r="F117" s="27"/>
      <c r="G117" s="27"/>
      <c r="H117" s="27"/>
      <c r="I117" s="27"/>
      <c r="J117" s="27"/>
      <c r="K117" s="27"/>
      <c r="L117" s="27"/>
      <c r="M117" s="27"/>
      <c r="N117" s="27"/>
      <c r="O117" s="27"/>
      <c r="P117" s="27"/>
      <c r="Q117" s="27"/>
      <c r="R117" s="27"/>
      <c r="S117" s="27"/>
      <c r="T117" s="27"/>
      <c r="U117" s="27"/>
      <c r="V117" s="27"/>
      <c r="W117" s="27"/>
      <c r="X117" s="27"/>
      <c r="Y117" s="27"/>
      <c r="Z117" s="27"/>
    </row>
    <row r="118" ht="15.75" customHeight="1">
      <c r="A118" s="27"/>
      <c r="B118" s="27"/>
      <c r="C118" s="27"/>
      <c r="D118" s="114"/>
      <c r="E118" s="114"/>
      <c r="F118" s="27"/>
      <c r="G118" s="27"/>
      <c r="H118" s="27"/>
      <c r="I118" s="27"/>
      <c r="J118" s="27"/>
      <c r="K118" s="27"/>
      <c r="L118" s="27"/>
      <c r="M118" s="27"/>
      <c r="N118" s="27"/>
      <c r="O118" s="27"/>
      <c r="P118" s="27"/>
      <c r="Q118" s="27"/>
      <c r="R118" s="27"/>
      <c r="S118" s="27"/>
      <c r="T118" s="27"/>
      <c r="U118" s="27"/>
      <c r="V118" s="27"/>
      <c r="W118" s="27"/>
      <c r="X118" s="27"/>
      <c r="Y118" s="27"/>
      <c r="Z118" s="27"/>
    </row>
    <row r="119" ht="15.75" customHeight="1">
      <c r="A119" s="27"/>
      <c r="B119" s="27"/>
      <c r="C119" s="27"/>
      <c r="D119" s="114"/>
      <c r="E119" s="114"/>
      <c r="F119" s="27"/>
      <c r="G119" s="27"/>
      <c r="H119" s="27"/>
      <c r="I119" s="27"/>
      <c r="J119" s="27"/>
      <c r="K119" s="27"/>
      <c r="L119" s="27"/>
      <c r="M119" s="27"/>
      <c r="N119" s="27"/>
      <c r="O119" s="27"/>
      <c r="P119" s="27"/>
      <c r="Q119" s="27"/>
      <c r="R119" s="27"/>
      <c r="S119" s="27"/>
      <c r="T119" s="27"/>
      <c r="U119" s="27"/>
      <c r="V119" s="27"/>
      <c r="W119" s="27"/>
      <c r="X119" s="27"/>
      <c r="Y119" s="27"/>
      <c r="Z119" s="27"/>
    </row>
    <row r="120" ht="15.75" customHeight="1">
      <c r="A120" s="27"/>
      <c r="B120" s="27"/>
      <c r="C120" s="27"/>
      <c r="D120" s="114"/>
      <c r="E120" s="114"/>
      <c r="F120" s="27"/>
      <c r="G120" s="27"/>
      <c r="H120" s="27"/>
      <c r="I120" s="27"/>
      <c r="J120" s="27"/>
      <c r="K120" s="27"/>
      <c r="L120" s="27"/>
      <c r="M120" s="27"/>
      <c r="N120" s="27"/>
      <c r="O120" s="27"/>
      <c r="P120" s="27"/>
      <c r="Q120" s="27"/>
      <c r="R120" s="27"/>
      <c r="S120" s="27"/>
      <c r="T120" s="27"/>
      <c r="U120" s="27"/>
      <c r="V120" s="27"/>
      <c r="W120" s="27"/>
      <c r="X120" s="27"/>
      <c r="Y120" s="27"/>
      <c r="Z120" s="27"/>
    </row>
    <row r="121" ht="15.75" customHeight="1">
      <c r="A121" s="27"/>
      <c r="B121" s="27"/>
      <c r="C121" s="27"/>
      <c r="D121" s="114"/>
      <c r="E121" s="114"/>
      <c r="F121" s="27"/>
      <c r="G121" s="27"/>
      <c r="H121" s="27"/>
      <c r="I121" s="27"/>
      <c r="J121" s="27"/>
      <c r="K121" s="27"/>
      <c r="L121" s="27"/>
      <c r="M121" s="27"/>
      <c r="N121" s="27"/>
      <c r="O121" s="27"/>
      <c r="P121" s="27"/>
      <c r="Q121" s="27"/>
      <c r="R121" s="27"/>
      <c r="S121" s="27"/>
      <c r="T121" s="27"/>
      <c r="U121" s="27"/>
      <c r="V121" s="27"/>
      <c r="W121" s="27"/>
      <c r="X121" s="27"/>
      <c r="Y121" s="27"/>
      <c r="Z121" s="27"/>
    </row>
    <row r="122" ht="15.75" customHeight="1">
      <c r="A122" s="27"/>
      <c r="B122" s="27"/>
      <c r="C122" s="27"/>
      <c r="D122" s="114"/>
      <c r="E122" s="114"/>
      <c r="F122" s="27"/>
      <c r="G122" s="27"/>
      <c r="H122" s="27"/>
      <c r="I122" s="27"/>
      <c r="J122" s="27"/>
      <c r="K122" s="27"/>
      <c r="L122" s="27"/>
      <c r="M122" s="27"/>
      <c r="N122" s="27"/>
      <c r="O122" s="27"/>
      <c r="P122" s="27"/>
      <c r="Q122" s="27"/>
      <c r="R122" s="27"/>
      <c r="S122" s="27"/>
      <c r="T122" s="27"/>
      <c r="U122" s="27"/>
      <c r="V122" s="27"/>
      <c r="W122" s="27"/>
      <c r="X122" s="27"/>
      <c r="Y122" s="27"/>
      <c r="Z122" s="27"/>
    </row>
    <row r="123" ht="15.75" customHeight="1">
      <c r="A123" s="27"/>
      <c r="B123" s="27"/>
      <c r="C123" s="27"/>
      <c r="D123" s="114"/>
      <c r="E123" s="114"/>
      <c r="F123" s="27"/>
      <c r="G123" s="27"/>
      <c r="H123" s="27"/>
      <c r="I123" s="27"/>
      <c r="J123" s="27"/>
      <c r="K123" s="27"/>
      <c r="L123" s="27"/>
      <c r="M123" s="27"/>
      <c r="N123" s="27"/>
      <c r="O123" s="27"/>
      <c r="P123" s="27"/>
      <c r="Q123" s="27"/>
      <c r="R123" s="27"/>
      <c r="S123" s="27"/>
      <c r="T123" s="27"/>
      <c r="U123" s="27"/>
      <c r="V123" s="27"/>
      <c r="W123" s="27"/>
      <c r="X123" s="27"/>
      <c r="Y123" s="27"/>
      <c r="Z123" s="27"/>
    </row>
    <row r="124" ht="15.75" customHeight="1">
      <c r="A124" s="27"/>
      <c r="B124" s="27"/>
      <c r="C124" s="27"/>
      <c r="D124" s="114"/>
      <c r="E124" s="114"/>
      <c r="F124" s="27"/>
      <c r="G124" s="27"/>
      <c r="H124" s="27"/>
      <c r="I124" s="27"/>
      <c r="J124" s="27"/>
      <c r="K124" s="27"/>
      <c r="L124" s="27"/>
      <c r="M124" s="27"/>
      <c r="N124" s="27"/>
      <c r="O124" s="27"/>
      <c r="P124" s="27"/>
      <c r="Q124" s="27"/>
      <c r="R124" s="27"/>
      <c r="S124" s="27"/>
      <c r="T124" s="27"/>
      <c r="U124" s="27"/>
      <c r="V124" s="27"/>
      <c r="W124" s="27"/>
      <c r="X124" s="27"/>
      <c r="Y124" s="27"/>
      <c r="Z124" s="27"/>
    </row>
    <row r="125" ht="15.75" customHeight="1">
      <c r="A125" s="27"/>
      <c r="B125" s="27"/>
      <c r="C125" s="27"/>
      <c r="D125" s="114"/>
      <c r="E125" s="114"/>
      <c r="F125" s="27"/>
      <c r="G125" s="27"/>
      <c r="H125" s="27"/>
      <c r="I125" s="27"/>
      <c r="J125" s="27"/>
      <c r="K125" s="27"/>
      <c r="L125" s="27"/>
      <c r="M125" s="27"/>
      <c r="N125" s="27"/>
      <c r="O125" s="27"/>
      <c r="P125" s="27"/>
      <c r="Q125" s="27"/>
      <c r="R125" s="27"/>
      <c r="S125" s="27"/>
      <c r="T125" s="27"/>
      <c r="U125" s="27"/>
      <c r="V125" s="27"/>
      <c r="W125" s="27"/>
      <c r="X125" s="27"/>
      <c r="Y125" s="27"/>
      <c r="Z125" s="27"/>
    </row>
    <row r="126" ht="15.75" customHeight="1">
      <c r="A126" s="27"/>
      <c r="B126" s="27"/>
      <c r="C126" s="27"/>
      <c r="D126" s="114"/>
      <c r="E126" s="114"/>
      <c r="F126" s="27"/>
      <c r="G126" s="27"/>
      <c r="H126" s="27"/>
      <c r="I126" s="27"/>
      <c r="J126" s="27"/>
      <c r="K126" s="27"/>
      <c r="L126" s="27"/>
      <c r="M126" s="27"/>
      <c r="N126" s="27"/>
      <c r="O126" s="27"/>
      <c r="P126" s="27"/>
      <c r="Q126" s="27"/>
      <c r="R126" s="27"/>
      <c r="S126" s="27"/>
      <c r="T126" s="27"/>
      <c r="U126" s="27"/>
      <c r="V126" s="27"/>
      <c r="W126" s="27"/>
      <c r="X126" s="27"/>
      <c r="Y126" s="27"/>
      <c r="Z126" s="27"/>
    </row>
    <row r="127" ht="15.75" customHeight="1">
      <c r="A127" s="27"/>
      <c r="B127" s="27"/>
      <c r="C127" s="27"/>
      <c r="D127" s="114"/>
      <c r="E127" s="114"/>
      <c r="F127" s="27"/>
      <c r="G127" s="27"/>
      <c r="H127" s="27"/>
      <c r="I127" s="27"/>
      <c r="J127" s="27"/>
      <c r="K127" s="27"/>
      <c r="L127" s="27"/>
      <c r="M127" s="27"/>
      <c r="N127" s="27"/>
      <c r="O127" s="27"/>
      <c r="P127" s="27"/>
      <c r="Q127" s="27"/>
      <c r="R127" s="27"/>
      <c r="S127" s="27"/>
      <c r="T127" s="27"/>
      <c r="U127" s="27"/>
      <c r="V127" s="27"/>
      <c r="W127" s="27"/>
      <c r="X127" s="27"/>
      <c r="Y127" s="27"/>
      <c r="Z127" s="27"/>
    </row>
    <row r="128" ht="15.75" customHeight="1">
      <c r="A128" s="27"/>
      <c r="B128" s="27"/>
      <c r="C128" s="27"/>
      <c r="D128" s="114"/>
      <c r="E128" s="114"/>
      <c r="F128" s="27"/>
      <c r="G128" s="27"/>
      <c r="H128" s="27"/>
      <c r="I128" s="27"/>
      <c r="J128" s="27"/>
      <c r="K128" s="27"/>
      <c r="L128" s="27"/>
      <c r="M128" s="27"/>
      <c r="N128" s="27"/>
      <c r="O128" s="27"/>
      <c r="P128" s="27"/>
      <c r="Q128" s="27"/>
      <c r="R128" s="27"/>
      <c r="S128" s="27"/>
      <c r="T128" s="27"/>
      <c r="U128" s="27"/>
      <c r="V128" s="27"/>
      <c r="W128" s="27"/>
      <c r="X128" s="27"/>
      <c r="Y128" s="27"/>
      <c r="Z128" s="27"/>
    </row>
    <row r="129" ht="15.75" customHeight="1">
      <c r="A129" s="27"/>
      <c r="B129" s="27"/>
      <c r="C129" s="27"/>
      <c r="D129" s="114"/>
      <c r="E129" s="114"/>
      <c r="F129" s="27"/>
      <c r="G129" s="27"/>
      <c r="H129" s="27"/>
      <c r="I129" s="27"/>
      <c r="J129" s="27"/>
      <c r="K129" s="27"/>
      <c r="L129" s="27"/>
      <c r="M129" s="27"/>
      <c r="N129" s="27"/>
      <c r="O129" s="27"/>
      <c r="P129" s="27"/>
      <c r="Q129" s="27"/>
      <c r="R129" s="27"/>
      <c r="S129" s="27"/>
      <c r="T129" s="27"/>
      <c r="U129" s="27"/>
      <c r="V129" s="27"/>
      <c r="W129" s="27"/>
      <c r="X129" s="27"/>
      <c r="Y129" s="27"/>
      <c r="Z129" s="27"/>
    </row>
    <row r="130" ht="15.75" customHeight="1">
      <c r="A130" s="27"/>
      <c r="B130" s="27"/>
      <c r="C130" s="27"/>
      <c r="D130" s="114"/>
      <c r="E130" s="114"/>
      <c r="F130" s="27"/>
      <c r="G130" s="27"/>
      <c r="H130" s="27"/>
      <c r="I130" s="27"/>
      <c r="J130" s="27"/>
      <c r="K130" s="27"/>
      <c r="L130" s="27"/>
      <c r="M130" s="27"/>
      <c r="N130" s="27"/>
      <c r="O130" s="27"/>
      <c r="P130" s="27"/>
      <c r="Q130" s="27"/>
      <c r="R130" s="27"/>
      <c r="S130" s="27"/>
      <c r="T130" s="27"/>
      <c r="U130" s="27"/>
      <c r="V130" s="27"/>
      <c r="W130" s="27"/>
      <c r="X130" s="27"/>
      <c r="Y130" s="27"/>
      <c r="Z130" s="27"/>
    </row>
    <row r="131" ht="15.75" customHeight="1">
      <c r="A131" s="27"/>
      <c r="B131" s="27"/>
      <c r="C131" s="27"/>
      <c r="D131" s="114"/>
      <c r="E131" s="114"/>
      <c r="F131" s="27"/>
      <c r="G131" s="27"/>
      <c r="H131" s="27"/>
      <c r="I131" s="27"/>
      <c r="J131" s="27"/>
      <c r="K131" s="27"/>
      <c r="L131" s="27"/>
      <c r="M131" s="27"/>
      <c r="N131" s="27"/>
      <c r="O131" s="27"/>
      <c r="P131" s="27"/>
      <c r="Q131" s="27"/>
      <c r="R131" s="27"/>
      <c r="S131" s="27"/>
      <c r="T131" s="27"/>
      <c r="U131" s="27"/>
      <c r="V131" s="27"/>
      <c r="W131" s="27"/>
      <c r="X131" s="27"/>
      <c r="Y131" s="27"/>
      <c r="Z131" s="27"/>
    </row>
    <row r="132" ht="15.75" customHeight="1">
      <c r="A132" s="27"/>
      <c r="B132" s="27"/>
      <c r="C132" s="27"/>
      <c r="D132" s="114"/>
      <c r="E132" s="114"/>
      <c r="F132" s="27"/>
      <c r="G132" s="27"/>
      <c r="H132" s="27"/>
      <c r="I132" s="27"/>
      <c r="J132" s="27"/>
      <c r="K132" s="27"/>
      <c r="L132" s="27"/>
      <c r="M132" s="27"/>
      <c r="N132" s="27"/>
      <c r="O132" s="27"/>
      <c r="P132" s="27"/>
      <c r="Q132" s="27"/>
      <c r="R132" s="27"/>
      <c r="S132" s="27"/>
      <c r="T132" s="27"/>
      <c r="U132" s="27"/>
      <c r="V132" s="27"/>
      <c r="W132" s="27"/>
      <c r="X132" s="27"/>
      <c r="Y132" s="27"/>
      <c r="Z132" s="27"/>
    </row>
    <row r="133" ht="15.75" customHeight="1">
      <c r="A133" s="27"/>
      <c r="B133" s="27"/>
      <c r="C133" s="27"/>
      <c r="D133" s="114"/>
      <c r="E133" s="114"/>
      <c r="F133" s="27"/>
      <c r="G133" s="27"/>
      <c r="H133" s="27"/>
      <c r="I133" s="27"/>
      <c r="J133" s="27"/>
      <c r="K133" s="27"/>
      <c r="L133" s="27"/>
      <c r="M133" s="27"/>
      <c r="N133" s="27"/>
      <c r="O133" s="27"/>
      <c r="P133" s="27"/>
      <c r="Q133" s="27"/>
      <c r="R133" s="27"/>
      <c r="S133" s="27"/>
      <c r="T133" s="27"/>
      <c r="U133" s="27"/>
      <c r="V133" s="27"/>
      <c r="W133" s="27"/>
      <c r="X133" s="27"/>
      <c r="Y133" s="27"/>
      <c r="Z133" s="27"/>
    </row>
    <row r="134" ht="15.75" customHeight="1">
      <c r="A134" s="27"/>
      <c r="B134" s="27"/>
      <c r="C134" s="27"/>
      <c r="D134" s="114"/>
      <c r="E134" s="114"/>
      <c r="F134" s="27"/>
      <c r="G134" s="27"/>
      <c r="H134" s="27"/>
      <c r="I134" s="27"/>
      <c r="J134" s="27"/>
      <c r="K134" s="27"/>
      <c r="L134" s="27"/>
      <c r="M134" s="27"/>
      <c r="N134" s="27"/>
      <c r="O134" s="27"/>
      <c r="P134" s="27"/>
      <c r="Q134" s="27"/>
      <c r="R134" s="27"/>
      <c r="S134" s="27"/>
      <c r="T134" s="27"/>
      <c r="U134" s="27"/>
      <c r="V134" s="27"/>
      <c r="W134" s="27"/>
      <c r="X134" s="27"/>
      <c r="Y134" s="27"/>
      <c r="Z134" s="27"/>
    </row>
    <row r="135" ht="15.75" customHeight="1">
      <c r="A135" s="27"/>
      <c r="B135" s="27"/>
      <c r="C135" s="27"/>
      <c r="D135" s="114"/>
      <c r="E135" s="114"/>
      <c r="F135" s="27"/>
      <c r="G135" s="27"/>
      <c r="H135" s="27"/>
      <c r="I135" s="27"/>
      <c r="J135" s="27"/>
      <c r="K135" s="27"/>
      <c r="L135" s="27"/>
      <c r="M135" s="27"/>
      <c r="N135" s="27"/>
      <c r="O135" s="27"/>
      <c r="P135" s="27"/>
      <c r="Q135" s="27"/>
      <c r="R135" s="27"/>
      <c r="S135" s="27"/>
      <c r="T135" s="27"/>
      <c r="U135" s="27"/>
      <c r="V135" s="27"/>
      <c r="W135" s="27"/>
      <c r="X135" s="27"/>
      <c r="Y135" s="27"/>
      <c r="Z135" s="27"/>
    </row>
    <row r="136" ht="15.75" customHeight="1">
      <c r="A136" s="27"/>
      <c r="B136" s="27"/>
      <c r="C136" s="27"/>
      <c r="D136" s="114"/>
      <c r="E136" s="114"/>
      <c r="F136" s="27"/>
      <c r="G136" s="27"/>
      <c r="H136" s="27"/>
      <c r="I136" s="27"/>
      <c r="J136" s="27"/>
      <c r="K136" s="27"/>
      <c r="L136" s="27"/>
      <c r="M136" s="27"/>
      <c r="N136" s="27"/>
      <c r="O136" s="27"/>
      <c r="P136" s="27"/>
      <c r="Q136" s="27"/>
      <c r="R136" s="27"/>
      <c r="S136" s="27"/>
      <c r="T136" s="27"/>
      <c r="U136" s="27"/>
      <c r="V136" s="27"/>
      <c r="W136" s="27"/>
      <c r="X136" s="27"/>
      <c r="Y136" s="27"/>
      <c r="Z136" s="27"/>
    </row>
    <row r="137" ht="15.75" customHeight="1">
      <c r="A137" s="27"/>
      <c r="B137" s="27"/>
      <c r="C137" s="27"/>
      <c r="D137" s="114"/>
      <c r="E137" s="114"/>
      <c r="F137" s="27"/>
      <c r="G137" s="27"/>
      <c r="H137" s="27"/>
      <c r="I137" s="27"/>
      <c r="J137" s="27"/>
      <c r="K137" s="27"/>
      <c r="L137" s="27"/>
      <c r="M137" s="27"/>
      <c r="N137" s="27"/>
      <c r="O137" s="27"/>
      <c r="P137" s="27"/>
      <c r="Q137" s="27"/>
      <c r="R137" s="27"/>
      <c r="S137" s="27"/>
      <c r="T137" s="27"/>
      <c r="U137" s="27"/>
      <c r="V137" s="27"/>
      <c r="W137" s="27"/>
      <c r="X137" s="27"/>
      <c r="Y137" s="27"/>
      <c r="Z137" s="27"/>
    </row>
    <row r="138" ht="15.75" customHeight="1">
      <c r="A138" s="27"/>
      <c r="B138" s="27"/>
      <c r="C138" s="27"/>
      <c r="D138" s="114"/>
      <c r="E138" s="114"/>
      <c r="F138" s="27"/>
      <c r="G138" s="27"/>
      <c r="H138" s="27"/>
      <c r="I138" s="27"/>
      <c r="J138" s="27"/>
      <c r="K138" s="27"/>
      <c r="L138" s="27"/>
      <c r="M138" s="27"/>
      <c r="N138" s="27"/>
      <c r="O138" s="27"/>
      <c r="P138" s="27"/>
      <c r="Q138" s="27"/>
      <c r="R138" s="27"/>
      <c r="S138" s="27"/>
      <c r="T138" s="27"/>
      <c r="U138" s="27"/>
      <c r="V138" s="27"/>
      <c r="W138" s="27"/>
      <c r="X138" s="27"/>
      <c r="Y138" s="27"/>
      <c r="Z138" s="27"/>
    </row>
    <row r="139" ht="15.75" customHeight="1">
      <c r="A139" s="27"/>
      <c r="B139" s="27"/>
      <c r="C139" s="27"/>
      <c r="D139" s="114"/>
      <c r="E139" s="114"/>
      <c r="F139" s="27"/>
      <c r="G139" s="27"/>
      <c r="H139" s="27"/>
      <c r="I139" s="27"/>
      <c r="J139" s="27"/>
      <c r="K139" s="27"/>
      <c r="L139" s="27"/>
      <c r="M139" s="27"/>
      <c r="N139" s="27"/>
      <c r="O139" s="27"/>
      <c r="P139" s="27"/>
      <c r="Q139" s="27"/>
      <c r="R139" s="27"/>
      <c r="S139" s="27"/>
      <c r="T139" s="27"/>
      <c r="U139" s="27"/>
      <c r="V139" s="27"/>
      <c r="W139" s="27"/>
      <c r="X139" s="27"/>
      <c r="Y139" s="27"/>
      <c r="Z139" s="27"/>
    </row>
    <row r="140" ht="15.75" customHeight="1">
      <c r="A140" s="27"/>
      <c r="B140" s="27"/>
      <c r="C140" s="27"/>
      <c r="D140" s="114"/>
      <c r="E140" s="114"/>
      <c r="F140" s="27"/>
      <c r="G140" s="27"/>
      <c r="H140" s="27"/>
      <c r="I140" s="27"/>
      <c r="J140" s="27"/>
      <c r="K140" s="27"/>
      <c r="L140" s="27"/>
      <c r="M140" s="27"/>
      <c r="N140" s="27"/>
      <c r="O140" s="27"/>
      <c r="P140" s="27"/>
      <c r="Q140" s="27"/>
      <c r="R140" s="27"/>
      <c r="S140" s="27"/>
      <c r="T140" s="27"/>
      <c r="U140" s="27"/>
      <c r="V140" s="27"/>
      <c r="W140" s="27"/>
      <c r="X140" s="27"/>
      <c r="Y140" s="27"/>
      <c r="Z140" s="27"/>
    </row>
    <row r="141" ht="15.75" customHeight="1">
      <c r="A141" s="27"/>
      <c r="B141" s="27"/>
      <c r="C141" s="27"/>
      <c r="D141" s="114"/>
      <c r="E141" s="114"/>
      <c r="F141" s="27"/>
      <c r="G141" s="27"/>
      <c r="H141" s="27"/>
      <c r="I141" s="27"/>
      <c r="J141" s="27"/>
      <c r="K141" s="27"/>
      <c r="L141" s="27"/>
      <c r="M141" s="27"/>
      <c r="N141" s="27"/>
      <c r="O141" s="27"/>
      <c r="P141" s="27"/>
      <c r="Q141" s="27"/>
      <c r="R141" s="27"/>
      <c r="S141" s="27"/>
      <c r="T141" s="27"/>
      <c r="U141" s="27"/>
      <c r="V141" s="27"/>
      <c r="W141" s="27"/>
      <c r="X141" s="27"/>
      <c r="Y141" s="27"/>
      <c r="Z141" s="27"/>
    </row>
    <row r="142" ht="15.75" customHeight="1">
      <c r="A142" s="27"/>
      <c r="B142" s="27"/>
      <c r="C142" s="27"/>
      <c r="D142" s="114"/>
      <c r="E142" s="114"/>
      <c r="F142" s="27"/>
      <c r="G142" s="27"/>
      <c r="H142" s="27"/>
      <c r="I142" s="27"/>
      <c r="J142" s="27"/>
      <c r="K142" s="27"/>
      <c r="L142" s="27"/>
      <c r="M142" s="27"/>
      <c r="N142" s="27"/>
      <c r="O142" s="27"/>
      <c r="P142" s="27"/>
      <c r="Q142" s="27"/>
      <c r="R142" s="27"/>
      <c r="S142" s="27"/>
      <c r="T142" s="27"/>
      <c r="U142" s="27"/>
      <c r="V142" s="27"/>
      <c r="W142" s="27"/>
      <c r="X142" s="27"/>
      <c r="Y142" s="27"/>
      <c r="Z142" s="27"/>
    </row>
    <row r="143" ht="15.75" customHeight="1">
      <c r="A143" s="27"/>
      <c r="B143" s="27"/>
      <c r="C143" s="27"/>
      <c r="D143" s="114"/>
      <c r="E143" s="114"/>
      <c r="F143" s="27"/>
      <c r="G143" s="27"/>
      <c r="H143" s="27"/>
      <c r="I143" s="27"/>
      <c r="J143" s="27"/>
      <c r="K143" s="27"/>
      <c r="L143" s="27"/>
      <c r="M143" s="27"/>
      <c r="N143" s="27"/>
      <c r="O143" s="27"/>
      <c r="P143" s="27"/>
      <c r="Q143" s="27"/>
      <c r="R143" s="27"/>
      <c r="S143" s="27"/>
      <c r="T143" s="27"/>
      <c r="U143" s="27"/>
      <c r="V143" s="27"/>
      <c r="W143" s="27"/>
      <c r="X143" s="27"/>
      <c r="Y143" s="27"/>
      <c r="Z143" s="27"/>
    </row>
    <row r="144" ht="15.75" customHeight="1">
      <c r="A144" s="27"/>
      <c r="B144" s="27"/>
      <c r="C144" s="27"/>
      <c r="D144" s="114"/>
      <c r="E144" s="114"/>
      <c r="F144" s="27"/>
      <c r="G144" s="27"/>
      <c r="H144" s="27"/>
      <c r="I144" s="27"/>
      <c r="J144" s="27"/>
      <c r="K144" s="27"/>
      <c r="L144" s="27"/>
      <c r="M144" s="27"/>
      <c r="N144" s="27"/>
      <c r="O144" s="27"/>
      <c r="P144" s="27"/>
      <c r="Q144" s="27"/>
      <c r="R144" s="27"/>
      <c r="S144" s="27"/>
      <c r="T144" s="27"/>
      <c r="U144" s="27"/>
      <c r="V144" s="27"/>
      <c r="W144" s="27"/>
      <c r="X144" s="27"/>
      <c r="Y144" s="27"/>
      <c r="Z144" s="27"/>
    </row>
    <row r="145" ht="15.75" customHeight="1">
      <c r="A145" s="27"/>
      <c r="B145" s="27"/>
      <c r="C145" s="27"/>
      <c r="D145" s="114"/>
      <c r="E145" s="114"/>
      <c r="F145" s="27"/>
      <c r="G145" s="27"/>
      <c r="H145" s="27"/>
      <c r="I145" s="27"/>
      <c r="J145" s="27"/>
      <c r="K145" s="27"/>
      <c r="L145" s="27"/>
      <c r="M145" s="27"/>
      <c r="N145" s="27"/>
      <c r="O145" s="27"/>
      <c r="P145" s="27"/>
      <c r="Q145" s="27"/>
      <c r="R145" s="27"/>
      <c r="S145" s="27"/>
      <c r="T145" s="27"/>
      <c r="U145" s="27"/>
      <c r="V145" s="27"/>
      <c r="W145" s="27"/>
      <c r="X145" s="27"/>
      <c r="Y145" s="27"/>
      <c r="Z145" s="27"/>
    </row>
    <row r="146" ht="15.75" customHeight="1">
      <c r="A146" s="27"/>
      <c r="B146" s="27"/>
      <c r="C146" s="27"/>
      <c r="D146" s="114"/>
      <c r="E146" s="114"/>
      <c r="F146" s="27"/>
      <c r="G146" s="27"/>
      <c r="H146" s="27"/>
      <c r="I146" s="27"/>
      <c r="J146" s="27"/>
      <c r="K146" s="27"/>
      <c r="L146" s="27"/>
      <c r="M146" s="27"/>
      <c r="N146" s="27"/>
      <c r="O146" s="27"/>
      <c r="P146" s="27"/>
      <c r="Q146" s="27"/>
      <c r="R146" s="27"/>
      <c r="S146" s="27"/>
      <c r="T146" s="27"/>
      <c r="U146" s="27"/>
      <c r="V146" s="27"/>
      <c r="W146" s="27"/>
      <c r="X146" s="27"/>
      <c r="Y146" s="27"/>
      <c r="Z146" s="27"/>
    </row>
    <row r="147" ht="15.75" customHeight="1">
      <c r="A147" s="27"/>
      <c r="B147" s="27"/>
      <c r="C147" s="27"/>
      <c r="D147" s="114"/>
      <c r="E147" s="114"/>
      <c r="F147" s="27"/>
      <c r="G147" s="27"/>
      <c r="H147" s="27"/>
      <c r="I147" s="27"/>
      <c r="J147" s="27"/>
      <c r="K147" s="27"/>
      <c r="L147" s="27"/>
      <c r="M147" s="27"/>
      <c r="N147" s="27"/>
      <c r="O147" s="27"/>
      <c r="P147" s="27"/>
      <c r="Q147" s="27"/>
      <c r="R147" s="27"/>
      <c r="S147" s="27"/>
      <c r="T147" s="27"/>
      <c r="U147" s="27"/>
      <c r="V147" s="27"/>
      <c r="W147" s="27"/>
      <c r="X147" s="27"/>
      <c r="Y147" s="27"/>
      <c r="Z147" s="27"/>
    </row>
    <row r="148" ht="15.75" customHeight="1">
      <c r="A148" s="27"/>
      <c r="B148" s="27"/>
      <c r="C148" s="27"/>
      <c r="D148" s="114"/>
      <c r="E148" s="114"/>
      <c r="F148" s="27"/>
      <c r="G148" s="27"/>
      <c r="H148" s="27"/>
      <c r="I148" s="27"/>
      <c r="J148" s="27"/>
      <c r="K148" s="27"/>
      <c r="L148" s="27"/>
      <c r="M148" s="27"/>
      <c r="N148" s="27"/>
      <c r="O148" s="27"/>
      <c r="P148" s="27"/>
      <c r="Q148" s="27"/>
      <c r="R148" s="27"/>
      <c r="S148" s="27"/>
      <c r="T148" s="27"/>
      <c r="U148" s="27"/>
      <c r="V148" s="27"/>
      <c r="W148" s="27"/>
      <c r="X148" s="27"/>
      <c r="Y148" s="27"/>
      <c r="Z148" s="27"/>
    </row>
    <row r="149" ht="15.75" customHeight="1">
      <c r="A149" s="27"/>
      <c r="B149" s="27"/>
      <c r="C149" s="27"/>
      <c r="D149" s="114"/>
      <c r="E149" s="114"/>
      <c r="F149" s="27"/>
      <c r="G149" s="27"/>
      <c r="H149" s="27"/>
      <c r="I149" s="27"/>
      <c r="J149" s="27"/>
      <c r="K149" s="27"/>
      <c r="L149" s="27"/>
      <c r="M149" s="27"/>
      <c r="N149" s="27"/>
      <c r="O149" s="27"/>
      <c r="P149" s="27"/>
      <c r="Q149" s="27"/>
      <c r="R149" s="27"/>
      <c r="S149" s="27"/>
      <c r="T149" s="27"/>
      <c r="U149" s="27"/>
      <c r="V149" s="27"/>
      <c r="W149" s="27"/>
      <c r="X149" s="27"/>
      <c r="Y149" s="27"/>
      <c r="Z149" s="27"/>
    </row>
    <row r="150" ht="15.75" customHeight="1">
      <c r="A150" s="27"/>
      <c r="B150" s="27"/>
      <c r="C150" s="27"/>
      <c r="D150" s="114"/>
      <c r="E150" s="114"/>
      <c r="F150" s="27"/>
      <c r="G150" s="27"/>
      <c r="H150" s="27"/>
      <c r="I150" s="27"/>
      <c r="J150" s="27"/>
      <c r="K150" s="27"/>
      <c r="L150" s="27"/>
      <c r="M150" s="27"/>
      <c r="N150" s="27"/>
      <c r="O150" s="27"/>
      <c r="P150" s="27"/>
      <c r="Q150" s="27"/>
      <c r="R150" s="27"/>
      <c r="S150" s="27"/>
      <c r="T150" s="27"/>
      <c r="U150" s="27"/>
      <c r="V150" s="27"/>
      <c r="W150" s="27"/>
      <c r="X150" s="27"/>
      <c r="Y150" s="27"/>
      <c r="Z150" s="27"/>
    </row>
    <row r="151" ht="15.75" customHeight="1">
      <c r="A151" s="27"/>
      <c r="B151" s="27"/>
      <c r="C151" s="27"/>
      <c r="D151" s="114"/>
      <c r="E151" s="114"/>
      <c r="F151" s="27"/>
      <c r="G151" s="27"/>
      <c r="H151" s="27"/>
      <c r="I151" s="27"/>
      <c r="J151" s="27"/>
      <c r="K151" s="27"/>
      <c r="L151" s="27"/>
      <c r="M151" s="27"/>
      <c r="N151" s="27"/>
      <c r="O151" s="27"/>
      <c r="P151" s="27"/>
      <c r="Q151" s="27"/>
      <c r="R151" s="27"/>
      <c r="S151" s="27"/>
      <c r="T151" s="27"/>
      <c r="U151" s="27"/>
      <c r="V151" s="27"/>
      <c r="W151" s="27"/>
      <c r="X151" s="27"/>
      <c r="Y151" s="27"/>
      <c r="Z151" s="27"/>
    </row>
    <row r="152" ht="15.75" customHeight="1">
      <c r="A152" s="27"/>
      <c r="B152" s="27"/>
      <c r="C152" s="27"/>
      <c r="D152" s="114"/>
      <c r="E152" s="114"/>
      <c r="F152" s="27"/>
      <c r="G152" s="27"/>
      <c r="H152" s="27"/>
      <c r="I152" s="27"/>
      <c r="J152" s="27"/>
      <c r="K152" s="27"/>
      <c r="L152" s="27"/>
      <c r="M152" s="27"/>
      <c r="N152" s="27"/>
      <c r="O152" s="27"/>
      <c r="P152" s="27"/>
      <c r="Q152" s="27"/>
      <c r="R152" s="27"/>
      <c r="S152" s="27"/>
      <c r="T152" s="27"/>
      <c r="U152" s="27"/>
      <c r="V152" s="27"/>
      <c r="W152" s="27"/>
      <c r="X152" s="27"/>
      <c r="Y152" s="27"/>
      <c r="Z152" s="27"/>
    </row>
    <row r="153" ht="15.75" customHeight="1">
      <c r="A153" s="27"/>
      <c r="B153" s="27"/>
      <c r="C153" s="27"/>
      <c r="D153" s="114"/>
      <c r="E153" s="114"/>
      <c r="F153" s="27"/>
      <c r="G153" s="27"/>
      <c r="H153" s="27"/>
      <c r="I153" s="27"/>
      <c r="J153" s="27"/>
      <c r="K153" s="27"/>
      <c r="L153" s="27"/>
      <c r="M153" s="27"/>
      <c r="N153" s="27"/>
      <c r="O153" s="27"/>
      <c r="P153" s="27"/>
      <c r="Q153" s="27"/>
      <c r="R153" s="27"/>
      <c r="S153" s="27"/>
      <c r="T153" s="27"/>
      <c r="U153" s="27"/>
      <c r="V153" s="27"/>
      <c r="W153" s="27"/>
      <c r="X153" s="27"/>
      <c r="Y153" s="27"/>
      <c r="Z153" s="27"/>
    </row>
    <row r="154" ht="15.75" customHeight="1">
      <c r="A154" s="27"/>
      <c r="B154" s="27"/>
      <c r="C154" s="27"/>
      <c r="D154" s="114"/>
      <c r="E154" s="114"/>
      <c r="F154" s="27"/>
      <c r="G154" s="27"/>
      <c r="H154" s="27"/>
      <c r="I154" s="27"/>
      <c r="J154" s="27"/>
      <c r="K154" s="27"/>
      <c r="L154" s="27"/>
      <c r="M154" s="27"/>
      <c r="N154" s="27"/>
      <c r="O154" s="27"/>
      <c r="P154" s="27"/>
      <c r="Q154" s="27"/>
      <c r="R154" s="27"/>
      <c r="S154" s="27"/>
      <c r="T154" s="27"/>
      <c r="U154" s="27"/>
      <c r="V154" s="27"/>
      <c r="W154" s="27"/>
      <c r="X154" s="27"/>
      <c r="Y154" s="27"/>
      <c r="Z154" s="27"/>
    </row>
    <row r="155" ht="15.75" customHeight="1">
      <c r="A155" s="27"/>
      <c r="B155" s="27"/>
      <c r="C155" s="27"/>
      <c r="D155" s="114"/>
      <c r="E155" s="114"/>
      <c r="F155" s="27"/>
      <c r="G155" s="27"/>
      <c r="H155" s="27"/>
      <c r="I155" s="27"/>
      <c r="J155" s="27"/>
      <c r="K155" s="27"/>
      <c r="L155" s="27"/>
      <c r="M155" s="27"/>
      <c r="N155" s="27"/>
      <c r="O155" s="27"/>
      <c r="P155" s="27"/>
      <c r="Q155" s="27"/>
      <c r="R155" s="27"/>
      <c r="S155" s="27"/>
      <c r="T155" s="27"/>
      <c r="U155" s="27"/>
      <c r="V155" s="27"/>
      <c r="W155" s="27"/>
      <c r="X155" s="27"/>
      <c r="Y155" s="27"/>
      <c r="Z155" s="27"/>
    </row>
    <row r="156" ht="15.75" customHeight="1">
      <c r="A156" s="27"/>
      <c r="B156" s="27"/>
      <c r="C156" s="27"/>
      <c r="D156" s="114"/>
      <c r="E156" s="114"/>
      <c r="F156" s="27"/>
      <c r="G156" s="27"/>
      <c r="H156" s="27"/>
      <c r="I156" s="27"/>
      <c r="J156" s="27"/>
      <c r="K156" s="27"/>
      <c r="L156" s="27"/>
      <c r="M156" s="27"/>
      <c r="N156" s="27"/>
      <c r="O156" s="27"/>
      <c r="P156" s="27"/>
      <c r="Q156" s="27"/>
      <c r="R156" s="27"/>
      <c r="S156" s="27"/>
      <c r="T156" s="27"/>
      <c r="U156" s="27"/>
      <c r="V156" s="27"/>
      <c r="W156" s="27"/>
      <c r="X156" s="27"/>
      <c r="Y156" s="27"/>
      <c r="Z156" s="27"/>
    </row>
    <row r="157" ht="15.75" customHeight="1">
      <c r="A157" s="27"/>
      <c r="B157" s="27"/>
      <c r="C157" s="27"/>
      <c r="D157" s="114"/>
      <c r="E157" s="114"/>
      <c r="F157" s="27"/>
      <c r="G157" s="27"/>
      <c r="H157" s="27"/>
      <c r="I157" s="27"/>
      <c r="J157" s="27"/>
      <c r="K157" s="27"/>
      <c r="L157" s="27"/>
      <c r="M157" s="27"/>
      <c r="N157" s="27"/>
      <c r="O157" s="27"/>
      <c r="P157" s="27"/>
      <c r="Q157" s="27"/>
      <c r="R157" s="27"/>
      <c r="S157" s="27"/>
      <c r="T157" s="27"/>
      <c r="U157" s="27"/>
      <c r="V157" s="27"/>
      <c r="W157" s="27"/>
      <c r="X157" s="27"/>
      <c r="Y157" s="27"/>
      <c r="Z157" s="27"/>
    </row>
    <row r="158" ht="15.75" customHeight="1">
      <c r="A158" s="27"/>
      <c r="B158" s="27"/>
      <c r="C158" s="27"/>
      <c r="D158" s="114"/>
      <c r="E158" s="114"/>
      <c r="F158" s="27"/>
      <c r="G158" s="27"/>
      <c r="H158" s="27"/>
      <c r="I158" s="27"/>
      <c r="J158" s="27"/>
      <c r="K158" s="27"/>
      <c r="L158" s="27"/>
      <c r="M158" s="27"/>
      <c r="N158" s="27"/>
      <c r="O158" s="27"/>
      <c r="P158" s="27"/>
      <c r="Q158" s="27"/>
      <c r="R158" s="27"/>
      <c r="S158" s="27"/>
      <c r="T158" s="27"/>
      <c r="U158" s="27"/>
      <c r="V158" s="27"/>
      <c r="W158" s="27"/>
      <c r="X158" s="27"/>
      <c r="Y158" s="27"/>
      <c r="Z158" s="27"/>
    </row>
    <row r="159" ht="15.75" customHeight="1">
      <c r="A159" s="27"/>
      <c r="B159" s="27"/>
      <c r="C159" s="27"/>
      <c r="D159" s="114"/>
      <c r="E159" s="114"/>
      <c r="F159" s="27"/>
      <c r="G159" s="27"/>
      <c r="H159" s="27"/>
      <c r="I159" s="27"/>
      <c r="J159" s="27"/>
      <c r="K159" s="27"/>
      <c r="L159" s="27"/>
      <c r="M159" s="27"/>
      <c r="N159" s="27"/>
      <c r="O159" s="27"/>
      <c r="P159" s="27"/>
      <c r="Q159" s="27"/>
      <c r="R159" s="27"/>
      <c r="S159" s="27"/>
      <c r="T159" s="27"/>
      <c r="U159" s="27"/>
      <c r="V159" s="27"/>
      <c r="W159" s="27"/>
      <c r="X159" s="27"/>
      <c r="Y159" s="27"/>
      <c r="Z159" s="27"/>
    </row>
    <row r="160" ht="15.75" customHeight="1">
      <c r="A160" s="27"/>
      <c r="B160" s="27"/>
      <c r="C160" s="27"/>
      <c r="D160" s="114"/>
      <c r="E160" s="114"/>
      <c r="F160" s="27"/>
      <c r="G160" s="27"/>
      <c r="H160" s="27"/>
      <c r="I160" s="27"/>
      <c r="J160" s="27"/>
      <c r="K160" s="27"/>
      <c r="L160" s="27"/>
      <c r="M160" s="27"/>
      <c r="N160" s="27"/>
      <c r="O160" s="27"/>
      <c r="P160" s="27"/>
      <c r="Q160" s="27"/>
      <c r="R160" s="27"/>
      <c r="S160" s="27"/>
      <c r="T160" s="27"/>
      <c r="U160" s="27"/>
      <c r="V160" s="27"/>
      <c r="W160" s="27"/>
      <c r="X160" s="27"/>
      <c r="Y160" s="27"/>
      <c r="Z160" s="27"/>
    </row>
    <row r="161" ht="15.75" customHeight="1">
      <c r="A161" s="27"/>
      <c r="B161" s="27"/>
      <c r="C161" s="27"/>
      <c r="D161" s="114"/>
      <c r="E161" s="114"/>
      <c r="F161" s="27"/>
      <c r="G161" s="27"/>
      <c r="H161" s="27"/>
      <c r="I161" s="27"/>
      <c r="J161" s="27"/>
      <c r="K161" s="27"/>
      <c r="L161" s="27"/>
      <c r="M161" s="27"/>
      <c r="N161" s="27"/>
      <c r="O161" s="27"/>
      <c r="P161" s="27"/>
      <c r="Q161" s="27"/>
      <c r="R161" s="27"/>
      <c r="S161" s="27"/>
      <c r="T161" s="27"/>
      <c r="U161" s="27"/>
      <c r="V161" s="27"/>
      <c r="W161" s="27"/>
      <c r="X161" s="27"/>
      <c r="Y161" s="27"/>
      <c r="Z161" s="27"/>
    </row>
    <row r="162" ht="15.75" customHeight="1">
      <c r="A162" s="27"/>
      <c r="B162" s="27"/>
      <c r="C162" s="27"/>
      <c r="D162" s="114"/>
      <c r="E162" s="114"/>
      <c r="F162" s="27"/>
      <c r="G162" s="27"/>
      <c r="H162" s="27"/>
      <c r="I162" s="27"/>
      <c r="J162" s="27"/>
      <c r="K162" s="27"/>
      <c r="L162" s="27"/>
      <c r="M162" s="27"/>
      <c r="N162" s="27"/>
      <c r="O162" s="27"/>
      <c r="P162" s="27"/>
      <c r="Q162" s="27"/>
      <c r="R162" s="27"/>
      <c r="S162" s="27"/>
      <c r="T162" s="27"/>
      <c r="U162" s="27"/>
      <c r="V162" s="27"/>
      <c r="W162" s="27"/>
      <c r="X162" s="27"/>
      <c r="Y162" s="27"/>
      <c r="Z162" s="27"/>
    </row>
    <row r="163" ht="15.75" customHeight="1">
      <c r="A163" s="27"/>
      <c r="B163" s="27"/>
      <c r="C163" s="27"/>
      <c r="D163" s="114"/>
      <c r="E163" s="114"/>
      <c r="F163" s="27"/>
      <c r="G163" s="27"/>
      <c r="H163" s="27"/>
      <c r="I163" s="27"/>
      <c r="J163" s="27"/>
      <c r="K163" s="27"/>
      <c r="L163" s="27"/>
      <c r="M163" s="27"/>
      <c r="N163" s="27"/>
      <c r="O163" s="27"/>
      <c r="P163" s="27"/>
      <c r="Q163" s="27"/>
      <c r="R163" s="27"/>
      <c r="S163" s="27"/>
      <c r="T163" s="27"/>
      <c r="U163" s="27"/>
      <c r="V163" s="27"/>
      <c r="W163" s="27"/>
      <c r="X163" s="27"/>
      <c r="Y163" s="27"/>
      <c r="Z163" s="27"/>
    </row>
    <row r="164" ht="15.75" customHeight="1">
      <c r="A164" s="27"/>
      <c r="B164" s="27"/>
      <c r="C164" s="27"/>
      <c r="D164" s="114"/>
      <c r="E164" s="114"/>
      <c r="F164" s="27"/>
      <c r="G164" s="27"/>
      <c r="H164" s="27"/>
      <c r="I164" s="27"/>
      <c r="J164" s="27"/>
      <c r="K164" s="27"/>
      <c r="L164" s="27"/>
      <c r="M164" s="27"/>
      <c r="N164" s="27"/>
      <c r="O164" s="27"/>
      <c r="P164" s="27"/>
      <c r="Q164" s="27"/>
      <c r="R164" s="27"/>
      <c r="S164" s="27"/>
      <c r="T164" s="27"/>
      <c r="U164" s="27"/>
      <c r="V164" s="27"/>
      <c r="W164" s="27"/>
      <c r="X164" s="27"/>
      <c r="Y164" s="27"/>
      <c r="Z164" s="27"/>
    </row>
    <row r="165" ht="15.75" customHeight="1">
      <c r="A165" s="27"/>
      <c r="B165" s="27"/>
      <c r="C165" s="27"/>
      <c r="D165" s="114"/>
      <c r="E165" s="114"/>
      <c r="F165" s="27"/>
      <c r="G165" s="27"/>
      <c r="H165" s="27"/>
      <c r="I165" s="27"/>
      <c r="J165" s="27"/>
      <c r="K165" s="27"/>
      <c r="L165" s="27"/>
      <c r="M165" s="27"/>
      <c r="N165" s="27"/>
      <c r="O165" s="27"/>
      <c r="P165" s="27"/>
      <c r="Q165" s="27"/>
      <c r="R165" s="27"/>
      <c r="S165" s="27"/>
      <c r="T165" s="27"/>
      <c r="U165" s="27"/>
      <c r="V165" s="27"/>
      <c r="W165" s="27"/>
      <c r="X165" s="27"/>
      <c r="Y165" s="27"/>
      <c r="Z165" s="27"/>
    </row>
    <row r="166" ht="15.75" customHeight="1">
      <c r="A166" s="27"/>
      <c r="B166" s="27"/>
      <c r="C166" s="27"/>
      <c r="D166" s="114"/>
      <c r="E166" s="114"/>
      <c r="F166" s="27"/>
      <c r="G166" s="27"/>
      <c r="H166" s="27"/>
      <c r="I166" s="27"/>
      <c r="J166" s="27"/>
      <c r="K166" s="27"/>
      <c r="L166" s="27"/>
      <c r="M166" s="27"/>
      <c r="N166" s="27"/>
      <c r="O166" s="27"/>
      <c r="P166" s="27"/>
      <c r="Q166" s="27"/>
      <c r="R166" s="27"/>
      <c r="S166" s="27"/>
      <c r="T166" s="27"/>
      <c r="U166" s="27"/>
      <c r="V166" s="27"/>
      <c r="W166" s="27"/>
      <c r="X166" s="27"/>
      <c r="Y166" s="27"/>
      <c r="Z166" s="27"/>
    </row>
    <row r="167" ht="15.75" customHeight="1">
      <c r="A167" s="27"/>
      <c r="B167" s="27"/>
      <c r="C167" s="27"/>
      <c r="D167" s="114"/>
      <c r="E167" s="114"/>
      <c r="F167" s="27"/>
      <c r="G167" s="27"/>
      <c r="H167" s="27"/>
      <c r="I167" s="27"/>
      <c r="J167" s="27"/>
      <c r="K167" s="27"/>
      <c r="L167" s="27"/>
      <c r="M167" s="27"/>
      <c r="N167" s="27"/>
      <c r="O167" s="27"/>
      <c r="P167" s="27"/>
      <c r="Q167" s="27"/>
      <c r="R167" s="27"/>
      <c r="S167" s="27"/>
      <c r="T167" s="27"/>
      <c r="U167" s="27"/>
      <c r="V167" s="27"/>
      <c r="W167" s="27"/>
      <c r="X167" s="27"/>
      <c r="Y167" s="27"/>
      <c r="Z167" s="27"/>
    </row>
    <row r="168" ht="15.75" customHeight="1">
      <c r="A168" s="27"/>
      <c r="B168" s="27"/>
      <c r="C168" s="27"/>
      <c r="D168" s="114"/>
      <c r="E168" s="114"/>
      <c r="F168" s="27"/>
      <c r="G168" s="27"/>
      <c r="H168" s="27"/>
      <c r="I168" s="27"/>
      <c r="J168" s="27"/>
      <c r="K168" s="27"/>
      <c r="L168" s="27"/>
      <c r="M168" s="27"/>
      <c r="N168" s="27"/>
      <c r="O168" s="27"/>
      <c r="P168" s="27"/>
      <c r="Q168" s="27"/>
      <c r="R168" s="27"/>
      <c r="S168" s="27"/>
      <c r="T168" s="27"/>
      <c r="U168" s="27"/>
      <c r="V168" s="27"/>
      <c r="W168" s="27"/>
      <c r="X168" s="27"/>
      <c r="Y168" s="27"/>
      <c r="Z168" s="27"/>
    </row>
    <row r="169" ht="15.75" customHeight="1">
      <c r="A169" s="27"/>
      <c r="B169" s="27"/>
      <c r="C169" s="27"/>
      <c r="D169" s="114"/>
      <c r="E169" s="114"/>
      <c r="F169" s="27"/>
      <c r="G169" s="27"/>
      <c r="H169" s="27"/>
      <c r="I169" s="27"/>
      <c r="J169" s="27"/>
      <c r="K169" s="27"/>
      <c r="L169" s="27"/>
      <c r="M169" s="27"/>
      <c r="N169" s="27"/>
      <c r="O169" s="27"/>
      <c r="P169" s="27"/>
      <c r="Q169" s="27"/>
      <c r="R169" s="27"/>
      <c r="S169" s="27"/>
      <c r="T169" s="27"/>
      <c r="U169" s="27"/>
      <c r="V169" s="27"/>
      <c r="W169" s="27"/>
      <c r="X169" s="27"/>
      <c r="Y169" s="27"/>
      <c r="Z169" s="27"/>
    </row>
    <row r="170" ht="15.75" customHeight="1">
      <c r="A170" s="27"/>
      <c r="B170" s="27"/>
      <c r="C170" s="27"/>
      <c r="D170" s="114"/>
      <c r="E170" s="114"/>
      <c r="F170" s="27"/>
      <c r="G170" s="27"/>
      <c r="H170" s="27"/>
      <c r="I170" s="27"/>
      <c r="J170" s="27"/>
      <c r="K170" s="27"/>
      <c r="L170" s="27"/>
      <c r="M170" s="27"/>
      <c r="N170" s="27"/>
      <c r="O170" s="27"/>
      <c r="P170" s="27"/>
      <c r="Q170" s="27"/>
      <c r="R170" s="27"/>
      <c r="S170" s="27"/>
      <c r="T170" s="27"/>
      <c r="U170" s="27"/>
      <c r="V170" s="27"/>
      <c r="W170" s="27"/>
      <c r="X170" s="27"/>
      <c r="Y170" s="27"/>
      <c r="Z170" s="27"/>
    </row>
    <row r="171" ht="15.75" customHeight="1">
      <c r="A171" s="27"/>
      <c r="B171" s="27"/>
      <c r="C171" s="27"/>
      <c r="D171" s="114"/>
      <c r="E171" s="114"/>
      <c r="F171" s="27"/>
      <c r="G171" s="27"/>
      <c r="H171" s="27"/>
      <c r="I171" s="27"/>
      <c r="J171" s="27"/>
      <c r="K171" s="27"/>
      <c r="L171" s="27"/>
      <c r="M171" s="27"/>
      <c r="N171" s="27"/>
      <c r="O171" s="27"/>
      <c r="P171" s="27"/>
      <c r="Q171" s="27"/>
      <c r="R171" s="27"/>
      <c r="S171" s="27"/>
      <c r="T171" s="27"/>
      <c r="U171" s="27"/>
      <c r="V171" s="27"/>
      <c r="W171" s="27"/>
      <c r="X171" s="27"/>
      <c r="Y171" s="27"/>
      <c r="Z171" s="27"/>
    </row>
    <row r="172" ht="15.75" customHeight="1">
      <c r="A172" s="27"/>
      <c r="B172" s="27"/>
      <c r="C172" s="27"/>
      <c r="D172" s="114"/>
      <c r="E172" s="114"/>
      <c r="F172" s="27"/>
      <c r="G172" s="27"/>
      <c r="H172" s="27"/>
      <c r="I172" s="27"/>
      <c r="J172" s="27"/>
      <c r="K172" s="27"/>
      <c r="L172" s="27"/>
      <c r="M172" s="27"/>
      <c r="N172" s="27"/>
      <c r="O172" s="27"/>
      <c r="P172" s="27"/>
      <c r="Q172" s="27"/>
      <c r="R172" s="27"/>
      <c r="S172" s="27"/>
      <c r="T172" s="27"/>
      <c r="U172" s="27"/>
      <c r="V172" s="27"/>
      <c r="W172" s="27"/>
      <c r="X172" s="27"/>
      <c r="Y172" s="27"/>
      <c r="Z172" s="27"/>
    </row>
    <row r="173" ht="15.75" customHeight="1">
      <c r="A173" s="27"/>
      <c r="B173" s="27"/>
      <c r="C173" s="27"/>
      <c r="D173" s="114"/>
      <c r="E173" s="114"/>
      <c r="F173" s="27"/>
      <c r="G173" s="27"/>
      <c r="H173" s="27"/>
      <c r="I173" s="27"/>
      <c r="J173" s="27"/>
      <c r="K173" s="27"/>
      <c r="L173" s="27"/>
      <c r="M173" s="27"/>
      <c r="N173" s="27"/>
      <c r="O173" s="27"/>
      <c r="P173" s="27"/>
      <c r="Q173" s="27"/>
      <c r="R173" s="27"/>
      <c r="S173" s="27"/>
      <c r="T173" s="27"/>
      <c r="U173" s="27"/>
      <c r="V173" s="27"/>
      <c r="W173" s="27"/>
      <c r="X173" s="27"/>
      <c r="Y173" s="27"/>
      <c r="Z173" s="27"/>
    </row>
    <row r="174" ht="15.75" customHeight="1">
      <c r="A174" s="27"/>
      <c r="B174" s="27"/>
      <c r="C174" s="27"/>
      <c r="D174" s="114"/>
      <c r="E174" s="114"/>
      <c r="F174" s="27"/>
      <c r="G174" s="27"/>
      <c r="H174" s="27"/>
      <c r="I174" s="27"/>
      <c r="J174" s="27"/>
      <c r="K174" s="27"/>
      <c r="L174" s="27"/>
      <c r="M174" s="27"/>
      <c r="N174" s="27"/>
      <c r="O174" s="27"/>
      <c r="P174" s="27"/>
      <c r="Q174" s="27"/>
      <c r="R174" s="27"/>
      <c r="S174" s="27"/>
      <c r="T174" s="27"/>
      <c r="U174" s="27"/>
      <c r="V174" s="27"/>
      <c r="W174" s="27"/>
      <c r="X174" s="27"/>
      <c r="Y174" s="27"/>
      <c r="Z174" s="27"/>
    </row>
    <row r="175" ht="15.75" customHeight="1">
      <c r="A175" s="27"/>
      <c r="B175" s="27"/>
      <c r="C175" s="27"/>
      <c r="D175" s="114"/>
      <c r="E175" s="114"/>
      <c r="F175" s="27"/>
      <c r="G175" s="27"/>
      <c r="H175" s="27"/>
      <c r="I175" s="27"/>
      <c r="J175" s="27"/>
      <c r="K175" s="27"/>
      <c r="L175" s="27"/>
      <c r="M175" s="27"/>
      <c r="N175" s="27"/>
      <c r="O175" s="27"/>
      <c r="P175" s="27"/>
      <c r="Q175" s="27"/>
      <c r="R175" s="27"/>
      <c r="S175" s="27"/>
      <c r="T175" s="27"/>
      <c r="U175" s="27"/>
      <c r="V175" s="27"/>
      <c r="W175" s="27"/>
      <c r="X175" s="27"/>
      <c r="Y175" s="27"/>
      <c r="Z175" s="27"/>
    </row>
    <row r="176" ht="15.75" customHeight="1">
      <c r="A176" s="27"/>
      <c r="B176" s="27"/>
      <c r="C176" s="27"/>
      <c r="D176" s="114"/>
      <c r="E176" s="114"/>
      <c r="F176" s="27"/>
      <c r="G176" s="27"/>
      <c r="H176" s="27"/>
      <c r="I176" s="27"/>
      <c r="J176" s="27"/>
      <c r="K176" s="27"/>
      <c r="L176" s="27"/>
      <c r="M176" s="27"/>
      <c r="N176" s="27"/>
      <c r="O176" s="27"/>
      <c r="P176" s="27"/>
      <c r="Q176" s="27"/>
      <c r="R176" s="27"/>
      <c r="S176" s="27"/>
      <c r="T176" s="27"/>
      <c r="U176" s="27"/>
      <c r="V176" s="27"/>
      <c r="W176" s="27"/>
      <c r="X176" s="27"/>
      <c r="Y176" s="27"/>
      <c r="Z176" s="27"/>
    </row>
    <row r="177" ht="15.75" customHeight="1">
      <c r="A177" s="27"/>
      <c r="B177" s="27"/>
      <c r="C177" s="27"/>
      <c r="D177" s="114"/>
      <c r="E177" s="114"/>
      <c r="F177" s="27"/>
      <c r="G177" s="27"/>
      <c r="H177" s="27"/>
      <c r="I177" s="27"/>
      <c r="J177" s="27"/>
      <c r="K177" s="27"/>
      <c r="L177" s="27"/>
      <c r="M177" s="27"/>
      <c r="N177" s="27"/>
      <c r="O177" s="27"/>
      <c r="P177" s="27"/>
      <c r="Q177" s="27"/>
      <c r="R177" s="27"/>
      <c r="S177" s="27"/>
      <c r="T177" s="27"/>
      <c r="U177" s="27"/>
      <c r="V177" s="27"/>
      <c r="W177" s="27"/>
      <c r="X177" s="27"/>
      <c r="Y177" s="27"/>
      <c r="Z177" s="27"/>
    </row>
    <row r="178" ht="15.75" customHeight="1">
      <c r="A178" s="27"/>
      <c r="B178" s="27"/>
      <c r="C178" s="27"/>
      <c r="D178" s="114"/>
      <c r="E178" s="114"/>
      <c r="F178" s="27"/>
      <c r="G178" s="27"/>
      <c r="H178" s="27"/>
      <c r="I178" s="27"/>
      <c r="J178" s="27"/>
      <c r="K178" s="27"/>
      <c r="L178" s="27"/>
      <c r="M178" s="27"/>
      <c r="N178" s="27"/>
      <c r="O178" s="27"/>
      <c r="P178" s="27"/>
      <c r="Q178" s="27"/>
      <c r="R178" s="27"/>
      <c r="S178" s="27"/>
      <c r="T178" s="27"/>
      <c r="U178" s="27"/>
      <c r="V178" s="27"/>
      <c r="W178" s="27"/>
      <c r="X178" s="27"/>
      <c r="Y178" s="27"/>
      <c r="Z178" s="27"/>
    </row>
    <row r="179" ht="15.75" customHeight="1">
      <c r="A179" s="27"/>
      <c r="B179" s="27"/>
      <c r="C179" s="27"/>
      <c r="D179" s="114"/>
      <c r="E179" s="114"/>
      <c r="F179" s="27"/>
      <c r="G179" s="27"/>
      <c r="H179" s="27"/>
      <c r="I179" s="27"/>
      <c r="J179" s="27"/>
      <c r="K179" s="27"/>
      <c r="L179" s="27"/>
      <c r="M179" s="27"/>
      <c r="N179" s="27"/>
      <c r="O179" s="27"/>
      <c r="P179" s="27"/>
      <c r="Q179" s="27"/>
      <c r="R179" s="27"/>
      <c r="S179" s="27"/>
      <c r="T179" s="27"/>
      <c r="U179" s="27"/>
      <c r="V179" s="27"/>
      <c r="W179" s="27"/>
      <c r="X179" s="27"/>
      <c r="Y179" s="27"/>
      <c r="Z179" s="27"/>
    </row>
    <row r="180" ht="15.75" customHeight="1">
      <c r="A180" s="27"/>
      <c r="B180" s="27"/>
      <c r="C180" s="27"/>
      <c r="D180" s="114"/>
      <c r="E180" s="114"/>
      <c r="F180" s="27"/>
      <c r="G180" s="27"/>
      <c r="H180" s="27"/>
      <c r="I180" s="27"/>
      <c r="J180" s="27"/>
      <c r="K180" s="27"/>
      <c r="L180" s="27"/>
      <c r="M180" s="27"/>
      <c r="N180" s="27"/>
      <c r="O180" s="27"/>
      <c r="P180" s="27"/>
      <c r="Q180" s="27"/>
      <c r="R180" s="27"/>
      <c r="S180" s="27"/>
      <c r="T180" s="27"/>
      <c r="U180" s="27"/>
      <c r="V180" s="27"/>
      <c r="W180" s="27"/>
      <c r="X180" s="27"/>
      <c r="Y180" s="27"/>
      <c r="Z180" s="27"/>
    </row>
    <row r="181" ht="15.75" customHeight="1">
      <c r="A181" s="27"/>
      <c r="B181" s="27"/>
      <c r="C181" s="27"/>
      <c r="D181" s="114"/>
      <c r="E181" s="114"/>
      <c r="F181" s="27"/>
      <c r="G181" s="27"/>
      <c r="H181" s="27"/>
      <c r="I181" s="27"/>
      <c r="J181" s="27"/>
      <c r="K181" s="27"/>
      <c r="L181" s="27"/>
      <c r="M181" s="27"/>
      <c r="N181" s="27"/>
      <c r="O181" s="27"/>
      <c r="P181" s="27"/>
      <c r="Q181" s="27"/>
      <c r="R181" s="27"/>
      <c r="S181" s="27"/>
      <c r="T181" s="27"/>
      <c r="U181" s="27"/>
      <c r="V181" s="27"/>
      <c r="W181" s="27"/>
      <c r="X181" s="27"/>
      <c r="Y181" s="27"/>
      <c r="Z181" s="27"/>
    </row>
    <row r="182" ht="15.75" customHeight="1">
      <c r="A182" s="27"/>
      <c r="B182" s="27"/>
      <c r="C182" s="27"/>
      <c r="D182" s="114"/>
      <c r="E182" s="114"/>
      <c r="F182" s="27"/>
      <c r="G182" s="27"/>
      <c r="H182" s="27"/>
      <c r="I182" s="27"/>
      <c r="J182" s="27"/>
      <c r="K182" s="27"/>
      <c r="L182" s="27"/>
      <c r="M182" s="27"/>
      <c r="N182" s="27"/>
      <c r="O182" s="27"/>
      <c r="P182" s="27"/>
      <c r="Q182" s="27"/>
      <c r="R182" s="27"/>
      <c r="S182" s="27"/>
      <c r="T182" s="27"/>
      <c r="U182" s="27"/>
      <c r="V182" s="27"/>
      <c r="W182" s="27"/>
      <c r="X182" s="27"/>
      <c r="Y182" s="27"/>
      <c r="Z182" s="27"/>
    </row>
    <row r="183" ht="15.75" customHeight="1">
      <c r="A183" s="27"/>
      <c r="B183" s="27"/>
      <c r="C183" s="27"/>
      <c r="D183" s="114"/>
      <c r="E183" s="114"/>
      <c r="F183" s="27"/>
      <c r="G183" s="27"/>
      <c r="H183" s="27"/>
      <c r="I183" s="27"/>
      <c r="J183" s="27"/>
      <c r="K183" s="27"/>
      <c r="L183" s="27"/>
      <c r="M183" s="27"/>
      <c r="N183" s="27"/>
      <c r="O183" s="27"/>
      <c r="P183" s="27"/>
      <c r="Q183" s="27"/>
      <c r="R183" s="27"/>
      <c r="S183" s="27"/>
      <c r="T183" s="27"/>
      <c r="U183" s="27"/>
      <c r="V183" s="27"/>
      <c r="W183" s="27"/>
      <c r="X183" s="27"/>
      <c r="Y183" s="27"/>
      <c r="Z183" s="27"/>
    </row>
    <row r="184" ht="15.75" customHeight="1">
      <c r="A184" s="27"/>
      <c r="B184" s="27"/>
      <c r="C184" s="27"/>
      <c r="D184" s="114"/>
      <c r="E184" s="114"/>
      <c r="F184" s="27"/>
      <c r="G184" s="27"/>
      <c r="H184" s="27"/>
      <c r="I184" s="27"/>
      <c r="J184" s="27"/>
      <c r="K184" s="27"/>
      <c r="L184" s="27"/>
      <c r="M184" s="27"/>
      <c r="N184" s="27"/>
      <c r="O184" s="27"/>
      <c r="P184" s="27"/>
      <c r="Q184" s="27"/>
      <c r="R184" s="27"/>
      <c r="S184" s="27"/>
      <c r="T184" s="27"/>
      <c r="U184" s="27"/>
      <c r="V184" s="27"/>
      <c r="W184" s="27"/>
      <c r="X184" s="27"/>
      <c r="Y184" s="27"/>
      <c r="Z184" s="27"/>
    </row>
    <row r="185" ht="15.75" customHeight="1">
      <c r="A185" s="27"/>
      <c r="B185" s="27"/>
      <c r="C185" s="27"/>
      <c r="D185" s="114"/>
      <c r="E185" s="114"/>
      <c r="F185" s="27"/>
      <c r="G185" s="27"/>
      <c r="H185" s="27"/>
      <c r="I185" s="27"/>
      <c r="J185" s="27"/>
      <c r="K185" s="27"/>
      <c r="L185" s="27"/>
      <c r="M185" s="27"/>
      <c r="N185" s="27"/>
      <c r="O185" s="27"/>
      <c r="P185" s="27"/>
      <c r="Q185" s="27"/>
      <c r="R185" s="27"/>
      <c r="S185" s="27"/>
      <c r="T185" s="27"/>
      <c r="U185" s="27"/>
      <c r="V185" s="27"/>
      <c r="W185" s="27"/>
      <c r="X185" s="27"/>
      <c r="Y185" s="27"/>
      <c r="Z185" s="27"/>
    </row>
    <row r="186" ht="15.75" customHeight="1">
      <c r="A186" s="27"/>
      <c r="B186" s="27"/>
      <c r="C186" s="27"/>
      <c r="D186" s="114"/>
      <c r="E186" s="114"/>
      <c r="F186" s="27"/>
      <c r="G186" s="27"/>
      <c r="H186" s="27"/>
      <c r="I186" s="27"/>
      <c r="J186" s="27"/>
      <c r="K186" s="27"/>
      <c r="L186" s="27"/>
      <c r="M186" s="27"/>
      <c r="N186" s="27"/>
      <c r="O186" s="27"/>
      <c r="P186" s="27"/>
      <c r="Q186" s="27"/>
      <c r="R186" s="27"/>
      <c r="S186" s="27"/>
      <c r="T186" s="27"/>
      <c r="U186" s="27"/>
      <c r="V186" s="27"/>
      <c r="W186" s="27"/>
      <c r="X186" s="27"/>
      <c r="Y186" s="27"/>
      <c r="Z186" s="27"/>
    </row>
    <row r="187" ht="15.75" customHeight="1">
      <c r="A187" s="27"/>
      <c r="B187" s="27"/>
      <c r="C187" s="27"/>
      <c r="D187" s="114"/>
      <c r="E187" s="114"/>
      <c r="F187" s="27"/>
      <c r="G187" s="27"/>
      <c r="H187" s="27"/>
      <c r="I187" s="27"/>
      <c r="J187" s="27"/>
      <c r="K187" s="27"/>
      <c r="L187" s="27"/>
      <c r="M187" s="27"/>
      <c r="N187" s="27"/>
      <c r="O187" s="27"/>
      <c r="P187" s="27"/>
      <c r="Q187" s="27"/>
      <c r="R187" s="27"/>
      <c r="S187" s="27"/>
      <c r="T187" s="27"/>
      <c r="U187" s="27"/>
      <c r="V187" s="27"/>
      <c r="W187" s="27"/>
      <c r="X187" s="27"/>
      <c r="Y187" s="27"/>
      <c r="Z187" s="27"/>
    </row>
    <row r="188" ht="15.75" customHeight="1">
      <c r="A188" s="27"/>
      <c r="B188" s="27"/>
      <c r="C188" s="27"/>
      <c r="D188" s="114"/>
      <c r="E188" s="114"/>
      <c r="F188" s="27"/>
      <c r="G188" s="27"/>
      <c r="H188" s="27"/>
      <c r="I188" s="27"/>
      <c r="J188" s="27"/>
      <c r="K188" s="27"/>
      <c r="L188" s="27"/>
      <c r="M188" s="27"/>
      <c r="N188" s="27"/>
      <c r="O188" s="27"/>
      <c r="P188" s="27"/>
      <c r="Q188" s="27"/>
      <c r="R188" s="27"/>
      <c r="S188" s="27"/>
      <c r="T188" s="27"/>
      <c r="U188" s="27"/>
      <c r="V188" s="27"/>
      <c r="W188" s="27"/>
      <c r="X188" s="27"/>
      <c r="Y188" s="27"/>
      <c r="Z188" s="27"/>
    </row>
    <row r="189" ht="15.75" customHeight="1">
      <c r="A189" s="27"/>
      <c r="B189" s="27"/>
      <c r="C189" s="27"/>
      <c r="D189" s="114"/>
      <c r="E189" s="114"/>
      <c r="F189" s="27"/>
      <c r="G189" s="27"/>
      <c r="H189" s="27"/>
      <c r="I189" s="27"/>
      <c r="J189" s="27"/>
      <c r="K189" s="27"/>
      <c r="L189" s="27"/>
      <c r="M189" s="27"/>
      <c r="N189" s="27"/>
      <c r="O189" s="27"/>
      <c r="P189" s="27"/>
      <c r="Q189" s="27"/>
      <c r="R189" s="27"/>
      <c r="S189" s="27"/>
      <c r="T189" s="27"/>
      <c r="U189" s="27"/>
      <c r="V189" s="27"/>
      <c r="W189" s="27"/>
      <c r="X189" s="27"/>
      <c r="Y189" s="27"/>
      <c r="Z189" s="27"/>
    </row>
    <row r="190" ht="15.75" customHeight="1">
      <c r="A190" s="27"/>
      <c r="B190" s="27"/>
      <c r="C190" s="27"/>
      <c r="D190" s="114"/>
      <c r="E190" s="114"/>
      <c r="F190" s="27"/>
      <c r="G190" s="27"/>
      <c r="H190" s="27"/>
      <c r="I190" s="27"/>
      <c r="J190" s="27"/>
      <c r="K190" s="27"/>
      <c r="L190" s="27"/>
      <c r="M190" s="27"/>
      <c r="N190" s="27"/>
      <c r="O190" s="27"/>
      <c r="P190" s="27"/>
      <c r="Q190" s="27"/>
      <c r="R190" s="27"/>
      <c r="S190" s="27"/>
      <c r="T190" s="27"/>
      <c r="U190" s="27"/>
      <c r="V190" s="27"/>
      <c r="W190" s="27"/>
      <c r="X190" s="27"/>
      <c r="Y190" s="27"/>
      <c r="Z190" s="27"/>
    </row>
    <row r="191" ht="15.75" customHeight="1">
      <c r="A191" s="27"/>
      <c r="B191" s="27"/>
      <c r="C191" s="27"/>
      <c r="D191" s="114"/>
      <c r="E191" s="114"/>
      <c r="F191" s="27"/>
      <c r="G191" s="27"/>
      <c r="H191" s="27"/>
      <c r="I191" s="27"/>
      <c r="J191" s="27"/>
      <c r="K191" s="27"/>
      <c r="L191" s="27"/>
      <c r="M191" s="27"/>
      <c r="N191" s="27"/>
      <c r="O191" s="27"/>
      <c r="P191" s="27"/>
      <c r="Q191" s="27"/>
      <c r="R191" s="27"/>
      <c r="S191" s="27"/>
      <c r="T191" s="27"/>
      <c r="U191" s="27"/>
      <c r="V191" s="27"/>
      <c r="W191" s="27"/>
      <c r="X191" s="27"/>
      <c r="Y191" s="27"/>
      <c r="Z191" s="27"/>
    </row>
    <row r="192" ht="15.75" customHeight="1">
      <c r="A192" s="27"/>
      <c r="B192" s="27"/>
      <c r="C192" s="27"/>
      <c r="D192" s="114"/>
      <c r="E192" s="114"/>
      <c r="F192" s="27"/>
      <c r="G192" s="27"/>
      <c r="H192" s="27"/>
      <c r="I192" s="27"/>
      <c r="J192" s="27"/>
      <c r="K192" s="27"/>
      <c r="L192" s="27"/>
      <c r="M192" s="27"/>
      <c r="N192" s="27"/>
      <c r="O192" s="27"/>
      <c r="P192" s="27"/>
      <c r="Q192" s="27"/>
      <c r="R192" s="27"/>
      <c r="S192" s="27"/>
      <c r="T192" s="27"/>
      <c r="U192" s="27"/>
      <c r="V192" s="27"/>
      <c r="W192" s="27"/>
      <c r="X192" s="27"/>
      <c r="Y192" s="27"/>
      <c r="Z192" s="27"/>
    </row>
    <row r="193" ht="15.75" customHeight="1">
      <c r="A193" s="27"/>
      <c r="B193" s="27"/>
      <c r="C193" s="27"/>
      <c r="D193" s="114"/>
      <c r="E193" s="114"/>
      <c r="F193" s="27"/>
      <c r="G193" s="27"/>
      <c r="H193" s="27"/>
      <c r="I193" s="27"/>
      <c r="J193" s="27"/>
      <c r="K193" s="27"/>
      <c r="L193" s="27"/>
      <c r="M193" s="27"/>
      <c r="N193" s="27"/>
      <c r="O193" s="27"/>
      <c r="P193" s="27"/>
      <c r="Q193" s="27"/>
      <c r="R193" s="27"/>
      <c r="S193" s="27"/>
      <c r="T193" s="27"/>
      <c r="U193" s="27"/>
      <c r="V193" s="27"/>
      <c r="W193" s="27"/>
      <c r="X193" s="27"/>
      <c r="Y193" s="27"/>
      <c r="Z193" s="27"/>
    </row>
    <row r="194" ht="15.75" customHeight="1">
      <c r="A194" s="27"/>
      <c r="B194" s="27"/>
      <c r="C194" s="27"/>
      <c r="D194" s="114"/>
      <c r="E194" s="114"/>
      <c r="F194" s="27"/>
      <c r="G194" s="27"/>
      <c r="H194" s="27"/>
      <c r="I194" s="27"/>
      <c r="J194" s="27"/>
      <c r="K194" s="27"/>
      <c r="L194" s="27"/>
      <c r="M194" s="27"/>
      <c r="N194" s="27"/>
      <c r="O194" s="27"/>
      <c r="P194" s="27"/>
      <c r="Q194" s="27"/>
      <c r="R194" s="27"/>
      <c r="S194" s="27"/>
      <c r="T194" s="27"/>
      <c r="U194" s="27"/>
      <c r="V194" s="27"/>
      <c r="W194" s="27"/>
      <c r="X194" s="27"/>
      <c r="Y194" s="27"/>
      <c r="Z194" s="27"/>
    </row>
    <row r="195" ht="15.75" customHeight="1">
      <c r="A195" s="27"/>
      <c r="B195" s="27"/>
      <c r="C195" s="27"/>
      <c r="D195" s="114"/>
      <c r="E195" s="114"/>
      <c r="F195" s="27"/>
      <c r="G195" s="27"/>
      <c r="H195" s="27"/>
      <c r="I195" s="27"/>
      <c r="J195" s="27"/>
      <c r="K195" s="27"/>
      <c r="L195" s="27"/>
      <c r="M195" s="27"/>
      <c r="N195" s="27"/>
      <c r="O195" s="27"/>
      <c r="P195" s="27"/>
      <c r="Q195" s="27"/>
      <c r="R195" s="27"/>
      <c r="S195" s="27"/>
      <c r="T195" s="27"/>
      <c r="U195" s="27"/>
      <c r="V195" s="27"/>
      <c r="W195" s="27"/>
      <c r="X195" s="27"/>
      <c r="Y195" s="27"/>
      <c r="Z195" s="27"/>
    </row>
    <row r="196" ht="15.75" customHeight="1">
      <c r="A196" s="27"/>
      <c r="B196" s="27"/>
      <c r="C196" s="27"/>
      <c r="D196" s="114"/>
      <c r="E196" s="114"/>
      <c r="F196" s="27"/>
      <c r="G196" s="27"/>
      <c r="H196" s="27"/>
      <c r="I196" s="27"/>
      <c r="J196" s="27"/>
      <c r="K196" s="27"/>
      <c r="L196" s="27"/>
      <c r="M196" s="27"/>
      <c r="N196" s="27"/>
      <c r="O196" s="27"/>
      <c r="P196" s="27"/>
      <c r="Q196" s="27"/>
      <c r="R196" s="27"/>
      <c r="S196" s="27"/>
      <c r="T196" s="27"/>
      <c r="U196" s="27"/>
      <c r="V196" s="27"/>
      <c r="W196" s="27"/>
      <c r="X196" s="27"/>
      <c r="Y196" s="27"/>
      <c r="Z196" s="27"/>
    </row>
    <row r="197" ht="15.75" customHeight="1">
      <c r="A197" s="27"/>
      <c r="B197" s="27"/>
      <c r="C197" s="27"/>
      <c r="D197" s="114"/>
      <c r="E197" s="114"/>
      <c r="F197" s="27"/>
      <c r="G197" s="27"/>
      <c r="H197" s="27"/>
      <c r="I197" s="27"/>
      <c r="J197" s="27"/>
      <c r="K197" s="27"/>
      <c r="L197" s="27"/>
      <c r="M197" s="27"/>
      <c r="N197" s="27"/>
      <c r="O197" s="27"/>
      <c r="P197" s="27"/>
      <c r="Q197" s="27"/>
      <c r="R197" s="27"/>
      <c r="S197" s="27"/>
      <c r="T197" s="27"/>
      <c r="U197" s="27"/>
      <c r="V197" s="27"/>
      <c r="W197" s="27"/>
      <c r="X197" s="27"/>
      <c r="Y197" s="27"/>
      <c r="Z197" s="27"/>
    </row>
    <row r="198" ht="15.75" customHeight="1">
      <c r="A198" s="27"/>
      <c r="B198" s="27"/>
      <c r="C198" s="27"/>
      <c r="D198" s="114"/>
      <c r="E198" s="114"/>
      <c r="F198" s="27"/>
      <c r="G198" s="27"/>
      <c r="H198" s="27"/>
      <c r="I198" s="27"/>
      <c r="J198" s="27"/>
      <c r="K198" s="27"/>
      <c r="L198" s="27"/>
      <c r="M198" s="27"/>
      <c r="N198" s="27"/>
      <c r="O198" s="27"/>
      <c r="P198" s="27"/>
      <c r="Q198" s="27"/>
      <c r="R198" s="27"/>
      <c r="S198" s="27"/>
      <c r="T198" s="27"/>
      <c r="U198" s="27"/>
      <c r="V198" s="27"/>
      <c r="W198" s="27"/>
      <c r="X198" s="27"/>
      <c r="Y198" s="27"/>
      <c r="Z198" s="27"/>
    </row>
    <row r="199" ht="15.75" customHeight="1">
      <c r="A199" s="27"/>
      <c r="B199" s="27"/>
      <c r="C199" s="27"/>
      <c r="D199" s="114"/>
      <c r="E199" s="114"/>
      <c r="F199" s="27"/>
      <c r="G199" s="27"/>
      <c r="H199" s="27"/>
      <c r="I199" s="27"/>
      <c r="J199" s="27"/>
      <c r="K199" s="27"/>
      <c r="L199" s="27"/>
      <c r="M199" s="27"/>
      <c r="N199" s="27"/>
      <c r="O199" s="27"/>
      <c r="P199" s="27"/>
      <c r="Q199" s="27"/>
      <c r="R199" s="27"/>
      <c r="S199" s="27"/>
      <c r="T199" s="27"/>
      <c r="U199" s="27"/>
      <c r="V199" s="27"/>
      <c r="W199" s="27"/>
      <c r="X199" s="27"/>
      <c r="Y199" s="27"/>
      <c r="Z199" s="27"/>
    </row>
    <row r="200" ht="15.75" customHeight="1">
      <c r="A200" s="27"/>
      <c r="B200" s="27"/>
      <c r="C200" s="27"/>
      <c r="D200" s="114"/>
      <c r="E200" s="114"/>
      <c r="F200" s="27"/>
      <c r="G200" s="27"/>
      <c r="H200" s="27"/>
      <c r="I200" s="27"/>
      <c r="J200" s="27"/>
      <c r="K200" s="27"/>
      <c r="L200" s="27"/>
      <c r="M200" s="27"/>
      <c r="N200" s="27"/>
      <c r="O200" s="27"/>
      <c r="P200" s="27"/>
      <c r="Q200" s="27"/>
      <c r="R200" s="27"/>
      <c r="S200" s="27"/>
      <c r="T200" s="27"/>
      <c r="U200" s="27"/>
      <c r="V200" s="27"/>
      <c r="W200" s="27"/>
      <c r="X200" s="27"/>
      <c r="Y200" s="27"/>
      <c r="Z200" s="27"/>
    </row>
    <row r="201" ht="15.75" customHeight="1">
      <c r="A201" s="27"/>
      <c r="B201" s="27"/>
      <c r="C201" s="27"/>
      <c r="D201" s="114"/>
      <c r="E201" s="114"/>
      <c r="F201" s="27"/>
      <c r="G201" s="27"/>
      <c r="H201" s="27"/>
      <c r="I201" s="27"/>
      <c r="J201" s="27"/>
      <c r="K201" s="27"/>
      <c r="L201" s="27"/>
      <c r="M201" s="27"/>
      <c r="N201" s="27"/>
      <c r="O201" s="27"/>
      <c r="P201" s="27"/>
      <c r="Q201" s="27"/>
      <c r="R201" s="27"/>
      <c r="S201" s="27"/>
      <c r="T201" s="27"/>
      <c r="U201" s="27"/>
      <c r="V201" s="27"/>
      <c r="W201" s="27"/>
      <c r="X201" s="27"/>
      <c r="Y201" s="27"/>
      <c r="Z201" s="27"/>
    </row>
    <row r="202" ht="15.75" customHeight="1">
      <c r="A202" s="27"/>
      <c r="B202" s="27"/>
      <c r="C202" s="27"/>
      <c r="D202" s="114"/>
      <c r="E202" s="114"/>
      <c r="F202" s="27"/>
      <c r="G202" s="27"/>
      <c r="H202" s="27"/>
      <c r="I202" s="27"/>
      <c r="J202" s="27"/>
      <c r="K202" s="27"/>
      <c r="L202" s="27"/>
      <c r="M202" s="27"/>
      <c r="N202" s="27"/>
      <c r="O202" s="27"/>
      <c r="P202" s="27"/>
      <c r="Q202" s="27"/>
      <c r="R202" s="27"/>
      <c r="S202" s="27"/>
      <c r="T202" s="27"/>
      <c r="U202" s="27"/>
      <c r="V202" s="27"/>
      <c r="W202" s="27"/>
      <c r="X202" s="27"/>
      <c r="Y202" s="27"/>
      <c r="Z202" s="27"/>
    </row>
    <row r="203" ht="15.75" customHeight="1">
      <c r="A203" s="27"/>
      <c r="B203" s="27"/>
      <c r="C203" s="27"/>
      <c r="D203" s="114"/>
      <c r="E203" s="114"/>
      <c r="F203" s="27"/>
      <c r="G203" s="27"/>
      <c r="H203" s="332"/>
      <c r="I203" s="332"/>
      <c r="J203" s="332"/>
      <c r="K203" s="332"/>
      <c r="L203" s="332"/>
      <c r="M203" s="332"/>
      <c r="N203" s="332"/>
      <c r="O203" s="332"/>
      <c r="P203" s="332"/>
      <c r="Q203" s="332"/>
      <c r="R203" s="332"/>
      <c r="S203" s="332"/>
      <c r="T203" s="332"/>
      <c r="U203" s="332"/>
      <c r="V203" s="332"/>
      <c r="W203" s="332"/>
      <c r="X203" s="332"/>
      <c r="Y203" s="332"/>
      <c r="Z203" s="332"/>
    </row>
    <row r="204" ht="15.75" customHeight="1">
      <c r="A204" s="27"/>
      <c r="B204" s="27"/>
      <c r="C204" s="27"/>
      <c r="D204" s="114"/>
      <c r="E204" s="114"/>
      <c r="F204" s="27"/>
      <c r="G204" s="27"/>
      <c r="H204" s="332"/>
      <c r="I204" s="332"/>
      <c r="J204" s="332"/>
      <c r="K204" s="332"/>
      <c r="L204" s="332"/>
      <c r="M204" s="332"/>
      <c r="N204" s="332"/>
      <c r="O204" s="332"/>
      <c r="P204" s="332"/>
      <c r="Q204" s="332"/>
      <c r="R204" s="332"/>
      <c r="S204" s="332"/>
      <c r="T204" s="332"/>
      <c r="U204" s="332"/>
      <c r="V204" s="332"/>
      <c r="W204" s="332"/>
      <c r="X204" s="332"/>
      <c r="Y204" s="332"/>
      <c r="Z204" s="332"/>
    </row>
    <row r="205" ht="15.75" customHeight="1">
      <c r="A205" s="27"/>
      <c r="B205" s="27"/>
      <c r="C205" s="27"/>
      <c r="D205" s="114"/>
      <c r="E205" s="114"/>
      <c r="F205" s="27"/>
      <c r="G205" s="27"/>
      <c r="H205" s="332"/>
      <c r="I205" s="332"/>
      <c r="J205" s="332"/>
      <c r="K205" s="332"/>
      <c r="L205" s="332"/>
      <c r="M205" s="332"/>
      <c r="N205" s="332"/>
      <c r="O205" s="332"/>
      <c r="P205" s="332"/>
      <c r="Q205" s="332"/>
      <c r="R205" s="332"/>
      <c r="S205" s="332"/>
      <c r="T205" s="332"/>
      <c r="U205" s="332"/>
      <c r="V205" s="332"/>
      <c r="W205" s="332"/>
      <c r="X205" s="332"/>
      <c r="Y205" s="332"/>
      <c r="Z205" s="332"/>
    </row>
    <row r="206" ht="15.75" customHeight="1">
      <c r="A206" s="27"/>
      <c r="B206" s="27"/>
      <c r="C206" s="27"/>
      <c r="D206" s="114"/>
      <c r="E206" s="114"/>
      <c r="F206" s="27"/>
      <c r="G206" s="27"/>
      <c r="H206" s="332"/>
      <c r="I206" s="332"/>
      <c r="J206" s="332"/>
      <c r="K206" s="332"/>
      <c r="L206" s="332"/>
      <c r="M206" s="332"/>
      <c r="N206" s="332"/>
      <c r="O206" s="332"/>
      <c r="P206" s="332"/>
      <c r="Q206" s="332"/>
      <c r="R206" s="332"/>
      <c r="S206" s="332"/>
      <c r="T206" s="332"/>
      <c r="U206" s="332"/>
      <c r="V206" s="332"/>
      <c r="W206" s="332"/>
      <c r="X206" s="332"/>
      <c r="Y206" s="332"/>
      <c r="Z206" s="332"/>
    </row>
    <row r="207" ht="15.75" customHeight="1">
      <c r="A207" s="27"/>
      <c r="B207" s="27"/>
      <c r="C207" s="27"/>
      <c r="D207" s="114"/>
      <c r="E207" s="114"/>
      <c r="F207" s="27"/>
      <c r="G207" s="27"/>
      <c r="H207" s="332"/>
      <c r="I207" s="332"/>
      <c r="J207" s="332"/>
      <c r="K207" s="332"/>
      <c r="L207" s="332"/>
      <c r="M207" s="332"/>
      <c r="N207" s="332"/>
      <c r="O207" s="332"/>
      <c r="P207" s="332"/>
      <c r="Q207" s="332"/>
      <c r="R207" s="332"/>
      <c r="S207" s="332"/>
      <c r="T207" s="332"/>
      <c r="U207" s="332"/>
      <c r="V207" s="332"/>
      <c r="W207" s="332"/>
      <c r="X207" s="332"/>
      <c r="Y207" s="332"/>
      <c r="Z207" s="332"/>
    </row>
    <row r="208" ht="15.75" customHeight="1">
      <c r="A208" s="27"/>
      <c r="B208" s="27"/>
      <c r="C208" s="27"/>
      <c r="D208" s="114"/>
      <c r="E208" s="114"/>
      <c r="F208" s="27"/>
      <c r="G208" s="27"/>
      <c r="H208" s="332"/>
      <c r="I208" s="332"/>
      <c r="J208" s="332"/>
      <c r="K208" s="332"/>
      <c r="L208" s="332"/>
      <c r="M208" s="332"/>
      <c r="N208" s="332"/>
      <c r="O208" s="332"/>
      <c r="P208" s="332"/>
      <c r="Q208" s="332"/>
      <c r="R208" s="332"/>
      <c r="S208" s="332"/>
      <c r="T208" s="332"/>
      <c r="U208" s="332"/>
      <c r="V208" s="332"/>
      <c r="W208" s="332"/>
      <c r="X208" s="332"/>
      <c r="Y208" s="332"/>
      <c r="Z208" s="332"/>
    </row>
    <row r="209" ht="15.75" customHeight="1">
      <c r="A209" s="27"/>
      <c r="B209" s="27"/>
      <c r="C209" s="27"/>
      <c r="D209" s="114"/>
      <c r="E209" s="114"/>
      <c r="F209" s="27"/>
      <c r="G209" s="27"/>
      <c r="H209" s="332"/>
      <c r="I209" s="332"/>
      <c r="J209" s="332"/>
      <c r="K209" s="332"/>
      <c r="L209" s="332"/>
      <c r="M209" s="332"/>
      <c r="N209" s="332"/>
      <c r="O209" s="332"/>
      <c r="P209" s="332"/>
      <c r="Q209" s="332"/>
      <c r="R209" s="332"/>
      <c r="S209" s="332"/>
      <c r="T209" s="332"/>
      <c r="U209" s="332"/>
      <c r="V209" s="332"/>
      <c r="W209" s="332"/>
      <c r="X209" s="332"/>
      <c r="Y209" s="332"/>
      <c r="Z209" s="332"/>
    </row>
    <row r="210" ht="15.75" customHeight="1">
      <c r="A210" s="27"/>
      <c r="B210" s="27"/>
      <c r="C210" s="27"/>
      <c r="D210" s="114"/>
      <c r="E210" s="114"/>
      <c r="F210" s="27"/>
      <c r="G210" s="27"/>
      <c r="H210" s="332"/>
      <c r="I210" s="332"/>
      <c r="J210" s="332"/>
      <c r="K210" s="332"/>
      <c r="L210" s="332"/>
      <c r="M210" s="332"/>
      <c r="N210" s="332"/>
      <c r="O210" s="332"/>
      <c r="P210" s="332"/>
      <c r="Q210" s="332"/>
      <c r="R210" s="332"/>
      <c r="S210" s="332"/>
      <c r="T210" s="332"/>
      <c r="U210" s="332"/>
      <c r="V210" s="332"/>
      <c r="W210" s="332"/>
      <c r="X210" s="332"/>
      <c r="Y210" s="332"/>
      <c r="Z210" s="332"/>
    </row>
    <row r="211" ht="15.75" customHeight="1">
      <c r="A211" s="27"/>
      <c r="B211" s="27"/>
      <c r="C211" s="27"/>
      <c r="D211" s="114"/>
      <c r="E211" s="114"/>
      <c r="F211" s="27"/>
      <c r="G211" s="27"/>
      <c r="H211" s="332"/>
      <c r="I211" s="332"/>
      <c r="J211" s="332"/>
      <c r="K211" s="332"/>
      <c r="L211" s="332"/>
      <c r="M211" s="332"/>
      <c r="N211" s="332"/>
      <c r="O211" s="332"/>
      <c r="P211" s="332"/>
      <c r="Q211" s="332"/>
      <c r="R211" s="332"/>
      <c r="S211" s="332"/>
      <c r="T211" s="332"/>
      <c r="U211" s="332"/>
      <c r="V211" s="332"/>
      <c r="W211" s="332"/>
      <c r="X211" s="332"/>
      <c r="Y211" s="332"/>
      <c r="Z211" s="332"/>
    </row>
    <row r="212" ht="15.75" customHeight="1">
      <c r="A212" s="27"/>
      <c r="B212" s="27"/>
      <c r="C212" s="27"/>
      <c r="D212" s="114"/>
      <c r="E212" s="114"/>
      <c r="F212" s="27"/>
      <c r="G212" s="27"/>
      <c r="H212" s="332"/>
      <c r="I212" s="332"/>
      <c r="J212" s="332"/>
      <c r="K212" s="332"/>
      <c r="L212" s="332"/>
      <c r="M212" s="332"/>
      <c r="N212" s="332"/>
      <c r="O212" s="332"/>
      <c r="P212" s="332"/>
      <c r="Q212" s="332"/>
      <c r="R212" s="332"/>
      <c r="S212" s="332"/>
      <c r="T212" s="332"/>
      <c r="U212" s="332"/>
      <c r="V212" s="332"/>
      <c r="W212" s="332"/>
      <c r="X212" s="332"/>
      <c r="Y212" s="332"/>
      <c r="Z212" s="332"/>
    </row>
    <row r="213" ht="15.75" customHeight="1">
      <c r="A213" s="27"/>
      <c r="B213" s="27"/>
      <c r="C213" s="27"/>
      <c r="D213" s="114"/>
      <c r="E213" s="114"/>
      <c r="F213" s="27"/>
      <c r="G213" s="27"/>
      <c r="H213" s="332"/>
      <c r="I213" s="332"/>
      <c r="J213" s="332"/>
      <c r="K213" s="332"/>
      <c r="L213" s="332"/>
      <c r="M213" s="332"/>
      <c r="N213" s="332"/>
      <c r="O213" s="332"/>
      <c r="P213" s="332"/>
      <c r="Q213" s="332"/>
      <c r="R213" s="332"/>
      <c r="S213" s="332"/>
      <c r="T213" s="332"/>
      <c r="U213" s="332"/>
      <c r="V213" s="332"/>
      <c r="W213" s="332"/>
      <c r="X213" s="332"/>
      <c r="Y213" s="332"/>
      <c r="Z213" s="332"/>
    </row>
    <row r="214" ht="15.75" customHeight="1">
      <c r="A214" s="27"/>
      <c r="B214" s="27"/>
      <c r="C214" s="27"/>
      <c r="D214" s="114"/>
      <c r="E214" s="114"/>
      <c r="F214" s="27"/>
      <c r="G214" s="27"/>
      <c r="H214" s="332"/>
      <c r="I214" s="332"/>
      <c r="J214" s="332"/>
      <c r="K214" s="332"/>
      <c r="L214" s="332"/>
      <c r="M214" s="332"/>
      <c r="N214" s="332"/>
      <c r="O214" s="332"/>
      <c r="P214" s="332"/>
      <c r="Q214" s="332"/>
      <c r="R214" s="332"/>
      <c r="S214" s="332"/>
      <c r="T214" s="332"/>
      <c r="U214" s="332"/>
      <c r="V214" s="332"/>
      <c r="W214" s="332"/>
      <c r="X214" s="332"/>
      <c r="Y214" s="332"/>
      <c r="Z214" s="332"/>
    </row>
    <row r="215" ht="15.75" customHeight="1">
      <c r="A215" s="27"/>
      <c r="B215" s="27"/>
      <c r="C215" s="27"/>
      <c r="D215" s="114"/>
      <c r="E215" s="114"/>
      <c r="F215" s="27"/>
      <c r="G215" s="27"/>
      <c r="H215" s="332"/>
      <c r="I215" s="332"/>
      <c r="J215" s="332"/>
      <c r="K215" s="332"/>
      <c r="L215" s="332"/>
      <c r="M215" s="332"/>
      <c r="N215" s="332"/>
      <c r="O215" s="332"/>
      <c r="P215" s="332"/>
      <c r="Q215" s="332"/>
      <c r="R215" s="332"/>
      <c r="S215" s="332"/>
      <c r="T215" s="332"/>
      <c r="U215" s="332"/>
      <c r="V215" s="332"/>
      <c r="W215" s="332"/>
      <c r="X215" s="332"/>
      <c r="Y215" s="332"/>
      <c r="Z215" s="332"/>
    </row>
    <row r="216" ht="15.75" customHeight="1">
      <c r="A216" s="27"/>
      <c r="B216" s="27"/>
      <c r="C216" s="27"/>
      <c r="D216" s="114"/>
      <c r="E216" s="114"/>
      <c r="F216" s="27"/>
      <c r="G216" s="27"/>
      <c r="H216" s="332"/>
      <c r="I216" s="332"/>
      <c r="J216" s="332"/>
      <c r="K216" s="332"/>
      <c r="L216" s="332"/>
      <c r="M216" s="332"/>
      <c r="N216" s="332"/>
      <c r="O216" s="332"/>
      <c r="P216" s="332"/>
      <c r="Q216" s="332"/>
      <c r="R216" s="332"/>
      <c r="S216" s="332"/>
      <c r="T216" s="332"/>
      <c r="U216" s="332"/>
      <c r="V216" s="332"/>
      <c r="W216" s="332"/>
      <c r="X216" s="332"/>
      <c r="Y216" s="332"/>
      <c r="Z216" s="332"/>
    </row>
    <row r="217" ht="15.75" customHeight="1">
      <c r="A217" s="27"/>
      <c r="B217" s="27"/>
      <c r="C217" s="27"/>
      <c r="D217" s="114"/>
      <c r="E217" s="114"/>
      <c r="F217" s="27"/>
      <c r="G217" s="27"/>
      <c r="H217" s="332"/>
      <c r="I217" s="332"/>
      <c r="J217" s="332"/>
      <c r="K217" s="332"/>
      <c r="L217" s="332"/>
      <c r="M217" s="332"/>
      <c r="N217" s="332"/>
      <c r="O217" s="332"/>
      <c r="P217" s="332"/>
      <c r="Q217" s="332"/>
      <c r="R217" s="332"/>
      <c r="S217" s="332"/>
      <c r="T217" s="332"/>
      <c r="U217" s="332"/>
      <c r="V217" s="332"/>
      <c r="W217" s="332"/>
      <c r="X217" s="332"/>
      <c r="Y217" s="332"/>
      <c r="Z217" s="332"/>
    </row>
    <row r="218" ht="15.75" customHeight="1">
      <c r="A218" s="27"/>
      <c r="B218" s="27"/>
      <c r="C218" s="27"/>
      <c r="D218" s="114"/>
      <c r="E218" s="114"/>
      <c r="F218" s="27"/>
      <c r="G218" s="27"/>
      <c r="H218" s="332"/>
      <c r="I218" s="332"/>
      <c r="J218" s="332"/>
      <c r="K218" s="332"/>
      <c r="L218" s="332"/>
      <c r="M218" s="332"/>
      <c r="N218" s="332"/>
      <c r="O218" s="332"/>
      <c r="P218" s="332"/>
      <c r="Q218" s="332"/>
      <c r="R218" s="332"/>
      <c r="S218" s="332"/>
      <c r="T218" s="332"/>
      <c r="U218" s="332"/>
      <c r="V218" s="332"/>
      <c r="W218" s="332"/>
      <c r="X218" s="332"/>
      <c r="Y218" s="332"/>
      <c r="Z218" s="332"/>
    </row>
    <row r="219" ht="15.75" customHeight="1">
      <c r="A219" s="27"/>
      <c r="B219" s="27"/>
      <c r="C219" s="27"/>
      <c r="D219" s="114"/>
      <c r="E219" s="114"/>
      <c r="F219" s="27"/>
      <c r="G219" s="27"/>
      <c r="H219" s="332"/>
      <c r="I219" s="332"/>
      <c r="J219" s="332"/>
      <c r="K219" s="332"/>
      <c r="L219" s="332"/>
      <c r="M219" s="332"/>
      <c r="N219" s="332"/>
      <c r="O219" s="332"/>
      <c r="P219" s="332"/>
      <c r="Q219" s="332"/>
      <c r="R219" s="332"/>
      <c r="S219" s="332"/>
      <c r="T219" s="332"/>
      <c r="U219" s="332"/>
      <c r="V219" s="332"/>
      <c r="W219" s="332"/>
      <c r="X219" s="332"/>
      <c r="Y219" s="332"/>
      <c r="Z219" s="332"/>
    </row>
    <row r="220" ht="15.75" customHeight="1">
      <c r="A220" s="27"/>
      <c r="B220" s="27"/>
      <c r="C220" s="27"/>
      <c r="D220" s="114"/>
      <c r="E220" s="114"/>
      <c r="F220" s="27"/>
      <c r="G220" s="27"/>
      <c r="H220" s="332"/>
      <c r="I220" s="332"/>
      <c r="J220" s="332"/>
      <c r="K220" s="332"/>
      <c r="L220" s="332"/>
      <c r="M220" s="332"/>
      <c r="N220" s="332"/>
      <c r="O220" s="332"/>
      <c r="P220" s="332"/>
      <c r="Q220" s="332"/>
      <c r="R220" s="332"/>
      <c r="S220" s="332"/>
      <c r="T220" s="332"/>
      <c r="U220" s="332"/>
      <c r="V220" s="332"/>
      <c r="W220" s="332"/>
      <c r="X220" s="332"/>
      <c r="Y220" s="332"/>
      <c r="Z220" s="332"/>
    </row>
    <row r="221" ht="15.75" customHeight="1">
      <c r="A221" s="27"/>
      <c r="B221" s="27"/>
      <c r="C221" s="27"/>
      <c r="D221" s="114"/>
      <c r="E221" s="114"/>
      <c r="F221" s="27"/>
      <c r="G221" s="27"/>
      <c r="H221" s="332"/>
      <c r="I221" s="332"/>
      <c r="J221" s="332"/>
      <c r="K221" s="332"/>
      <c r="L221" s="332"/>
      <c r="M221" s="332"/>
      <c r="N221" s="332"/>
      <c r="O221" s="332"/>
      <c r="P221" s="332"/>
      <c r="Q221" s="332"/>
      <c r="R221" s="332"/>
      <c r="S221" s="332"/>
      <c r="T221" s="332"/>
      <c r="U221" s="332"/>
      <c r="V221" s="332"/>
      <c r="W221" s="332"/>
      <c r="X221" s="332"/>
      <c r="Y221" s="332"/>
      <c r="Z221" s="332"/>
    </row>
    <row r="222" ht="15.75" customHeight="1">
      <c r="A222" s="27"/>
      <c r="B222" s="27"/>
      <c r="C222" s="27"/>
      <c r="D222" s="114"/>
      <c r="E222" s="114"/>
      <c r="F222" s="27"/>
      <c r="G222" s="27"/>
      <c r="H222" s="332"/>
      <c r="I222" s="332"/>
      <c r="J222" s="332"/>
      <c r="K222" s="332"/>
      <c r="L222" s="332"/>
      <c r="M222" s="332"/>
      <c r="N222" s="332"/>
      <c r="O222" s="332"/>
      <c r="P222" s="332"/>
      <c r="Q222" s="332"/>
      <c r="R222" s="332"/>
      <c r="S222" s="332"/>
      <c r="T222" s="332"/>
      <c r="U222" s="332"/>
      <c r="V222" s="332"/>
      <c r="W222" s="332"/>
      <c r="X222" s="332"/>
      <c r="Y222" s="332"/>
      <c r="Z222" s="332"/>
    </row>
    <row r="223" ht="15.75" customHeight="1">
      <c r="A223" s="27"/>
      <c r="B223" s="27"/>
      <c r="C223" s="27"/>
      <c r="D223" s="114"/>
      <c r="E223" s="114"/>
      <c r="F223" s="27"/>
      <c r="G223" s="27"/>
      <c r="H223" s="332"/>
      <c r="I223" s="332"/>
      <c r="J223" s="332"/>
      <c r="K223" s="332"/>
      <c r="L223" s="332"/>
      <c r="M223" s="332"/>
      <c r="N223" s="332"/>
      <c r="O223" s="332"/>
      <c r="P223" s="332"/>
      <c r="Q223" s="332"/>
      <c r="R223" s="332"/>
      <c r="S223" s="332"/>
      <c r="T223" s="332"/>
      <c r="U223" s="332"/>
      <c r="V223" s="332"/>
      <c r="W223" s="332"/>
      <c r="X223" s="332"/>
      <c r="Y223" s="332"/>
      <c r="Z223" s="332"/>
    </row>
    <row r="224" ht="15.75" customHeight="1">
      <c r="A224" s="27"/>
      <c r="B224" s="27"/>
      <c r="C224" s="27"/>
      <c r="D224" s="114"/>
      <c r="E224" s="114"/>
      <c r="F224" s="27"/>
      <c r="G224" s="27"/>
      <c r="H224" s="332"/>
      <c r="I224" s="332"/>
      <c r="J224" s="332"/>
      <c r="K224" s="332"/>
      <c r="L224" s="332"/>
      <c r="M224" s="332"/>
      <c r="N224" s="332"/>
      <c r="O224" s="332"/>
      <c r="P224" s="332"/>
      <c r="Q224" s="332"/>
      <c r="R224" s="332"/>
      <c r="S224" s="332"/>
      <c r="T224" s="332"/>
      <c r="U224" s="332"/>
      <c r="V224" s="332"/>
      <c r="W224" s="332"/>
      <c r="X224" s="332"/>
      <c r="Y224" s="332"/>
      <c r="Z224" s="332"/>
    </row>
    <row r="225" ht="15.75" customHeight="1">
      <c r="A225" s="27"/>
      <c r="B225" s="27"/>
      <c r="C225" s="27"/>
      <c r="D225" s="114"/>
      <c r="E225" s="114"/>
      <c r="F225" s="27"/>
      <c r="G225" s="27"/>
      <c r="H225" s="332"/>
      <c r="I225" s="332"/>
      <c r="J225" s="332"/>
      <c r="K225" s="332"/>
      <c r="L225" s="332"/>
      <c r="M225" s="332"/>
      <c r="N225" s="332"/>
      <c r="O225" s="332"/>
      <c r="P225" s="332"/>
      <c r="Q225" s="332"/>
      <c r="R225" s="332"/>
      <c r="S225" s="332"/>
      <c r="T225" s="332"/>
      <c r="U225" s="332"/>
      <c r="V225" s="332"/>
      <c r="W225" s="332"/>
      <c r="X225" s="332"/>
      <c r="Y225" s="332"/>
      <c r="Z225" s="332"/>
    </row>
    <row r="226" ht="15.75" customHeight="1">
      <c r="A226" s="27"/>
      <c r="B226" s="27"/>
      <c r="C226" s="27"/>
      <c r="D226" s="114"/>
      <c r="E226" s="114"/>
      <c r="F226" s="27"/>
      <c r="G226" s="27"/>
      <c r="H226" s="332"/>
      <c r="I226" s="332"/>
      <c r="J226" s="332"/>
      <c r="K226" s="332"/>
      <c r="L226" s="332"/>
      <c r="M226" s="332"/>
      <c r="N226" s="332"/>
      <c r="O226" s="332"/>
      <c r="P226" s="332"/>
      <c r="Q226" s="332"/>
      <c r="R226" s="332"/>
      <c r="S226" s="332"/>
      <c r="T226" s="332"/>
      <c r="U226" s="332"/>
      <c r="V226" s="332"/>
      <c r="W226" s="332"/>
      <c r="X226" s="332"/>
      <c r="Y226" s="332"/>
      <c r="Z226" s="332"/>
    </row>
    <row r="227" ht="15.75" customHeight="1">
      <c r="A227" s="27"/>
      <c r="B227" s="27"/>
      <c r="C227" s="27"/>
      <c r="D227" s="114"/>
      <c r="E227" s="114"/>
      <c r="F227" s="27"/>
      <c r="G227" s="27"/>
      <c r="H227" s="332"/>
      <c r="I227" s="332"/>
      <c r="J227" s="332"/>
      <c r="K227" s="332"/>
      <c r="L227" s="332"/>
      <c r="M227" s="332"/>
      <c r="N227" s="332"/>
      <c r="O227" s="332"/>
      <c r="P227" s="332"/>
      <c r="Q227" s="332"/>
      <c r="R227" s="332"/>
      <c r="S227" s="332"/>
      <c r="T227" s="332"/>
      <c r="U227" s="332"/>
      <c r="V227" s="332"/>
      <c r="W227" s="332"/>
      <c r="X227" s="332"/>
      <c r="Y227" s="332"/>
      <c r="Z227" s="332"/>
    </row>
    <row r="228" ht="15.75" customHeight="1">
      <c r="A228" s="27"/>
      <c r="B228" s="27"/>
      <c r="C228" s="27"/>
      <c r="D228" s="114"/>
      <c r="E228" s="114"/>
      <c r="F228" s="27"/>
      <c r="G228" s="27"/>
      <c r="H228" s="332"/>
      <c r="I228" s="332"/>
      <c r="J228" s="332"/>
      <c r="K228" s="332"/>
      <c r="L228" s="332"/>
      <c r="M228" s="332"/>
      <c r="N228" s="332"/>
      <c r="O228" s="332"/>
      <c r="P228" s="332"/>
      <c r="Q228" s="332"/>
      <c r="R228" s="332"/>
      <c r="S228" s="332"/>
      <c r="T228" s="332"/>
      <c r="U228" s="332"/>
      <c r="V228" s="332"/>
      <c r="W228" s="332"/>
      <c r="X228" s="332"/>
      <c r="Y228" s="332"/>
      <c r="Z228" s="332"/>
    </row>
    <row r="229" ht="15.75" customHeight="1">
      <c r="A229" s="27"/>
      <c r="B229" s="27"/>
      <c r="C229" s="27"/>
      <c r="D229" s="114"/>
      <c r="E229" s="114"/>
      <c r="F229" s="27"/>
      <c r="G229" s="27"/>
      <c r="H229" s="332"/>
      <c r="I229" s="332"/>
      <c r="J229" s="332"/>
      <c r="K229" s="332"/>
      <c r="L229" s="332"/>
      <c r="M229" s="332"/>
      <c r="N229" s="332"/>
      <c r="O229" s="332"/>
      <c r="P229" s="332"/>
      <c r="Q229" s="332"/>
      <c r="R229" s="332"/>
      <c r="S229" s="332"/>
      <c r="T229" s="332"/>
      <c r="U229" s="332"/>
      <c r="V229" s="332"/>
      <c r="W229" s="332"/>
      <c r="X229" s="332"/>
      <c r="Y229" s="332"/>
      <c r="Z229" s="332"/>
    </row>
    <row r="230" ht="15.75" customHeight="1">
      <c r="A230" s="27"/>
      <c r="B230" s="27"/>
      <c r="C230" s="27"/>
      <c r="D230" s="114"/>
      <c r="E230" s="114"/>
      <c r="F230" s="27"/>
      <c r="G230" s="27"/>
      <c r="H230" s="332"/>
      <c r="I230" s="332"/>
      <c r="J230" s="332"/>
      <c r="K230" s="332"/>
      <c r="L230" s="332"/>
      <c r="M230" s="332"/>
      <c r="N230" s="332"/>
      <c r="O230" s="332"/>
      <c r="P230" s="332"/>
      <c r="Q230" s="332"/>
      <c r="R230" s="332"/>
      <c r="S230" s="332"/>
      <c r="T230" s="332"/>
      <c r="U230" s="332"/>
      <c r="V230" s="332"/>
      <c r="W230" s="332"/>
      <c r="X230" s="332"/>
      <c r="Y230" s="332"/>
      <c r="Z230" s="332"/>
    </row>
    <row r="231" ht="15.75" customHeight="1">
      <c r="A231" s="27"/>
      <c r="B231" s="27"/>
      <c r="C231" s="27"/>
      <c r="D231" s="114"/>
      <c r="E231" s="114"/>
      <c r="F231" s="27"/>
      <c r="G231" s="27"/>
      <c r="H231" s="332"/>
      <c r="I231" s="332"/>
      <c r="J231" s="332"/>
      <c r="K231" s="332"/>
      <c r="L231" s="332"/>
      <c r="M231" s="332"/>
      <c r="N231" s="332"/>
      <c r="O231" s="332"/>
      <c r="P231" s="332"/>
      <c r="Q231" s="332"/>
      <c r="R231" s="332"/>
      <c r="S231" s="332"/>
      <c r="T231" s="332"/>
      <c r="U231" s="332"/>
      <c r="V231" s="332"/>
      <c r="W231" s="332"/>
      <c r="X231" s="332"/>
      <c r="Y231" s="332"/>
      <c r="Z231" s="332"/>
    </row>
    <row r="232" ht="15.75" customHeight="1">
      <c r="A232" s="27"/>
      <c r="B232" s="27"/>
      <c r="C232" s="27"/>
      <c r="D232" s="114"/>
      <c r="E232" s="114"/>
      <c r="F232" s="27"/>
      <c r="G232" s="27"/>
      <c r="H232" s="332"/>
      <c r="I232" s="332"/>
      <c r="J232" s="332"/>
      <c r="K232" s="332"/>
      <c r="L232" s="332"/>
      <c r="M232" s="332"/>
      <c r="N232" s="332"/>
      <c r="O232" s="332"/>
      <c r="P232" s="332"/>
      <c r="Q232" s="332"/>
      <c r="R232" s="332"/>
      <c r="S232" s="332"/>
      <c r="T232" s="332"/>
      <c r="U232" s="332"/>
      <c r="V232" s="332"/>
      <c r="W232" s="332"/>
      <c r="X232" s="332"/>
      <c r="Y232" s="332"/>
      <c r="Z232" s="332"/>
    </row>
    <row r="233" ht="15.75" customHeight="1">
      <c r="A233" s="27"/>
      <c r="B233" s="27"/>
      <c r="C233" s="27"/>
      <c r="D233" s="114"/>
      <c r="E233" s="114"/>
      <c r="F233" s="27"/>
      <c r="G233" s="27"/>
      <c r="H233" s="332"/>
      <c r="I233" s="332"/>
      <c r="J233" s="332"/>
      <c r="K233" s="332"/>
      <c r="L233" s="332"/>
      <c r="M233" s="332"/>
      <c r="N233" s="332"/>
      <c r="O233" s="332"/>
      <c r="P233" s="332"/>
      <c r="Q233" s="332"/>
      <c r="R233" s="332"/>
      <c r="S233" s="332"/>
      <c r="T233" s="332"/>
      <c r="U233" s="332"/>
      <c r="V233" s="332"/>
      <c r="W233" s="332"/>
      <c r="X233" s="332"/>
      <c r="Y233" s="332"/>
      <c r="Z233" s="332"/>
    </row>
    <row r="234" ht="15.75" customHeight="1">
      <c r="A234" s="27"/>
      <c r="B234" s="27"/>
      <c r="C234" s="27"/>
      <c r="D234" s="114"/>
      <c r="E234" s="114"/>
      <c r="F234" s="27"/>
      <c r="G234" s="27"/>
      <c r="H234" s="332"/>
      <c r="I234" s="332"/>
      <c r="J234" s="332"/>
      <c r="K234" s="332"/>
      <c r="L234" s="332"/>
      <c r="M234" s="332"/>
      <c r="N234" s="332"/>
      <c r="O234" s="332"/>
      <c r="P234" s="332"/>
      <c r="Q234" s="332"/>
      <c r="R234" s="332"/>
      <c r="S234" s="332"/>
      <c r="T234" s="332"/>
      <c r="U234" s="332"/>
      <c r="V234" s="332"/>
      <c r="W234" s="332"/>
      <c r="X234" s="332"/>
      <c r="Y234" s="332"/>
      <c r="Z234" s="332"/>
    </row>
    <row r="235" ht="15.75" customHeight="1">
      <c r="A235" s="27"/>
      <c r="B235" s="27"/>
      <c r="C235" s="27"/>
      <c r="D235" s="114"/>
      <c r="E235" s="114"/>
      <c r="F235" s="27"/>
      <c r="G235" s="27"/>
      <c r="H235" s="332"/>
      <c r="I235" s="332"/>
      <c r="J235" s="332"/>
      <c r="K235" s="332"/>
      <c r="L235" s="332"/>
      <c r="M235" s="332"/>
      <c r="N235" s="332"/>
      <c r="O235" s="332"/>
      <c r="P235" s="332"/>
      <c r="Q235" s="332"/>
      <c r="R235" s="332"/>
      <c r="S235" s="332"/>
      <c r="T235" s="332"/>
      <c r="U235" s="332"/>
      <c r="V235" s="332"/>
      <c r="W235" s="332"/>
      <c r="X235" s="332"/>
      <c r="Y235" s="332"/>
      <c r="Z235" s="332"/>
    </row>
    <row r="236" ht="15.75" customHeight="1">
      <c r="A236" s="27"/>
      <c r="B236" s="27"/>
      <c r="C236" s="27"/>
      <c r="D236" s="114"/>
      <c r="E236" s="114"/>
      <c r="F236" s="27"/>
      <c r="G236" s="27"/>
      <c r="H236" s="332"/>
      <c r="I236" s="332"/>
      <c r="J236" s="332"/>
      <c r="K236" s="332"/>
      <c r="L236" s="332"/>
      <c r="M236" s="332"/>
      <c r="N236" s="332"/>
      <c r="O236" s="332"/>
      <c r="P236" s="332"/>
      <c r="Q236" s="332"/>
      <c r="R236" s="332"/>
      <c r="S236" s="332"/>
      <c r="T236" s="332"/>
      <c r="U236" s="332"/>
      <c r="V236" s="332"/>
      <c r="W236" s="332"/>
      <c r="X236" s="332"/>
      <c r="Y236" s="332"/>
      <c r="Z236" s="332"/>
    </row>
    <row r="237" ht="15.75" customHeight="1">
      <c r="A237" s="27"/>
      <c r="B237" s="27"/>
      <c r="C237" s="27"/>
      <c r="D237" s="114"/>
      <c r="E237" s="114"/>
      <c r="F237" s="27"/>
      <c r="G237" s="27"/>
      <c r="H237" s="332"/>
      <c r="I237" s="332"/>
      <c r="J237" s="332"/>
      <c r="K237" s="332"/>
      <c r="L237" s="332"/>
      <c r="M237" s="332"/>
      <c r="N237" s="332"/>
      <c r="O237" s="332"/>
      <c r="P237" s="332"/>
      <c r="Q237" s="332"/>
      <c r="R237" s="332"/>
      <c r="S237" s="332"/>
      <c r="T237" s="332"/>
      <c r="U237" s="332"/>
      <c r="V237" s="332"/>
      <c r="W237" s="332"/>
      <c r="X237" s="332"/>
      <c r="Y237" s="332"/>
      <c r="Z237" s="332"/>
    </row>
    <row r="238" ht="15.75" customHeight="1">
      <c r="A238" s="27"/>
      <c r="B238" s="27"/>
      <c r="C238" s="27"/>
      <c r="D238" s="114"/>
      <c r="E238" s="114"/>
      <c r="F238" s="27"/>
      <c r="G238" s="27"/>
      <c r="H238" s="332"/>
      <c r="I238" s="332"/>
      <c r="J238" s="332"/>
      <c r="K238" s="332"/>
      <c r="L238" s="332"/>
      <c r="M238" s="332"/>
      <c r="N238" s="332"/>
      <c r="O238" s="332"/>
      <c r="P238" s="332"/>
      <c r="Q238" s="332"/>
      <c r="R238" s="332"/>
      <c r="S238" s="332"/>
      <c r="T238" s="332"/>
      <c r="U238" s="332"/>
      <c r="V238" s="332"/>
      <c r="W238" s="332"/>
      <c r="X238" s="332"/>
      <c r="Y238" s="332"/>
      <c r="Z238" s="332"/>
    </row>
    <row r="239" ht="15.75" customHeight="1">
      <c r="A239" s="27"/>
      <c r="B239" s="27"/>
      <c r="C239" s="27"/>
      <c r="D239" s="114"/>
      <c r="E239" s="114"/>
      <c r="F239" s="27"/>
      <c r="G239" s="27"/>
      <c r="H239" s="332"/>
      <c r="I239" s="332"/>
      <c r="J239" s="332"/>
      <c r="K239" s="332"/>
      <c r="L239" s="332"/>
      <c r="M239" s="332"/>
      <c r="N239" s="332"/>
      <c r="O239" s="332"/>
      <c r="P239" s="332"/>
      <c r="Q239" s="332"/>
      <c r="R239" s="332"/>
      <c r="S239" s="332"/>
      <c r="T239" s="332"/>
      <c r="U239" s="332"/>
      <c r="V239" s="332"/>
      <c r="W239" s="332"/>
      <c r="X239" s="332"/>
      <c r="Y239" s="332"/>
      <c r="Z239" s="332"/>
    </row>
    <row r="240" ht="15.75" customHeight="1">
      <c r="A240" s="27"/>
      <c r="B240" s="27"/>
      <c r="C240" s="27"/>
      <c r="D240" s="114"/>
      <c r="E240" s="114"/>
      <c r="F240" s="27"/>
      <c r="G240" s="27"/>
      <c r="H240" s="332"/>
      <c r="I240" s="332"/>
      <c r="J240" s="332"/>
      <c r="K240" s="332"/>
      <c r="L240" s="332"/>
      <c r="M240" s="332"/>
      <c r="N240" s="332"/>
      <c r="O240" s="332"/>
      <c r="P240" s="332"/>
      <c r="Q240" s="332"/>
      <c r="R240" s="332"/>
      <c r="S240" s="332"/>
      <c r="T240" s="332"/>
      <c r="U240" s="332"/>
      <c r="V240" s="332"/>
      <c r="W240" s="332"/>
      <c r="X240" s="332"/>
      <c r="Y240" s="332"/>
      <c r="Z240" s="332"/>
    </row>
    <row r="241" ht="15.75" customHeight="1">
      <c r="A241" s="27"/>
      <c r="B241" s="27"/>
      <c r="C241" s="27"/>
      <c r="D241" s="114"/>
      <c r="E241" s="114"/>
      <c r="F241" s="27"/>
      <c r="G241" s="27"/>
      <c r="H241" s="332"/>
      <c r="I241" s="332"/>
      <c r="J241" s="332"/>
      <c r="K241" s="332"/>
      <c r="L241" s="332"/>
      <c r="M241" s="332"/>
      <c r="N241" s="332"/>
      <c r="O241" s="332"/>
      <c r="P241" s="332"/>
      <c r="Q241" s="332"/>
      <c r="R241" s="332"/>
      <c r="S241" s="332"/>
      <c r="T241" s="332"/>
      <c r="U241" s="332"/>
      <c r="V241" s="332"/>
      <c r="W241" s="332"/>
      <c r="X241" s="332"/>
      <c r="Y241" s="332"/>
      <c r="Z241" s="332"/>
    </row>
    <row r="242" ht="15.75" customHeight="1">
      <c r="A242" s="27"/>
      <c r="B242" s="27"/>
      <c r="C242" s="27"/>
      <c r="D242" s="114"/>
      <c r="E242" s="114"/>
      <c r="F242" s="27"/>
      <c r="G242" s="27"/>
      <c r="H242" s="332"/>
      <c r="I242" s="332"/>
      <c r="J242" s="332"/>
      <c r="K242" s="332"/>
      <c r="L242" s="332"/>
      <c r="M242" s="332"/>
      <c r="N242" s="332"/>
      <c r="O242" s="332"/>
      <c r="P242" s="332"/>
      <c r="Q242" s="332"/>
      <c r="R242" s="332"/>
      <c r="S242" s="332"/>
      <c r="T242" s="332"/>
      <c r="U242" s="332"/>
      <c r="V242" s="332"/>
      <c r="W242" s="332"/>
      <c r="X242" s="332"/>
      <c r="Y242" s="332"/>
      <c r="Z242" s="332"/>
    </row>
    <row r="243" ht="15.75" customHeight="1">
      <c r="A243" s="27"/>
      <c r="B243" s="27"/>
      <c r="C243" s="27"/>
      <c r="D243" s="114"/>
      <c r="E243" s="114"/>
      <c r="F243" s="27"/>
      <c r="G243" s="27"/>
      <c r="H243" s="332"/>
      <c r="I243" s="332"/>
      <c r="J243" s="332"/>
      <c r="K243" s="332"/>
      <c r="L243" s="332"/>
      <c r="M243" s="332"/>
      <c r="N243" s="332"/>
      <c r="O243" s="332"/>
      <c r="P243" s="332"/>
      <c r="Q243" s="332"/>
      <c r="R243" s="332"/>
      <c r="S243" s="332"/>
      <c r="T243" s="332"/>
      <c r="U243" s="332"/>
      <c r="V243" s="332"/>
      <c r="W243" s="332"/>
      <c r="X243" s="332"/>
      <c r="Y243" s="332"/>
      <c r="Z243" s="332"/>
    </row>
    <row r="244" ht="15.75" customHeight="1">
      <c r="A244" s="27"/>
      <c r="B244" s="27"/>
      <c r="C244" s="27"/>
      <c r="D244" s="114"/>
      <c r="E244" s="114"/>
      <c r="F244" s="27"/>
      <c r="G244" s="27"/>
      <c r="H244" s="332"/>
      <c r="I244" s="332"/>
      <c r="J244" s="332"/>
      <c r="K244" s="332"/>
      <c r="L244" s="332"/>
      <c r="M244" s="332"/>
      <c r="N244" s="332"/>
      <c r="O244" s="332"/>
      <c r="P244" s="332"/>
      <c r="Q244" s="332"/>
      <c r="R244" s="332"/>
      <c r="S244" s="332"/>
      <c r="T244" s="332"/>
      <c r="U244" s="332"/>
      <c r="V244" s="332"/>
      <c r="W244" s="332"/>
      <c r="X244" s="332"/>
      <c r="Y244" s="332"/>
      <c r="Z244" s="332"/>
    </row>
    <row r="245" ht="15.75" customHeight="1">
      <c r="A245" s="27"/>
      <c r="B245" s="27"/>
      <c r="C245" s="27"/>
      <c r="D245" s="114"/>
      <c r="E245" s="114"/>
      <c r="F245" s="27"/>
      <c r="G245" s="27"/>
      <c r="H245" s="332"/>
      <c r="I245" s="332"/>
      <c r="J245" s="332"/>
      <c r="K245" s="332"/>
      <c r="L245" s="332"/>
      <c r="M245" s="332"/>
      <c r="N245" s="332"/>
      <c r="O245" s="332"/>
      <c r="P245" s="332"/>
      <c r="Q245" s="332"/>
      <c r="R245" s="332"/>
      <c r="S245" s="332"/>
      <c r="T245" s="332"/>
      <c r="U245" s="332"/>
      <c r="V245" s="332"/>
      <c r="W245" s="332"/>
      <c r="X245" s="332"/>
      <c r="Y245" s="332"/>
      <c r="Z245" s="332"/>
    </row>
    <row r="246" ht="15.75" customHeight="1">
      <c r="A246" s="27"/>
      <c r="B246" s="27"/>
      <c r="C246" s="27"/>
      <c r="D246" s="114"/>
      <c r="E246" s="114"/>
      <c r="F246" s="27"/>
      <c r="G246" s="27"/>
      <c r="H246" s="332"/>
      <c r="I246" s="332"/>
      <c r="J246" s="332"/>
      <c r="K246" s="332"/>
      <c r="L246" s="332"/>
      <c r="M246" s="332"/>
      <c r="N246" s="332"/>
      <c r="O246" s="332"/>
      <c r="P246" s="332"/>
      <c r="Q246" s="332"/>
      <c r="R246" s="332"/>
      <c r="S246" s="332"/>
      <c r="T246" s="332"/>
      <c r="U246" s="332"/>
      <c r="V246" s="332"/>
      <c r="W246" s="332"/>
      <c r="X246" s="332"/>
      <c r="Y246" s="332"/>
      <c r="Z246" s="332"/>
    </row>
    <row r="247" ht="15.75" customHeight="1">
      <c r="A247" s="27"/>
      <c r="B247" s="27"/>
      <c r="C247" s="27"/>
      <c r="D247" s="114"/>
      <c r="E247" s="114"/>
      <c r="F247" s="27"/>
      <c r="G247" s="27"/>
      <c r="H247" s="332"/>
      <c r="I247" s="332"/>
      <c r="J247" s="332"/>
      <c r="K247" s="332"/>
      <c r="L247" s="332"/>
      <c r="M247" s="332"/>
      <c r="N247" s="332"/>
      <c r="O247" s="332"/>
      <c r="P247" s="332"/>
      <c r="Q247" s="332"/>
      <c r="R247" s="332"/>
      <c r="S247" s="332"/>
      <c r="T247" s="332"/>
      <c r="U247" s="332"/>
      <c r="V247" s="332"/>
      <c r="W247" s="332"/>
      <c r="X247" s="332"/>
      <c r="Y247" s="332"/>
      <c r="Z247" s="332"/>
    </row>
    <row r="248" ht="15.75" customHeight="1">
      <c r="A248" s="27"/>
      <c r="B248" s="27"/>
      <c r="C248" s="27"/>
      <c r="D248" s="114"/>
      <c r="E248" s="114"/>
      <c r="F248" s="27"/>
      <c r="G248" s="27"/>
      <c r="H248" s="332"/>
      <c r="I248" s="332"/>
      <c r="J248" s="332"/>
      <c r="K248" s="332"/>
      <c r="L248" s="332"/>
      <c r="M248" s="332"/>
      <c r="N248" s="332"/>
      <c r="O248" s="332"/>
      <c r="P248" s="332"/>
      <c r="Q248" s="332"/>
      <c r="R248" s="332"/>
      <c r="S248" s="332"/>
      <c r="T248" s="332"/>
      <c r="U248" s="332"/>
      <c r="V248" s="332"/>
      <c r="W248" s="332"/>
      <c r="X248" s="332"/>
      <c r="Y248" s="332"/>
      <c r="Z248" s="332"/>
    </row>
    <row r="249" ht="15.75" customHeight="1">
      <c r="A249" s="27"/>
      <c r="B249" s="27"/>
      <c r="C249" s="27"/>
      <c r="D249" s="114"/>
      <c r="E249" s="114"/>
      <c r="F249" s="27"/>
      <c r="G249" s="27"/>
      <c r="H249" s="332"/>
      <c r="I249" s="332"/>
      <c r="J249" s="332"/>
      <c r="K249" s="332"/>
      <c r="L249" s="332"/>
      <c r="M249" s="332"/>
      <c r="N249" s="332"/>
      <c r="O249" s="332"/>
      <c r="P249" s="332"/>
      <c r="Q249" s="332"/>
      <c r="R249" s="332"/>
      <c r="S249" s="332"/>
      <c r="T249" s="332"/>
      <c r="U249" s="332"/>
      <c r="V249" s="332"/>
      <c r="W249" s="332"/>
      <c r="X249" s="332"/>
      <c r="Y249" s="332"/>
      <c r="Z249" s="332"/>
    </row>
    <row r="250" ht="15.75" customHeight="1">
      <c r="A250" s="27"/>
      <c r="B250" s="27"/>
      <c r="C250" s="27"/>
      <c r="D250" s="114"/>
      <c r="E250" s="114"/>
      <c r="F250" s="27"/>
      <c r="G250" s="27"/>
      <c r="H250" s="332"/>
      <c r="I250" s="332"/>
      <c r="J250" s="332"/>
      <c r="K250" s="332"/>
      <c r="L250" s="332"/>
      <c r="M250" s="332"/>
      <c r="N250" s="332"/>
      <c r="O250" s="332"/>
      <c r="P250" s="332"/>
      <c r="Q250" s="332"/>
      <c r="R250" s="332"/>
      <c r="S250" s="332"/>
      <c r="T250" s="332"/>
      <c r="U250" s="332"/>
      <c r="V250" s="332"/>
      <c r="W250" s="332"/>
      <c r="X250" s="332"/>
      <c r="Y250" s="332"/>
      <c r="Z250" s="332"/>
    </row>
    <row r="251" ht="15.75" customHeight="1">
      <c r="A251" s="27"/>
      <c r="B251" s="27"/>
      <c r="C251" s="27"/>
      <c r="D251" s="114"/>
      <c r="E251" s="114"/>
      <c r="F251" s="27"/>
      <c r="G251" s="27"/>
      <c r="H251" s="332"/>
      <c r="I251" s="332"/>
      <c r="J251" s="332"/>
      <c r="K251" s="332"/>
      <c r="L251" s="332"/>
      <c r="M251" s="332"/>
      <c r="N251" s="332"/>
      <c r="O251" s="332"/>
      <c r="P251" s="332"/>
      <c r="Q251" s="332"/>
      <c r="R251" s="332"/>
      <c r="S251" s="332"/>
      <c r="T251" s="332"/>
      <c r="U251" s="332"/>
      <c r="V251" s="332"/>
      <c r="W251" s="332"/>
      <c r="X251" s="332"/>
      <c r="Y251" s="332"/>
      <c r="Z251" s="332"/>
    </row>
    <row r="252" ht="15.75" customHeight="1">
      <c r="A252" s="27"/>
      <c r="B252" s="27"/>
      <c r="C252" s="27"/>
      <c r="D252" s="114"/>
      <c r="E252" s="114"/>
      <c r="F252" s="27"/>
      <c r="G252" s="27"/>
      <c r="H252" s="332"/>
      <c r="I252" s="332"/>
      <c r="J252" s="332"/>
      <c r="K252" s="332"/>
      <c r="L252" s="332"/>
      <c r="M252" s="332"/>
      <c r="N252" s="332"/>
      <c r="O252" s="332"/>
      <c r="P252" s="332"/>
      <c r="Q252" s="332"/>
      <c r="R252" s="332"/>
      <c r="S252" s="332"/>
      <c r="T252" s="332"/>
      <c r="U252" s="332"/>
      <c r="V252" s="332"/>
      <c r="W252" s="332"/>
      <c r="X252" s="332"/>
      <c r="Y252" s="332"/>
      <c r="Z252" s="332"/>
    </row>
    <row r="253" ht="15.75" customHeight="1">
      <c r="A253" s="27"/>
      <c r="B253" s="27"/>
      <c r="C253" s="27"/>
      <c r="D253" s="114"/>
      <c r="E253" s="114"/>
      <c r="F253" s="27"/>
      <c r="G253" s="27"/>
      <c r="H253" s="332"/>
      <c r="I253" s="332"/>
      <c r="J253" s="332"/>
      <c r="K253" s="332"/>
      <c r="L253" s="332"/>
      <c r="M253" s="332"/>
      <c r="N253" s="332"/>
      <c r="O253" s="332"/>
      <c r="P253" s="332"/>
      <c r="Q253" s="332"/>
      <c r="R253" s="332"/>
      <c r="S253" s="332"/>
      <c r="T253" s="332"/>
      <c r="U253" s="332"/>
      <c r="V253" s="332"/>
      <c r="W253" s="332"/>
      <c r="X253" s="332"/>
      <c r="Y253" s="332"/>
      <c r="Z253" s="332"/>
    </row>
    <row r="254" ht="15.75" customHeight="1">
      <c r="A254" s="27"/>
      <c r="B254" s="27"/>
      <c r="C254" s="27"/>
      <c r="D254" s="114"/>
      <c r="E254" s="114"/>
      <c r="F254" s="27"/>
      <c r="G254" s="27"/>
      <c r="H254" s="332"/>
      <c r="I254" s="332"/>
      <c r="J254" s="332"/>
      <c r="K254" s="332"/>
      <c r="L254" s="332"/>
      <c r="M254" s="332"/>
      <c r="N254" s="332"/>
      <c r="O254" s="332"/>
      <c r="P254" s="332"/>
      <c r="Q254" s="332"/>
      <c r="R254" s="332"/>
      <c r="S254" s="332"/>
      <c r="T254" s="332"/>
      <c r="U254" s="332"/>
      <c r="V254" s="332"/>
      <c r="W254" s="332"/>
      <c r="X254" s="332"/>
      <c r="Y254" s="332"/>
      <c r="Z254" s="332"/>
    </row>
    <row r="255" ht="15.75" customHeight="1">
      <c r="A255" s="27"/>
      <c r="B255" s="27"/>
      <c r="C255" s="27"/>
      <c r="D255" s="114"/>
      <c r="E255" s="114"/>
      <c r="F255" s="27"/>
      <c r="G255" s="27"/>
      <c r="H255" s="332"/>
      <c r="I255" s="332"/>
      <c r="J255" s="332"/>
      <c r="K255" s="332"/>
      <c r="L255" s="332"/>
      <c r="M255" s="332"/>
      <c r="N255" s="332"/>
      <c r="O255" s="332"/>
      <c r="P255" s="332"/>
      <c r="Q255" s="332"/>
      <c r="R255" s="332"/>
      <c r="S255" s="332"/>
      <c r="T255" s="332"/>
      <c r="U255" s="332"/>
      <c r="V255" s="332"/>
      <c r="W255" s="332"/>
      <c r="X255" s="332"/>
      <c r="Y255" s="332"/>
      <c r="Z255" s="332"/>
    </row>
    <row r="256" ht="15.75" customHeight="1">
      <c r="A256" s="27"/>
      <c r="B256" s="27"/>
      <c r="C256" s="27"/>
      <c r="D256" s="114"/>
      <c r="E256" s="114"/>
      <c r="F256" s="27"/>
      <c r="G256" s="27"/>
      <c r="H256" s="332"/>
      <c r="I256" s="332"/>
      <c r="J256" s="332"/>
      <c r="K256" s="332"/>
      <c r="L256" s="332"/>
      <c r="M256" s="332"/>
      <c r="N256" s="332"/>
      <c r="O256" s="332"/>
      <c r="P256" s="332"/>
      <c r="Q256" s="332"/>
      <c r="R256" s="332"/>
      <c r="S256" s="332"/>
      <c r="T256" s="332"/>
      <c r="U256" s="332"/>
      <c r="V256" s="332"/>
      <c r="W256" s="332"/>
      <c r="X256" s="332"/>
      <c r="Y256" s="332"/>
      <c r="Z256" s="332"/>
    </row>
    <row r="257" ht="15.75" customHeight="1">
      <c r="A257" s="27"/>
      <c r="B257" s="27"/>
      <c r="C257" s="27"/>
      <c r="D257" s="114"/>
      <c r="E257" s="114"/>
      <c r="F257" s="27"/>
      <c r="G257" s="27"/>
      <c r="H257" s="332"/>
      <c r="I257" s="332"/>
      <c r="J257" s="332"/>
      <c r="K257" s="332"/>
      <c r="L257" s="332"/>
      <c r="M257" s="332"/>
      <c r="N257" s="332"/>
      <c r="O257" s="332"/>
      <c r="P257" s="332"/>
      <c r="Q257" s="332"/>
      <c r="R257" s="332"/>
      <c r="S257" s="332"/>
      <c r="T257" s="332"/>
      <c r="U257" s="332"/>
      <c r="V257" s="332"/>
      <c r="W257" s="332"/>
      <c r="X257" s="332"/>
      <c r="Y257" s="332"/>
      <c r="Z257" s="332"/>
    </row>
    <row r="258" ht="15.75" customHeight="1">
      <c r="A258" s="27"/>
      <c r="B258" s="27"/>
      <c r="C258" s="27"/>
      <c r="D258" s="114"/>
      <c r="E258" s="114"/>
      <c r="F258" s="27"/>
      <c r="G258" s="27"/>
      <c r="H258" s="332"/>
      <c r="I258" s="332"/>
      <c r="J258" s="332"/>
      <c r="K258" s="332"/>
      <c r="L258" s="332"/>
      <c r="M258" s="332"/>
      <c r="N258" s="332"/>
      <c r="O258" s="332"/>
      <c r="P258" s="332"/>
      <c r="Q258" s="332"/>
      <c r="R258" s="332"/>
      <c r="S258" s="332"/>
      <c r="T258" s="332"/>
      <c r="U258" s="332"/>
      <c r="V258" s="332"/>
      <c r="W258" s="332"/>
      <c r="X258" s="332"/>
      <c r="Y258" s="332"/>
      <c r="Z258" s="332"/>
    </row>
    <row r="259" ht="15.75" customHeight="1">
      <c r="A259" s="27"/>
      <c r="B259" s="27"/>
      <c r="C259" s="27"/>
      <c r="D259" s="114"/>
      <c r="E259" s="114"/>
      <c r="F259" s="27"/>
      <c r="G259" s="27"/>
      <c r="H259" s="332"/>
      <c r="I259" s="332"/>
      <c r="J259" s="332"/>
      <c r="K259" s="332"/>
      <c r="L259" s="332"/>
      <c r="M259" s="332"/>
      <c r="N259" s="332"/>
      <c r="O259" s="332"/>
      <c r="P259" s="332"/>
      <c r="Q259" s="332"/>
      <c r="R259" s="332"/>
      <c r="S259" s="332"/>
      <c r="T259" s="332"/>
      <c r="U259" s="332"/>
      <c r="V259" s="332"/>
      <c r="W259" s="332"/>
      <c r="X259" s="332"/>
      <c r="Y259" s="332"/>
      <c r="Z259" s="332"/>
    </row>
    <row r="260" ht="15.75" customHeight="1">
      <c r="A260" s="27"/>
      <c r="B260" s="27"/>
      <c r="C260" s="27"/>
      <c r="D260" s="114"/>
      <c r="E260" s="114"/>
      <c r="F260" s="27"/>
      <c r="G260" s="27"/>
      <c r="H260" s="332"/>
      <c r="I260" s="332"/>
      <c r="J260" s="332"/>
      <c r="K260" s="332"/>
      <c r="L260" s="332"/>
      <c r="M260" s="332"/>
      <c r="N260" s="332"/>
      <c r="O260" s="332"/>
      <c r="P260" s="332"/>
      <c r="Q260" s="332"/>
      <c r="R260" s="332"/>
      <c r="S260" s="332"/>
      <c r="T260" s="332"/>
      <c r="U260" s="332"/>
      <c r="V260" s="332"/>
      <c r="W260" s="332"/>
      <c r="X260" s="332"/>
      <c r="Y260" s="332"/>
      <c r="Z260" s="332"/>
    </row>
    <row r="261" ht="15.75" customHeight="1">
      <c r="A261" s="27"/>
      <c r="B261" s="27"/>
      <c r="C261" s="27"/>
      <c r="D261" s="114"/>
      <c r="E261" s="114"/>
      <c r="F261" s="27"/>
      <c r="G261" s="27"/>
      <c r="H261" s="332"/>
      <c r="I261" s="332"/>
      <c r="J261" s="332"/>
      <c r="K261" s="332"/>
      <c r="L261" s="332"/>
      <c r="M261" s="332"/>
      <c r="N261" s="332"/>
      <c r="O261" s="332"/>
      <c r="P261" s="332"/>
      <c r="Q261" s="332"/>
      <c r="R261" s="332"/>
      <c r="S261" s="332"/>
      <c r="T261" s="332"/>
      <c r="U261" s="332"/>
      <c r="V261" s="332"/>
      <c r="W261" s="332"/>
      <c r="X261" s="332"/>
      <c r="Y261" s="332"/>
      <c r="Z261" s="332"/>
    </row>
    <row r="262" ht="15.75" customHeight="1">
      <c r="A262" s="27"/>
      <c r="B262" s="27"/>
      <c r="C262" s="27"/>
      <c r="D262" s="114"/>
      <c r="E262" s="114"/>
      <c r="F262" s="27"/>
      <c r="G262" s="27"/>
      <c r="H262" s="332"/>
      <c r="I262" s="332"/>
      <c r="J262" s="332"/>
      <c r="K262" s="332"/>
      <c r="L262" s="332"/>
      <c r="M262" s="332"/>
      <c r="N262" s="332"/>
      <c r="O262" s="332"/>
      <c r="P262" s="332"/>
      <c r="Q262" s="332"/>
      <c r="R262" s="332"/>
      <c r="S262" s="332"/>
      <c r="T262" s="332"/>
      <c r="U262" s="332"/>
      <c r="V262" s="332"/>
      <c r="W262" s="332"/>
      <c r="X262" s="332"/>
      <c r="Y262" s="332"/>
      <c r="Z262" s="332"/>
    </row>
    <row r="263" ht="15.75" customHeight="1">
      <c r="A263" s="27"/>
      <c r="B263" s="27"/>
      <c r="C263" s="27"/>
      <c r="D263" s="114"/>
      <c r="E263" s="114"/>
      <c r="F263" s="27"/>
      <c r="G263" s="27"/>
      <c r="H263" s="332"/>
      <c r="I263" s="332"/>
      <c r="J263" s="332"/>
      <c r="K263" s="332"/>
      <c r="L263" s="332"/>
      <c r="M263" s="332"/>
      <c r="N263" s="332"/>
      <c r="O263" s="332"/>
      <c r="P263" s="332"/>
      <c r="Q263" s="332"/>
      <c r="R263" s="332"/>
      <c r="S263" s="332"/>
      <c r="T263" s="332"/>
      <c r="U263" s="332"/>
      <c r="V263" s="332"/>
      <c r="W263" s="332"/>
      <c r="X263" s="332"/>
      <c r="Y263" s="332"/>
      <c r="Z263" s="332"/>
    </row>
    <row r="264" ht="15.75" customHeight="1">
      <c r="A264" s="27"/>
      <c r="B264" s="27"/>
      <c r="C264" s="27"/>
      <c r="D264" s="114"/>
      <c r="E264" s="114"/>
      <c r="F264" s="27"/>
      <c r="G264" s="27"/>
      <c r="H264" s="332"/>
      <c r="I264" s="332"/>
      <c r="J264" s="332"/>
      <c r="K264" s="332"/>
      <c r="L264" s="332"/>
      <c r="M264" s="332"/>
      <c r="N264" s="332"/>
      <c r="O264" s="332"/>
      <c r="P264" s="332"/>
      <c r="Q264" s="332"/>
      <c r="R264" s="332"/>
      <c r="S264" s="332"/>
      <c r="T264" s="332"/>
      <c r="U264" s="332"/>
      <c r="V264" s="332"/>
      <c r="W264" s="332"/>
      <c r="X264" s="332"/>
      <c r="Y264" s="332"/>
      <c r="Z264" s="332"/>
    </row>
    <row r="265" ht="15.75" customHeight="1">
      <c r="A265" s="27"/>
      <c r="B265" s="27"/>
      <c r="C265" s="27"/>
      <c r="D265" s="114"/>
      <c r="E265" s="114"/>
      <c r="F265" s="27"/>
      <c r="G265" s="27"/>
      <c r="H265" s="332"/>
      <c r="I265" s="332"/>
      <c r="J265" s="332"/>
      <c r="K265" s="332"/>
      <c r="L265" s="332"/>
      <c r="M265" s="332"/>
      <c r="N265" s="332"/>
      <c r="O265" s="332"/>
      <c r="P265" s="332"/>
      <c r="Q265" s="332"/>
      <c r="R265" s="332"/>
      <c r="S265" s="332"/>
      <c r="T265" s="332"/>
      <c r="U265" s="332"/>
      <c r="V265" s="332"/>
      <c r="W265" s="332"/>
      <c r="X265" s="332"/>
      <c r="Y265" s="332"/>
      <c r="Z265" s="332"/>
    </row>
    <row r="266" ht="15.75" customHeight="1">
      <c r="A266" s="27"/>
      <c r="B266" s="27"/>
      <c r="C266" s="27"/>
      <c r="D266" s="114"/>
      <c r="E266" s="114"/>
      <c r="F266" s="27"/>
      <c r="G266" s="27"/>
      <c r="H266" s="332"/>
      <c r="I266" s="332"/>
      <c r="J266" s="332"/>
      <c r="K266" s="332"/>
      <c r="L266" s="332"/>
      <c r="M266" s="332"/>
      <c r="N266" s="332"/>
      <c r="O266" s="332"/>
      <c r="P266" s="332"/>
      <c r="Q266" s="332"/>
      <c r="R266" s="332"/>
      <c r="S266" s="332"/>
      <c r="T266" s="332"/>
      <c r="U266" s="332"/>
      <c r="V266" s="332"/>
      <c r="W266" s="332"/>
      <c r="X266" s="332"/>
      <c r="Y266" s="332"/>
      <c r="Z266" s="332"/>
    </row>
    <row r="267" ht="15.75" customHeight="1">
      <c r="A267" s="27"/>
      <c r="B267" s="27"/>
      <c r="C267" s="27"/>
      <c r="D267" s="114"/>
      <c r="E267" s="114"/>
      <c r="F267" s="27"/>
      <c r="G267" s="27"/>
      <c r="H267" s="332"/>
      <c r="I267" s="332"/>
      <c r="J267" s="332"/>
      <c r="K267" s="332"/>
      <c r="L267" s="332"/>
      <c r="M267" s="332"/>
      <c r="N267" s="332"/>
      <c r="O267" s="332"/>
      <c r="P267" s="332"/>
      <c r="Q267" s="332"/>
      <c r="R267" s="332"/>
      <c r="S267" s="332"/>
      <c r="T267" s="332"/>
      <c r="U267" s="332"/>
      <c r="V267" s="332"/>
      <c r="W267" s="332"/>
      <c r="X267" s="332"/>
      <c r="Y267" s="332"/>
      <c r="Z267" s="332"/>
    </row>
    <row r="268" ht="15.75" customHeight="1">
      <c r="A268" s="27"/>
      <c r="B268" s="27"/>
      <c r="C268" s="27"/>
      <c r="D268" s="114"/>
      <c r="E268" s="114"/>
      <c r="F268" s="27"/>
      <c r="G268" s="27"/>
      <c r="H268" s="332"/>
      <c r="I268" s="332"/>
      <c r="J268" s="332"/>
      <c r="K268" s="332"/>
      <c r="L268" s="332"/>
      <c r="M268" s="332"/>
      <c r="N268" s="332"/>
      <c r="O268" s="332"/>
      <c r="P268" s="332"/>
      <c r="Q268" s="332"/>
      <c r="R268" s="332"/>
      <c r="S268" s="332"/>
      <c r="T268" s="332"/>
      <c r="U268" s="332"/>
      <c r="V268" s="332"/>
      <c r="W268" s="332"/>
      <c r="X268" s="332"/>
      <c r="Y268" s="332"/>
      <c r="Z268" s="332"/>
    </row>
    <row r="269" ht="15.75" customHeight="1">
      <c r="A269" s="27"/>
      <c r="B269" s="27"/>
      <c r="C269" s="27"/>
      <c r="D269" s="114"/>
      <c r="E269" s="114"/>
      <c r="F269" s="27"/>
      <c r="G269" s="27"/>
      <c r="H269" s="332"/>
      <c r="I269" s="332"/>
      <c r="J269" s="332"/>
      <c r="K269" s="332"/>
      <c r="L269" s="332"/>
      <c r="M269" s="332"/>
      <c r="N269" s="332"/>
      <c r="O269" s="332"/>
      <c r="P269" s="332"/>
      <c r="Q269" s="332"/>
      <c r="R269" s="332"/>
      <c r="S269" s="332"/>
      <c r="T269" s="332"/>
      <c r="U269" s="332"/>
      <c r="V269" s="332"/>
      <c r="W269" s="332"/>
      <c r="X269" s="332"/>
      <c r="Y269" s="332"/>
      <c r="Z269" s="332"/>
    </row>
    <row r="270" ht="15.75" customHeight="1">
      <c r="A270" s="27"/>
      <c r="B270" s="27"/>
      <c r="C270" s="27"/>
      <c r="D270" s="114"/>
      <c r="E270" s="114"/>
      <c r="F270" s="27"/>
      <c r="G270" s="27"/>
      <c r="H270" s="332"/>
      <c r="I270" s="332"/>
      <c r="J270" s="332"/>
      <c r="K270" s="332"/>
      <c r="L270" s="332"/>
      <c r="M270" s="332"/>
      <c r="N270" s="332"/>
      <c r="O270" s="332"/>
      <c r="P270" s="332"/>
      <c r="Q270" s="332"/>
      <c r="R270" s="332"/>
      <c r="S270" s="332"/>
      <c r="T270" s="332"/>
      <c r="U270" s="332"/>
      <c r="V270" s="332"/>
      <c r="W270" s="332"/>
      <c r="X270" s="332"/>
      <c r="Y270" s="332"/>
      <c r="Z270" s="332"/>
    </row>
    <row r="271" ht="15.75" customHeight="1">
      <c r="A271" s="27"/>
      <c r="B271" s="27"/>
      <c r="C271" s="27"/>
      <c r="D271" s="114"/>
      <c r="E271" s="114"/>
      <c r="F271" s="27"/>
      <c r="G271" s="27"/>
      <c r="H271" s="332"/>
      <c r="I271" s="332"/>
      <c r="J271" s="332"/>
      <c r="K271" s="332"/>
      <c r="L271" s="332"/>
      <c r="M271" s="332"/>
      <c r="N271" s="332"/>
      <c r="O271" s="332"/>
      <c r="P271" s="332"/>
      <c r="Q271" s="332"/>
      <c r="R271" s="332"/>
      <c r="S271" s="332"/>
      <c r="T271" s="332"/>
      <c r="U271" s="332"/>
      <c r="V271" s="332"/>
      <c r="W271" s="332"/>
      <c r="X271" s="332"/>
      <c r="Y271" s="332"/>
      <c r="Z271" s="332"/>
    </row>
    <row r="272" ht="15.75" customHeight="1">
      <c r="A272" s="27"/>
      <c r="B272" s="27"/>
      <c r="C272" s="27"/>
      <c r="D272" s="114"/>
      <c r="E272" s="114"/>
      <c r="F272" s="27"/>
      <c r="G272" s="27"/>
      <c r="H272" s="332"/>
      <c r="I272" s="332"/>
      <c r="J272" s="332"/>
      <c r="K272" s="332"/>
      <c r="L272" s="332"/>
      <c r="M272" s="332"/>
      <c r="N272" s="332"/>
      <c r="O272" s="332"/>
      <c r="P272" s="332"/>
      <c r="Q272" s="332"/>
      <c r="R272" s="332"/>
      <c r="S272" s="332"/>
      <c r="T272" s="332"/>
      <c r="U272" s="332"/>
      <c r="V272" s="332"/>
      <c r="W272" s="332"/>
      <c r="X272" s="332"/>
      <c r="Y272" s="332"/>
      <c r="Z272" s="332"/>
    </row>
    <row r="273" ht="15.75" customHeight="1">
      <c r="A273" s="27"/>
      <c r="B273" s="27"/>
      <c r="C273" s="27"/>
      <c r="D273" s="114"/>
      <c r="E273" s="114"/>
      <c r="F273" s="27"/>
      <c r="G273" s="27"/>
      <c r="H273" s="332"/>
      <c r="I273" s="332"/>
      <c r="J273" s="332"/>
      <c r="K273" s="332"/>
      <c r="L273" s="332"/>
      <c r="M273" s="332"/>
      <c r="N273" s="332"/>
      <c r="O273" s="332"/>
      <c r="P273" s="332"/>
      <c r="Q273" s="332"/>
      <c r="R273" s="332"/>
      <c r="S273" s="332"/>
      <c r="T273" s="332"/>
      <c r="U273" s="332"/>
      <c r="V273" s="332"/>
      <c r="W273" s="332"/>
      <c r="X273" s="332"/>
      <c r="Y273" s="332"/>
      <c r="Z273" s="332"/>
    </row>
    <row r="274" ht="15.75" customHeight="1">
      <c r="A274" s="27"/>
      <c r="B274" s="27"/>
      <c r="C274" s="27"/>
      <c r="D274" s="114"/>
      <c r="E274" s="114"/>
      <c r="F274" s="27"/>
      <c r="G274" s="27"/>
      <c r="H274" s="332"/>
      <c r="I274" s="332"/>
      <c r="J274" s="332"/>
      <c r="K274" s="332"/>
      <c r="L274" s="332"/>
      <c r="M274" s="332"/>
      <c r="N274" s="332"/>
      <c r="O274" s="332"/>
      <c r="P274" s="332"/>
      <c r="Q274" s="332"/>
      <c r="R274" s="332"/>
      <c r="S274" s="332"/>
      <c r="T274" s="332"/>
      <c r="U274" s="332"/>
      <c r="V274" s="332"/>
      <c r="W274" s="332"/>
      <c r="X274" s="332"/>
      <c r="Y274" s="332"/>
      <c r="Z274" s="332"/>
    </row>
    <row r="275" ht="15.75" customHeight="1">
      <c r="A275" s="27"/>
      <c r="B275" s="27"/>
      <c r="C275" s="27"/>
      <c r="D275" s="114"/>
      <c r="E275" s="114"/>
      <c r="F275" s="27"/>
      <c r="G275" s="27"/>
      <c r="H275" s="332"/>
      <c r="I275" s="332"/>
      <c r="J275" s="332"/>
      <c r="K275" s="332"/>
      <c r="L275" s="332"/>
      <c r="M275" s="332"/>
      <c r="N275" s="332"/>
      <c r="O275" s="332"/>
      <c r="P275" s="332"/>
      <c r="Q275" s="332"/>
      <c r="R275" s="332"/>
      <c r="S275" s="332"/>
      <c r="T275" s="332"/>
      <c r="U275" s="332"/>
      <c r="V275" s="332"/>
      <c r="W275" s="332"/>
      <c r="X275" s="332"/>
      <c r="Y275" s="332"/>
      <c r="Z275" s="332"/>
    </row>
    <row r="276" ht="15.75" customHeight="1">
      <c r="A276" s="27"/>
      <c r="B276" s="27"/>
      <c r="C276" s="27"/>
      <c r="D276" s="114"/>
      <c r="E276" s="114"/>
      <c r="F276" s="27"/>
      <c r="G276" s="27"/>
      <c r="H276" s="332"/>
      <c r="I276" s="332"/>
      <c r="J276" s="332"/>
      <c r="K276" s="332"/>
      <c r="L276" s="332"/>
      <c r="M276" s="332"/>
      <c r="N276" s="332"/>
      <c r="O276" s="332"/>
      <c r="P276" s="332"/>
      <c r="Q276" s="332"/>
      <c r="R276" s="332"/>
      <c r="S276" s="332"/>
      <c r="T276" s="332"/>
      <c r="U276" s="332"/>
      <c r="V276" s="332"/>
      <c r="W276" s="332"/>
      <c r="X276" s="332"/>
      <c r="Y276" s="332"/>
      <c r="Z276" s="332"/>
    </row>
    <row r="277" ht="15.75" customHeight="1">
      <c r="A277" s="27"/>
      <c r="B277" s="27"/>
      <c r="C277" s="27"/>
      <c r="D277" s="114"/>
      <c r="E277" s="114"/>
      <c r="F277" s="27"/>
      <c r="G277" s="27"/>
      <c r="H277" s="332"/>
      <c r="I277" s="332"/>
      <c r="J277" s="332"/>
      <c r="K277" s="332"/>
      <c r="L277" s="332"/>
      <c r="M277" s="332"/>
      <c r="N277" s="332"/>
      <c r="O277" s="332"/>
      <c r="P277" s="332"/>
      <c r="Q277" s="332"/>
      <c r="R277" s="332"/>
      <c r="S277" s="332"/>
      <c r="T277" s="332"/>
      <c r="U277" s="332"/>
      <c r="V277" s="332"/>
      <c r="W277" s="332"/>
      <c r="X277" s="332"/>
      <c r="Y277" s="332"/>
      <c r="Z277" s="332"/>
    </row>
    <row r="278" ht="15.75" customHeight="1">
      <c r="A278" s="27"/>
      <c r="B278" s="27"/>
      <c r="C278" s="27"/>
      <c r="D278" s="114"/>
      <c r="E278" s="114"/>
      <c r="F278" s="27"/>
      <c r="G278" s="27"/>
      <c r="H278" s="332"/>
      <c r="I278" s="332"/>
      <c r="J278" s="332"/>
      <c r="K278" s="332"/>
      <c r="L278" s="332"/>
      <c r="M278" s="332"/>
      <c r="N278" s="332"/>
      <c r="O278" s="332"/>
      <c r="P278" s="332"/>
      <c r="Q278" s="332"/>
      <c r="R278" s="332"/>
      <c r="S278" s="332"/>
      <c r="T278" s="332"/>
      <c r="U278" s="332"/>
      <c r="V278" s="332"/>
      <c r="W278" s="332"/>
      <c r="X278" s="332"/>
      <c r="Y278" s="332"/>
      <c r="Z278" s="332"/>
    </row>
    <row r="279" ht="15.75" customHeight="1">
      <c r="A279" s="27"/>
      <c r="B279" s="27"/>
      <c r="C279" s="27"/>
      <c r="D279" s="114"/>
      <c r="E279" s="114"/>
      <c r="F279" s="27"/>
      <c r="G279" s="27"/>
      <c r="H279" s="332"/>
      <c r="I279" s="332"/>
      <c r="J279" s="332"/>
      <c r="K279" s="332"/>
      <c r="L279" s="332"/>
      <c r="M279" s="332"/>
      <c r="N279" s="332"/>
      <c r="O279" s="332"/>
      <c r="P279" s="332"/>
      <c r="Q279" s="332"/>
      <c r="R279" s="332"/>
      <c r="S279" s="332"/>
      <c r="T279" s="332"/>
      <c r="U279" s="332"/>
      <c r="V279" s="332"/>
      <c r="W279" s="332"/>
      <c r="X279" s="332"/>
      <c r="Y279" s="332"/>
      <c r="Z279" s="332"/>
    </row>
    <row r="280" ht="15.75" customHeight="1">
      <c r="A280" s="27"/>
      <c r="B280" s="27"/>
      <c r="C280" s="27"/>
      <c r="D280" s="114"/>
      <c r="E280" s="114"/>
      <c r="F280" s="27"/>
      <c r="G280" s="27"/>
      <c r="H280" s="332"/>
      <c r="I280" s="332"/>
      <c r="J280" s="332"/>
      <c r="K280" s="332"/>
      <c r="L280" s="332"/>
      <c r="M280" s="332"/>
      <c r="N280" s="332"/>
      <c r="O280" s="332"/>
      <c r="P280" s="332"/>
      <c r="Q280" s="332"/>
      <c r="R280" s="332"/>
      <c r="S280" s="332"/>
      <c r="T280" s="332"/>
      <c r="U280" s="332"/>
      <c r="V280" s="332"/>
      <c r="W280" s="332"/>
      <c r="X280" s="332"/>
      <c r="Y280" s="332"/>
      <c r="Z280" s="332"/>
    </row>
    <row r="281" ht="15.75" customHeight="1">
      <c r="A281" s="27"/>
      <c r="B281" s="27"/>
      <c r="C281" s="27"/>
      <c r="D281" s="114"/>
      <c r="E281" s="114"/>
      <c r="F281" s="27"/>
      <c r="G281" s="27"/>
      <c r="H281" s="332"/>
      <c r="I281" s="332"/>
      <c r="J281" s="332"/>
      <c r="K281" s="332"/>
      <c r="L281" s="332"/>
      <c r="M281" s="332"/>
      <c r="N281" s="332"/>
      <c r="O281" s="332"/>
      <c r="P281" s="332"/>
      <c r="Q281" s="332"/>
      <c r="R281" s="332"/>
      <c r="S281" s="332"/>
      <c r="T281" s="332"/>
      <c r="U281" s="332"/>
      <c r="V281" s="332"/>
      <c r="W281" s="332"/>
      <c r="X281" s="332"/>
      <c r="Y281" s="332"/>
      <c r="Z281" s="332"/>
    </row>
    <row r="282" ht="15.75" customHeight="1">
      <c r="A282" s="27"/>
      <c r="B282" s="27"/>
      <c r="C282" s="27"/>
      <c r="D282" s="114"/>
      <c r="E282" s="114"/>
      <c r="F282" s="27"/>
      <c r="G282" s="27"/>
      <c r="H282" s="332"/>
      <c r="I282" s="332"/>
      <c r="J282" s="332"/>
      <c r="K282" s="332"/>
      <c r="L282" s="332"/>
      <c r="M282" s="332"/>
      <c r="N282" s="332"/>
      <c r="O282" s="332"/>
      <c r="P282" s="332"/>
      <c r="Q282" s="332"/>
      <c r="R282" s="332"/>
      <c r="S282" s="332"/>
      <c r="T282" s="332"/>
      <c r="U282" s="332"/>
      <c r="V282" s="332"/>
      <c r="W282" s="332"/>
      <c r="X282" s="332"/>
      <c r="Y282" s="332"/>
      <c r="Z282" s="332"/>
    </row>
    <row r="283" ht="15.75" customHeight="1">
      <c r="A283" s="27"/>
      <c r="B283" s="27"/>
      <c r="C283" s="27"/>
      <c r="D283" s="114"/>
      <c r="E283" s="114"/>
      <c r="F283" s="27"/>
      <c r="G283" s="27"/>
      <c r="H283" s="332"/>
      <c r="I283" s="332"/>
      <c r="J283" s="332"/>
      <c r="K283" s="332"/>
      <c r="L283" s="332"/>
      <c r="M283" s="332"/>
      <c r="N283" s="332"/>
      <c r="O283" s="332"/>
      <c r="P283" s="332"/>
      <c r="Q283" s="332"/>
      <c r="R283" s="332"/>
      <c r="S283" s="332"/>
      <c r="T283" s="332"/>
      <c r="U283" s="332"/>
      <c r="V283" s="332"/>
      <c r="W283" s="332"/>
      <c r="X283" s="332"/>
      <c r="Y283" s="332"/>
      <c r="Z283" s="332"/>
    </row>
    <row r="284" ht="15.75" customHeight="1">
      <c r="A284" s="27"/>
      <c r="B284" s="27"/>
      <c r="C284" s="27"/>
      <c r="D284" s="114"/>
      <c r="E284" s="114"/>
      <c r="F284" s="27"/>
      <c r="G284" s="27"/>
      <c r="H284" s="332"/>
      <c r="I284" s="332"/>
      <c r="J284" s="332"/>
      <c r="K284" s="332"/>
      <c r="L284" s="332"/>
      <c r="M284" s="332"/>
      <c r="N284" s="332"/>
      <c r="O284" s="332"/>
      <c r="P284" s="332"/>
      <c r="Q284" s="332"/>
      <c r="R284" s="332"/>
      <c r="S284" s="332"/>
      <c r="T284" s="332"/>
      <c r="U284" s="332"/>
      <c r="V284" s="332"/>
      <c r="W284" s="332"/>
      <c r="X284" s="332"/>
      <c r="Y284" s="332"/>
      <c r="Z284" s="332"/>
    </row>
    <row r="285" ht="15.75" customHeight="1">
      <c r="A285" s="27"/>
      <c r="B285" s="27"/>
      <c r="C285" s="27"/>
      <c r="D285" s="114"/>
      <c r="E285" s="114"/>
      <c r="F285" s="27"/>
      <c r="G285" s="27"/>
      <c r="H285" s="332"/>
      <c r="I285" s="332"/>
      <c r="J285" s="332"/>
      <c r="K285" s="332"/>
      <c r="L285" s="332"/>
      <c r="M285" s="332"/>
      <c r="N285" s="332"/>
      <c r="O285" s="332"/>
      <c r="P285" s="332"/>
      <c r="Q285" s="332"/>
      <c r="R285" s="332"/>
      <c r="S285" s="332"/>
      <c r="T285" s="332"/>
      <c r="U285" s="332"/>
      <c r="V285" s="332"/>
      <c r="W285" s="332"/>
      <c r="X285" s="332"/>
      <c r="Y285" s="332"/>
      <c r="Z285" s="332"/>
    </row>
    <row r="286" ht="15.75" customHeight="1">
      <c r="A286" s="27"/>
      <c r="B286" s="27"/>
      <c r="C286" s="27"/>
      <c r="D286" s="114"/>
      <c r="E286" s="114"/>
      <c r="F286" s="27"/>
      <c r="G286" s="27"/>
      <c r="H286" s="332"/>
      <c r="I286" s="332"/>
      <c r="J286" s="332"/>
      <c r="K286" s="332"/>
      <c r="L286" s="332"/>
      <c r="M286" s="332"/>
      <c r="N286" s="332"/>
      <c r="O286" s="332"/>
      <c r="P286" s="332"/>
      <c r="Q286" s="332"/>
      <c r="R286" s="332"/>
      <c r="S286" s="332"/>
      <c r="T286" s="332"/>
      <c r="U286" s="332"/>
      <c r="V286" s="332"/>
      <c r="W286" s="332"/>
      <c r="X286" s="332"/>
      <c r="Y286" s="332"/>
      <c r="Z286" s="332"/>
    </row>
    <row r="287" ht="15.75" customHeight="1">
      <c r="A287" s="27"/>
      <c r="B287" s="27"/>
      <c r="C287" s="27"/>
      <c r="D287" s="114"/>
      <c r="E287" s="114"/>
      <c r="F287" s="27"/>
      <c r="G287" s="27"/>
      <c r="H287" s="332"/>
      <c r="I287" s="332"/>
      <c r="J287" s="332"/>
      <c r="K287" s="332"/>
      <c r="L287" s="332"/>
      <c r="M287" s="332"/>
      <c r="N287" s="332"/>
      <c r="O287" s="332"/>
      <c r="P287" s="332"/>
      <c r="Q287" s="332"/>
      <c r="R287" s="332"/>
      <c r="S287" s="332"/>
      <c r="T287" s="332"/>
      <c r="U287" s="332"/>
      <c r="V287" s="332"/>
      <c r="W287" s="332"/>
      <c r="X287" s="332"/>
      <c r="Y287" s="332"/>
      <c r="Z287" s="332"/>
    </row>
    <row r="288" ht="15.75" customHeight="1">
      <c r="A288" s="27"/>
      <c r="B288" s="27"/>
      <c r="C288" s="27"/>
      <c r="D288" s="114"/>
      <c r="E288" s="114"/>
      <c r="F288" s="27"/>
      <c r="G288" s="27"/>
      <c r="H288" s="332"/>
      <c r="I288" s="332"/>
      <c r="J288" s="332"/>
      <c r="K288" s="332"/>
      <c r="L288" s="332"/>
      <c r="M288" s="332"/>
      <c r="N288" s="332"/>
      <c r="O288" s="332"/>
      <c r="P288" s="332"/>
      <c r="Q288" s="332"/>
      <c r="R288" s="332"/>
      <c r="S288" s="332"/>
      <c r="T288" s="332"/>
      <c r="U288" s="332"/>
      <c r="V288" s="332"/>
      <c r="W288" s="332"/>
      <c r="X288" s="332"/>
      <c r="Y288" s="332"/>
      <c r="Z288" s="332"/>
    </row>
    <row r="289" ht="15.75" customHeight="1">
      <c r="A289" s="27"/>
      <c r="B289" s="27"/>
      <c r="C289" s="27"/>
      <c r="D289" s="114"/>
      <c r="E289" s="114"/>
      <c r="F289" s="27"/>
      <c r="G289" s="27"/>
      <c r="H289" s="332"/>
      <c r="I289" s="332"/>
      <c r="J289" s="332"/>
      <c r="K289" s="332"/>
      <c r="L289" s="332"/>
      <c r="M289" s="332"/>
      <c r="N289" s="332"/>
      <c r="O289" s="332"/>
      <c r="P289" s="332"/>
      <c r="Q289" s="332"/>
      <c r="R289" s="332"/>
      <c r="S289" s="332"/>
      <c r="T289" s="332"/>
      <c r="U289" s="332"/>
      <c r="V289" s="332"/>
      <c r="W289" s="332"/>
      <c r="X289" s="332"/>
      <c r="Y289" s="332"/>
      <c r="Z289" s="332"/>
    </row>
    <row r="290" ht="15.75" customHeight="1">
      <c r="A290" s="27"/>
      <c r="B290" s="27"/>
      <c r="C290" s="27"/>
      <c r="D290" s="114"/>
      <c r="E290" s="114"/>
      <c r="F290" s="27"/>
      <c r="G290" s="27"/>
      <c r="H290" s="332"/>
      <c r="I290" s="332"/>
      <c r="J290" s="332"/>
      <c r="K290" s="332"/>
      <c r="L290" s="332"/>
      <c r="M290" s="332"/>
      <c r="N290" s="332"/>
      <c r="O290" s="332"/>
      <c r="P290" s="332"/>
      <c r="Q290" s="332"/>
      <c r="R290" s="332"/>
      <c r="S290" s="332"/>
      <c r="T290" s="332"/>
      <c r="U290" s="332"/>
      <c r="V290" s="332"/>
      <c r="W290" s="332"/>
      <c r="X290" s="332"/>
      <c r="Y290" s="332"/>
      <c r="Z290" s="332"/>
    </row>
    <row r="291" ht="15.75" customHeight="1">
      <c r="A291" s="27"/>
      <c r="B291" s="27"/>
      <c r="C291" s="27"/>
      <c r="D291" s="114"/>
      <c r="E291" s="114"/>
      <c r="F291" s="27"/>
      <c r="G291" s="27"/>
      <c r="H291" s="332"/>
      <c r="I291" s="332"/>
      <c r="J291" s="332"/>
      <c r="K291" s="332"/>
      <c r="L291" s="332"/>
      <c r="M291" s="332"/>
      <c r="N291" s="332"/>
      <c r="O291" s="332"/>
      <c r="P291" s="332"/>
      <c r="Q291" s="332"/>
      <c r="R291" s="332"/>
      <c r="S291" s="332"/>
      <c r="T291" s="332"/>
      <c r="U291" s="332"/>
      <c r="V291" s="332"/>
      <c r="W291" s="332"/>
      <c r="X291" s="332"/>
      <c r="Y291" s="332"/>
      <c r="Z291" s="332"/>
    </row>
    <row r="292" ht="15.75" customHeight="1">
      <c r="A292" s="27"/>
      <c r="B292" s="27"/>
      <c r="C292" s="27"/>
      <c r="D292" s="114"/>
      <c r="E292" s="114"/>
      <c r="F292" s="27"/>
      <c r="G292" s="27"/>
      <c r="H292" s="332"/>
      <c r="I292" s="332"/>
      <c r="J292" s="332"/>
      <c r="K292" s="332"/>
      <c r="L292" s="332"/>
      <c r="M292" s="332"/>
      <c r="N292" s="332"/>
      <c r="O292" s="332"/>
      <c r="P292" s="332"/>
      <c r="Q292" s="332"/>
      <c r="R292" s="332"/>
      <c r="S292" s="332"/>
      <c r="T292" s="332"/>
      <c r="U292" s="332"/>
      <c r="V292" s="332"/>
      <c r="W292" s="332"/>
      <c r="X292" s="332"/>
      <c r="Y292" s="332"/>
      <c r="Z292" s="332"/>
    </row>
    <row r="293" ht="15.75" customHeight="1">
      <c r="A293" s="27"/>
      <c r="B293" s="27"/>
      <c r="C293" s="27"/>
      <c r="D293" s="114"/>
      <c r="E293" s="114"/>
      <c r="F293" s="27"/>
      <c r="G293" s="27"/>
      <c r="H293" s="332"/>
      <c r="I293" s="332"/>
      <c r="J293" s="332"/>
      <c r="K293" s="332"/>
      <c r="L293" s="332"/>
      <c r="M293" s="332"/>
      <c r="N293" s="332"/>
      <c r="O293" s="332"/>
      <c r="P293" s="332"/>
      <c r="Q293" s="332"/>
      <c r="R293" s="332"/>
      <c r="S293" s="332"/>
      <c r="T293" s="332"/>
      <c r="U293" s="332"/>
      <c r="V293" s="332"/>
      <c r="W293" s="332"/>
      <c r="X293" s="332"/>
      <c r="Y293" s="332"/>
      <c r="Z293" s="332"/>
    </row>
    <row r="294" ht="15.75" customHeight="1">
      <c r="A294" s="27"/>
      <c r="B294" s="27"/>
      <c r="C294" s="27"/>
      <c r="D294" s="114"/>
      <c r="E294" s="114"/>
      <c r="F294" s="27"/>
      <c r="G294" s="27"/>
      <c r="H294" s="332"/>
      <c r="I294" s="332"/>
      <c r="J294" s="332"/>
      <c r="K294" s="332"/>
      <c r="L294" s="332"/>
      <c r="M294" s="332"/>
      <c r="N294" s="332"/>
      <c r="O294" s="332"/>
      <c r="P294" s="332"/>
      <c r="Q294" s="332"/>
      <c r="R294" s="332"/>
      <c r="S294" s="332"/>
      <c r="T294" s="332"/>
      <c r="U294" s="332"/>
      <c r="V294" s="332"/>
      <c r="W294" s="332"/>
      <c r="X294" s="332"/>
      <c r="Y294" s="332"/>
      <c r="Z294" s="332"/>
    </row>
    <row r="295" ht="15.75" customHeight="1">
      <c r="A295" s="27"/>
      <c r="B295" s="27"/>
      <c r="C295" s="27"/>
      <c r="D295" s="114"/>
      <c r="E295" s="114"/>
      <c r="F295" s="27"/>
      <c r="G295" s="27"/>
      <c r="H295" s="332"/>
      <c r="I295" s="332"/>
      <c r="J295" s="332"/>
      <c r="K295" s="332"/>
      <c r="L295" s="332"/>
      <c r="M295" s="332"/>
      <c r="N295" s="332"/>
      <c r="O295" s="332"/>
      <c r="P295" s="332"/>
      <c r="Q295" s="332"/>
      <c r="R295" s="332"/>
      <c r="S295" s="332"/>
      <c r="T295" s="332"/>
      <c r="U295" s="332"/>
      <c r="V295" s="332"/>
      <c r="W295" s="332"/>
      <c r="X295" s="332"/>
      <c r="Y295" s="332"/>
      <c r="Z295" s="332"/>
    </row>
    <row r="296" ht="15.75" customHeight="1">
      <c r="A296" s="27"/>
      <c r="B296" s="27"/>
      <c r="C296" s="27"/>
      <c r="D296" s="114"/>
      <c r="E296" s="114"/>
      <c r="F296" s="27"/>
      <c r="G296" s="27"/>
      <c r="H296" s="332"/>
      <c r="I296" s="332"/>
      <c r="J296" s="332"/>
      <c r="K296" s="332"/>
      <c r="L296" s="332"/>
      <c r="M296" s="332"/>
      <c r="N296" s="332"/>
      <c r="O296" s="332"/>
      <c r="P296" s="332"/>
      <c r="Q296" s="332"/>
      <c r="R296" s="332"/>
      <c r="S296" s="332"/>
      <c r="T296" s="332"/>
      <c r="U296" s="332"/>
      <c r="V296" s="332"/>
      <c r="W296" s="332"/>
      <c r="X296" s="332"/>
      <c r="Y296" s="332"/>
      <c r="Z296" s="332"/>
    </row>
    <row r="297" ht="15.75" customHeight="1">
      <c r="A297" s="27"/>
      <c r="B297" s="27"/>
      <c r="C297" s="27"/>
      <c r="D297" s="114"/>
      <c r="E297" s="114"/>
      <c r="F297" s="27"/>
      <c r="G297" s="27"/>
      <c r="H297" s="332"/>
      <c r="I297" s="332"/>
      <c r="J297" s="332"/>
      <c r="K297" s="332"/>
      <c r="L297" s="332"/>
      <c r="M297" s="332"/>
      <c r="N297" s="332"/>
      <c r="O297" s="332"/>
      <c r="P297" s="332"/>
      <c r="Q297" s="332"/>
      <c r="R297" s="332"/>
      <c r="S297" s="332"/>
      <c r="T297" s="332"/>
      <c r="U297" s="332"/>
      <c r="V297" s="332"/>
      <c r="W297" s="332"/>
      <c r="X297" s="332"/>
      <c r="Y297" s="332"/>
      <c r="Z297" s="332"/>
    </row>
    <row r="298" ht="15.75" customHeight="1">
      <c r="A298" s="27"/>
      <c r="B298" s="27"/>
      <c r="C298" s="27"/>
      <c r="D298" s="114"/>
      <c r="E298" s="114"/>
      <c r="F298" s="27"/>
      <c r="G298" s="27"/>
      <c r="H298" s="332"/>
      <c r="I298" s="332"/>
      <c r="J298" s="332"/>
      <c r="K298" s="332"/>
      <c r="L298" s="332"/>
      <c r="M298" s="332"/>
      <c r="N298" s="332"/>
      <c r="O298" s="332"/>
      <c r="P298" s="332"/>
      <c r="Q298" s="332"/>
      <c r="R298" s="332"/>
      <c r="S298" s="332"/>
      <c r="T298" s="332"/>
      <c r="U298" s="332"/>
      <c r="V298" s="332"/>
      <c r="W298" s="332"/>
      <c r="X298" s="332"/>
      <c r="Y298" s="332"/>
      <c r="Z298" s="332"/>
    </row>
    <row r="299" ht="15.75" customHeight="1">
      <c r="A299" s="27"/>
      <c r="B299" s="27"/>
      <c r="C299" s="27"/>
      <c r="D299" s="114"/>
      <c r="E299" s="114"/>
      <c r="F299" s="27"/>
      <c r="G299" s="27"/>
      <c r="H299" s="332"/>
      <c r="I299" s="332"/>
      <c r="J299" s="332"/>
      <c r="K299" s="332"/>
      <c r="L299" s="332"/>
      <c r="M299" s="332"/>
      <c r="N299" s="332"/>
      <c r="O299" s="332"/>
      <c r="P299" s="332"/>
      <c r="Q299" s="332"/>
      <c r="R299" s="332"/>
      <c r="S299" s="332"/>
      <c r="T299" s="332"/>
      <c r="U299" s="332"/>
      <c r="V299" s="332"/>
      <c r="W299" s="332"/>
      <c r="X299" s="332"/>
      <c r="Y299" s="332"/>
      <c r="Z299" s="332"/>
    </row>
    <row r="300" ht="15.75" customHeight="1">
      <c r="A300" s="27"/>
      <c r="B300" s="27"/>
      <c r="C300" s="27"/>
      <c r="D300" s="114"/>
      <c r="E300" s="114"/>
      <c r="F300" s="27"/>
      <c r="G300" s="27"/>
      <c r="H300" s="332"/>
      <c r="I300" s="332"/>
      <c r="J300" s="332"/>
      <c r="K300" s="332"/>
      <c r="L300" s="332"/>
      <c r="M300" s="332"/>
      <c r="N300" s="332"/>
      <c r="O300" s="332"/>
      <c r="P300" s="332"/>
      <c r="Q300" s="332"/>
      <c r="R300" s="332"/>
      <c r="S300" s="332"/>
      <c r="T300" s="332"/>
      <c r="U300" s="332"/>
      <c r="V300" s="332"/>
      <c r="W300" s="332"/>
      <c r="X300" s="332"/>
      <c r="Y300" s="332"/>
      <c r="Z300" s="332"/>
    </row>
    <row r="301" ht="15.75" customHeight="1">
      <c r="A301" s="27"/>
      <c r="B301" s="27"/>
      <c r="C301" s="27"/>
      <c r="D301" s="114"/>
      <c r="E301" s="114"/>
      <c r="F301" s="27"/>
      <c r="G301" s="27"/>
      <c r="H301" s="332"/>
      <c r="I301" s="332"/>
      <c r="J301" s="332"/>
      <c r="K301" s="332"/>
      <c r="L301" s="332"/>
      <c r="M301" s="332"/>
      <c r="N301" s="332"/>
      <c r="O301" s="332"/>
      <c r="P301" s="332"/>
      <c r="Q301" s="332"/>
      <c r="R301" s="332"/>
      <c r="S301" s="332"/>
      <c r="T301" s="332"/>
      <c r="U301" s="332"/>
      <c r="V301" s="332"/>
      <c r="W301" s="332"/>
      <c r="X301" s="332"/>
      <c r="Y301" s="332"/>
      <c r="Z301" s="332"/>
    </row>
    <row r="302" ht="15.75" customHeight="1">
      <c r="A302" s="27"/>
      <c r="B302" s="27"/>
      <c r="C302" s="27"/>
      <c r="D302" s="114"/>
      <c r="E302" s="114"/>
      <c r="F302" s="27"/>
      <c r="G302" s="27"/>
      <c r="H302" s="332"/>
      <c r="I302" s="332"/>
      <c r="J302" s="332"/>
      <c r="K302" s="332"/>
      <c r="L302" s="332"/>
      <c r="M302" s="332"/>
      <c r="N302" s="332"/>
      <c r="O302" s="332"/>
      <c r="P302" s="332"/>
      <c r="Q302" s="332"/>
      <c r="R302" s="332"/>
      <c r="S302" s="332"/>
      <c r="T302" s="332"/>
      <c r="U302" s="332"/>
      <c r="V302" s="332"/>
      <c r="W302" s="332"/>
      <c r="X302" s="332"/>
      <c r="Y302" s="332"/>
      <c r="Z302" s="332"/>
    </row>
    <row r="303" ht="15.75" customHeight="1">
      <c r="A303" s="27"/>
      <c r="B303" s="27"/>
      <c r="C303" s="27"/>
      <c r="D303" s="114"/>
      <c r="E303" s="114"/>
      <c r="F303" s="27"/>
      <c r="G303" s="27"/>
      <c r="H303" s="332"/>
      <c r="I303" s="332"/>
      <c r="J303" s="332"/>
      <c r="K303" s="332"/>
      <c r="L303" s="332"/>
      <c r="M303" s="332"/>
      <c r="N303" s="332"/>
      <c r="O303" s="332"/>
      <c r="P303" s="332"/>
      <c r="Q303" s="332"/>
      <c r="R303" s="332"/>
      <c r="S303" s="332"/>
      <c r="T303" s="332"/>
      <c r="U303" s="332"/>
      <c r="V303" s="332"/>
      <c r="W303" s="332"/>
      <c r="X303" s="332"/>
      <c r="Y303" s="332"/>
      <c r="Z303" s="332"/>
    </row>
    <row r="304" ht="15.75" customHeight="1">
      <c r="A304" s="27"/>
      <c r="B304" s="27"/>
      <c r="C304" s="27"/>
      <c r="D304" s="114"/>
      <c r="E304" s="114"/>
      <c r="F304" s="27"/>
      <c r="G304" s="27"/>
      <c r="H304" s="332"/>
      <c r="I304" s="332"/>
      <c r="J304" s="332"/>
      <c r="K304" s="332"/>
      <c r="L304" s="332"/>
      <c r="M304" s="332"/>
      <c r="N304" s="332"/>
      <c r="O304" s="332"/>
      <c r="P304" s="332"/>
      <c r="Q304" s="332"/>
      <c r="R304" s="332"/>
      <c r="S304" s="332"/>
      <c r="T304" s="332"/>
      <c r="U304" s="332"/>
      <c r="V304" s="332"/>
      <c r="W304" s="332"/>
      <c r="X304" s="332"/>
      <c r="Y304" s="332"/>
      <c r="Z304" s="332"/>
    </row>
    <row r="305" ht="15.75" customHeight="1">
      <c r="A305" s="27"/>
      <c r="B305" s="27"/>
      <c r="C305" s="27"/>
      <c r="D305" s="114"/>
      <c r="E305" s="114"/>
      <c r="F305" s="27"/>
      <c r="G305" s="27"/>
      <c r="H305" s="332"/>
      <c r="I305" s="332"/>
      <c r="J305" s="332"/>
      <c r="K305" s="332"/>
      <c r="L305" s="332"/>
      <c r="M305" s="332"/>
      <c r="N305" s="332"/>
      <c r="O305" s="332"/>
      <c r="P305" s="332"/>
      <c r="Q305" s="332"/>
      <c r="R305" s="332"/>
      <c r="S305" s="332"/>
      <c r="T305" s="332"/>
      <c r="U305" s="332"/>
      <c r="V305" s="332"/>
      <c r="W305" s="332"/>
      <c r="X305" s="332"/>
      <c r="Y305" s="332"/>
      <c r="Z305" s="332"/>
    </row>
    <row r="306" ht="15.75" customHeight="1">
      <c r="A306" s="27"/>
      <c r="B306" s="27"/>
      <c r="C306" s="27"/>
      <c r="D306" s="114"/>
      <c r="E306" s="114"/>
      <c r="F306" s="27"/>
      <c r="G306" s="27"/>
      <c r="H306" s="332"/>
      <c r="I306" s="332"/>
      <c r="J306" s="332"/>
      <c r="K306" s="332"/>
      <c r="L306" s="332"/>
      <c r="M306" s="332"/>
      <c r="N306" s="332"/>
      <c r="O306" s="332"/>
      <c r="P306" s="332"/>
      <c r="Q306" s="332"/>
      <c r="R306" s="332"/>
      <c r="S306" s="332"/>
      <c r="T306" s="332"/>
      <c r="U306" s="332"/>
      <c r="V306" s="332"/>
      <c r="W306" s="332"/>
      <c r="X306" s="332"/>
      <c r="Y306" s="332"/>
      <c r="Z306" s="332"/>
    </row>
    <row r="307" ht="15.75" customHeight="1">
      <c r="A307" s="27"/>
      <c r="B307" s="27"/>
      <c r="C307" s="27"/>
      <c r="D307" s="114"/>
      <c r="E307" s="114"/>
      <c r="F307" s="27"/>
      <c r="G307" s="27"/>
      <c r="H307" s="332"/>
      <c r="I307" s="332"/>
      <c r="J307" s="332"/>
      <c r="K307" s="332"/>
      <c r="L307" s="332"/>
      <c r="M307" s="332"/>
      <c r="N307" s="332"/>
      <c r="O307" s="332"/>
      <c r="P307" s="332"/>
      <c r="Q307" s="332"/>
      <c r="R307" s="332"/>
      <c r="S307" s="332"/>
      <c r="T307" s="332"/>
      <c r="U307" s="332"/>
      <c r="V307" s="332"/>
      <c r="W307" s="332"/>
      <c r="X307" s="332"/>
      <c r="Y307" s="332"/>
      <c r="Z307" s="332"/>
    </row>
    <row r="308" ht="15.75" customHeight="1">
      <c r="A308" s="27"/>
      <c r="B308" s="27"/>
      <c r="C308" s="27"/>
      <c r="D308" s="114"/>
      <c r="E308" s="114"/>
      <c r="F308" s="27"/>
      <c r="G308" s="27"/>
      <c r="H308" s="332"/>
      <c r="I308" s="332"/>
      <c r="J308" s="332"/>
      <c r="K308" s="332"/>
      <c r="L308" s="332"/>
      <c r="M308" s="332"/>
      <c r="N308" s="332"/>
      <c r="O308" s="332"/>
      <c r="P308" s="332"/>
      <c r="Q308" s="332"/>
      <c r="R308" s="332"/>
      <c r="S308" s="332"/>
      <c r="T308" s="332"/>
      <c r="U308" s="332"/>
      <c r="V308" s="332"/>
      <c r="W308" s="332"/>
      <c r="X308" s="332"/>
      <c r="Y308" s="332"/>
      <c r="Z308" s="332"/>
    </row>
    <row r="309" ht="15.75" customHeight="1">
      <c r="A309" s="27"/>
      <c r="B309" s="27"/>
      <c r="C309" s="27"/>
      <c r="D309" s="114"/>
      <c r="E309" s="114"/>
      <c r="F309" s="27"/>
      <c r="G309" s="27"/>
      <c r="H309" s="332"/>
      <c r="I309" s="332"/>
      <c r="J309" s="332"/>
      <c r="K309" s="332"/>
      <c r="L309" s="332"/>
      <c r="M309" s="332"/>
      <c r="N309" s="332"/>
      <c r="O309" s="332"/>
      <c r="P309" s="332"/>
      <c r="Q309" s="332"/>
      <c r="R309" s="332"/>
      <c r="S309" s="332"/>
      <c r="T309" s="332"/>
      <c r="U309" s="332"/>
      <c r="V309" s="332"/>
      <c r="W309" s="332"/>
      <c r="X309" s="332"/>
      <c r="Y309" s="332"/>
      <c r="Z309" s="332"/>
    </row>
    <row r="310" ht="15.75" customHeight="1">
      <c r="A310" s="27"/>
      <c r="B310" s="27"/>
      <c r="C310" s="27"/>
      <c r="D310" s="114"/>
      <c r="E310" s="114"/>
      <c r="F310" s="27"/>
      <c r="G310" s="27"/>
      <c r="H310" s="332"/>
      <c r="I310" s="332"/>
      <c r="J310" s="332"/>
      <c r="K310" s="332"/>
      <c r="L310" s="332"/>
      <c r="M310" s="332"/>
      <c r="N310" s="332"/>
      <c r="O310" s="332"/>
      <c r="P310" s="332"/>
      <c r="Q310" s="332"/>
      <c r="R310" s="332"/>
      <c r="S310" s="332"/>
      <c r="T310" s="332"/>
      <c r="U310" s="332"/>
      <c r="V310" s="332"/>
      <c r="W310" s="332"/>
      <c r="X310" s="332"/>
      <c r="Y310" s="332"/>
      <c r="Z310" s="332"/>
    </row>
    <row r="311" ht="15.75" customHeight="1">
      <c r="A311" s="27"/>
      <c r="B311" s="27"/>
      <c r="C311" s="27"/>
      <c r="D311" s="114"/>
      <c r="E311" s="114"/>
      <c r="F311" s="27"/>
      <c r="G311" s="27"/>
      <c r="H311" s="332"/>
      <c r="I311" s="332"/>
      <c r="J311" s="332"/>
      <c r="K311" s="332"/>
      <c r="L311" s="332"/>
      <c r="M311" s="332"/>
      <c r="N311" s="332"/>
      <c r="O311" s="332"/>
      <c r="P311" s="332"/>
      <c r="Q311" s="332"/>
      <c r="R311" s="332"/>
      <c r="S311" s="332"/>
      <c r="T311" s="332"/>
      <c r="U311" s="332"/>
      <c r="V311" s="332"/>
      <c r="W311" s="332"/>
      <c r="X311" s="332"/>
      <c r="Y311" s="332"/>
      <c r="Z311" s="332"/>
    </row>
    <row r="312" ht="15.75" customHeight="1">
      <c r="A312" s="27"/>
      <c r="B312" s="27"/>
      <c r="C312" s="27"/>
      <c r="D312" s="114"/>
      <c r="E312" s="114"/>
      <c r="F312" s="27"/>
      <c r="G312" s="27"/>
      <c r="H312" s="332"/>
      <c r="I312" s="332"/>
      <c r="J312" s="332"/>
      <c r="K312" s="332"/>
      <c r="L312" s="332"/>
      <c r="M312" s="332"/>
      <c r="N312" s="332"/>
      <c r="O312" s="332"/>
      <c r="P312" s="332"/>
      <c r="Q312" s="332"/>
      <c r="R312" s="332"/>
      <c r="S312" s="332"/>
      <c r="T312" s="332"/>
      <c r="U312" s="332"/>
      <c r="V312" s="332"/>
      <c r="W312" s="332"/>
      <c r="X312" s="332"/>
      <c r="Y312" s="332"/>
      <c r="Z312" s="332"/>
    </row>
    <row r="313" ht="15.75" customHeight="1">
      <c r="A313" s="27"/>
      <c r="B313" s="27"/>
      <c r="C313" s="27"/>
      <c r="D313" s="114"/>
      <c r="E313" s="114"/>
      <c r="F313" s="27"/>
      <c r="G313" s="27"/>
      <c r="H313" s="332"/>
      <c r="I313" s="332"/>
      <c r="J313" s="332"/>
      <c r="K313" s="332"/>
      <c r="L313" s="332"/>
      <c r="M313" s="332"/>
      <c r="N313" s="332"/>
      <c r="O313" s="332"/>
      <c r="P313" s="332"/>
      <c r="Q313" s="332"/>
      <c r="R313" s="332"/>
      <c r="S313" s="332"/>
      <c r="T313" s="332"/>
      <c r="U313" s="332"/>
      <c r="V313" s="332"/>
      <c r="W313" s="332"/>
      <c r="X313" s="332"/>
      <c r="Y313" s="332"/>
      <c r="Z313" s="332"/>
    </row>
    <row r="314" ht="15.75" customHeight="1">
      <c r="A314" s="27"/>
      <c r="B314" s="27"/>
      <c r="C314" s="27"/>
      <c r="D314" s="114"/>
      <c r="E314" s="114"/>
      <c r="F314" s="27"/>
      <c r="G314" s="27"/>
      <c r="H314" s="332"/>
      <c r="I314" s="332"/>
      <c r="J314" s="332"/>
      <c r="K314" s="332"/>
      <c r="L314" s="332"/>
      <c r="M314" s="332"/>
      <c r="N314" s="332"/>
      <c r="O314" s="332"/>
      <c r="P314" s="332"/>
      <c r="Q314" s="332"/>
      <c r="R314" s="332"/>
      <c r="S314" s="332"/>
      <c r="T314" s="332"/>
      <c r="U314" s="332"/>
      <c r="V314" s="332"/>
      <c r="W314" s="332"/>
      <c r="X314" s="332"/>
      <c r="Y314" s="332"/>
      <c r="Z314" s="332"/>
    </row>
    <row r="315" ht="15.75" customHeight="1">
      <c r="A315" s="27"/>
      <c r="B315" s="27"/>
      <c r="C315" s="27"/>
      <c r="D315" s="114"/>
      <c r="E315" s="114"/>
      <c r="F315" s="27"/>
      <c r="G315" s="27"/>
      <c r="H315" s="332"/>
      <c r="I315" s="332"/>
      <c r="J315" s="332"/>
      <c r="K315" s="332"/>
      <c r="L315" s="332"/>
      <c r="M315" s="332"/>
      <c r="N315" s="332"/>
      <c r="O315" s="332"/>
      <c r="P315" s="332"/>
      <c r="Q315" s="332"/>
      <c r="R315" s="332"/>
      <c r="S315" s="332"/>
      <c r="T315" s="332"/>
      <c r="U315" s="332"/>
      <c r="V315" s="332"/>
      <c r="W315" s="332"/>
      <c r="X315" s="332"/>
      <c r="Y315" s="332"/>
      <c r="Z315" s="332"/>
    </row>
    <row r="316" ht="15.75" customHeight="1">
      <c r="A316" s="27"/>
      <c r="B316" s="27"/>
      <c r="C316" s="27"/>
      <c r="D316" s="114"/>
      <c r="E316" s="114"/>
      <c r="F316" s="27"/>
      <c r="G316" s="27"/>
      <c r="H316" s="332"/>
      <c r="I316" s="332"/>
      <c r="J316" s="332"/>
      <c r="K316" s="332"/>
      <c r="L316" s="332"/>
      <c r="M316" s="332"/>
      <c r="N316" s="332"/>
      <c r="O316" s="332"/>
      <c r="P316" s="332"/>
      <c r="Q316" s="332"/>
      <c r="R316" s="332"/>
      <c r="S316" s="332"/>
      <c r="T316" s="332"/>
      <c r="U316" s="332"/>
      <c r="V316" s="332"/>
      <c r="W316" s="332"/>
      <c r="X316" s="332"/>
      <c r="Y316" s="332"/>
      <c r="Z316" s="332"/>
    </row>
    <row r="317" ht="15.75" customHeight="1">
      <c r="A317" s="27"/>
      <c r="B317" s="27"/>
      <c r="C317" s="27"/>
      <c r="D317" s="114"/>
      <c r="E317" s="114"/>
      <c r="F317" s="27"/>
      <c r="G317" s="27"/>
      <c r="H317" s="332"/>
      <c r="I317" s="332"/>
      <c r="J317" s="332"/>
      <c r="K317" s="332"/>
      <c r="L317" s="332"/>
      <c r="M317" s="332"/>
      <c r="N317" s="332"/>
      <c r="O317" s="332"/>
      <c r="P317" s="332"/>
      <c r="Q317" s="332"/>
      <c r="R317" s="332"/>
      <c r="S317" s="332"/>
      <c r="T317" s="332"/>
      <c r="U317" s="332"/>
      <c r="V317" s="332"/>
      <c r="W317" s="332"/>
      <c r="X317" s="332"/>
      <c r="Y317" s="332"/>
      <c r="Z317" s="332"/>
    </row>
    <row r="318" ht="15.75" customHeight="1">
      <c r="A318" s="27"/>
      <c r="B318" s="27"/>
      <c r="C318" s="27"/>
      <c r="D318" s="114"/>
      <c r="E318" s="114"/>
      <c r="F318" s="27"/>
      <c r="G318" s="27"/>
      <c r="H318" s="332"/>
      <c r="I318" s="332"/>
      <c r="J318" s="332"/>
      <c r="K318" s="332"/>
      <c r="L318" s="332"/>
      <c r="M318" s="332"/>
      <c r="N318" s="332"/>
      <c r="O318" s="332"/>
      <c r="P318" s="332"/>
      <c r="Q318" s="332"/>
      <c r="R318" s="332"/>
      <c r="S318" s="332"/>
      <c r="T318" s="332"/>
      <c r="U318" s="332"/>
      <c r="V318" s="332"/>
      <c r="W318" s="332"/>
      <c r="X318" s="332"/>
      <c r="Y318" s="332"/>
      <c r="Z318" s="332"/>
    </row>
    <row r="319" ht="15.75" customHeight="1">
      <c r="A319" s="27"/>
      <c r="B319" s="27"/>
      <c r="C319" s="27"/>
      <c r="D319" s="114"/>
      <c r="E319" s="114"/>
      <c r="F319" s="27"/>
      <c r="G319" s="27"/>
      <c r="H319" s="332"/>
      <c r="I319" s="332"/>
      <c r="J319" s="332"/>
      <c r="K319" s="332"/>
      <c r="L319" s="332"/>
      <c r="M319" s="332"/>
      <c r="N319" s="332"/>
      <c r="O319" s="332"/>
      <c r="P319" s="332"/>
      <c r="Q319" s="332"/>
      <c r="R319" s="332"/>
      <c r="S319" s="332"/>
      <c r="T319" s="332"/>
      <c r="U319" s="332"/>
      <c r="V319" s="332"/>
      <c r="W319" s="332"/>
      <c r="X319" s="332"/>
      <c r="Y319" s="332"/>
      <c r="Z319" s="332"/>
    </row>
    <row r="320" ht="15.75" customHeight="1">
      <c r="A320" s="27"/>
      <c r="B320" s="27"/>
      <c r="C320" s="27"/>
      <c r="D320" s="114"/>
      <c r="E320" s="114"/>
      <c r="F320" s="27"/>
      <c r="G320" s="27"/>
      <c r="H320" s="332"/>
      <c r="I320" s="332"/>
      <c r="J320" s="332"/>
      <c r="K320" s="332"/>
      <c r="L320" s="332"/>
      <c r="M320" s="332"/>
      <c r="N320" s="332"/>
      <c r="O320" s="332"/>
      <c r="P320" s="332"/>
      <c r="Q320" s="332"/>
      <c r="R320" s="332"/>
      <c r="S320" s="332"/>
      <c r="T320" s="332"/>
      <c r="U320" s="332"/>
      <c r="V320" s="332"/>
      <c r="W320" s="332"/>
      <c r="X320" s="332"/>
      <c r="Y320" s="332"/>
      <c r="Z320" s="332"/>
    </row>
    <row r="321" ht="15.75" customHeight="1">
      <c r="A321" s="27"/>
      <c r="B321" s="27"/>
      <c r="C321" s="27"/>
      <c r="D321" s="114"/>
      <c r="E321" s="114"/>
      <c r="F321" s="27"/>
      <c r="G321" s="27"/>
      <c r="H321" s="332"/>
      <c r="I321" s="332"/>
      <c r="J321" s="332"/>
      <c r="K321" s="332"/>
      <c r="L321" s="332"/>
      <c r="M321" s="332"/>
      <c r="N321" s="332"/>
      <c r="O321" s="332"/>
      <c r="P321" s="332"/>
      <c r="Q321" s="332"/>
      <c r="R321" s="332"/>
      <c r="S321" s="332"/>
      <c r="T321" s="332"/>
      <c r="U321" s="332"/>
      <c r="V321" s="332"/>
      <c r="W321" s="332"/>
      <c r="X321" s="332"/>
      <c r="Y321" s="332"/>
      <c r="Z321" s="332"/>
    </row>
    <row r="322" ht="15.75" customHeight="1">
      <c r="A322" s="27"/>
      <c r="B322" s="27"/>
      <c r="C322" s="27"/>
      <c r="D322" s="114"/>
      <c r="E322" s="114"/>
      <c r="F322" s="27"/>
      <c r="G322" s="27"/>
      <c r="H322" s="332"/>
      <c r="I322" s="332"/>
      <c r="J322" s="332"/>
      <c r="K322" s="332"/>
      <c r="L322" s="332"/>
      <c r="M322" s="332"/>
      <c r="N322" s="332"/>
      <c r="O322" s="332"/>
      <c r="P322" s="332"/>
      <c r="Q322" s="332"/>
      <c r="R322" s="332"/>
      <c r="S322" s="332"/>
      <c r="T322" s="332"/>
      <c r="U322" s="332"/>
      <c r="V322" s="332"/>
      <c r="W322" s="332"/>
      <c r="X322" s="332"/>
      <c r="Y322" s="332"/>
      <c r="Z322" s="332"/>
    </row>
    <row r="323" ht="15.75" customHeight="1">
      <c r="A323" s="27"/>
      <c r="B323" s="27"/>
      <c r="C323" s="27"/>
      <c r="D323" s="114"/>
      <c r="E323" s="114"/>
      <c r="F323" s="27"/>
      <c r="G323" s="27"/>
      <c r="H323" s="332"/>
      <c r="I323" s="332"/>
      <c r="J323" s="332"/>
      <c r="K323" s="332"/>
      <c r="L323" s="332"/>
      <c r="M323" s="332"/>
      <c r="N323" s="332"/>
      <c r="O323" s="332"/>
      <c r="P323" s="332"/>
      <c r="Q323" s="332"/>
      <c r="R323" s="332"/>
      <c r="S323" s="332"/>
      <c r="T323" s="332"/>
      <c r="U323" s="332"/>
      <c r="V323" s="332"/>
      <c r="W323" s="332"/>
      <c r="X323" s="332"/>
      <c r="Y323" s="332"/>
      <c r="Z323" s="332"/>
    </row>
    <row r="324" ht="15.75" customHeight="1">
      <c r="A324" s="27"/>
      <c r="B324" s="27"/>
      <c r="C324" s="27"/>
      <c r="D324" s="114"/>
      <c r="E324" s="114"/>
      <c r="F324" s="27"/>
      <c r="G324" s="27"/>
      <c r="H324" s="332"/>
      <c r="I324" s="332"/>
      <c r="J324" s="332"/>
      <c r="K324" s="332"/>
      <c r="L324" s="332"/>
      <c r="M324" s="332"/>
      <c r="N324" s="332"/>
      <c r="O324" s="332"/>
      <c r="P324" s="332"/>
      <c r="Q324" s="332"/>
      <c r="R324" s="332"/>
      <c r="S324" s="332"/>
      <c r="T324" s="332"/>
      <c r="U324" s="332"/>
      <c r="V324" s="332"/>
      <c r="W324" s="332"/>
      <c r="X324" s="332"/>
      <c r="Y324" s="332"/>
      <c r="Z324" s="332"/>
    </row>
    <row r="325" ht="15.75" customHeight="1">
      <c r="A325" s="27"/>
      <c r="B325" s="27"/>
      <c r="C325" s="27"/>
      <c r="D325" s="114"/>
      <c r="E325" s="114"/>
      <c r="F325" s="27"/>
      <c r="G325" s="27"/>
      <c r="H325" s="332"/>
      <c r="I325" s="332"/>
      <c r="J325" s="332"/>
      <c r="K325" s="332"/>
      <c r="L325" s="332"/>
      <c r="M325" s="332"/>
      <c r="N325" s="332"/>
      <c r="O325" s="332"/>
      <c r="P325" s="332"/>
      <c r="Q325" s="332"/>
      <c r="R325" s="332"/>
      <c r="S325" s="332"/>
      <c r="T325" s="332"/>
      <c r="U325" s="332"/>
      <c r="V325" s="332"/>
      <c r="W325" s="332"/>
      <c r="X325" s="332"/>
      <c r="Y325" s="332"/>
      <c r="Z325" s="332"/>
    </row>
    <row r="326" ht="15.75" customHeight="1">
      <c r="A326" s="27"/>
      <c r="B326" s="27"/>
      <c r="C326" s="27"/>
      <c r="D326" s="114"/>
      <c r="E326" s="114"/>
      <c r="F326" s="27"/>
      <c r="G326" s="27"/>
      <c r="H326" s="332"/>
      <c r="I326" s="332"/>
      <c r="J326" s="332"/>
      <c r="K326" s="332"/>
      <c r="L326" s="332"/>
      <c r="M326" s="332"/>
      <c r="N326" s="332"/>
      <c r="O326" s="332"/>
      <c r="P326" s="332"/>
      <c r="Q326" s="332"/>
      <c r="R326" s="332"/>
      <c r="S326" s="332"/>
      <c r="T326" s="332"/>
      <c r="U326" s="332"/>
      <c r="V326" s="332"/>
      <c r="W326" s="332"/>
      <c r="X326" s="332"/>
      <c r="Y326" s="332"/>
      <c r="Z326" s="332"/>
    </row>
    <row r="327" ht="15.75" customHeight="1">
      <c r="A327" s="27"/>
      <c r="B327" s="27"/>
      <c r="C327" s="27"/>
      <c r="D327" s="114"/>
      <c r="E327" s="114"/>
      <c r="F327" s="27"/>
      <c r="G327" s="27"/>
      <c r="H327" s="332"/>
      <c r="I327" s="332"/>
      <c r="J327" s="332"/>
      <c r="K327" s="332"/>
      <c r="L327" s="332"/>
      <c r="M327" s="332"/>
      <c r="N327" s="332"/>
      <c r="O327" s="332"/>
      <c r="P327" s="332"/>
      <c r="Q327" s="332"/>
      <c r="R327" s="332"/>
      <c r="S327" s="332"/>
      <c r="T327" s="332"/>
      <c r="U327" s="332"/>
      <c r="V327" s="332"/>
      <c r="W327" s="332"/>
      <c r="X327" s="332"/>
      <c r="Y327" s="332"/>
      <c r="Z327" s="332"/>
    </row>
    <row r="328" ht="15.75" customHeight="1">
      <c r="A328" s="27"/>
      <c r="B328" s="27"/>
      <c r="C328" s="27"/>
      <c r="D328" s="114"/>
      <c r="E328" s="114"/>
      <c r="F328" s="27"/>
      <c r="G328" s="27"/>
      <c r="H328" s="332"/>
      <c r="I328" s="332"/>
      <c r="J328" s="332"/>
      <c r="K328" s="332"/>
      <c r="L328" s="332"/>
      <c r="M328" s="332"/>
      <c r="N328" s="332"/>
      <c r="O328" s="332"/>
      <c r="P328" s="332"/>
      <c r="Q328" s="332"/>
      <c r="R328" s="332"/>
      <c r="S328" s="332"/>
      <c r="T328" s="332"/>
      <c r="U328" s="332"/>
      <c r="V328" s="332"/>
      <c r="W328" s="332"/>
      <c r="X328" s="332"/>
      <c r="Y328" s="332"/>
      <c r="Z328" s="332"/>
    </row>
    <row r="329" ht="15.75" customHeight="1">
      <c r="A329" s="27"/>
      <c r="B329" s="27"/>
      <c r="C329" s="27"/>
      <c r="D329" s="114"/>
      <c r="E329" s="114"/>
      <c r="F329" s="27"/>
      <c r="G329" s="27"/>
      <c r="H329" s="332"/>
      <c r="I329" s="332"/>
      <c r="J329" s="332"/>
      <c r="K329" s="332"/>
      <c r="L329" s="332"/>
      <c r="M329" s="332"/>
      <c r="N329" s="332"/>
      <c r="O329" s="332"/>
      <c r="P329" s="332"/>
      <c r="Q329" s="332"/>
      <c r="R329" s="332"/>
      <c r="S329" s="332"/>
      <c r="T329" s="332"/>
      <c r="U329" s="332"/>
      <c r="V329" s="332"/>
      <c r="W329" s="332"/>
      <c r="X329" s="332"/>
      <c r="Y329" s="332"/>
      <c r="Z329" s="332"/>
    </row>
    <row r="330" ht="15.75" customHeight="1">
      <c r="A330" s="27"/>
      <c r="B330" s="27"/>
      <c r="C330" s="27"/>
      <c r="D330" s="114"/>
      <c r="E330" s="114"/>
      <c r="F330" s="27"/>
      <c r="G330" s="27"/>
      <c r="H330" s="332"/>
      <c r="I330" s="332"/>
      <c r="J330" s="332"/>
      <c r="K330" s="332"/>
      <c r="L330" s="332"/>
      <c r="M330" s="332"/>
      <c r="N330" s="332"/>
      <c r="O330" s="332"/>
      <c r="P330" s="332"/>
      <c r="Q330" s="332"/>
      <c r="R330" s="332"/>
      <c r="S330" s="332"/>
      <c r="T330" s="332"/>
      <c r="U330" s="332"/>
      <c r="V330" s="332"/>
      <c r="W330" s="332"/>
      <c r="X330" s="332"/>
      <c r="Y330" s="332"/>
      <c r="Z330" s="332"/>
    </row>
    <row r="331" ht="15.75" customHeight="1">
      <c r="A331" s="27"/>
      <c r="B331" s="27"/>
      <c r="C331" s="27"/>
      <c r="D331" s="114"/>
      <c r="E331" s="114"/>
      <c r="F331" s="27"/>
      <c r="G331" s="27"/>
      <c r="H331" s="332"/>
      <c r="I331" s="332"/>
      <c r="J331" s="332"/>
      <c r="K331" s="332"/>
      <c r="L331" s="332"/>
      <c r="M331" s="332"/>
      <c r="N331" s="332"/>
      <c r="O331" s="332"/>
      <c r="P331" s="332"/>
      <c r="Q331" s="332"/>
      <c r="R331" s="332"/>
      <c r="S331" s="332"/>
      <c r="T331" s="332"/>
      <c r="U331" s="332"/>
      <c r="V331" s="332"/>
      <c r="W331" s="332"/>
      <c r="X331" s="332"/>
      <c r="Y331" s="332"/>
      <c r="Z331" s="332"/>
    </row>
    <row r="332" ht="15.75" customHeight="1">
      <c r="A332" s="27"/>
      <c r="B332" s="27"/>
      <c r="C332" s="27"/>
      <c r="D332" s="114"/>
      <c r="E332" s="114"/>
      <c r="F332" s="27"/>
      <c r="G332" s="27"/>
      <c r="H332" s="332"/>
      <c r="I332" s="332"/>
      <c r="J332" s="332"/>
      <c r="K332" s="332"/>
      <c r="L332" s="332"/>
      <c r="M332" s="332"/>
      <c r="N332" s="332"/>
      <c r="O332" s="332"/>
      <c r="P332" s="332"/>
      <c r="Q332" s="332"/>
      <c r="R332" s="332"/>
      <c r="S332" s="332"/>
      <c r="T332" s="332"/>
      <c r="U332" s="332"/>
      <c r="V332" s="332"/>
      <c r="W332" s="332"/>
      <c r="X332" s="332"/>
      <c r="Y332" s="332"/>
      <c r="Z332" s="332"/>
    </row>
    <row r="333" ht="15.75" customHeight="1">
      <c r="A333" s="27"/>
      <c r="B333" s="27"/>
      <c r="C333" s="27"/>
      <c r="D333" s="114"/>
      <c r="E333" s="114"/>
      <c r="F333" s="27"/>
      <c r="G333" s="27"/>
      <c r="H333" s="332"/>
      <c r="I333" s="332"/>
      <c r="J333" s="332"/>
      <c r="K333" s="332"/>
      <c r="L333" s="332"/>
      <c r="M333" s="332"/>
      <c r="N333" s="332"/>
      <c r="O333" s="332"/>
      <c r="P333" s="332"/>
      <c r="Q333" s="332"/>
      <c r="R333" s="332"/>
      <c r="S333" s="332"/>
      <c r="T333" s="332"/>
      <c r="U333" s="332"/>
      <c r="V333" s="332"/>
      <c r="W333" s="332"/>
      <c r="X333" s="332"/>
      <c r="Y333" s="332"/>
      <c r="Z333" s="332"/>
    </row>
    <row r="334" ht="15.75" customHeight="1">
      <c r="A334" s="27"/>
      <c r="B334" s="27"/>
      <c r="C334" s="27"/>
      <c r="D334" s="114"/>
      <c r="E334" s="114"/>
      <c r="F334" s="27"/>
      <c r="G334" s="27"/>
      <c r="H334" s="332"/>
      <c r="I334" s="332"/>
      <c r="J334" s="332"/>
      <c r="K334" s="332"/>
      <c r="L334" s="332"/>
      <c r="M334" s="332"/>
      <c r="N334" s="332"/>
      <c r="O334" s="332"/>
      <c r="P334" s="332"/>
      <c r="Q334" s="332"/>
      <c r="R334" s="332"/>
      <c r="S334" s="332"/>
      <c r="T334" s="332"/>
      <c r="U334" s="332"/>
      <c r="V334" s="332"/>
      <c r="W334" s="332"/>
      <c r="X334" s="332"/>
      <c r="Y334" s="332"/>
      <c r="Z334" s="332"/>
    </row>
    <row r="335" ht="15.75" customHeight="1">
      <c r="A335" s="27"/>
      <c r="B335" s="27"/>
      <c r="C335" s="27"/>
      <c r="D335" s="114"/>
      <c r="E335" s="114"/>
      <c r="F335" s="27"/>
      <c r="G335" s="27"/>
      <c r="H335" s="332"/>
      <c r="I335" s="332"/>
      <c r="J335" s="332"/>
      <c r="K335" s="332"/>
      <c r="L335" s="332"/>
      <c r="M335" s="332"/>
      <c r="N335" s="332"/>
      <c r="O335" s="332"/>
      <c r="P335" s="332"/>
      <c r="Q335" s="332"/>
      <c r="R335" s="332"/>
      <c r="S335" s="332"/>
      <c r="T335" s="332"/>
      <c r="U335" s="332"/>
      <c r="V335" s="332"/>
      <c r="W335" s="332"/>
      <c r="X335" s="332"/>
      <c r="Y335" s="332"/>
      <c r="Z335" s="332"/>
    </row>
    <row r="336" ht="15.75" customHeight="1">
      <c r="A336" s="27"/>
      <c r="B336" s="27"/>
      <c r="C336" s="27"/>
      <c r="D336" s="114"/>
      <c r="E336" s="114"/>
      <c r="F336" s="27"/>
      <c r="G336" s="27"/>
      <c r="H336" s="332"/>
      <c r="I336" s="332"/>
      <c r="J336" s="332"/>
      <c r="K336" s="332"/>
      <c r="L336" s="332"/>
      <c r="M336" s="332"/>
      <c r="N336" s="332"/>
      <c r="O336" s="332"/>
      <c r="P336" s="332"/>
      <c r="Q336" s="332"/>
      <c r="R336" s="332"/>
      <c r="S336" s="332"/>
      <c r="T336" s="332"/>
      <c r="U336" s="332"/>
      <c r="V336" s="332"/>
      <c r="W336" s="332"/>
      <c r="X336" s="332"/>
      <c r="Y336" s="332"/>
      <c r="Z336" s="332"/>
    </row>
    <row r="337" ht="15.75" customHeight="1">
      <c r="A337" s="27"/>
      <c r="B337" s="27"/>
      <c r="C337" s="27"/>
      <c r="D337" s="114"/>
      <c r="E337" s="114"/>
      <c r="F337" s="27"/>
      <c r="G337" s="27"/>
      <c r="H337" s="332"/>
      <c r="I337" s="332"/>
      <c r="J337" s="332"/>
      <c r="K337" s="332"/>
      <c r="L337" s="332"/>
      <c r="M337" s="332"/>
      <c r="N337" s="332"/>
      <c r="O337" s="332"/>
      <c r="P337" s="332"/>
      <c r="Q337" s="332"/>
      <c r="R337" s="332"/>
      <c r="S337" s="332"/>
      <c r="T337" s="332"/>
      <c r="U337" s="332"/>
      <c r="V337" s="332"/>
      <c r="W337" s="332"/>
      <c r="X337" s="332"/>
      <c r="Y337" s="332"/>
      <c r="Z337" s="332"/>
    </row>
    <row r="338" ht="15.75" customHeight="1">
      <c r="A338" s="27"/>
      <c r="B338" s="27"/>
      <c r="C338" s="27"/>
      <c r="D338" s="114"/>
      <c r="E338" s="114"/>
      <c r="F338" s="27"/>
      <c r="G338" s="27"/>
      <c r="H338" s="332"/>
      <c r="I338" s="332"/>
      <c r="J338" s="332"/>
      <c r="K338" s="332"/>
      <c r="L338" s="332"/>
      <c r="M338" s="332"/>
      <c r="N338" s="332"/>
      <c r="O338" s="332"/>
      <c r="P338" s="332"/>
      <c r="Q338" s="332"/>
      <c r="R338" s="332"/>
      <c r="S338" s="332"/>
      <c r="T338" s="332"/>
      <c r="U338" s="332"/>
      <c r="V338" s="332"/>
      <c r="W338" s="332"/>
      <c r="X338" s="332"/>
      <c r="Y338" s="332"/>
      <c r="Z338" s="332"/>
    </row>
    <row r="339" ht="15.75" customHeight="1">
      <c r="A339" s="27"/>
      <c r="B339" s="27"/>
      <c r="C339" s="27"/>
      <c r="D339" s="114"/>
      <c r="E339" s="114"/>
      <c r="F339" s="27"/>
      <c r="G339" s="27"/>
      <c r="H339" s="332"/>
      <c r="I339" s="332"/>
      <c r="J339" s="332"/>
      <c r="K339" s="332"/>
      <c r="L339" s="332"/>
      <c r="M339" s="332"/>
      <c r="N339" s="332"/>
      <c r="O339" s="332"/>
      <c r="P339" s="332"/>
      <c r="Q339" s="332"/>
      <c r="R339" s="332"/>
      <c r="S339" s="332"/>
      <c r="T339" s="332"/>
      <c r="U339" s="332"/>
      <c r="V339" s="332"/>
      <c r="W339" s="332"/>
      <c r="X339" s="332"/>
      <c r="Y339" s="332"/>
      <c r="Z339" s="332"/>
    </row>
    <row r="340" ht="15.75" customHeight="1">
      <c r="A340" s="27"/>
      <c r="B340" s="27"/>
      <c r="C340" s="27"/>
      <c r="D340" s="114"/>
      <c r="E340" s="114"/>
      <c r="F340" s="27"/>
      <c r="G340" s="27"/>
      <c r="H340" s="332"/>
      <c r="I340" s="332"/>
      <c r="J340" s="332"/>
      <c r="K340" s="332"/>
      <c r="L340" s="332"/>
      <c r="M340" s="332"/>
      <c r="N340" s="332"/>
      <c r="O340" s="332"/>
      <c r="P340" s="332"/>
      <c r="Q340" s="332"/>
      <c r="R340" s="332"/>
      <c r="S340" s="332"/>
      <c r="T340" s="332"/>
      <c r="U340" s="332"/>
      <c r="V340" s="332"/>
      <c r="W340" s="332"/>
      <c r="X340" s="332"/>
      <c r="Y340" s="332"/>
      <c r="Z340" s="332"/>
    </row>
    <row r="341" ht="15.75" customHeight="1">
      <c r="A341" s="27"/>
      <c r="B341" s="27"/>
      <c r="C341" s="27"/>
      <c r="D341" s="114"/>
      <c r="E341" s="114"/>
      <c r="F341" s="27"/>
      <c r="G341" s="27"/>
      <c r="H341" s="332"/>
      <c r="I341" s="332"/>
      <c r="J341" s="332"/>
      <c r="K341" s="332"/>
      <c r="L341" s="332"/>
      <c r="M341" s="332"/>
      <c r="N341" s="332"/>
      <c r="O341" s="332"/>
      <c r="P341" s="332"/>
      <c r="Q341" s="332"/>
      <c r="R341" s="332"/>
      <c r="S341" s="332"/>
      <c r="T341" s="332"/>
      <c r="U341" s="332"/>
      <c r="V341" s="332"/>
      <c r="W341" s="332"/>
      <c r="X341" s="332"/>
      <c r="Y341" s="332"/>
      <c r="Z341" s="332"/>
    </row>
    <row r="342" ht="15.75" customHeight="1">
      <c r="A342" s="27"/>
      <c r="B342" s="27"/>
      <c r="C342" s="27"/>
      <c r="D342" s="114"/>
      <c r="E342" s="114"/>
      <c r="F342" s="27"/>
      <c r="G342" s="27"/>
      <c r="H342" s="332"/>
      <c r="I342" s="332"/>
      <c r="J342" s="332"/>
      <c r="K342" s="332"/>
      <c r="L342" s="332"/>
      <c r="M342" s="332"/>
      <c r="N342" s="332"/>
      <c r="O342" s="332"/>
      <c r="P342" s="332"/>
      <c r="Q342" s="332"/>
      <c r="R342" s="332"/>
      <c r="S342" s="332"/>
      <c r="T342" s="332"/>
      <c r="U342" s="332"/>
      <c r="V342" s="332"/>
      <c r="W342" s="332"/>
      <c r="X342" s="332"/>
      <c r="Y342" s="332"/>
      <c r="Z342" s="332"/>
    </row>
    <row r="343" ht="15.75" customHeight="1">
      <c r="A343" s="27"/>
      <c r="B343" s="27"/>
      <c r="C343" s="27"/>
      <c r="D343" s="114"/>
      <c r="E343" s="114"/>
      <c r="F343" s="27"/>
      <c r="G343" s="27"/>
      <c r="H343" s="332"/>
      <c r="I343" s="332"/>
      <c r="J343" s="332"/>
      <c r="K343" s="332"/>
      <c r="L343" s="332"/>
      <c r="M343" s="332"/>
      <c r="N343" s="332"/>
      <c r="O343" s="332"/>
      <c r="P343" s="332"/>
      <c r="Q343" s="332"/>
      <c r="R343" s="332"/>
      <c r="S343" s="332"/>
      <c r="T343" s="332"/>
      <c r="U343" s="332"/>
      <c r="V343" s="332"/>
      <c r="W343" s="332"/>
      <c r="X343" s="332"/>
      <c r="Y343" s="332"/>
      <c r="Z343" s="332"/>
    </row>
    <row r="344" ht="15.75" customHeight="1">
      <c r="A344" s="27"/>
      <c r="B344" s="27"/>
      <c r="C344" s="27"/>
      <c r="D344" s="114"/>
      <c r="E344" s="114"/>
      <c r="F344" s="27"/>
      <c r="G344" s="27"/>
      <c r="H344" s="332"/>
      <c r="I344" s="332"/>
      <c r="J344" s="332"/>
      <c r="K344" s="332"/>
      <c r="L344" s="332"/>
      <c r="M344" s="332"/>
      <c r="N344" s="332"/>
      <c r="O344" s="332"/>
      <c r="P344" s="332"/>
      <c r="Q344" s="332"/>
      <c r="R344" s="332"/>
      <c r="S344" s="332"/>
      <c r="T344" s="332"/>
      <c r="U344" s="332"/>
      <c r="V344" s="332"/>
      <c r="W344" s="332"/>
      <c r="X344" s="332"/>
      <c r="Y344" s="332"/>
      <c r="Z344" s="332"/>
    </row>
    <row r="345" ht="15.75" customHeight="1">
      <c r="A345" s="27"/>
      <c r="B345" s="27"/>
      <c r="C345" s="27"/>
      <c r="D345" s="114"/>
      <c r="E345" s="114"/>
      <c r="F345" s="27"/>
      <c r="G345" s="27"/>
      <c r="H345" s="332"/>
      <c r="I345" s="332"/>
      <c r="J345" s="332"/>
      <c r="K345" s="332"/>
      <c r="L345" s="332"/>
      <c r="M345" s="332"/>
      <c r="N345" s="332"/>
      <c r="O345" s="332"/>
      <c r="P345" s="332"/>
      <c r="Q345" s="332"/>
      <c r="R345" s="332"/>
      <c r="S345" s="332"/>
      <c r="T345" s="332"/>
      <c r="U345" s="332"/>
      <c r="V345" s="332"/>
      <c r="W345" s="332"/>
      <c r="X345" s="332"/>
      <c r="Y345" s="332"/>
      <c r="Z345" s="332"/>
    </row>
    <row r="346" ht="15.75" customHeight="1">
      <c r="A346" s="27"/>
      <c r="B346" s="27"/>
      <c r="C346" s="27"/>
      <c r="D346" s="114"/>
      <c r="E346" s="114"/>
      <c r="F346" s="27"/>
      <c r="G346" s="27"/>
      <c r="H346" s="332"/>
      <c r="I346" s="332"/>
      <c r="J346" s="332"/>
      <c r="K346" s="332"/>
      <c r="L346" s="332"/>
      <c r="M346" s="332"/>
      <c r="N346" s="332"/>
      <c r="O346" s="332"/>
      <c r="P346" s="332"/>
      <c r="Q346" s="332"/>
      <c r="R346" s="332"/>
      <c r="S346" s="332"/>
      <c r="T346" s="332"/>
      <c r="U346" s="332"/>
      <c r="V346" s="332"/>
      <c r="W346" s="332"/>
      <c r="X346" s="332"/>
      <c r="Y346" s="332"/>
      <c r="Z346" s="332"/>
    </row>
    <row r="347" ht="15.75" customHeight="1">
      <c r="A347" s="27"/>
      <c r="B347" s="27"/>
      <c r="C347" s="27"/>
      <c r="D347" s="114"/>
      <c r="E347" s="114"/>
      <c r="F347" s="27"/>
      <c r="G347" s="27"/>
      <c r="H347" s="332"/>
      <c r="I347" s="332"/>
      <c r="J347" s="332"/>
      <c r="K347" s="332"/>
      <c r="L347" s="332"/>
      <c r="M347" s="332"/>
      <c r="N347" s="332"/>
      <c r="O347" s="332"/>
      <c r="P347" s="332"/>
      <c r="Q347" s="332"/>
      <c r="R347" s="332"/>
      <c r="S347" s="332"/>
      <c r="T347" s="332"/>
      <c r="U347" s="332"/>
      <c r="V347" s="332"/>
      <c r="W347" s="332"/>
      <c r="X347" s="332"/>
      <c r="Y347" s="332"/>
      <c r="Z347" s="332"/>
    </row>
    <row r="348" ht="15.75" customHeight="1">
      <c r="A348" s="27"/>
      <c r="B348" s="27"/>
      <c r="C348" s="27"/>
      <c r="D348" s="114"/>
      <c r="E348" s="114"/>
      <c r="F348" s="27"/>
      <c r="G348" s="27"/>
      <c r="H348" s="332"/>
      <c r="I348" s="332"/>
      <c r="J348" s="332"/>
      <c r="K348" s="332"/>
      <c r="L348" s="332"/>
      <c r="M348" s="332"/>
      <c r="N348" s="332"/>
      <c r="O348" s="332"/>
      <c r="P348" s="332"/>
      <c r="Q348" s="332"/>
      <c r="R348" s="332"/>
      <c r="S348" s="332"/>
      <c r="T348" s="332"/>
      <c r="U348" s="332"/>
      <c r="V348" s="332"/>
      <c r="W348" s="332"/>
      <c r="X348" s="332"/>
      <c r="Y348" s="332"/>
      <c r="Z348" s="332"/>
    </row>
    <row r="349" ht="15.75" customHeight="1">
      <c r="A349" s="27"/>
      <c r="B349" s="27"/>
      <c r="C349" s="27"/>
      <c r="D349" s="114"/>
      <c r="E349" s="114"/>
      <c r="F349" s="27"/>
      <c r="G349" s="27"/>
      <c r="H349" s="332"/>
      <c r="I349" s="332"/>
      <c r="J349" s="332"/>
      <c r="K349" s="332"/>
      <c r="L349" s="332"/>
      <c r="M349" s="332"/>
      <c r="N349" s="332"/>
      <c r="O349" s="332"/>
      <c r="P349" s="332"/>
      <c r="Q349" s="332"/>
      <c r="R349" s="332"/>
      <c r="S349" s="332"/>
      <c r="T349" s="332"/>
      <c r="U349" s="332"/>
      <c r="V349" s="332"/>
      <c r="W349" s="332"/>
      <c r="X349" s="332"/>
      <c r="Y349" s="332"/>
      <c r="Z349" s="332"/>
    </row>
    <row r="350" ht="15.75" customHeight="1">
      <c r="A350" s="27"/>
      <c r="B350" s="27"/>
      <c r="C350" s="27"/>
      <c r="D350" s="114"/>
      <c r="E350" s="114"/>
      <c r="F350" s="27"/>
      <c r="G350" s="27"/>
      <c r="H350" s="332"/>
      <c r="I350" s="332"/>
      <c r="J350" s="332"/>
      <c r="K350" s="332"/>
      <c r="L350" s="332"/>
      <c r="M350" s="332"/>
      <c r="N350" s="332"/>
      <c r="O350" s="332"/>
      <c r="P350" s="332"/>
      <c r="Q350" s="332"/>
      <c r="R350" s="332"/>
      <c r="S350" s="332"/>
      <c r="T350" s="332"/>
      <c r="U350" s="332"/>
      <c r="V350" s="332"/>
      <c r="W350" s="332"/>
      <c r="X350" s="332"/>
      <c r="Y350" s="332"/>
      <c r="Z350" s="332"/>
    </row>
    <row r="351" ht="15.75" customHeight="1">
      <c r="A351" s="27"/>
      <c r="B351" s="27"/>
      <c r="C351" s="27"/>
      <c r="D351" s="114"/>
      <c r="E351" s="114"/>
      <c r="F351" s="27"/>
      <c r="G351" s="27"/>
      <c r="H351" s="332"/>
      <c r="I351" s="332"/>
      <c r="J351" s="332"/>
      <c r="K351" s="332"/>
      <c r="L351" s="332"/>
      <c r="M351" s="332"/>
      <c r="N351" s="332"/>
      <c r="O351" s="332"/>
      <c r="P351" s="332"/>
      <c r="Q351" s="332"/>
      <c r="R351" s="332"/>
      <c r="S351" s="332"/>
      <c r="T351" s="332"/>
      <c r="U351" s="332"/>
      <c r="V351" s="332"/>
      <c r="W351" s="332"/>
      <c r="X351" s="332"/>
      <c r="Y351" s="332"/>
      <c r="Z351" s="332"/>
    </row>
    <row r="352" ht="15.75" customHeight="1">
      <c r="A352" s="27"/>
      <c r="B352" s="27"/>
      <c r="C352" s="27"/>
      <c r="D352" s="114"/>
      <c r="E352" s="114"/>
      <c r="F352" s="27"/>
      <c r="G352" s="27"/>
      <c r="H352" s="332"/>
      <c r="I352" s="332"/>
      <c r="J352" s="332"/>
      <c r="K352" s="332"/>
      <c r="L352" s="332"/>
      <c r="M352" s="332"/>
      <c r="N352" s="332"/>
      <c r="O352" s="332"/>
      <c r="P352" s="332"/>
      <c r="Q352" s="332"/>
      <c r="R352" s="332"/>
      <c r="S352" s="332"/>
      <c r="T352" s="332"/>
      <c r="U352" s="332"/>
      <c r="V352" s="332"/>
      <c r="W352" s="332"/>
      <c r="X352" s="332"/>
      <c r="Y352" s="332"/>
      <c r="Z352" s="332"/>
    </row>
    <row r="353" ht="15.75" customHeight="1">
      <c r="A353" s="27"/>
      <c r="B353" s="27"/>
      <c r="C353" s="27"/>
      <c r="D353" s="114"/>
      <c r="E353" s="114"/>
      <c r="F353" s="27"/>
      <c r="G353" s="27"/>
      <c r="H353" s="332"/>
      <c r="I353" s="332"/>
      <c r="J353" s="332"/>
      <c r="K353" s="332"/>
      <c r="L353" s="332"/>
      <c r="M353" s="332"/>
      <c r="N353" s="332"/>
      <c r="O353" s="332"/>
      <c r="P353" s="332"/>
      <c r="Q353" s="332"/>
      <c r="R353" s="332"/>
      <c r="S353" s="332"/>
      <c r="T353" s="332"/>
      <c r="U353" s="332"/>
      <c r="V353" s="332"/>
      <c r="W353" s="332"/>
      <c r="X353" s="332"/>
      <c r="Y353" s="332"/>
      <c r="Z353" s="332"/>
    </row>
    <row r="354" ht="15.75" customHeight="1">
      <c r="A354" s="27"/>
      <c r="B354" s="27"/>
      <c r="C354" s="27"/>
      <c r="D354" s="114"/>
      <c r="E354" s="114"/>
      <c r="F354" s="27"/>
      <c r="G354" s="27"/>
      <c r="H354" s="332"/>
      <c r="I354" s="332"/>
      <c r="J354" s="332"/>
      <c r="K354" s="332"/>
      <c r="L354" s="332"/>
      <c r="M354" s="332"/>
      <c r="N354" s="332"/>
      <c r="O354" s="332"/>
      <c r="P354" s="332"/>
      <c r="Q354" s="332"/>
      <c r="R354" s="332"/>
      <c r="S354" s="332"/>
      <c r="T354" s="332"/>
      <c r="U354" s="332"/>
      <c r="V354" s="332"/>
      <c r="W354" s="332"/>
      <c r="X354" s="332"/>
      <c r="Y354" s="332"/>
      <c r="Z354" s="332"/>
    </row>
    <row r="355" ht="15.75" customHeight="1">
      <c r="A355" s="27"/>
      <c r="B355" s="27"/>
      <c r="C355" s="27"/>
      <c r="D355" s="114"/>
      <c r="E355" s="114"/>
      <c r="F355" s="27"/>
      <c r="G355" s="27"/>
      <c r="H355" s="332"/>
      <c r="I355" s="332"/>
      <c r="J355" s="332"/>
      <c r="K355" s="332"/>
      <c r="L355" s="332"/>
      <c r="M355" s="332"/>
      <c r="N355" s="332"/>
      <c r="O355" s="332"/>
      <c r="P355" s="332"/>
      <c r="Q355" s="332"/>
      <c r="R355" s="332"/>
      <c r="S355" s="332"/>
      <c r="T355" s="332"/>
      <c r="U355" s="332"/>
      <c r="V355" s="332"/>
      <c r="W355" s="332"/>
      <c r="X355" s="332"/>
      <c r="Y355" s="332"/>
      <c r="Z355" s="332"/>
    </row>
    <row r="356" ht="15.75" customHeight="1">
      <c r="A356" s="27"/>
      <c r="B356" s="27"/>
      <c r="C356" s="27"/>
      <c r="D356" s="114"/>
      <c r="E356" s="114"/>
      <c r="F356" s="27"/>
      <c r="G356" s="27"/>
      <c r="H356" s="332"/>
      <c r="I356" s="332"/>
      <c r="J356" s="332"/>
      <c r="K356" s="332"/>
      <c r="L356" s="332"/>
      <c r="M356" s="332"/>
      <c r="N356" s="332"/>
      <c r="O356" s="332"/>
      <c r="P356" s="332"/>
      <c r="Q356" s="332"/>
      <c r="R356" s="332"/>
      <c r="S356" s="332"/>
      <c r="T356" s="332"/>
      <c r="U356" s="332"/>
      <c r="V356" s="332"/>
      <c r="W356" s="332"/>
      <c r="X356" s="332"/>
      <c r="Y356" s="332"/>
      <c r="Z356" s="332"/>
    </row>
    <row r="357" ht="15.75" customHeight="1">
      <c r="A357" s="27"/>
      <c r="B357" s="27"/>
      <c r="C357" s="27"/>
      <c r="D357" s="114"/>
      <c r="E357" s="114"/>
      <c r="F357" s="27"/>
      <c r="G357" s="27"/>
      <c r="H357" s="332"/>
      <c r="I357" s="332"/>
      <c r="J357" s="332"/>
      <c r="K357" s="332"/>
      <c r="L357" s="332"/>
      <c r="M357" s="332"/>
      <c r="N357" s="332"/>
      <c r="O357" s="332"/>
      <c r="P357" s="332"/>
      <c r="Q357" s="332"/>
      <c r="R357" s="332"/>
      <c r="S357" s="332"/>
      <c r="T357" s="332"/>
      <c r="U357" s="332"/>
      <c r="V357" s="332"/>
      <c r="W357" s="332"/>
      <c r="X357" s="332"/>
      <c r="Y357" s="332"/>
      <c r="Z357" s="332"/>
    </row>
    <row r="358" ht="15.75" customHeight="1">
      <c r="A358" s="27"/>
      <c r="B358" s="27"/>
      <c r="C358" s="27"/>
      <c r="D358" s="114"/>
      <c r="E358" s="114"/>
      <c r="F358" s="27"/>
      <c r="G358" s="27"/>
      <c r="H358" s="332"/>
      <c r="I358" s="332"/>
      <c r="J358" s="332"/>
      <c r="K358" s="332"/>
      <c r="L358" s="332"/>
      <c r="M358" s="332"/>
      <c r="N358" s="332"/>
      <c r="O358" s="332"/>
      <c r="P358" s="332"/>
      <c r="Q358" s="332"/>
      <c r="R358" s="332"/>
      <c r="S358" s="332"/>
      <c r="T358" s="332"/>
      <c r="U358" s="332"/>
      <c r="V358" s="332"/>
      <c r="W358" s="332"/>
      <c r="X358" s="332"/>
      <c r="Y358" s="332"/>
      <c r="Z358" s="332"/>
    </row>
    <row r="359" ht="15.75" customHeight="1">
      <c r="A359" s="27"/>
      <c r="B359" s="27"/>
      <c r="C359" s="27"/>
      <c r="D359" s="114"/>
      <c r="E359" s="114"/>
      <c r="F359" s="27"/>
      <c r="G359" s="27"/>
      <c r="H359" s="332"/>
      <c r="I359" s="332"/>
      <c r="J359" s="332"/>
      <c r="K359" s="332"/>
      <c r="L359" s="332"/>
      <c r="M359" s="332"/>
      <c r="N359" s="332"/>
      <c r="O359" s="332"/>
      <c r="P359" s="332"/>
      <c r="Q359" s="332"/>
      <c r="R359" s="332"/>
      <c r="S359" s="332"/>
      <c r="T359" s="332"/>
      <c r="U359" s="332"/>
      <c r="V359" s="332"/>
      <c r="W359" s="332"/>
      <c r="X359" s="332"/>
      <c r="Y359" s="332"/>
      <c r="Z359" s="332"/>
    </row>
    <row r="360" ht="15.75" customHeight="1">
      <c r="A360" s="27"/>
      <c r="B360" s="27"/>
      <c r="C360" s="27"/>
      <c r="D360" s="114"/>
      <c r="E360" s="114"/>
      <c r="F360" s="27"/>
      <c r="G360" s="27"/>
      <c r="H360" s="332"/>
      <c r="I360" s="332"/>
      <c r="J360" s="332"/>
      <c r="K360" s="332"/>
      <c r="L360" s="332"/>
      <c r="M360" s="332"/>
      <c r="N360" s="332"/>
      <c r="O360" s="332"/>
      <c r="P360" s="332"/>
      <c r="Q360" s="332"/>
      <c r="R360" s="332"/>
      <c r="S360" s="332"/>
      <c r="T360" s="332"/>
      <c r="U360" s="332"/>
      <c r="V360" s="332"/>
      <c r="W360" s="332"/>
      <c r="X360" s="332"/>
      <c r="Y360" s="332"/>
      <c r="Z360" s="332"/>
    </row>
    <row r="361" ht="15.75" customHeight="1">
      <c r="A361" s="27"/>
      <c r="B361" s="27"/>
      <c r="C361" s="27"/>
      <c r="D361" s="114"/>
      <c r="E361" s="114"/>
      <c r="F361" s="27"/>
      <c r="G361" s="27"/>
      <c r="H361" s="332"/>
      <c r="I361" s="332"/>
      <c r="J361" s="332"/>
      <c r="K361" s="332"/>
      <c r="L361" s="332"/>
      <c r="M361" s="332"/>
      <c r="N361" s="332"/>
      <c r="O361" s="332"/>
      <c r="P361" s="332"/>
      <c r="Q361" s="332"/>
      <c r="R361" s="332"/>
      <c r="S361" s="332"/>
      <c r="T361" s="332"/>
      <c r="U361" s="332"/>
      <c r="V361" s="332"/>
      <c r="W361" s="332"/>
      <c r="X361" s="332"/>
      <c r="Y361" s="332"/>
      <c r="Z361" s="332"/>
    </row>
    <row r="362" ht="15.75" customHeight="1">
      <c r="A362" s="27"/>
      <c r="B362" s="27"/>
      <c r="C362" s="27"/>
      <c r="D362" s="114"/>
      <c r="E362" s="114"/>
      <c r="F362" s="27"/>
      <c r="G362" s="27"/>
      <c r="H362" s="332"/>
      <c r="I362" s="332"/>
      <c r="J362" s="332"/>
      <c r="K362" s="332"/>
      <c r="L362" s="332"/>
      <c r="M362" s="332"/>
      <c r="N362" s="332"/>
      <c r="O362" s="332"/>
      <c r="P362" s="332"/>
      <c r="Q362" s="332"/>
      <c r="R362" s="332"/>
      <c r="S362" s="332"/>
      <c r="T362" s="332"/>
      <c r="U362" s="332"/>
      <c r="V362" s="332"/>
      <c r="W362" s="332"/>
      <c r="X362" s="332"/>
      <c r="Y362" s="332"/>
      <c r="Z362" s="332"/>
    </row>
    <row r="363" ht="15.75" customHeight="1">
      <c r="A363" s="27"/>
      <c r="B363" s="27"/>
      <c r="C363" s="27"/>
      <c r="D363" s="114"/>
      <c r="E363" s="114"/>
      <c r="F363" s="27"/>
      <c r="G363" s="27"/>
      <c r="H363" s="332"/>
      <c r="I363" s="332"/>
      <c r="J363" s="332"/>
      <c r="K363" s="332"/>
      <c r="L363" s="332"/>
      <c r="M363" s="332"/>
      <c r="N363" s="332"/>
      <c r="O363" s="332"/>
      <c r="P363" s="332"/>
      <c r="Q363" s="332"/>
      <c r="R363" s="332"/>
      <c r="S363" s="332"/>
      <c r="T363" s="332"/>
      <c r="U363" s="332"/>
      <c r="V363" s="332"/>
      <c r="W363" s="332"/>
      <c r="X363" s="332"/>
      <c r="Y363" s="332"/>
      <c r="Z363" s="332"/>
    </row>
    <row r="364" ht="15.75" customHeight="1">
      <c r="A364" s="27"/>
      <c r="B364" s="27"/>
      <c r="C364" s="27"/>
      <c r="D364" s="114"/>
      <c r="E364" s="114"/>
      <c r="F364" s="27"/>
      <c r="G364" s="27"/>
      <c r="H364" s="332"/>
      <c r="I364" s="332"/>
      <c r="J364" s="332"/>
      <c r="K364" s="332"/>
      <c r="L364" s="332"/>
      <c r="M364" s="332"/>
      <c r="N364" s="332"/>
      <c r="O364" s="332"/>
      <c r="P364" s="332"/>
      <c r="Q364" s="332"/>
      <c r="R364" s="332"/>
      <c r="S364" s="332"/>
      <c r="T364" s="332"/>
      <c r="U364" s="332"/>
      <c r="V364" s="332"/>
      <c r="W364" s="332"/>
      <c r="X364" s="332"/>
      <c r="Y364" s="332"/>
      <c r="Z364" s="332"/>
    </row>
    <row r="365" ht="15.75" customHeight="1">
      <c r="A365" s="27"/>
      <c r="B365" s="27"/>
      <c r="C365" s="27"/>
      <c r="D365" s="114"/>
      <c r="E365" s="114"/>
      <c r="F365" s="27"/>
      <c r="G365" s="27"/>
      <c r="H365" s="332"/>
      <c r="I365" s="332"/>
      <c r="J365" s="332"/>
      <c r="K365" s="332"/>
      <c r="L365" s="332"/>
      <c r="M365" s="332"/>
      <c r="N365" s="332"/>
      <c r="O365" s="332"/>
      <c r="P365" s="332"/>
      <c r="Q365" s="332"/>
      <c r="R365" s="332"/>
      <c r="S365" s="332"/>
      <c r="T365" s="332"/>
      <c r="U365" s="332"/>
      <c r="V365" s="332"/>
      <c r="W365" s="332"/>
      <c r="X365" s="332"/>
      <c r="Y365" s="332"/>
      <c r="Z365" s="332"/>
    </row>
    <row r="366" ht="15.75" customHeight="1">
      <c r="A366" s="27"/>
      <c r="B366" s="27"/>
      <c r="C366" s="27"/>
      <c r="D366" s="114"/>
      <c r="E366" s="114"/>
      <c r="F366" s="27"/>
      <c r="G366" s="27"/>
      <c r="H366" s="332"/>
      <c r="I366" s="332"/>
      <c r="J366" s="332"/>
      <c r="K366" s="332"/>
      <c r="L366" s="332"/>
      <c r="M366" s="332"/>
      <c r="N366" s="332"/>
      <c r="O366" s="332"/>
      <c r="P366" s="332"/>
      <c r="Q366" s="332"/>
      <c r="R366" s="332"/>
      <c r="S366" s="332"/>
      <c r="T366" s="332"/>
      <c r="U366" s="332"/>
      <c r="V366" s="332"/>
      <c r="W366" s="332"/>
      <c r="X366" s="332"/>
      <c r="Y366" s="332"/>
      <c r="Z366" s="332"/>
    </row>
    <row r="367" ht="15.75" customHeight="1">
      <c r="A367" s="27"/>
      <c r="B367" s="27"/>
      <c r="C367" s="27"/>
      <c r="D367" s="114"/>
      <c r="E367" s="114"/>
      <c r="F367" s="27"/>
      <c r="G367" s="27"/>
      <c r="H367" s="332"/>
      <c r="I367" s="332"/>
      <c r="J367" s="332"/>
      <c r="K367" s="332"/>
      <c r="L367" s="332"/>
      <c r="M367" s="332"/>
      <c r="N367" s="332"/>
      <c r="O367" s="332"/>
      <c r="P367" s="332"/>
      <c r="Q367" s="332"/>
      <c r="R367" s="332"/>
      <c r="S367" s="332"/>
      <c r="T367" s="332"/>
      <c r="U367" s="332"/>
      <c r="V367" s="332"/>
      <c r="W367" s="332"/>
      <c r="X367" s="332"/>
      <c r="Y367" s="332"/>
      <c r="Z367" s="332"/>
    </row>
    <row r="368" ht="15.75" customHeight="1">
      <c r="A368" s="27"/>
      <c r="B368" s="27"/>
      <c r="C368" s="27"/>
      <c r="D368" s="114"/>
      <c r="E368" s="114"/>
      <c r="F368" s="27"/>
      <c r="G368" s="27"/>
      <c r="H368" s="332"/>
      <c r="I368" s="332"/>
      <c r="J368" s="332"/>
      <c r="K368" s="332"/>
      <c r="L368" s="332"/>
      <c r="M368" s="332"/>
      <c r="N368" s="332"/>
      <c r="O368" s="332"/>
      <c r="P368" s="332"/>
      <c r="Q368" s="332"/>
      <c r="R368" s="332"/>
      <c r="S368" s="332"/>
      <c r="T368" s="332"/>
      <c r="U368" s="332"/>
      <c r="V368" s="332"/>
      <c r="W368" s="332"/>
      <c r="X368" s="332"/>
      <c r="Y368" s="332"/>
      <c r="Z368" s="332"/>
    </row>
    <row r="369" ht="15.75" customHeight="1">
      <c r="A369" s="27"/>
      <c r="B369" s="27"/>
      <c r="C369" s="27"/>
      <c r="D369" s="114"/>
      <c r="E369" s="114"/>
      <c r="F369" s="27"/>
      <c r="G369" s="27"/>
      <c r="H369" s="332"/>
      <c r="I369" s="332"/>
      <c r="J369" s="332"/>
      <c r="K369" s="332"/>
      <c r="L369" s="332"/>
      <c r="M369" s="332"/>
      <c r="N369" s="332"/>
      <c r="O369" s="332"/>
      <c r="P369" s="332"/>
      <c r="Q369" s="332"/>
      <c r="R369" s="332"/>
      <c r="S369" s="332"/>
      <c r="T369" s="332"/>
      <c r="U369" s="332"/>
      <c r="V369" s="332"/>
      <c r="W369" s="332"/>
      <c r="X369" s="332"/>
      <c r="Y369" s="332"/>
      <c r="Z369" s="332"/>
    </row>
    <row r="370" ht="15.75" customHeight="1">
      <c r="A370" s="27"/>
      <c r="B370" s="27"/>
      <c r="C370" s="27"/>
      <c r="D370" s="114"/>
      <c r="E370" s="114"/>
      <c r="F370" s="27"/>
      <c r="G370" s="27"/>
      <c r="H370" s="332"/>
      <c r="I370" s="332"/>
      <c r="J370" s="332"/>
      <c r="K370" s="332"/>
      <c r="L370" s="332"/>
      <c r="M370" s="332"/>
      <c r="N370" s="332"/>
      <c r="O370" s="332"/>
      <c r="P370" s="332"/>
      <c r="Q370" s="332"/>
      <c r="R370" s="332"/>
      <c r="S370" s="332"/>
      <c r="T370" s="332"/>
      <c r="U370" s="332"/>
      <c r="V370" s="332"/>
      <c r="W370" s="332"/>
      <c r="X370" s="332"/>
      <c r="Y370" s="332"/>
      <c r="Z370" s="332"/>
    </row>
    <row r="371" ht="15.75" customHeight="1">
      <c r="A371" s="27"/>
      <c r="B371" s="27"/>
      <c r="C371" s="27"/>
      <c r="D371" s="114"/>
      <c r="E371" s="114"/>
      <c r="F371" s="27"/>
      <c r="G371" s="27"/>
      <c r="H371" s="332"/>
      <c r="I371" s="332"/>
      <c r="J371" s="332"/>
      <c r="K371" s="332"/>
      <c r="L371" s="332"/>
      <c r="M371" s="332"/>
      <c r="N371" s="332"/>
      <c r="O371" s="332"/>
      <c r="P371" s="332"/>
      <c r="Q371" s="332"/>
      <c r="R371" s="332"/>
      <c r="S371" s="332"/>
      <c r="T371" s="332"/>
      <c r="U371" s="332"/>
      <c r="V371" s="332"/>
      <c r="W371" s="332"/>
      <c r="X371" s="332"/>
      <c r="Y371" s="332"/>
      <c r="Z371" s="332"/>
    </row>
    <row r="372" ht="15.75" customHeight="1">
      <c r="A372" s="27"/>
      <c r="B372" s="27"/>
      <c r="C372" s="27"/>
      <c r="D372" s="114"/>
      <c r="E372" s="114"/>
      <c r="F372" s="27"/>
      <c r="G372" s="27"/>
      <c r="H372" s="332"/>
      <c r="I372" s="332"/>
      <c r="J372" s="332"/>
      <c r="K372" s="332"/>
      <c r="L372" s="332"/>
      <c r="M372" s="332"/>
      <c r="N372" s="332"/>
      <c r="O372" s="332"/>
      <c r="P372" s="332"/>
      <c r="Q372" s="332"/>
      <c r="R372" s="332"/>
      <c r="S372" s="332"/>
      <c r="T372" s="332"/>
      <c r="U372" s="332"/>
      <c r="V372" s="332"/>
      <c r="W372" s="332"/>
      <c r="X372" s="332"/>
      <c r="Y372" s="332"/>
      <c r="Z372" s="332"/>
    </row>
    <row r="373" ht="15.75" customHeight="1">
      <c r="A373" s="27"/>
      <c r="B373" s="27"/>
      <c r="C373" s="27"/>
      <c r="D373" s="114"/>
      <c r="E373" s="114"/>
      <c r="F373" s="27"/>
      <c r="G373" s="27"/>
      <c r="H373" s="332"/>
      <c r="I373" s="332"/>
      <c r="J373" s="332"/>
      <c r="K373" s="332"/>
      <c r="L373" s="332"/>
      <c r="M373" s="332"/>
      <c r="N373" s="332"/>
      <c r="O373" s="332"/>
      <c r="P373" s="332"/>
      <c r="Q373" s="332"/>
      <c r="R373" s="332"/>
      <c r="S373" s="332"/>
      <c r="T373" s="332"/>
      <c r="U373" s="332"/>
      <c r="V373" s="332"/>
      <c r="W373" s="332"/>
      <c r="X373" s="332"/>
      <c r="Y373" s="332"/>
      <c r="Z373" s="332"/>
    </row>
    <row r="374" ht="15.75" customHeight="1">
      <c r="A374" s="27"/>
      <c r="B374" s="27"/>
      <c r="C374" s="27"/>
      <c r="D374" s="114"/>
      <c r="E374" s="114"/>
      <c r="F374" s="27"/>
      <c r="G374" s="27"/>
      <c r="H374" s="332"/>
      <c r="I374" s="332"/>
      <c r="J374" s="332"/>
      <c r="K374" s="332"/>
      <c r="L374" s="332"/>
      <c r="M374" s="332"/>
      <c r="N374" s="332"/>
      <c r="O374" s="332"/>
      <c r="P374" s="332"/>
      <c r="Q374" s="332"/>
      <c r="R374" s="332"/>
      <c r="S374" s="332"/>
      <c r="T374" s="332"/>
      <c r="U374" s="332"/>
      <c r="V374" s="332"/>
      <c r="W374" s="332"/>
      <c r="X374" s="332"/>
      <c r="Y374" s="332"/>
      <c r="Z374" s="332"/>
    </row>
    <row r="375" ht="15.75" customHeight="1">
      <c r="A375" s="27"/>
      <c r="B375" s="27"/>
      <c r="C375" s="27"/>
      <c r="D375" s="114"/>
      <c r="E375" s="114"/>
      <c r="F375" s="27"/>
      <c r="G375" s="27"/>
      <c r="H375" s="332"/>
      <c r="I375" s="332"/>
      <c r="J375" s="332"/>
      <c r="K375" s="332"/>
      <c r="L375" s="332"/>
      <c r="M375" s="332"/>
      <c r="N375" s="332"/>
      <c r="O375" s="332"/>
      <c r="P375" s="332"/>
      <c r="Q375" s="332"/>
      <c r="R375" s="332"/>
      <c r="S375" s="332"/>
      <c r="T375" s="332"/>
      <c r="U375" s="332"/>
      <c r="V375" s="332"/>
      <c r="W375" s="332"/>
      <c r="X375" s="332"/>
      <c r="Y375" s="332"/>
      <c r="Z375" s="332"/>
    </row>
    <row r="376" ht="15.75" customHeight="1">
      <c r="A376" s="27"/>
      <c r="B376" s="27"/>
      <c r="C376" s="27"/>
      <c r="D376" s="114"/>
      <c r="E376" s="114"/>
      <c r="F376" s="27"/>
      <c r="G376" s="27"/>
      <c r="H376" s="332"/>
      <c r="I376" s="332"/>
      <c r="J376" s="332"/>
      <c r="K376" s="332"/>
      <c r="L376" s="332"/>
      <c r="M376" s="332"/>
      <c r="N376" s="332"/>
      <c r="O376" s="332"/>
      <c r="P376" s="332"/>
      <c r="Q376" s="332"/>
      <c r="R376" s="332"/>
      <c r="S376" s="332"/>
      <c r="T376" s="332"/>
      <c r="U376" s="332"/>
      <c r="V376" s="332"/>
      <c r="W376" s="332"/>
      <c r="X376" s="332"/>
      <c r="Y376" s="332"/>
      <c r="Z376" s="332"/>
    </row>
    <row r="377" ht="15.75" customHeight="1">
      <c r="A377" s="27"/>
      <c r="B377" s="27"/>
      <c r="C377" s="27"/>
      <c r="D377" s="114"/>
      <c r="E377" s="114"/>
      <c r="F377" s="27"/>
      <c r="G377" s="27"/>
      <c r="H377" s="332"/>
      <c r="I377" s="332"/>
      <c r="J377" s="332"/>
      <c r="K377" s="332"/>
      <c r="L377" s="332"/>
      <c r="M377" s="332"/>
      <c r="N377" s="332"/>
      <c r="O377" s="332"/>
      <c r="P377" s="332"/>
      <c r="Q377" s="332"/>
      <c r="R377" s="332"/>
      <c r="S377" s="332"/>
      <c r="T377" s="332"/>
      <c r="U377" s="332"/>
      <c r="V377" s="332"/>
      <c r="W377" s="332"/>
      <c r="X377" s="332"/>
      <c r="Y377" s="332"/>
      <c r="Z377" s="332"/>
    </row>
    <row r="378" ht="15.75" customHeight="1">
      <c r="A378" s="27"/>
      <c r="B378" s="27"/>
      <c r="C378" s="27"/>
      <c r="D378" s="114"/>
      <c r="E378" s="114"/>
      <c r="F378" s="27"/>
      <c r="G378" s="27"/>
      <c r="H378" s="332"/>
      <c r="I378" s="332"/>
      <c r="J378" s="332"/>
      <c r="K378" s="332"/>
      <c r="L378" s="332"/>
      <c r="M378" s="332"/>
      <c r="N378" s="332"/>
      <c r="O378" s="332"/>
      <c r="P378" s="332"/>
      <c r="Q378" s="332"/>
      <c r="R378" s="332"/>
      <c r="S378" s="332"/>
      <c r="T378" s="332"/>
      <c r="U378" s="332"/>
      <c r="V378" s="332"/>
      <c r="W378" s="332"/>
      <c r="X378" s="332"/>
      <c r="Y378" s="332"/>
      <c r="Z378" s="332"/>
    </row>
    <row r="379" ht="15.75" customHeight="1">
      <c r="A379" s="27"/>
      <c r="B379" s="27"/>
      <c r="C379" s="27"/>
      <c r="D379" s="114"/>
      <c r="E379" s="114"/>
      <c r="F379" s="27"/>
      <c r="G379" s="27"/>
      <c r="H379" s="332"/>
      <c r="I379" s="332"/>
      <c r="J379" s="332"/>
      <c r="K379" s="332"/>
      <c r="L379" s="332"/>
      <c r="M379" s="332"/>
      <c r="N379" s="332"/>
      <c r="O379" s="332"/>
      <c r="P379" s="332"/>
      <c r="Q379" s="332"/>
      <c r="R379" s="332"/>
      <c r="S379" s="332"/>
      <c r="T379" s="332"/>
      <c r="U379" s="332"/>
      <c r="V379" s="332"/>
      <c r="W379" s="332"/>
      <c r="X379" s="332"/>
      <c r="Y379" s="332"/>
      <c r="Z379" s="332"/>
    </row>
    <row r="380" ht="15.75" customHeight="1">
      <c r="A380" s="27"/>
      <c r="B380" s="27"/>
      <c r="C380" s="27"/>
      <c r="D380" s="114"/>
      <c r="E380" s="114"/>
      <c r="F380" s="27"/>
      <c r="G380" s="27"/>
      <c r="H380" s="332"/>
      <c r="I380" s="332"/>
      <c r="J380" s="332"/>
      <c r="K380" s="332"/>
      <c r="L380" s="332"/>
      <c r="M380" s="332"/>
      <c r="N380" s="332"/>
      <c r="O380" s="332"/>
      <c r="P380" s="332"/>
      <c r="Q380" s="332"/>
      <c r="R380" s="332"/>
      <c r="S380" s="332"/>
      <c r="T380" s="332"/>
      <c r="U380" s="332"/>
      <c r="V380" s="332"/>
      <c r="W380" s="332"/>
      <c r="X380" s="332"/>
      <c r="Y380" s="332"/>
      <c r="Z380" s="332"/>
    </row>
    <row r="381" ht="15.75" customHeight="1">
      <c r="A381" s="27"/>
      <c r="B381" s="27"/>
      <c r="C381" s="27"/>
      <c r="D381" s="114"/>
      <c r="E381" s="114"/>
      <c r="F381" s="27"/>
      <c r="G381" s="27"/>
      <c r="H381" s="332"/>
      <c r="I381" s="332"/>
      <c r="J381" s="332"/>
      <c r="K381" s="332"/>
      <c r="L381" s="332"/>
      <c r="M381" s="332"/>
      <c r="N381" s="332"/>
      <c r="O381" s="332"/>
      <c r="P381" s="332"/>
      <c r="Q381" s="332"/>
      <c r="R381" s="332"/>
      <c r="S381" s="332"/>
      <c r="T381" s="332"/>
      <c r="U381" s="332"/>
      <c r="V381" s="332"/>
      <c r="W381" s="332"/>
      <c r="X381" s="332"/>
      <c r="Y381" s="332"/>
      <c r="Z381" s="332"/>
    </row>
    <row r="382" ht="15.75" customHeight="1">
      <c r="A382" s="27"/>
      <c r="B382" s="27"/>
      <c r="C382" s="27"/>
      <c r="D382" s="114"/>
      <c r="E382" s="114"/>
      <c r="F382" s="27"/>
      <c r="G382" s="27"/>
      <c r="H382" s="332"/>
      <c r="I382" s="332"/>
      <c r="J382" s="332"/>
      <c r="K382" s="332"/>
      <c r="L382" s="332"/>
      <c r="M382" s="332"/>
      <c r="N382" s="332"/>
      <c r="O382" s="332"/>
      <c r="P382" s="332"/>
      <c r="Q382" s="332"/>
      <c r="R382" s="332"/>
      <c r="S382" s="332"/>
      <c r="T382" s="332"/>
      <c r="U382" s="332"/>
      <c r="V382" s="332"/>
      <c r="W382" s="332"/>
      <c r="X382" s="332"/>
      <c r="Y382" s="332"/>
      <c r="Z382" s="332"/>
    </row>
    <row r="383" ht="15.75" customHeight="1">
      <c r="A383" s="27"/>
      <c r="B383" s="27"/>
      <c r="C383" s="27"/>
      <c r="D383" s="114"/>
      <c r="E383" s="114"/>
      <c r="F383" s="27"/>
      <c r="G383" s="27"/>
      <c r="H383" s="332"/>
      <c r="I383" s="332"/>
      <c r="J383" s="332"/>
      <c r="K383" s="332"/>
      <c r="L383" s="332"/>
      <c r="M383" s="332"/>
      <c r="N383" s="332"/>
      <c r="O383" s="332"/>
      <c r="P383" s="332"/>
      <c r="Q383" s="332"/>
      <c r="R383" s="332"/>
      <c r="S383" s="332"/>
      <c r="T383" s="332"/>
      <c r="U383" s="332"/>
      <c r="V383" s="332"/>
      <c r="W383" s="332"/>
      <c r="X383" s="332"/>
      <c r="Y383" s="332"/>
      <c r="Z383" s="332"/>
    </row>
    <row r="384" ht="15.75" customHeight="1">
      <c r="A384" s="27"/>
      <c r="B384" s="27"/>
      <c r="C384" s="27"/>
      <c r="D384" s="114"/>
      <c r="E384" s="114"/>
      <c r="F384" s="27"/>
      <c r="G384" s="27"/>
      <c r="H384" s="332"/>
      <c r="I384" s="332"/>
      <c r="J384" s="332"/>
      <c r="K384" s="332"/>
      <c r="L384" s="332"/>
      <c r="M384" s="332"/>
      <c r="N384" s="332"/>
      <c r="O384" s="332"/>
      <c r="P384" s="332"/>
      <c r="Q384" s="332"/>
      <c r="R384" s="332"/>
      <c r="S384" s="332"/>
      <c r="T384" s="332"/>
      <c r="U384" s="332"/>
      <c r="V384" s="332"/>
      <c r="W384" s="332"/>
      <c r="X384" s="332"/>
      <c r="Y384" s="332"/>
      <c r="Z384" s="332"/>
    </row>
    <row r="385" ht="15.75" customHeight="1">
      <c r="A385" s="27"/>
      <c r="B385" s="27"/>
      <c r="C385" s="27"/>
      <c r="D385" s="114"/>
      <c r="E385" s="114"/>
      <c r="F385" s="27"/>
      <c r="G385" s="27"/>
      <c r="H385" s="332"/>
      <c r="I385" s="332"/>
      <c r="J385" s="332"/>
      <c r="K385" s="332"/>
      <c r="L385" s="332"/>
      <c r="M385" s="332"/>
      <c r="N385" s="332"/>
      <c r="O385" s="332"/>
      <c r="P385" s="332"/>
      <c r="Q385" s="332"/>
      <c r="R385" s="332"/>
      <c r="S385" s="332"/>
      <c r="T385" s="332"/>
      <c r="U385" s="332"/>
      <c r="V385" s="332"/>
      <c r="W385" s="332"/>
      <c r="X385" s="332"/>
      <c r="Y385" s="332"/>
      <c r="Z385" s="332"/>
    </row>
    <row r="386" ht="15.75" customHeight="1">
      <c r="A386" s="27"/>
      <c r="B386" s="27"/>
      <c r="C386" s="27"/>
      <c r="D386" s="114"/>
      <c r="E386" s="114"/>
      <c r="F386" s="27"/>
      <c r="G386" s="27"/>
      <c r="H386" s="332"/>
      <c r="I386" s="332"/>
      <c r="J386" s="332"/>
      <c r="K386" s="332"/>
      <c r="L386" s="332"/>
      <c r="M386" s="332"/>
      <c r="N386" s="332"/>
      <c r="O386" s="332"/>
      <c r="P386" s="332"/>
      <c r="Q386" s="332"/>
      <c r="R386" s="332"/>
      <c r="S386" s="332"/>
      <c r="T386" s="332"/>
      <c r="U386" s="332"/>
      <c r="V386" s="332"/>
      <c r="W386" s="332"/>
      <c r="X386" s="332"/>
      <c r="Y386" s="332"/>
      <c r="Z386" s="332"/>
    </row>
    <row r="387" ht="15.75" customHeight="1">
      <c r="A387" s="27"/>
      <c r="B387" s="27"/>
      <c r="C387" s="27"/>
      <c r="D387" s="114"/>
      <c r="E387" s="114"/>
      <c r="F387" s="27"/>
      <c r="G387" s="27"/>
      <c r="H387" s="332"/>
      <c r="I387" s="332"/>
      <c r="J387" s="332"/>
      <c r="K387" s="332"/>
      <c r="L387" s="332"/>
      <c r="M387" s="332"/>
      <c r="N387" s="332"/>
      <c r="O387" s="332"/>
      <c r="P387" s="332"/>
      <c r="Q387" s="332"/>
      <c r="R387" s="332"/>
      <c r="S387" s="332"/>
      <c r="T387" s="332"/>
      <c r="U387" s="332"/>
      <c r="V387" s="332"/>
      <c r="W387" s="332"/>
      <c r="X387" s="332"/>
      <c r="Y387" s="332"/>
      <c r="Z387" s="332"/>
    </row>
    <row r="388" ht="15.75" customHeight="1">
      <c r="A388" s="27"/>
      <c r="B388" s="27"/>
      <c r="C388" s="27"/>
      <c r="D388" s="114"/>
      <c r="E388" s="114"/>
      <c r="F388" s="27"/>
      <c r="G388" s="27"/>
      <c r="H388" s="332"/>
      <c r="I388" s="332"/>
      <c r="J388" s="332"/>
      <c r="K388" s="332"/>
      <c r="L388" s="332"/>
      <c r="M388" s="332"/>
      <c r="N388" s="332"/>
      <c r="O388" s="332"/>
      <c r="P388" s="332"/>
      <c r="Q388" s="332"/>
      <c r="R388" s="332"/>
      <c r="S388" s="332"/>
      <c r="T388" s="332"/>
      <c r="U388" s="332"/>
      <c r="V388" s="332"/>
      <c r="W388" s="332"/>
      <c r="X388" s="332"/>
      <c r="Y388" s="332"/>
      <c r="Z388" s="332"/>
    </row>
    <row r="389" ht="15.75" customHeight="1">
      <c r="A389" s="27"/>
      <c r="B389" s="27"/>
      <c r="C389" s="27"/>
      <c r="D389" s="114"/>
      <c r="E389" s="114"/>
      <c r="F389" s="27"/>
      <c r="G389" s="27"/>
      <c r="H389" s="332"/>
      <c r="I389" s="332"/>
      <c r="J389" s="332"/>
      <c r="K389" s="332"/>
      <c r="L389" s="332"/>
      <c r="M389" s="332"/>
      <c r="N389" s="332"/>
      <c r="O389" s="332"/>
      <c r="P389" s="332"/>
      <c r="Q389" s="332"/>
      <c r="R389" s="332"/>
      <c r="S389" s="332"/>
      <c r="T389" s="332"/>
      <c r="U389" s="332"/>
      <c r="V389" s="332"/>
      <c r="W389" s="332"/>
      <c r="X389" s="332"/>
      <c r="Y389" s="332"/>
      <c r="Z389" s="332"/>
    </row>
    <row r="390" ht="15.75" customHeight="1">
      <c r="A390" s="27"/>
      <c r="B390" s="27"/>
      <c r="C390" s="27"/>
      <c r="D390" s="114"/>
      <c r="E390" s="114"/>
      <c r="F390" s="27"/>
      <c r="G390" s="27"/>
      <c r="H390" s="332"/>
      <c r="I390" s="332"/>
      <c r="J390" s="332"/>
      <c r="K390" s="332"/>
      <c r="L390" s="332"/>
      <c r="M390" s="332"/>
      <c r="N390" s="332"/>
      <c r="O390" s="332"/>
      <c r="P390" s="332"/>
      <c r="Q390" s="332"/>
      <c r="R390" s="332"/>
      <c r="S390" s="332"/>
      <c r="T390" s="332"/>
      <c r="U390" s="332"/>
      <c r="V390" s="332"/>
      <c r="W390" s="332"/>
      <c r="X390" s="332"/>
      <c r="Y390" s="332"/>
      <c r="Z390" s="332"/>
    </row>
    <row r="391" ht="15.75" customHeight="1">
      <c r="A391" s="27"/>
      <c r="B391" s="27"/>
      <c r="C391" s="27"/>
      <c r="D391" s="114"/>
      <c r="E391" s="114"/>
      <c r="F391" s="27"/>
      <c r="G391" s="27"/>
      <c r="H391" s="332"/>
      <c r="I391" s="332"/>
      <c r="J391" s="332"/>
      <c r="K391" s="332"/>
      <c r="L391" s="332"/>
      <c r="M391" s="332"/>
      <c r="N391" s="332"/>
      <c r="O391" s="332"/>
      <c r="P391" s="332"/>
      <c r="Q391" s="332"/>
      <c r="R391" s="332"/>
      <c r="S391" s="332"/>
      <c r="T391" s="332"/>
      <c r="U391" s="332"/>
      <c r="V391" s="332"/>
      <c r="W391" s="332"/>
      <c r="X391" s="332"/>
      <c r="Y391" s="332"/>
      <c r="Z391" s="332"/>
    </row>
    <row r="392" ht="15.75" customHeight="1">
      <c r="A392" s="27"/>
      <c r="B392" s="27"/>
      <c r="C392" s="27"/>
      <c r="D392" s="114"/>
      <c r="E392" s="114"/>
      <c r="F392" s="27"/>
      <c r="G392" s="27"/>
      <c r="H392" s="332"/>
      <c r="I392" s="332"/>
      <c r="J392" s="332"/>
      <c r="K392" s="332"/>
      <c r="L392" s="332"/>
      <c r="M392" s="332"/>
      <c r="N392" s="332"/>
      <c r="O392" s="332"/>
      <c r="P392" s="332"/>
      <c r="Q392" s="332"/>
      <c r="R392" s="332"/>
      <c r="S392" s="332"/>
      <c r="T392" s="332"/>
      <c r="U392" s="332"/>
      <c r="V392" s="332"/>
      <c r="W392" s="332"/>
      <c r="X392" s="332"/>
      <c r="Y392" s="332"/>
      <c r="Z392" s="332"/>
    </row>
    <row r="393" ht="15.75" customHeight="1">
      <c r="A393" s="27"/>
      <c r="B393" s="27"/>
      <c r="C393" s="27"/>
      <c r="D393" s="114"/>
      <c r="E393" s="114"/>
      <c r="F393" s="27"/>
      <c r="G393" s="27"/>
      <c r="H393" s="332"/>
      <c r="I393" s="332"/>
      <c r="J393" s="332"/>
      <c r="K393" s="332"/>
      <c r="L393" s="332"/>
      <c r="M393" s="332"/>
      <c r="N393" s="332"/>
      <c r="O393" s="332"/>
      <c r="P393" s="332"/>
      <c r="Q393" s="332"/>
      <c r="R393" s="332"/>
      <c r="S393" s="332"/>
      <c r="T393" s="332"/>
      <c r="U393" s="332"/>
      <c r="V393" s="332"/>
      <c r="W393" s="332"/>
      <c r="X393" s="332"/>
      <c r="Y393" s="332"/>
      <c r="Z393" s="332"/>
    </row>
    <row r="394" ht="15.75" customHeight="1">
      <c r="A394" s="27"/>
      <c r="B394" s="27"/>
      <c r="C394" s="27"/>
      <c r="D394" s="114"/>
      <c r="E394" s="114"/>
      <c r="F394" s="27"/>
      <c r="G394" s="27"/>
      <c r="H394" s="332"/>
      <c r="I394" s="332"/>
      <c r="J394" s="332"/>
      <c r="K394" s="332"/>
      <c r="L394" s="332"/>
      <c r="M394" s="332"/>
      <c r="N394" s="332"/>
      <c r="O394" s="332"/>
      <c r="P394" s="332"/>
      <c r="Q394" s="332"/>
      <c r="R394" s="332"/>
      <c r="S394" s="332"/>
      <c r="T394" s="332"/>
      <c r="U394" s="332"/>
      <c r="V394" s="332"/>
      <c r="W394" s="332"/>
      <c r="X394" s="332"/>
      <c r="Y394" s="332"/>
      <c r="Z394" s="332"/>
    </row>
    <row r="395" ht="15.75" customHeight="1">
      <c r="A395" s="27"/>
      <c r="B395" s="27"/>
      <c r="C395" s="27"/>
      <c r="D395" s="114"/>
      <c r="E395" s="114"/>
      <c r="F395" s="27"/>
      <c r="G395" s="27"/>
      <c r="H395" s="332"/>
      <c r="I395" s="332"/>
      <c r="J395" s="332"/>
      <c r="K395" s="332"/>
      <c r="L395" s="332"/>
      <c r="M395" s="332"/>
      <c r="N395" s="332"/>
      <c r="O395" s="332"/>
      <c r="P395" s="332"/>
      <c r="Q395" s="332"/>
      <c r="R395" s="332"/>
      <c r="S395" s="332"/>
      <c r="T395" s="332"/>
      <c r="U395" s="332"/>
      <c r="V395" s="332"/>
      <c r="W395" s="332"/>
      <c r="X395" s="332"/>
      <c r="Y395" s="332"/>
      <c r="Z395" s="332"/>
    </row>
    <row r="396" ht="15.75" customHeight="1">
      <c r="A396" s="27"/>
      <c r="B396" s="27"/>
      <c r="C396" s="27"/>
      <c r="D396" s="114"/>
      <c r="E396" s="114"/>
      <c r="F396" s="27"/>
      <c r="G396" s="27"/>
      <c r="H396" s="332"/>
      <c r="I396" s="332"/>
      <c r="J396" s="332"/>
      <c r="K396" s="332"/>
      <c r="L396" s="332"/>
      <c r="M396" s="332"/>
      <c r="N396" s="332"/>
      <c r="O396" s="332"/>
      <c r="P396" s="332"/>
      <c r="Q396" s="332"/>
      <c r="R396" s="332"/>
      <c r="S396" s="332"/>
      <c r="T396" s="332"/>
      <c r="U396" s="332"/>
      <c r="V396" s="332"/>
      <c r="W396" s="332"/>
      <c r="X396" s="332"/>
      <c r="Y396" s="332"/>
      <c r="Z396" s="332"/>
    </row>
    <row r="397" ht="15.75" customHeight="1">
      <c r="A397" s="27"/>
      <c r="B397" s="27"/>
      <c r="C397" s="27"/>
      <c r="D397" s="114"/>
      <c r="E397" s="114"/>
      <c r="F397" s="27"/>
      <c r="G397" s="27"/>
      <c r="H397" s="332"/>
      <c r="I397" s="332"/>
      <c r="J397" s="332"/>
      <c r="K397" s="332"/>
      <c r="L397" s="332"/>
      <c r="M397" s="332"/>
      <c r="N397" s="332"/>
      <c r="O397" s="332"/>
      <c r="P397" s="332"/>
      <c r="Q397" s="332"/>
      <c r="R397" s="332"/>
      <c r="S397" s="332"/>
      <c r="T397" s="332"/>
      <c r="U397" s="332"/>
      <c r="V397" s="332"/>
      <c r="W397" s="332"/>
      <c r="X397" s="332"/>
      <c r="Y397" s="332"/>
      <c r="Z397" s="332"/>
    </row>
    <row r="398" ht="15.75" customHeight="1">
      <c r="A398" s="27"/>
      <c r="B398" s="27"/>
      <c r="C398" s="27"/>
      <c r="D398" s="114"/>
      <c r="E398" s="114"/>
      <c r="F398" s="27"/>
      <c r="G398" s="27"/>
      <c r="H398" s="332"/>
      <c r="I398" s="332"/>
      <c r="J398" s="332"/>
      <c r="K398" s="332"/>
      <c r="L398" s="332"/>
      <c r="M398" s="332"/>
      <c r="N398" s="332"/>
      <c r="O398" s="332"/>
      <c r="P398" s="332"/>
      <c r="Q398" s="332"/>
      <c r="R398" s="332"/>
      <c r="S398" s="332"/>
      <c r="T398" s="332"/>
      <c r="U398" s="332"/>
      <c r="V398" s="332"/>
      <c r="W398" s="332"/>
      <c r="X398" s="332"/>
      <c r="Y398" s="332"/>
      <c r="Z398" s="332"/>
    </row>
    <row r="399" ht="15.75" customHeight="1">
      <c r="A399" s="27"/>
      <c r="B399" s="27"/>
      <c r="C399" s="27"/>
      <c r="D399" s="114"/>
      <c r="E399" s="114"/>
      <c r="F399" s="27"/>
      <c r="G399" s="27"/>
      <c r="H399" s="332"/>
      <c r="I399" s="332"/>
      <c r="J399" s="332"/>
      <c r="K399" s="332"/>
      <c r="L399" s="332"/>
      <c r="M399" s="332"/>
      <c r="N399" s="332"/>
      <c r="O399" s="332"/>
      <c r="P399" s="332"/>
      <c r="Q399" s="332"/>
      <c r="R399" s="332"/>
      <c r="S399" s="332"/>
      <c r="T399" s="332"/>
      <c r="U399" s="332"/>
      <c r="V399" s="332"/>
      <c r="W399" s="332"/>
      <c r="X399" s="332"/>
      <c r="Y399" s="332"/>
      <c r="Z399" s="332"/>
    </row>
    <row r="400" ht="15.75" customHeight="1">
      <c r="A400" s="27"/>
      <c r="B400" s="27"/>
      <c r="C400" s="27"/>
      <c r="D400" s="114"/>
      <c r="E400" s="114"/>
      <c r="F400" s="27"/>
      <c r="G400" s="27"/>
      <c r="H400" s="332"/>
      <c r="I400" s="332"/>
      <c r="J400" s="332"/>
      <c r="K400" s="332"/>
      <c r="L400" s="332"/>
      <c r="M400" s="332"/>
      <c r="N400" s="332"/>
      <c r="O400" s="332"/>
      <c r="P400" s="332"/>
      <c r="Q400" s="332"/>
      <c r="R400" s="332"/>
      <c r="S400" s="332"/>
      <c r="T400" s="332"/>
      <c r="U400" s="332"/>
      <c r="V400" s="332"/>
      <c r="W400" s="332"/>
      <c r="X400" s="332"/>
      <c r="Y400" s="332"/>
      <c r="Z400" s="332"/>
    </row>
    <row r="401" ht="15.75" customHeight="1">
      <c r="A401" s="27"/>
      <c r="B401" s="27"/>
      <c r="C401" s="27"/>
      <c r="D401" s="114"/>
      <c r="E401" s="114"/>
      <c r="F401" s="27"/>
      <c r="G401" s="27"/>
      <c r="H401" s="332"/>
      <c r="I401" s="332"/>
      <c r="J401" s="332"/>
      <c r="K401" s="332"/>
      <c r="L401" s="332"/>
      <c r="M401" s="332"/>
      <c r="N401" s="332"/>
      <c r="O401" s="332"/>
      <c r="P401" s="332"/>
      <c r="Q401" s="332"/>
      <c r="R401" s="332"/>
      <c r="S401" s="332"/>
      <c r="T401" s="332"/>
      <c r="U401" s="332"/>
      <c r="V401" s="332"/>
      <c r="W401" s="332"/>
      <c r="X401" s="332"/>
      <c r="Y401" s="332"/>
      <c r="Z401" s="332"/>
    </row>
    <row r="402" ht="15.75" customHeight="1">
      <c r="A402" s="27"/>
      <c r="B402" s="27"/>
      <c r="C402" s="27"/>
      <c r="D402" s="114"/>
      <c r="E402" s="114"/>
      <c r="F402" s="27"/>
      <c r="G402" s="27"/>
      <c r="H402" s="332"/>
      <c r="I402" s="332"/>
      <c r="J402" s="332"/>
      <c r="K402" s="332"/>
      <c r="L402" s="332"/>
      <c r="M402" s="332"/>
      <c r="N402" s="332"/>
      <c r="O402" s="332"/>
      <c r="P402" s="332"/>
      <c r="Q402" s="332"/>
      <c r="R402" s="332"/>
      <c r="S402" s="332"/>
      <c r="T402" s="332"/>
      <c r="U402" s="332"/>
      <c r="V402" s="332"/>
      <c r="W402" s="332"/>
      <c r="X402" s="332"/>
      <c r="Y402" s="332"/>
      <c r="Z402" s="332"/>
    </row>
    <row r="403" ht="15.75" customHeight="1">
      <c r="A403" s="27"/>
      <c r="B403" s="27"/>
      <c r="C403" s="27"/>
      <c r="D403" s="114"/>
      <c r="E403" s="114"/>
      <c r="F403" s="27"/>
      <c r="G403" s="27"/>
      <c r="H403" s="332"/>
      <c r="I403" s="332"/>
      <c r="J403" s="332"/>
      <c r="K403" s="332"/>
      <c r="L403" s="332"/>
      <c r="M403" s="332"/>
      <c r="N403" s="332"/>
      <c r="O403" s="332"/>
      <c r="P403" s="332"/>
      <c r="Q403" s="332"/>
      <c r="R403" s="332"/>
      <c r="S403" s="332"/>
      <c r="T403" s="332"/>
      <c r="U403" s="332"/>
      <c r="V403" s="332"/>
      <c r="W403" s="332"/>
      <c r="X403" s="332"/>
      <c r="Y403" s="332"/>
      <c r="Z403" s="332"/>
    </row>
    <row r="404" ht="15.75" customHeight="1">
      <c r="A404" s="27"/>
      <c r="B404" s="27"/>
      <c r="C404" s="27"/>
      <c r="D404" s="114"/>
      <c r="E404" s="114"/>
      <c r="F404" s="27"/>
      <c r="G404" s="27"/>
      <c r="H404" s="332"/>
      <c r="I404" s="332"/>
      <c r="J404" s="332"/>
      <c r="K404" s="332"/>
      <c r="L404" s="332"/>
      <c r="M404" s="332"/>
      <c r="N404" s="332"/>
      <c r="O404" s="332"/>
      <c r="P404" s="332"/>
      <c r="Q404" s="332"/>
      <c r="R404" s="332"/>
      <c r="S404" s="332"/>
      <c r="T404" s="332"/>
      <c r="U404" s="332"/>
      <c r="V404" s="332"/>
      <c r="W404" s="332"/>
      <c r="X404" s="332"/>
      <c r="Y404" s="332"/>
      <c r="Z404" s="332"/>
    </row>
    <row r="405" ht="15.75" customHeight="1">
      <c r="A405" s="27"/>
      <c r="B405" s="27"/>
      <c r="C405" s="27"/>
      <c r="D405" s="114"/>
      <c r="E405" s="114"/>
      <c r="F405" s="27"/>
      <c r="G405" s="27"/>
      <c r="H405" s="332"/>
      <c r="I405" s="332"/>
      <c r="J405" s="332"/>
      <c r="K405" s="332"/>
      <c r="L405" s="332"/>
      <c r="M405" s="332"/>
      <c r="N405" s="332"/>
      <c r="O405" s="332"/>
      <c r="P405" s="332"/>
      <c r="Q405" s="332"/>
      <c r="R405" s="332"/>
      <c r="S405" s="332"/>
      <c r="T405" s="332"/>
      <c r="U405" s="332"/>
      <c r="V405" s="332"/>
      <c r="W405" s="332"/>
      <c r="X405" s="332"/>
      <c r="Y405" s="332"/>
      <c r="Z405" s="332"/>
    </row>
    <row r="406" ht="15.75" customHeight="1">
      <c r="A406" s="27"/>
      <c r="B406" s="27"/>
      <c r="C406" s="27"/>
      <c r="D406" s="114"/>
      <c r="E406" s="114"/>
      <c r="F406" s="27"/>
      <c r="G406" s="27"/>
      <c r="H406" s="332"/>
      <c r="I406" s="332"/>
      <c r="J406" s="332"/>
      <c r="K406" s="332"/>
      <c r="L406" s="332"/>
      <c r="M406" s="332"/>
      <c r="N406" s="332"/>
      <c r="O406" s="332"/>
      <c r="P406" s="332"/>
      <c r="Q406" s="332"/>
      <c r="R406" s="332"/>
      <c r="S406" s="332"/>
      <c r="T406" s="332"/>
      <c r="U406" s="332"/>
      <c r="V406" s="332"/>
      <c r="W406" s="332"/>
      <c r="X406" s="332"/>
      <c r="Y406" s="332"/>
      <c r="Z406" s="332"/>
    </row>
    <row r="407" ht="15.75" customHeight="1">
      <c r="A407" s="27"/>
      <c r="B407" s="27"/>
      <c r="C407" s="27"/>
      <c r="D407" s="114"/>
      <c r="E407" s="114"/>
      <c r="F407" s="27"/>
      <c r="G407" s="27"/>
      <c r="H407" s="332"/>
      <c r="I407" s="332"/>
      <c r="J407" s="332"/>
      <c r="K407" s="332"/>
      <c r="L407" s="332"/>
      <c r="M407" s="332"/>
      <c r="N407" s="332"/>
      <c r="O407" s="332"/>
      <c r="P407" s="332"/>
      <c r="Q407" s="332"/>
      <c r="R407" s="332"/>
      <c r="S407" s="332"/>
      <c r="T407" s="332"/>
      <c r="U407" s="332"/>
      <c r="V407" s="332"/>
      <c r="W407" s="332"/>
      <c r="X407" s="332"/>
      <c r="Y407" s="332"/>
      <c r="Z407" s="332"/>
    </row>
    <row r="408" ht="15.75" customHeight="1">
      <c r="A408" s="27"/>
      <c r="B408" s="27"/>
      <c r="C408" s="27"/>
      <c r="D408" s="114"/>
      <c r="E408" s="114"/>
      <c r="F408" s="27"/>
      <c r="G408" s="27"/>
      <c r="H408" s="332"/>
      <c r="I408" s="332"/>
      <c r="J408" s="332"/>
      <c r="K408" s="332"/>
      <c r="L408" s="332"/>
      <c r="M408" s="332"/>
      <c r="N408" s="332"/>
      <c r="O408" s="332"/>
      <c r="P408" s="332"/>
      <c r="Q408" s="332"/>
      <c r="R408" s="332"/>
      <c r="S408" s="332"/>
      <c r="T408" s="332"/>
      <c r="U408" s="332"/>
      <c r="V408" s="332"/>
      <c r="W408" s="332"/>
      <c r="X408" s="332"/>
      <c r="Y408" s="332"/>
      <c r="Z408" s="332"/>
    </row>
    <row r="409" ht="15.75" customHeight="1">
      <c r="A409" s="27"/>
      <c r="B409" s="27"/>
      <c r="C409" s="27"/>
      <c r="D409" s="114"/>
      <c r="E409" s="114"/>
      <c r="F409" s="27"/>
      <c r="G409" s="27"/>
      <c r="H409" s="332"/>
      <c r="I409" s="332"/>
      <c r="J409" s="332"/>
      <c r="K409" s="332"/>
      <c r="L409" s="332"/>
      <c r="M409" s="332"/>
      <c r="N409" s="332"/>
      <c r="O409" s="332"/>
      <c r="P409" s="332"/>
      <c r="Q409" s="332"/>
      <c r="R409" s="332"/>
      <c r="S409" s="332"/>
      <c r="T409" s="332"/>
      <c r="U409" s="332"/>
      <c r="V409" s="332"/>
      <c r="W409" s="332"/>
      <c r="X409" s="332"/>
      <c r="Y409" s="332"/>
      <c r="Z409" s="332"/>
    </row>
    <row r="410" ht="15.75" customHeight="1">
      <c r="A410" s="27"/>
      <c r="B410" s="27"/>
      <c r="C410" s="27"/>
      <c r="D410" s="114"/>
      <c r="E410" s="114"/>
      <c r="F410" s="27"/>
      <c r="G410" s="27"/>
      <c r="H410" s="332"/>
      <c r="I410" s="332"/>
      <c r="J410" s="332"/>
      <c r="K410" s="332"/>
      <c r="L410" s="332"/>
      <c r="M410" s="332"/>
      <c r="N410" s="332"/>
      <c r="O410" s="332"/>
      <c r="P410" s="332"/>
      <c r="Q410" s="332"/>
      <c r="R410" s="332"/>
      <c r="S410" s="332"/>
      <c r="T410" s="332"/>
      <c r="U410" s="332"/>
      <c r="V410" s="332"/>
      <c r="W410" s="332"/>
      <c r="X410" s="332"/>
      <c r="Y410" s="332"/>
      <c r="Z410" s="332"/>
    </row>
    <row r="411" ht="15.75" customHeight="1">
      <c r="A411" s="27"/>
      <c r="B411" s="27"/>
      <c r="C411" s="27"/>
      <c r="D411" s="114"/>
      <c r="E411" s="114"/>
      <c r="F411" s="27"/>
      <c r="G411" s="27"/>
      <c r="H411" s="332"/>
      <c r="I411" s="332"/>
      <c r="J411" s="332"/>
      <c r="K411" s="332"/>
      <c r="L411" s="332"/>
      <c r="M411" s="332"/>
      <c r="N411" s="332"/>
      <c r="O411" s="332"/>
      <c r="P411" s="332"/>
      <c r="Q411" s="332"/>
      <c r="R411" s="332"/>
      <c r="S411" s="332"/>
      <c r="T411" s="332"/>
      <c r="U411" s="332"/>
      <c r="V411" s="332"/>
      <c r="W411" s="332"/>
      <c r="X411" s="332"/>
      <c r="Y411" s="332"/>
      <c r="Z411" s="332"/>
    </row>
    <row r="412" ht="15.75" customHeight="1">
      <c r="A412" s="27"/>
      <c r="B412" s="27"/>
      <c r="C412" s="27"/>
      <c r="D412" s="114"/>
      <c r="E412" s="114"/>
      <c r="F412" s="27"/>
      <c r="G412" s="27"/>
      <c r="H412" s="332"/>
      <c r="I412" s="332"/>
      <c r="J412" s="332"/>
      <c r="K412" s="332"/>
      <c r="L412" s="332"/>
      <c r="M412" s="332"/>
      <c r="N412" s="332"/>
      <c r="O412" s="332"/>
      <c r="P412" s="332"/>
      <c r="Q412" s="332"/>
      <c r="R412" s="332"/>
      <c r="S412" s="332"/>
      <c r="T412" s="332"/>
      <c r="U412" s="332"/>
      <c r="V412" s="332"/>
      <c r="W412" s="332"/>
      <c r="X412" s="332"/>
      <c r="Y412" s="332"/>
      <c r="Z412" s="332"/>
    </row>
    <row r="413" ht="15.75" customHeight="1">
      <c r="A413" s="27"/>
      <c r="B413" s="27"/>
      <c r="C413" s="27"/>
      <c r="D413" s="114"/>
      <c r="E413" s="114"/>
      <c r="F413" s="27"/>
      <c r="G413" s="27"/>
      <c r="H413" s="332"/>
      <c r="I413" s="332"/>
      <c r="J413" s="332"/>
      <c r="K413" s="332"/>
      <c r="L413" s="332"/>
      <c r="M413" s="332"/>
      <c r="N413" s="332"/>
      <c r="O413" s="332"/>
      <c r="P413" s="332"/>
      <c r="Q413" s="332"/>
      <c r="R413" s="332"/>
      <c r="S413" s="332"/>
      <c r="T413" s="332"/>
      <c r="U413" s="332"/>
      <c r="V413" s="332"/>
      <c r="W413" s="332"/>
      <c r="X413" s="332"/>
      <c r="Y413" s="332"/>
      <c r="Z413" s="332"/>
    </row>
    <row r="414" ht="15.75" customHeight="1">
      <c r="A414" s="27"/>
      <c r="B414" s="27"/>
      <c r="C414" s="27"/>
      <c r="D414" s="114"/>
      <c r="E414" s="114"/>
      <c r="F414" s="27"/>
      <c r="G414" s="27"/>
      <c r="H414" s="332"/>
      <c r="I414" s="332"/>
      <c r="J414" s="332"/>
      <c r="K414" s="332"/>
      <c r="L414" s="332"/>
      <c r="M414" s="332"/>
      <c r="N414" s="332"/>
      <c r="O414" s="332"/>
      <c r="P414" s="332"/>
      <c r="Q414" s="332"/>
      <c r="R414" s="332"/>
      <c r="S414" s="332"/>
      <c r="T414" s="332"/>
      <c r="U414" s="332"/>
      <c r="V414" s="332"/>
      <c r="W414" s="332"/>
      <c r="X414" s="332"/>
      <c r="Y414" s="332"/>
      <c r="Z414" s="332"/>
    </row>
    <row r="415" ht="15.75" customHeight="1">
      <c r="A415" s="27"/>
      <c r="B415" s="27"/>
      <c r="C415" s="27"/>
      <c r="D415" s="114"/>
      <c r="E415" s="114"/>
      <c r="F415" s="27"/>
      <c r="G415" s="27"/>
      <c r="H415" s="332"/>
      <c r="I415" s="332"/>
      <c r="J415" s="332"/>
      <c r="K415" s="332"/>
      <c r="L415" s="332"/>
      <c r="M415" s="332"/>
      <c r="N415" s="332"/>
      <c r="O415" s="332"/>
      <c r="P415" s="332"/>
      <c r="Q415" s="332"/>
      <c r="R415" s="332"/>
      <c r="S415" s="332"/>
      <c r="T415" s="332"/>
      <c r="U415" s="332"/>
      <c r="V415" s="332"/>
      <c r="W415" s="332"/>
      <c r="X415" s="332"/>
      <c r="Y415" s="332"/>
      <c r="Z415" s="332"/>
    </row>
    <row r="416" ht="15.75" customHeight="1">
      <c r="A416" s="27"/>
      <c r="B416" s="27"/>
      <c r="C416" s="27"/>
      <c r="D416" s="114"/>
      <c r="E416" s="114"/>
      <c r="F416" s="27"/>
      <c r="G416" s="27"/>
      <c r="H416" s="332"/>
      <c r="I416" s="332"/>
      <c r="J416" s="332"/>
      <c r="K416" s="332"/>
      <c r="L416" s="332"/>
      <c r="M416" s="332"/>
      <c r="N416" s="332"/>
      <c r="O416" s="332"/>
      <c r="P416" s="332"/>
      <c r="Q416" s="332"/>
      <c r="R416" s="332"/>
      <c r="S416" s="332"/>
      <c r="T416" s="332"/>
      <c r="U416" s="332"/>
      <c r="V416" s="332"/>
      <c r="W416" s="332"/>
      <c r="X416" s="332"/>
      <c r="Y416" s="332"/>
      <c r="Z416" s="332"/>
    </row>
    <row r="417" ht="15.75" customHeight="1">
      <c r="A417" s="27"/>
      <c r="B417" s="27"/>
      <c r="C417" s="27"/>
      <c r="D417" s="114"/>
      <c r="E417" s="114"/>
      <c r="F417" s="27"/>
      <c r="G417" s="27"/>
      <c r="H417" s="332"/>
      <c r="I417" s="332"/>
      <c r="J417" s="332"/>
      <c r="K417" s="332"/>
      <c r="L417" s="332"/>
      <c r="M417" s="332"/>
      <c r="N417" s="332"/>
      <c r="O417" s="332"/>
      <c r="P417" s="332"/>
      <c r="Q417" s="332"/>
      <c r="R417" s="332"/>
      <c r="S417" s="332"/>
      <c r="T417" s="332"/>
      <c r="U417" s="332"/>
      <c r="V417" s="332"/>
      <c r="W417" s="332"/>
      <c r="X417" s="332"/>
      <c r="Y417" s="332"/>
      <c r="Z417" s="332"/>
    </row>
    <row r="418" ht="15.75" customHeight="1">
      <c r="A418" s="27"/>
      <c r="B418" s="27"/>
      <c r="C418" s="27"/>
      <c r="D418" s="114"/>
      <c r="E418" s="114"/>
      <c r="F418" s="27"/>
      <c r="G418" s="27"/>
      <c r="H418" s="332"/>
      <c r="I418" s="332"/>
      <c r="J418" s="332"/>
      <c r="K418" s="332"/>
      <c r="L418" s="332"/>
      <c r="M418" s="332"/>
      <c r="N418" s="332"/>
      <c r="O418" s="332"/>
      <c r="P418" s="332"/>
      <c r="Q418" s="332"/>
      <c r="R418" s="332"/>
      <c r="S418" s="332"/>
      <c r="T418" s="332"/>
      <c r="U418" s="332"/>
      <c r="V418" s="332"/>
      <c r="W418" s="332"/>
      <c r="X418" s="332"/>
      <c r="Y418" s="332"/>
      <c r="Z418" s="332"/>
    </row>
    <row r="419" ht="15.75" customHeight="1">
      <c r="A419" s="27"/>
      <c r="B419" s="27"/>
      <c r="C419" s="27"/>
      <c r="D419" s="114"/>
      <c r="E419" s="114"/>
      <c r="F419" s="27"/>
      <c r="G419" s="27"/>
      <c r="H419" s="332"/>
      <c r="I419" s="332"/>
      <c r="J419" s="332"/>
      <c r="K419" s="332"/>
      <c r="L419" s="332"/>
      <c r="M419" s="332"/>
      <c r="N419" s="332"/>
      <c r="O419" s="332"/>
      <c r="P419" s="332"/>
      <c r="Q419" s="332"/>
      <c r="R419" s="332"/>
      <c r="S419" s="332"/>
      <c r="T419" s="332"/>
      <c r="U419" s="332"/>
      <c r="V419" s="332"/>
      <c r="W419" s="332"/>
      <c r="X419" s="332"/>
      <c r="Y419" s="332"/>
      <c r="Z419" s="332"/>
    </row>
    <row r="420" ht="15.75" customHeight="1">
      <c r="A420" s="27"/>
      <c r="B420" s="27"/>
      <c r="C420" s="27"/>
      <c r="D420" s="114"/>
      <c r="E420" s="114"/>
      <c r="F420" s="27"/>
      <c r="G420" s="27"/>
      <c r="H420" s="332"/>
      <c r="I420" s="332"/>
      <c r="J420" s="332"/>
      <c r="K420" s="332"/>
      <c r="L420" s="332"/>
      <c r="M420" s="332"/>
      <c r="N420" s="332"/>
      <c r="O420" s="332"/>
      <c r="P420" s="332"/>
      <c r="Q420" s="332"/>
      <c r="R420" s="332"/>
      <c r="S420" s="332"/>
      <c r="T420" s="332"/>
      <c r="U420" s="332"/>
      <c r="V420" s="332"/>
      <c r="W420" s="332"/>
      <c r="X420" s="332"/>
      <c r="Y420" s="332"/>
      <c r="Z420" s="332"/>
    </row>
    <row r="421" ht="15.75" customHeight="1">
      <c r="A421" s="27"/>
      <c r="B421" s="27"/>
      <c r="C421" s="27"/>
      <c r="D421" s="114"/>
      <c r="E421" s="114"/>
      <c r="F421" s="27"/>
      <c r="G421" s="27"/>
      <c r="H421" s="332"/>
      <c r="I421" s="332"/>
      <c r="J421" s="332"/>
      <c r="K421" s="332"/>
      <c r="L421" s="332"/>
      <c r="M421" s="332"/>
      <c r="N421" s="332"/>
      <c r="O421" s="332"/>
      <c r="P421" s="332"/>
      <c r="Q421" s="332"/>
      <c r="R421" s="332"/>
      <c r="S421" s="332"/>
      <c r="T421" s="332"/>
      <c r="U421" s="332"/>
      <c r="V421" s="332"/>
      <c r="W421" s="332"/>
      <c r="X421" s="332"/>
      <c r="Y421" s="332"/>
      <c r="Z421" s="332"/>
    </row>
    <row r="422" ht="15.75" customHeight="1">
      <c r="A422" s="27"/>
      <c r="B422" s="27"/>
      <c r="C422" s="27"/>
      <c r="D422" s="114"/>
      <c r="E422" s="114"/>
      <c r="F422" s="27"/>
      <c r="G422" s="27"/>
      <c r="H422" s="332"/>
      <c r="I422" s="332"/>
      <c r="J422" s="332"/>
      <c r="K422" s="332"/>
      <c r="L422" s="332"/>
      <c r="M422" s="332"/>
      <c r="N422" s="332"/>
      <c r="O422" s="332"/>
      <c r="P422" s="332"/>
      <c r="Q422" s="332"/>
      <c r="R422" s="332"/>
      <c r="S422" s="332"/>
      <c r="T422" s="332"/>
      <c r="U422" s="332"/>
      <c r="V422" s="332"/>
      <c r="W422" s="332"/>
      <c r="X422" s="332"/>
      <c r="Y422" s="332"/>
      <c r="Z422" s="332"/>
    </row>
    <row r="423" ht="15.75" customHeight="1">
      <c r="A423" s="27"/>
      <c r="B423" s="27"/>
      <c r="C423" s="27"/>
      <c r="D423" s="114"/>
      <c r="E423" s="114"/>
      <c r="F423" s="27"/>
      <c r="G423" s="27"/>
      <c r="H423" s="332"/>
      <c r="I423" s="332"/>
      <c r="J423" s="332"/>
      <c r="K423" s="332"/>
      <c r="L423" s="332"/>
      <c r="M423" s="332"/>
      <c r="N423" s="332"/>
      <c r="O423" s="332"/>
      <c r="P423" s="332"/>
      <c r="Q423" s="332"/>
      <c r="R423" s="332"/>
      <c r="S423" s="332"/>
      <c r="T423" s="332"/>
      <c r="U423" s="332"/>
      <c r="V423" s="332"/>
      <c r="W423" s="332"/>
      <c r="X423" s="332"/>
      <c r="Y423" s="332"/>
      <c r="Z423" s="332"/>
    </row>
    <row r="424" ht="15.75" customHeight="1">
      <c r="A424" s="27"/>
      <c r="B424" s="27"/>
      <c r="C424" s="27"/>
      <c r="D424" s="114"/>
      <c r="E424" s="114"/>
      <c r="F424" s="27"/>
      <c r="G424" s="27"/>
      <c r="H424" s="332"/>
      <c r="I424" s="332"/>
      <c r="J424" s="332"/>
      <c r="K424" s="332"/>
      <c r="L424" s="332"/>
      <c r="M424" s="332"/>
      <c r="N424" s="332"/>
      <c r="O424" s="332"/>
      <c r="P424" s="332"/>
      <c r="Q424" s="332"/>
      <c r="R424" s="332"/>
      <c r="S424" s="332"/>
      <c r="T424" s="332"/>
      <c r="U424" s="332"/>
      <c r="V424" s="332"/>
      <c r="W424" s="332"/>
      <c r="X424" s="332"/>
      <c r="Y424" s="332"/>
      <c r="Z424" s="332"/>
    </row>
    <row r="425" ht="15.75" customHeight="1">
      <c r="A425" s="27"/>
      <c r="B425" s="27"/>
      <c r="C425" s="27"/>
      <c r="D425" s="114"/>
      <c r="E425" s="114"/>
      <c r="F425" s="27"/>
      <c r="G425" s="27"/>
      <c r="H425" s="332"/>
      <c r="I425" s="332"/>
      <c r="J425" s="332"/>
      <c r="K425" s="332"/>
      <c r="L425" s="332"/>
      <c r="M425" s="332"/>
      <c r="N425" s="332"/>
      <c r="O425" s="332"/>
      <c r="P425" s="332"/>
      <c r="Q425" s="332"/>
      <c r="R425" s="332"/>
      <c r="S425" s="332"/>
      <c r="T425" s="332"/>
      <c r="U425" s="332"/>
      <c r="V425" s="332"/>
      <c r="W425" s="332"/>
      <c r="X425" s="332"/>
      <c r="Y425" s="332"/>
      <c r="Z425" s="332"/>
    </row>
    <row r="426" ht="15.75" customHeight="1">
      <c r="A426" s="27"/>
      <c r="B426" s="27"/>
      <c r="C426" s="27"/>
      <c r="D426" s="114"/>
      <c r="E426" s="114"/>
      <c r="F426" s="27"/>
      <c r="G426" s="27"/>
      <c r="H426" s="332"/>
      <c r="I426" s="332"/>
      <c r="J426" s="332"/>
      <c r="K426" s="332"/>
      <c r="L426" s="332"/>
      <c r="M426" s="332"/>
      <c r="N426" s="332"/>
      <c r="O426" s="332"/>
      <c r="P426" s="332"/>
      <c r="Q426" s="332"/>
      <c r="R426" s="332"/>
      <c r="S426" s="332"/>
      <c r="T426" s="332"/>
      <c r="U426" s="332"/>
      <c r="V426" s="332"/>
      <c r="W426" s="332"/>
      <c r="X426" s="332"/>
      <c r="Y426" s="332"/>
      <c r="Z426" s="332"/>
    </row>
    <row r="427" ht="15.75" customHeight="1">
      <c r="A427" s="27"/>
      <c r="B427" s="27"/>
      <c r="C427" s="27"/>
      <c r="D427" s="114"/>
      <c r="E427" s="114"/>
      <c r="F427" s="27"/>
      <c r="G427" s="27"/>
      <c r="H427" s="332"/>
      <c r="I427" s="332"/>
      <c r="J427" s="332"/>
      <c r="K427" s="332"/>
      <c r="L427" s="332"/>
      <c r="M427" s="332"/>
      <c r="N427" s="332"/>
      <c r="O427" s="332"/>
      <c r="P427" s="332"/>
      <c r="Q427" s="332"/>
      <c r="R427" s="332"/>
      <c r="S427" s="332"/>
      <c r="T427" s="332"/>
      <c r="U427" s="332"/>
      <c r="V427" s="332"/>
      <c r="W427" s="332"/>
      <c r="X427" s="332"/>
      <c r="Y427" s="332"/>
      <c r="Z427" s="332"/>
    </row>
    <row r="428" ht="15.75" customHeight="1">
      <c r="A428" s="27"/>
      <c r="B428" s="27"/>
      <c r="C428" s="27"/>
      <c r="D428" s="114"/>
      <c r="E428" s="114"/>
      <c r="F428" s="27"/>
      <c r="G428" s="27"/>
      <c r="H428" s="332"/>
      <c r="I428" s="332"/>
      <c r="J428" s="332"/>
      <c r="K428" s="332"/>
      <c r="L428" s="332"/>
      <c r="M428" s="332"/>
      <c r="N428" s="332"/>
      <c r="O428" s="332"/>
      <c r="P428" s="332"/>
      <c r="Q428" s="332"/>
      <c r="R428" s="332"/>
      <c r="S428" s="332"/>
      <c r="T428" s="332"/>
      <c r="U428" s="332"/>
      <c r="V428" s="332"/>
      <c r="W428" s="332"/>
      <c r="X428" s="332"/>
      <c r="Y428" s="332"/>
      <c r="Z428" s="332"/>
    </row>
    <row r="429" ht="15.75" customHeight="1">
      <c r="A429" s="27"/>
      <c r="B429" s="27"/>
      <c r="C429" s="27"/>
      <c r="D429" s="114"/>
      <c r="E429" s="114"/>
      <c r="F429" s="27"/>
      <c r="G429" s="27"/>
      <c r="H429" s="332"/>
      <c r="I429" s="332"/>
      <c r="J429" s="332"/>
      <c r="K429" s="332"/>
      <c r="L429" s="332"/>
      <c r="M429" s="332"/>
      <c r="N429" s="332"/>
      <c r="O429" s="332"/>
      <c r="P429" s="332"/>
      <c r="Q429" s="332"/>
      <c r="R429" s="332"/>
      <c r="S429" s="332"/>
      <c r="T429" s="332"/>
      <c r="U429" s="332"/>
      <c r="V429" s="332"/>
      <c r="W429" s="332"/>
      <c r="X429" s="332"/>
      <c r="Y429" s="332"/>
      <c r="Z429" s="332"/>
    </row>
    <row r="430" ht="15.75" customHeight="1">
      <c r="A430" s="27"/>
      <c r="B430" s="27"/>
      <c r="C430" s="27"/>
      <c r="D430" s="114"/>
      <c r="E430" s="114"/>
      <c r="F430" s="27"/>
      <c r="G430" s="27"/>
      <c r="H430" s="332"/>
      <c r="I430" s="332"/>
      <c r="J430" s="332"/>
      <c r="K430" s="332"/>
      <c r="L430" s="332"/>
      <c r="M430" s="332"/>
      <c r="N430" s="332"/>
      <c r="O430" s="332"/>
      <c r="P430" s="332"/>
      <c r="Q430" s="332"/>
      <c r="R430" s="332"/>
      <c r="S430" s="332"/>
      <c r="T430" s="332"/>
      <c r="U430" s="332"/>
      <c r="V430" s="332"/>
      <c r="W430" s="332"/>
      <c r="X430" s="332"/>
      <c r="Y430" s="332"/>
      <c r="Z430" s="332"/>
    </row>
    <row r="431" ht="15.75" customHeight="1">
      <c r="A431" s="27"/>
      <c r="B431" s="27"/>
      <c r="C431" s="27"/>
      <c r="D431" s="114"/>
      <c r="E431" s="114"/>
      <c r="F431" s="27"/>
      <c r="G431" s="27"/>
      <c r="H431" s="332"/>
      <c r="I431" s="332"/>
      <c r="J431" s="332"/>
      <c r="K431" s="332"/>
      <c r="L431" s="332"/>
      <c r="M431" s="332"/>
      <c r="N431" s="332"/>
      <c r="O431" s="332"/>
      <c r="P431" s="332"/>
      <c r="Q431" s="332"/>
      <c r="R431" s="332"/>
      <c r="S431" s="332"/>
      <c r="T431" s="332"/>
      <c r="U431" s="332"/>
      <c r="V431" s="332"/>
      <c r="W431" s="332"/>
      <c r="X431" s="332"/>
      <c r="Y431" s="332"/>
      <c r="Z431" s="332"/>
    </row>
    <row r="432" ht="15.75" customHeight="1">
      <c r="A432" s="27"/>
      <c r="B432" s="27"/>
      <c r="C432" s="27"/>
      <c r="D432" s="114"/>
      <c r="E432" s="114"/>
      <c r="F432" s="27"/>
      <c r="G432" s="27"/>
      <c r="H432" s="332"/>
      <c r="I432" s="332"/>
      <c r="J432" s="332"/>
      <c r="K432" s="332"/>
      <c r="L432" s="332"/>
      <c r="M432" s="332"/>
      <c r="N432" s="332"/>
      <c r="O432" s="332"/>
      <c r="P432" s="332"/>
      <c r="Q432" s="332"/>
      <c r="R432" s="332"/>
      <c r="S432" s="332"/>
      <c r="T432" s="332"/>
      <c r="U432" s="332"/>
      <c r="V432" s="332"/>
      <c r="W432" s="332"/>
      <c r="X432" s="332"/>
      <c r="Y432" s="332"/>
      <c r="Z432" s="332"/>
    </row>
    <row r="433" ht="15.75" customHeight="1">
      <c r="A433" s="27"/>
      <c r="B433" s="27"/>
      <c r="C433" s="27"/>
      <c r="D433" s="114"/>
      <c r="E433" s="114"/>
      <c r="F433" s="27"/>
      <c r="G433" s="27"/>
      <c r="H433" s="332"/>
      <c r="I433" s="332"/>
      <c r="J433" s="332"/>
      <c r="K433" s="332"/>
      <c r="L433" s="332"/>
      <c r="M433" s="332"/>
      <c r="N433" s="332"/>
      <c r="O433" s="332"/>
      <c r="P433" s="332"/>
      <c r="Q433" s="332"/>
      <c r="R433" s="332"/>
      <c r="S433" s="332"/>
      <c r="T433" s="332"/>
      <c r="U433" s="332"/>
      <c r="V433" s="332"/>
      <c r="W433" s="332"/>
      <c r="X433" s="332"/>
      <c r="Y433" s="332"/>
      <c r="Z433" s="332"/>
    </row>
    <row r="434" ht="15.75" customHeight="1">
      <c r="A434" s="27"/>
      <c r="B434" s="27"/>
      <c r="C434" s="27"/>
      <c r="D434" s="114"/>
      <c r="E434" s="114"/>
      <c r="F434" s="27"/>
      <c r="G434" s="27"/>
      <c r="H434" s="332"/>
      <c r="I434" s="332"/>
      <c r="J434" s="332"/>
      <c r="K434" s="332"/>
      <c r="L434" s="332"/>
      <c r="M434" s="332"/>
      <c r="N434" s="332"/>
      <c r="O434" s="332"/>
      <c r="P434" s="332"/>
      <c r="Q434" s="332"/>
      <c r="R434" s="332"/>
      <c r="S434" s="332"/>
      <c r="T434" s="332"/>
      <c r="U434" s="332"/>
      <c r="V434" s="332"/>
      <c r="W434" s="332"/>
      <c r="X434" s="332"/>
      <c r="Y434" s="332"/>
      <c r="Z434" s="332"/>
    </row>
    <row r="435" ht="15.75" customHeight="1">
      <c r="A435" s="27"/>
      <c r="B435" s="27"/>
      <c r="C435" s="27"/>
      <c r="D435" s="114"/>
      <c r="E435" s="114"/>
      <c r="F435" s="27"/>
      <c r="G435" s="27"/>
      <c r="H435" s="332"/>
      <c r="I435" s="332"/>
      <c r="J435" s="332"/>
      <c r="K435" s="332"/>
      <c r="L435" s="332"/>
      <c r="M435" s="332"/>
      <c r="N435" s="332"/>
      <c r="O435" s="332"/>
      <c r="P435" s="332"/>
      <c r="Q435" s="332"/>
      <c r="R435" s="332"/>
      <c r="S435" s="332"/>
      <c r="T435" s="332"/>
      <c r="U435" s="332"/>
      <c r="V435" s="332"/>
      <c r="W435" s="332"/>
      <c r="X435" s="332"/>
      <c r="Y435" s="332"/>
      <c r="Z435" s="332"/>
    </row>
    <row r="436" ht="15.75" customHeight="1">
      <c r="A436" s="27"/>
      <c r="B436" s="27"/>
      <c r="C436" s="27"/>
      <c r="D436" s="114"/>
      <c r="E436" s="114"/>
      <c r="F436" s="27"/>
      <c r="G436" s="27"/>
      <c r="H436" s="332"/>
      <c r="I436" s="332"/>
      <c r="J436" s="332"/>
      <c r="K436" s="332"/>
      <c r="L436" s="332"/>
      <c r="M436" s="332"/>
      <c r="N436" s="332"/>
      <c r="O436" s="332"/>
      <c r="P436" s="332"/>
      <c r="Q436" s="332"/>
      <c r="R436" s="332"/>
      <c r="S436" s="332"/>
      <c r="T436" s="332"/>
      <c r="U436" s="332"/>
      <c r="V436" s="332"/>
      <c r="W436" s="332"/>
      <c r="X436" s="332"/>
      <c r="Y436" s="332"/>
      <c r="Z436" s="332"/>
    </row>
    <row r="437" ht="15.75" customHeight="1">
      <c r="A437" s="27"/>
      <c r="B437" s="27"/>
      <c r="C437" s="27"/>
      <c r="D437" s="114"/>
      <c r="E437" s="114"/>
      <c r="F437" s="27"/>
      <c r="G437" s="27"/>
      <c r="H437" s="332"/>
      <c r="I437" s="332"/>
      <c r="J437" s="332"/>
      <c r="K437" s="332"/>
      <c r="L437" s="332"/>
      <c r="M437" s="332"/>
      <c r="N437" s="332"/>
      <c r="O437" s="332"/>
      <c r="P437" s="332"/>
      <c r="Q437" s="332"/>
      <c r="R437" s="332"/>
      <c r="S437" s="332"/>
      <c r="T437" s="332"/>
      <c r="U437" s="332"/>
      <c r="V437" s="332"/>
      <c r="W437" s="332"/>
      <c r="X437" s="332"/>
      <c r="Y437" s="332"/>
      <c r="Z437" s="332"/>
    </row>
    <row r="438" ht="15.75" customHeight="1">
      <c r="A438" s="27"/>
      <c r="B438" s="27"/>
      <c r="C438" s="27"/>
      <c r="D438" s="114"/>
      <c r="E438" s="114"/>
      <c r="F438" s="27"/>
      <c r="G438" s="27"/>
      <c r="H438" s="332"/>
      <c r="I438" s="332"/>
      <c r="J438" s="332"/>
      <c r="K438" s="332"/>
      <c r="L438" s="332"/>
      <c r="M438" s="332"/>
      <c r="N438" s="332"/>
      <c r="O438" s="332"/>
      <c r="P438" s="332"/>
      <c r="Q438" s="332"/>
      <c r="R438" s="332"/>
      <c r="S438" s="332"/>
      <c r="T438" s="332"/>
      <c r="U438" s="332"/>
      <c r="V438" s="332"/>
      <c r="W438" s="332"/>
      <c r="X438" s="332"/>
      <c r="Y438" s="332"/>
      <c r="Z438" s="332"/>
    </row>
    <row r="439" ht="15.75" customHeight="1">
      <c r="A439" s="27"/>
      <c r="B439" s="27"/>
      <c r="C439" s="27"/>
      <c r="D439" s="114"/>
      <c r="E439" s="114"/>
      <c r="F439" s="27"/>
      <c r="G439" s="27"/>
      <c r="H439" s="332"/>
      <c r="I439" s="332"/>
      <c r="J439" s="332"/>
      <c r="K439" s="332"/>
      <c r="L439" s="332"/>
      <c r="M439" s="332"/>
      <c r="N439" s="332"/>
      <c r="O439" s="332"/>
      <c r="P439" s="332"/>
      <c r="Q439" s="332"/>
      <c r="R439" s="332"/>
      <c r="S439" s="332"/>
      <c r="T439" s="332"/>
      <c r="U439" s="332"/>
      <c r="V439" s="332"/>
      <c r="W439" s="332"/>
      <c r="X439" s="332"/>
      <c r="Y439" s="332"/>
      <c r="Z439" s="332"/>
    </row>
    <row r="440" ht="15.75" customHeight="1">
      <c r="A440" s="27"/>
      <c r="B440" s="27"/>
      <c r="C440" s="27"/>
      <c r="D440" s="114"/>
      <c r="E440" s="114"/>
      <c r="F440" s="27"/>
      <c r="G440" s="27"/>
      <c r="H440" s="332"/>
      <c r="I440" s="332"/>
      <c r="J440" s="332"/>
      <c r="K440" s="332"/>
      <c r="L440" s="332"/>
      <c r="M440" s="332"/>
      <c r="N440" s="332"/>
      <c r="O440" s="332"/>
      <c r="P440" s="332"/>
      <c r="Q440" s="332"/>
      <c r="R440" s="332"/>
      <c r="S440" s="332"/>
      <c r="T440" s="332"/>
      <c r="U440" s="332"/>
      <c r="V440" s="332"/>
      <c r="W440" s="332"/>
      <c r="X440" s="332"/>
      <c r="Y440" s="332"/>
      <c r="Z440" s="332"/>
    </row>
    <row r="441" ht="15.75" customHeight="1">
      <c r="A441" s="27"/>
      <c r="B441" s="27"/>
      <c r="C441" s="27"/>
      <c r="D441" s="114"/>
      <c r="E441" s="114"/>
      <c r="F441" s="27"/>
      <c r="G441" s="27"/>
      <c r="H441" s="332"/>
      <c r="I441" s="332"/>
      <c r="J441" s="332"/>
      <c r="K441" s="332"/>
      <c r="L441" s="332"/>
      <c r="M441" s="332"/>
      <c r="N441" s="332"/>
      <c r="O441" s="332"/>
      <c r="P441" s="332"/>
      <c r="Q441" s="332"/>
      <c r="R441" s="332"/>
      <c r="S441" s="332"/>
      <c r="T441" s="332"/>
      <c r="U441" s="332"/>
      <c r="V441" s="332"/>
      <c r="W441" s="332"/>
      <c r="X441" s="332"/>
      <c r="Y441" s="332"/>
      <c r="Z441" s="332"/>
    </row>
    <row r="442" ht="15.75" customHeight="1">
      <c r="A442" s="27"/>
      <c r="B442" s="27"/>
      <c r="C442" s="27"/>
      <c r="D442" s="114"/>
      <c r="E442" s="114"/>
      <c r="F442" s="27"/>
      <c r="G442" s="27"/>
      <c r="H442" s="332"/>
      <c r="I442" s="332"/>
      <c r="J442" s="332"/>
      <c r="K442" s="332"/>
      <c r="L442" s="332"/>
      <c r="M442" s="332"/>
      <c r="N442" s="332"/>
      <c r="O442" s="332"/>
      <c r="P442" s="332"/>
      <c r="Q442" s="332"/>
      <c r="R442" s="332"/>
      <c r="S442" s="332"/>
      <c r="T442" s="332"/>
      <c r="U442" s="332"/>
      <c r="V442" s="332"/>
      <c r="W442" s="332"/>
      <c r="X442" s="332"/>
      <c r="Y442" s="332"/>
      <c r="Z442" s="332"/>
    </row>
    <row r="443" ht="15.75" customHeight="1">
      <c r="A443" s="27"/>
      <c r="B443" s="27"/>
      <c r="C443" s="27"/>
      <c r="D443" s="114"/>
      <c r="E443" s="114"/>
      <c r="F443" s="27"/>
      <c r="G443" s="27"/>
      <c r="H443" s="332"/>
      <c r="I443" s="332"/>
      <c r="J443" s="332"/>
      <c r="K443" s="332"/>
      <c r="L443" s="332"/>
      <c r="M443" s="332"/>
      <c r="N443" s="332"/>
      <c r="O443" s="332"/>
      <c r="P443" s="332"/>
      <c r="Q443" s="332"/>
      <c r="R443" s="332"/>
      <c r="S443" s="332"/>
      <c r="T443" s="332"/>
      <c r="U443" s="332"/>
      <c r="V443" s="332"/>
      <c r="W443" s="332"/>
      <c r="X443" s="332"/>
      <c r="Y443" s="332"/>
      <c r="Z443" s="332"/>
    </row>
    <row r="444" ht="15.75" customHeight="1">
      <c r="A444" s="27"/>
      <c r="B444" s="27"/>
      <c r="C444" s="27"/>
      <c r="D444" s="114"/>
      <c r="E444" s="114"/>
      <c r="F444" s="27"/>
      <c r="G444" s="27"/>
      <c r="H444" s="332"/>
      <c r="I444" s="332"/>
      <c r="J444" s="332"/>
      <c r="K444" s="332"/>
      <c r="L444" s="332"/>
      <c r="M444" s="332"/>
      <c r="N444" s="332"/>
      <c r="O444" s="332"/>
      <c r="P444" s="332"/>
      <c r="Q444" s="332"/>
      <c r="R444" s="332"/>
      <c r="S444" s="332"/>
      <c r="T444" s="332"/>
      <c r="U444" s="332"/>
      <c r="V444" s="332"/>
      <c r="W444" s="332"/>
      <c r="X444" s="332"/>
      <c r="Y444" s="332"/>
      <c r="Z444" s="332"/>
    </row>
    <row r="445" ht="15.75" customHeight="1">
      <c r="A445" s="27"/>
      <c r="B445" s="27"/>
      <c r="C445" s="27"/>
      <c r="D445" s="114"/>
      <c r="E445" s="114"/>
      <c r="F445" s="27"/>
      <c r="G445" s="27"/>
      <c r="H445" s="332"/>
      <c r="I445" s="332"/>
      <c r="J445" s="332"/>
      <c r="K445" s="332"/>
      <c r="L445" s="332"/>
      <c r="M445" s="332"/>
      <c r="N445" s="332"/>
      <c r="O445" s="332"/>
      <c r="P445" s="332"/>
      <c r="Q445" s="332"/>
      <c r="R445" s="332"/>
      <c r="S445" s="332"/>
      <c r="T445" s="332"/>
      <c r="U445" s="332"/>
      <c r="V445" s="332"/>
      <c r="W445" s="332"/>
      <c r="X445" s="332"/>
      <c r="Y445" s="332"/>
      <c r="Z445" s="332"/>
    </row>
    <row r="446" ht="15.75" customHeight="1">
      <c r="A446" s="27"/>
      <c r="B446" s="27"/>
      <c r="C446" s="27"/>
      <c r="D446" s="114"/>
      <c r="E446" s="114"/>
      <c r="F446" s="27"/>
      <c r="G446" s="27"/>
      <c r="H446" s="332"/>
      <c r="I446" s="332"/>
      <c r="J446" s="332"/>
      <c r="K446" s="332"/>
      <c r="L446" s="332"/>
      <c r="M446" s="332"/>
      <c r="N446" s="332"/>
      <c r="O446" s="332"/>
      <c r="P446" s="332"/>
      <c r="Q446" s="332"/>
      <c r="R446" s="332"/>
      <c r="S446" s="332"/>
      <c r="T446" s="332"/>
      <c r="U446" s="332"/>
      <c r="V446" s="332"/>
      <c r="W446" s="332"/>
      <c r="X446" s="332"/>
      <c r="Y446" s="332"/>
      <c r="Z446" s="332"/>
    </row>
    <row r="447" ht="15.75" customHeight="1">
      <c r="A447" s="27"/>
      <c r="B447" s="27"/>
      <c r="C447" s="27"/>
      <c r="D447" s="114"/>
      <c r="E447" s="114"/>
      <c r="F447" s="27"/>
      <c r="G447" s="27"/>
      <c r="H447" s="332"/>
      <c r="I447" s="332"/>
      <c r="J447" s="332"/>
      <c r="K447" s="332"/>
      <c r="L447" s="332"/>
      <c r="M447" s="332"/>
      <c r="N447" s="332"/>
      <c r="O447" s="332"/>
      <c r="P447" s="332"/>
      <c r="Q447" s="332"/>
      <c r="R447" s="332"/>
      <c r="S447" s="332"/>
      <c r="T447" s="332"/>
      <c r="U447" s="332"/>
      <c r="V447" s="332"/>
      <c r="W447" s="332"/>
      <c r="X447" s="332"/>
      <c r="Y447" s="332"/>
      <c r="Z447" s="332"/>
    </row>
    <row r="448" ht="15.75" customHeight="1">
      <c r="A448" s="27"/>
      <c r="B448" s="27"/>
      <c r="C448" s="27"/>
      <c r="D448" s="114"/>
      <c r="E448" s="114"/>
      <c r="F448" s="27"/>
      <c r="G448" s="27"/>
      <c r="H448" s="332"/>
      <c r="I448" s="332"/>
      <c r="J448" s="332"/>
      <c r="K448" s="332"/>
      <c r="L448" s="332"/>
      <c r="M448" s="332"/>
      <c r="N448" s="332"/>
      <c r="O448" s="332"/>
      <c r="P448" s="332"/>
      <c r="Q448" s="332"/>
      <c r="R448" s="332"/>
      <c r="S448" s="332"/>
      <c r="T448" s="332"/>
      <c r="U448" s="332"/>
      <c r="V448" s="332"/>
      <c r="W448" s="332"/>
      <c r="X448" s="332"/>
      <c r="Y448" s="332"/>
      <c r="Z448" s="332"/>
    </row>
    <row r="449" ht="15.75" customHeight="1">
      <c r="A449" s="27"/>
      <c r="B449" s="27"/>
      <c r="C449" s="27"/>
      <c r="D449" s="114"/>
      <c r="E449" s="114"/>
      <c r="F449" s="27"/>
      <c r="G449" s="27"/>
      <c r="H449" s="332"/>
      <c r="I449" s="332"/>
      <c r="J449" s="332"/>
      <c r="K449" s="332"/>
      <c r="L449" s="332"/>
      <c r="M449" s="332"/>
      <c r="N449" s="332"/>
      <c r="O449" s="332"/>
      <c r="P449" s="332"/>
      <c r="Q449" s="332"/>
      <c r="R449" s="332"/>
      <c r="S449" s="332"/>
      <c r="T449" s="332"/>
      <c r="U449" s="332"/>
      <c r="V449" s="332"/>
      <c r="W449" s="332"/>
      <c r="X449" s="332"/>
      <c r="Y449" s="332"/>
      <c r="Z449" s="332"/>
    </row>
    <row r="450" ht="15.75" customHeight="1">
      <c r="A450" s="27"/>
      <c r="B450" s="27"/>
      <c r="C450" s="27"/>
      <c r="D450" s="114"/>
      <c r="E450" s="114"/>
      <c r="F450" s="27"/>
      <c r="G450" s="27"/>
      <c r="H450" s="332"/>
      <c r="I450" s="332"/>
      <c r="J450" s="332"/>
      <c r="K450" s="332"/>
      <c r="L450" s="332"/>
      <c r="M450" s="332"/>
      <c r="N450" s="332"/>
      <c r="O450" s="332"/>
      <c r="P450" s="332"/>
      <c r="Q450" s="332"/>
      <c r="R450" s="332"/>
      <c r="S450" s="332"/>
      <c r="T450" s="332"/>
      <c r="U450" s="332"/>
      <c r="V450" s="332"/>
      <c r="W450" s="332"/>
      <c r="X450" s="332"/>
      <c r="Y450" s="332"/>
      <c r="Z450" s="332"/>
    </row>
    <row r="451" ht="15.75" customHeight="1">
      <c r="A451" s="27"/>
      <c r="B451" s="27"/>
      <c r="C451" s="27"/>
      <c r="D451" s="114"/>
      <c r="E451" s="114"/>
      <c r="F451" s="27"/>
      <c r="G451" s="27"/>
      <c r="H451" s="332"/>
      <c r="I451" s="332"/>
      <c r="J451" s="332"/>
      <c r="K451" s="332"/>
      <c r="L451" s="332"/>
      <c r="M451" s="332"/>
      <c r="N451" s="332"/>
      <c r="O451" s="332"/>
      <c r="P451" s="332"/>
      <c r="Q451" s="332"/>
      <c r="R451" s="332"/>
      <c r="S451" s="332"/>
      <c r="T451" s="332"/>
      <c r="U451" s="332"/>
      <c r="V451" s="332"/>
      <c r="W451" s="332"/>
      <c r="X451" s="332"/>
      <c r="Y451" s="332"/>
      <c r="Z451" s="332"/>
    </row>
    <row r="452" ht="15.75" customHeight="1">
      <c r="A452" s="27"/>
      <c r="B452" s="27"/>
      <c r="C452" s="27"/>
      <c r="D452" s="114"/>
      <c r="E452" s="114"/>
      <c r="F452" s="27"/>
      <c r="G452" s="27"/>
      <c r="H452" s="332"/>
      <c r="I452" s="332"/>
      <c r="J452" s="332"/>
      <c r="K452" s="332"/>
      <c r="L452" s="332"/>
      <c r="M452" s="332"/>
      <c r="N452" s="332"/>
      <c r="O452" s="332"/>
      <c r="P452" s="332"/>
      <c r="Q452" s="332"/>
      <c r="R452" s="332"/>
      <c r="S452" s="332"/>
      <c r="T452" s="332"/>
      <c r="U452" s="332"/>
      <c r="V452" s="332"/>
      <c r="W452" s="332"/>
      <c r="X452" s="332"/>
      <c r="Y452" s="332"/>
      <c r="Z452" s="332"/>
    </row>
    <row r="453" ht="15.75" customHeight="1">
      <c r="A453" s="27"/>
      <c r="B453" s="27"/>
      <c r="C453" s="27"/>
      <c r="D453" s="114"/>
      <c r="E453" s="114"/>
      <c r="F453" s="27"/>
      <c r="G453" s="27"/>
      <c r="H453" s="332"/>
      <c r="I453" s="332"/>
      <c r="J453" s="332"/>
      <c r="K453" s="332"/>
      <c r="L453" s="332"/>
      <c r="M453" s="332"/>
      <c r="N453" s="332"/>
      <c r="O453" s="332"/>
      <c r="P453" s="332"/>
      <c r="Q453" s="332"/>
      <c r="R453" s="332"/>
      <c r="S453" s="332"/>
      <c r="T453" s="332"/>
      <c r="U453" s="332"/>
      <c r="V453" s="332"/>
      <c r="W453" s="332"/>
      <c r="X453" s="332"/>
      <c r="Y453" s="332"/>
      <c r="Z453" s="332"/>
    </row>
    <row r="454" ht="15.75" customHeight="1">
      <c r="A454" s="27"/>
      <c r="B454" s="27"/>
      <c r="C454" s="27"/>
      <c r="D454" s="114"/>
      <c r="E454" s="114"/>
      <c r="F454" s="27"/>
      <c r="G454" s="27"/>
      <c r="H454" s="332"/>
      <c r="I454" s="332"/>
      <c r="J454" s="332"/>
      <c r="K454" s="332"/>
      <c r="L454" s="332"/>
      <c r="M454" s="332"/>
      <c r="N454" s="332"/>
      <c r="O454" s="332"/>
      <c r="P454" s="332"/>
      <c r="Q454" s="332"/>
      <c r="R454" s="332"/>
      <c r="S454" s="332"/>
      <c r="T454" s="332"/>
      <c r="U454" s="332"/>
      <c r="V454" s="332"/>
      <c r="W454" s="332"/>
      <c r="X454" s="332"/>
      <c r="Y454" s="332"/>
      <c r="Z454" s="332"/>
    </row>
    <row r="455" ht="15.75" customHeight="1">
      <c r="A455" s="27"/>
      <c r="B455" s="27"/>
      <c r="C455" s="27"/>
      <c r="D455" s="114"/>
      <c r="E455" s="114"/>
      <c r="F455" s="27"/>
      <c r="G455" s="27"/>
      <c r="H455" s="332"/>
      <c r="I455" s="332"/>
      <c r="J455" s="332"/>
      <c r="K455" s="332"/>
      <c r="L455" s="332"/>
      <c r="M455" s="332"/>
      <c r="N455" s="332"/>
      <c r="O455" s="332"/>
      <c r="P455" s="332"/>
      <c r="Q455" s="332"/>
      <c r="R455" s="332"/>
      <c r="S455" s="332"/>
      <c r="T455" s="332"/>
      <c r="U455" s="332"/>
      <c r="V455" s="332"/>
      <c r="W455" s="332"/>
      <c r="X455" s="332"/>
      <c r="Y455" s="332"/>
      <c r="Z455" s="332"/>
    </row>
    <row r="456" ht="15.75" customHeight="1">
      <c r="A456" s="27"/>
      <c r="B456" s="27"/>
      <c r="C456" s="27"/>
      <c r="D456" s="114"/>
      <c r="E456" s="114"/>
      <c r="F456" s="27"/>
      <c r="G456" s="27"/>
      <c r="H456" s="332"/>
      <c r="I456" s="332"/>
      <c r="J456" s="332"/>
      <c r="K456" s="332"/>
      <c r="L456" s="332"/>
      <c r="M456" s="332"/>
      <c r="N456" s="332"/>
      <c r="O456" s="332"/>
      <c r="P456" s="332"/>
      <c r="Q456" s="332"/>
      <c r="R456" s="332"/>
      <c r="S456" s="332"/>
      <c r="T456" s="332"/>
      <c r="U456" s="332"/>
      <c r="V456" s="332"/>
      <c r="W456" s="332"/>
      <c r="X456" s="332"/>
      <c r="Y456" s="332"/>
      <c r="Z456" s="332"/>
    </row>
    <row r="457" ht="15.75" customHeight="1">
      <c r="A457" s="27"/>
      <c r="B457" s="27"/>
      <c r="C457" s="27"/>
      <c r="D457" s="114"/>
      <c r="E457" s="114"/>
      <c r="F457" s="27"/>
      <c r="G457" s="27"/>
      <c r="H457" s="332"/>
      <c r="I457" s="332"/>
      <c r="J457" s="332"/>
      <c r="K457" s="332"/>
      <c r="L457" s="332"/>
      <c r="M457" s="332"/>
      <c r="N457" s="332"/>
      <c r="O457" s="332"/>
      <c r="P457" s="332"/>
      <c r="Q457" s="332"/>
      <c r="R457" s="332"/>
      <c r="S457" s="332"/>
      <c r="T457" s="332"/>
      <c r="U457" s="332"/>
      <c r="V457" s="332"/>
      <c r="W457" s="332"/>
      <c r="X457" s="332"/>
      <c r="Y457" s="332"/>
      <c r="Z457" s="332"/>
    </row>
    <row r="458" ht="15.75" customHeight="1">
      <c r="A458" s="27"/>
      <c r="B458" s="27"/>
      <c r="C458" s="27"/>
      <c r="D458" s="114"/>
      <c r="E458" s="114"/>
      <c r="F458" s="27"/>
      <c r="G458" s="27"/>
      <c r="H458" s="332"/>
      <c r="I458" s="332"/>
      <c r="J458" s="332"/>
      <c r="K458" s="332"/>
      <c r="L458" s="332"/>
      <c r="M458" s="332"/>
      <c r="N458" s="332"/>
      <c r="O458" s="332"/>
      <c r="P458" s="332"/>
      <c r="Q458" s="332"/>
      <c r="R458" s="332"/>
      <c r="S458" s="332"/>
      <c r="T458" s="332"/>
      <c r="U458" s="332"/>
      <c r="V458" s="332"/>
      <c r="W458" s="332"/>
      <c r="X458" s="332"/>
      <c r="Y458" s="332"/>
      <c r="Z458" s="332"/>
    </row>
    <row r="459" ht="15.75" customHeight="1">
      <c r="A459" s="27"/>
      <c r="B459" s="27"/>
      <c r="C459" s="27"/>
      <c r="D459" s="114"/>
      <c r="E459" s="114"/>
      <c r="F459" s="27"/>
      <c r="G459" s="27"/>
      <c r="H459" s="332"/>
      <c r="I459" s="332"/>
      <c r="J459" s="332"/>
      <c r="K459" s="332"/>
      <c r="L459" s="332"/>
      <c r="M459" s="332"/>
      <c r="N459" s="332"/>
      <c r="O459" s="332"/>
      <c r="P459" s="332"/>
      <c r="Q459" s="332"/>
      <c r="R459" s="332"/>
      <c r="S459" s="332"/>
      <c r="T459" s="332"/>
      <c r="U459" s="332"/>
      <c r="V459" s="332"/>
      <c r="W459" s="332"/>
      <c r="X459" s="332"/>
      <c r="Y459" s="332"/>
      <c r="Z459" s="332"/>
    </row>
    <row r="460" ht="15.75" customHeight="1">
      <c r="A460" s="27"/>
      <c r="B460" s="27"/>
      <c r="C460" s="27"/>
      <c r="D460" s="114"/>
      <c r="E460" s="114"/>
      <c r="F460" s="27"/>
      <c r="G460" s="27"/>
      <c r="H460" s="332"/>
      <c r="I460" s="332"/>
      <c r="J460" s="332"/>
      <c r="K460" s="332"/>
      <c r="L460" s="332"/>
      <c r="M460" s="332"/>
      <c r="N460" s="332"/>
      <c r="O460" s="332"/>
      <c r="P460" s="332"/>
      <c r="Q460" s="332"/>
      <c r="R460" s="332"/>
      <c r="S460" s="332"/>
      <c r="T460" s="332"/>
      <c r="U460" s="332"/>
      <c r="V460" s="332"/>
      <c r="W460" s="332"/>
      <c r="X460" s="332"/>
      <c r="Y460" s="332"/>
      <c r="Z460" s="332"/>
    </row>
    <row r="461" ht="15.75" customHeight="1">
      <c r="A461" s="27"/>
      <c r="B461" s="27"/>
      <c r="C461" s="27"/>
      <c r="D461" s="114"/>
      <c r="E461" s="114"/>
      <c r="F461" s="27"/>
      <c r="G461" s="27"/>
      <c r="H461" s="332"/>
      <c r="I461" s="332"/>
      <c r="J461" s="332"/>
      <c r="K461" s="332"/>
      <c r="L461" s="332"/>
      <c r="M461" s="332"/>
      <c r="N461" s="332"/>
      <c r="O461" s="332"/>
      <c r="P461" s="332"/>
      <c r="Q461" s="332"/>
      <c r="R461" s="332"/>
      <c r="S461" s="332"/>
      <c r="T461" s="332"/>
      <c r="U461" s="332"/>
      <c r="V461" s="332"/>
      <c r="W461" s="332"/>
      <c r="X461" s="332"/>
      <c r="Y461" s="332"/>
      <c r="Z461" s="332"/>
    </row>
    <row r="462" ht="15.75" customHeight="1">
      <c r="A462" s="27"/>
      <c r="B462" s="27"/>
      <c r="C462" s="27"/>
      <c r="D462" s="114"/>
      <c r="E462" s="114"/>
      <c r="F462" s="27"/>
      <c r="G462" s="27"/>
      <c r="H462" s="332"/>
      <c r="I462" s="332"/>
      <c r="J462" s="332"/>
      <c r="K462" s="332"/>
      <c r="L462" s="332"/>
      <c r="M462" s="332"/>
      <c r="N462" s="332"/>
      <c r="O462" s="332"/>
      <c r="P462" s="332"/>
      <c r="Q462" s="332"/>
      <c r="R462" s="332"/>
      <c r="S462" s="332"/>
      <c r="T462" s="332"/>
      <c r="U462" s="332"/>
      <c r="V462" s="332"/>
      <c r="W462" s="332"/>
      <c r="X462" s="332"/>
      <c r="Y462" s="332"/>
      <c r="Z462" s="332"/>
    </row>
    <row r="463" ht="15.75" customHeight="1">
      <c r="A463" s="27"/>
      <c r="B463" s="27"/>
      <c r="C463" s="27"/>
      <c r="D463" s="114"/>
      <c r="E463" s="114"/>
      <c r="F463" s="27"/>
      <c r="G463" s="27"/>
      <c r="H463" s="332"/>
      <c r="I463" s="332"/>
      <c r="J463" s="332"/>
      <c r="K463" s="332"/>
      <c r="L463" s="332"/>
      <c r="M463" s="332"/>
      <c r="N463" s="332"/>
      <c r="O463" s="332"/>
      <c r="P463" s="332"/>
      <c r="Q463" s="332"/>
      <c r="R463" s="332"/>
      <c r="S463" s="332"/>
      <c r="T463" s="332"/>
      <c r="U463" s="332"/>
      <c r="V463" s="332"/>
      <c r="W463" s="332"/>
      <c r="X463" s="332"/>
      <c r="Y463" s="332"/>
      <c r="Z463" s="332"/>
    </row>
    <row r="464" ht="15.75" customHeight="1">
      <c r="A464" s="27"/>
      <c r="B464" s="27"/>
      <c r="C464" s="27"/>
      <c r="D464" s="114"/>
      <c r="E464" s="114"/>
      <c r="F464" s="27"/>
      <c r="G464" s="27"/>
      <c r="H464" s="332"/>
      <c r="I464" s="332"/>
      <c r="J464" s="332"/>
      <c r="K464" s="332"/>
      <c r="L464" s="332"/>
      <c r="M464" s="332"/>
      <c r="N464" s="332"/>
      <c r="O464" s="332"/>
      <c r="P464" s="332"/>
      <c r="Q464" s="332"/>
      <c r="R464" s="332"/>
      <c r="S464" s="332"/>
      <c r="T464" s="332"/>
      <c r="U464" s="332"/>
      <c r="V464" s="332"/>
      <c r="W464" s="332"/>
      <c r="X464" s="332"/>
      <c r="Y464" s="332"/>
      <c r="Z464" s="332"/>
    </row>
    <row r="465" ht="15.75" customHeight="1">
      <c r="A465" s="27"/>
      <c r="B465" s="27"/>
      <c r="C465" s="27"/>
      <c r="D465" s="114"/>
      <c r="E465" s="114"/>
      <c r="F465" s="27"/>
      <c r="G465" s="27"/>
      <c r="H465" s="332"/>
      <c r="I465" s="332"/>
      <c r="J465" s="332"/>
      <c r="K465" s="332"/>
      <c r="L465" s="332"/>
      <c r="M465" s="332"/>
      <c r="N465" s="332"/>
      <c r="O465" s="332"/>
      <c r="P465" s="332"/>
      <c r="Q465" s="332"/>
      <c r="R465" s="332"/>
      <c r="S465" s="332"/>
      <c r="T465" s="332"/>
      <c r="U465" s="332"/>
      <c r="V465" s="332"/>
      <c r="W465" s="332"/>
      <c r="X465" s="332"/>
      <c r="Y465" s="332"/>
      <c r="Z465" s="332"/>
    </row>
    <row r="466" ht="15.75" customHeight="1">
      <c r="A466" s="27"/>
      <c r="B466" s="27"/>
      <c r="C466" s="27"/>
      <c r="D466" s="114"/>
      <c r="E466" s="114"/>
      <c r="F466" s="27"/>
      <c r="G466" s="27"/>
      <c r="H466" s="332"/>
      <c r="I466" s="332"/>
      <c r="J466" s="332"/>
      <c r="K466" s="332"/>
      <c r="L466" s="332"/>
      <c r="M466" s="332"/>
      <c r="N466" s="332"/>
      <c r="O466" s="332"/>
      <c r="P466" s="332"/>
      <c r="Q466" s="332"/>
      <c r="R466" s="332"/>
      <c r="S466" s="332"/>
      <c r="T466" s="332"/>
      <c r="U466" s="332"/>
      <c r="V466" s="332"/>
      <c r="W466" s="332"/>
      <c r="X466" s="332"/>
      <c r="Y466" s="332"/>
      <c r="Z466" s="332"/>
    </row>
    <row r="467" ht="15.75" customHeight="1">
      <c r="A467" s="27"/>
      <c r="B467" s="27"/>
      <c r="C467" s="27"/>
      <c r="D467" s="114"/>
      <c r="E467" s="114"/>
      <c r="F467" s="27"/>
      <c r="G467" s="27"/>
      <c r="H467" s="332"/>
      <c r="I467" s="332"/>
      <c r="J467" s="332"/>
      <c r="K467" s="332"/>
      <c r="L467" s="332"/>
      <c r="M467" s="332"/>
      <c r="N467" s="332"/>
      <c r="O467" s="332"/>
      <c r="P467" s="332"/>
      <c r="Q467" s="332"/>
      <c r="R467" s="332"/>
      <c r="S467" s="332"/>
      <c r="T467" s="332"/>
      <c r="U467" s="332"/>
      <c r="V467" s="332"/>
      <c r="W467" s="332"/>
      <c r="X467" s="332"/>
      <c r="Y467" s="332"/>
      <c r="Z467" s="332"/>
    </row>
    <row r="468" ht="15.75" customHeight="1">
      <c r="A468" s="27"/>
      <c r="B468" s="27"/>
      <c r="C468" s="27"/>
      <c r="D468" s="114"/>
      <c r="E468" s="114"/>
      <c r="F468" s="27"/>
      <c r="G468" s="27"/>
      <c r="H468" s="332"/>
      <c r="I468" s="332"/>
      <c r="J468" s="332"/>
      <c r="K468" s="332"/>
      <c r="L468" s="332"/>
      <c r="M468" s="332"/>
      <c r="N468" s="332"/>
      <c r="O468" s="332"/>
      <c r="P468" s="332"/>
      <c r="Q468" s="332"/>
      <c r="R468" s="332"/>
      <c r="S468" s="332"/>
      <c r="T468" s="332"/>
      <c r="U468" s="332"/>
      <c r="V468" s="332"/>
      <c r="W468" s="332"/>
      <c r="X468" s="332"/>
      <c r="Y468" s="332"/>
      <c r="Z468" s="332"/>
    </row>
    <row r="469" ht="15.75" customHeight="1">
      <c r="A469" s="27"/>
      <c r="B469" s="27"/>
      <c r="C469" s="27"/>
      <c r="D469" s="114"/>
      <c r="E469" s="114"/>
      <c r="F469" s="27"/>
      <c r="G469" s="27"/>
      <c r="H469" s="332"/>
      <c r="I469" s="332"/>
      <c r="J469" s="332"/>
      <c r="K469" s="332"/>
      <c r="L469" s="332"/>
      <c r="M469" s="332"/>
      <c r="N469" s="332"/>
      <c r="O469" s="332"/>
      <c r="P469" s="332"/>
      <c r="Q469" s="332"/>
      <c r="R469" s="332"/>
      <c r="S469" s="332"/>
      <c r="T469" s="332"/>
      <c r="U469" s="332"/>
      <c r="V469" s="332"/>
      <c r="W469" s="332"/>
      <c r="X469" s="332"/>
      <c r="Y469" s="332"/>
      <c r="Z469" s="332"/>
    </row>
    <row r="470" ht="15.75" customHeight="1">
      <c r="A470" s="27"/>
      <c r="B470" s="27"/>
      <c r="C470" s="27"/>
      <c r="D470" s="114"/>
      <c r="E470" s="114"/>
      <c r="F470" s="27"/>
      <c r="G470" s="27"/>
      <c r="H470" s="332"/>
      <c r="I470" s="332"/>
      <c r="J470" s="332"/>
      <c r="K470" s="332"/>
      <c r="L470" s="332"/>
      <c r="M470" s="332"/>
      <c r="N470" s="332"/>
      <c r="O470" s="332"/>
      <c r="P470" s="332"/>
      <c r="Q470" s="332"/>
      <c r="R470" s="332"/>
      <c r="S470" s="332"/>
      <c r="T470" s="332"/>
      <c r="U470" s="332"/>
      <c r="V470" s="332"/>
      <c r="W470" s="332"/>
      <c r="X470" s="332"/>
      <c r="Y470" s="332"/>
      <c r="Z470" s="332"/>
    </row>
    <row r="471" ht="15.75" customHeight="1">
      <c r="A471" s="27"/>
      <c r="B471" s="27"/>
      <c r="C471" s="27"/>
      <c r="D471" s="114"/>
      <c r="E471" s="114"/>
      <c r="F471" s="27"/>
      <c r="G471" s="27"/>
      <c r="H471" s="332"/>
      <c r="I471" s="332"/>
      <c r="J471" s="332"/>
      <c r="K471" s="332"/>
      <c r="L471" s="332"/>
      <c r="M471" s="332"/>
      <c r="N471" s="332"/>
      <c r="O471" s="332"/>
      <c r="P471" s="332"/>
      <c r="Q471" s="332"/>
      <c r="R471" s="332"/>
      <c r="S471" s="332"/>
      <c r="T471" s="332"/>
      <c r="U471" s="332"/>
      <c r="V471" s="332"/>
      <c r="W471" s="332"/>
      <c r="X471" s="332"/>
      <c r="Y471" s="332"/>
      <c r="Z471" s="332"/>
    </row>
    <row r="472" ht="15.75" customHeight="1">
      <c r="A472" s="27"/>
      <c r="B472" s="27"/>
      <c r="C472" s="27"/>
      <c r="D472" s="114"/>
      <c r="E472" s="114"/>
      <c r="F472" s="27"/>
      <c r="G472" s="27"/>
      <c r="H472" s="332"/>
      <c r="I472" s="332"/>
      <c r="J472" s="332"/>
      <c r="K472" s="332"/>
      <c r="L472" s="332"/>
      <c r="M472" s="332"/>
      <c r="N472" s="332"/>
      <c r="O472" s="332"/>
      <c r="P472" s="332"/>
      <c r="Q472" s="332"/>
      <c r="R472" s="332"/>
      <c r="S472" s="332"/>
      <c r="T472" s="332"/>
      <c r="U472" s="332"/>
      <c r="V472" s="332"/>
      <c r="W472" s="332"/>
      <c r="X472" s="332"/>
      <c r="Y472" s="332"/>
      <c r="Z472" s="332"/>
    </row>
    <row r="473" ht="15.75" customHeight="1">
      <c r="A473" s="27"/>
      <c r="B473" s="27"/>
      <c r="C473" s="27"/>
      <c r="D473" s="114"/>
      <c r="E473" s="114"/>
      <c r="F473" s="27"/>
      <c r="G473" s="27"/>
      <c r="H473" s="332"/>
      <c r="I473" s="332"/>
      <c r="J473" s="332"/>
      <c r="K473" s="332"/>
      <c r="L473" s="332"/>
      <c r="M473" s="332"/>
      <c r="N473" s="332"/>
      <c r="O473" s="332"/>
      <c r="P473" s="332"/>
      <c r="Q473" s="332"/>
      <c r="R473" s="332"/>
      <c r="S473" s="332"/>
      <c r="T473" s="332"/>
      <c r="U473" s="332"/>
      <c r="V473" s="332"/>
      <c r="W473" s="332"/>
      <c r="X473" s="332"/>
      <c r="Y473" s="332"/>
      <c r="Z473" s="332"/>
    </row>
    <row r="474" ht="15.75" customHeight="1">
      <c r="A474" s="27"/>
      <c r="B474" s="27"/>
      <c r="C474" s="27"/>
      <c r="D474" s="114"/>
      <c r="E474" s="114"/>
      <c r="F474" s="27"/>
      <c r="G474" s="27"/>
      <c r="H474" s="332"/>
      <c r="I474" s="332"/>
      <c r="J474" s="332"/>
      <c r="K474" s="332"/>
      <c r="L474" s="332"/>
      <c r="M474" s="332"/>
      <c r="N474" s="332"/>
      <c r="O474" s="332"/>
      <c r="P474" s="332"/>
      <c r="Q474" s="332"/>
      <c r="R474" s="332"/>
      <c r="S474" s="332"/>
      <c r="T474" s="332"/>
      <c r="U474" s="332"/>
      <c r="V474" s="332"/>
      <c r="W474" s="332"/>
      <c r="X474" s="332"/>
      <c r="Y474" s="332"/>
      <c r="Z474" s="332"/>
    </row>
    <row r="475" ht="15.75" customHeight="1">
      <c r="A475" s="27"/>
      <c r="B475" s="27"/>
      <c r="C475" s="27"/>
      <c r="D475" s="114"/>
      <c r="E475" s="114"/>
      <c r="F475" s="27"/>
      <c r="G475" s="27"/>
      <c r="H475" s="332"/>
      <c r="I475" s="332"/>
      <c r="J475" s="332"/>
      <c r="K475" s="332"/>
      <c r="L475" s="332"/>
      <c r="M475" s="332"/>
      <c r="N475" s="332"/>
      <c r="O475" s="332"/>
      <c r="P475" s="332"/>
      <c r="Q475" s="332"/>
      <c r="R475" s="332"/>
      <c r="S475" s="332"/>
      <c r="T475" s="332"/>
      <c r="U475" s="332"/>
      <c r="V475" s="332"/>
      <c r="W475" s="332"/>
      <c r="X475" s="332"/>
      <c r="Y475" s="332"/>
      <c r="Z475" s="332"/>
    </row>
    <row r="476" ht="15.75" customHeight="1">
      <c r="A476" s="27"/>
      <c r="B476" s="27"/>
      <c r="C476" s="27"/>
      <c r="D476" s="114"/>
      <c r="E476" s="114"/>
      <c r="F476" s="27"/>
      <c r="G476" s="27"/>
      <c r="H476" s="332"/>
      <c r="I476" s="332"/>
      <c r="J476" s="332"/>
      <c r="K476" s="332"/>
      <c r="L476" s="332"/>
      <c r="M476" s="332"/>
      <c r="N476" s="332"/>
      <c r="O476" s="332"/>
      <c r="P476" s="332"/>
      <c r="Q476" s="332"/>
      <c r="R476" s="332"/>
      <c r="S476" s="332"/>
      <c r="T476" s="332"/>
      <c r="U476" s="332"/>
      <c r="V476" s="332"/>
      <c r="W476" s="332"/>
      <c r="X476" s="332"/>
      <c r="Y476" s="332"/>
      <c r="Z476" s="332"/>
    </row>
    <row r="477" ht="15.75" customHeight="1">
      <c r="A477" s="27"/>
      <c r="B477" s="27"/>
      <c r="C477" s="27"/>
      <c r="D477" s="114"/>
      <c r="E477" s="114"/>
      <c r="F477" s="27"/>
      <c r="G477" s="27"/>
      <c r="H477" s="332"/>
      <c r="I477" s="332"/>
      <c r="J477" s="332"/>
      <c r="K477" s="332"/>
      <c r="L477" s="332"/>
      <c r="M477" s="332"/>
      <c r="N477" s="332"/>
      <c r="O477" s="332"/>
      <c r="P477" s="332"/>
      <c r="Q477" s="332"/>
      <c r="R477" s="332"/>
      <c r="S477" s="332"/>
      <c r="T477" s="332"/>
      <c r="U477" s="332"/>
      <c r="V477" s="332"/>
      <c r="W477" s="332"/>
      <c r="X477" s="332"/>
      <c r="Y477" s="332"/>
      <c r="Z477" s="332"/>
    </row>
    <row r="478" ht="15.75" customHeight="1">
      <c r="A478" s="27"/>
      <c r="B478" s="27"/>
      <c r="C478" s="27"/>
      <c r="D478" s="114"/>
      <c r="E478" s="114"/>
      <c r="F478" s="27"/>
      <c r="G478" s="27"/>
      <c r="H478" s="332"/>
      <c r="I478" s="332"/>
      <c r="J478" s="332"/>
      <c r="K478" s="332"/>
      <c r="L478" s="332"/>
      <c r="M478" s="332"/>
      <c r="N478" s="332"/>
      <c r="O478" s="332"/>
      <c r="P478" s="332"/>
      <c r="Q478" s="332"/>
      <c r="R478" s="332"/>
      <c r="S478" s="332"/>
      <c r="T478" s="332"/>
      <c r="U478" s="332"/>
      <c r="V478" s="332"/>
      <c r="W478" s="332"/>
      <c r="X478" s="332"/>
      <c r="Y478" s="332"/>
      <c r="Z478" s="332"/>
    </row>
    <row r="479" ht="15.75" customHeight="1">
      <c r="A479" s="27"/>
      <c r="B479" s="27"/>
      <c r="C479" s="27"/>
      <c r="D479" s="114"/>
      <c r="E479" s="114"/>
      <c r="F479" s="27"/>
      <c r="G479" s="27"/>
      <c r="H479" s="332"/>
      <c r="I479" s="332"/>
      <c r="J479" s="332"/>
      <c r="K479" s="332"/>
      <c r="L479" s="332"/>
      <c r="M479" s="332"/>
      <c r="N479" s="332"/>
      <c r="O479" s="332"/>
      <c r="P479" s="332"/>
      <c r="Q479" s="332"/>
      <c r="R479" s="332"/>
      <c r="S479" s="332"/>
      <c r="T479" s="332"/>
      <c r="U479" s="332"/>
      <c r="V479" s="332"/>
      <c r="W479" s="332"/>
      <c r="X479" s="332"/>
      <c r="Y479" s="332"/>
      <c r="Z479" s="332"/>
    </row>
    <row r="480" ht="15.75" customHeight="1">
      <c r="A480" s="27"/>
      <c r="B480" s="27"/>
      <c r="C480" s="27"/>
      <c r="D480" s="114"/>
      <c r="E480" s="114"/>
      <c r="F480" s="27"/>
      <c r="G480" s="27"/>
      <c r="H480" s="332"/>
      <c r="I480" s="332"/>
      <c r="J480" s="332"/>
      <c r="K480" s="332"/>
      <c r="L480" s="332"/>
      <c r="M480" s="332"/>
      <c r="N480" s="332"/>
      <c r="O480" s="332"/>
      <c r="P480" s="332"/>
      <c r="Q480" s="332"/>
      <c r="R480" s="332"/>
      <c r="S480" s="332"/>
      <c r="T480" s="332"/>
      <c r="U480" s="332"/>
      <c r="V480" s="332"/>
      <c r="W480" s="332"/>
      <c r="X480" s="332"/>
      <c r="Y480" s="332"/>
      <c r="Z480" s="332"/>
    </row>
    <row r="481" ht="15.75" customHeight="1">
      <c r="A481" s="27"/>
      <c r="B481" s="27"/>
      <c r="C481" s="27"/>
      <c r="D481" s="114"/>
      <c r="E481" s="114"/>
      <c r="F481" s="27"/>
      <c r="G481" s="27"/>
      <c r="H481" s="332"/>
      <c r="I481" s="332"/>
      <c r="J481" s="332"/>
      <c r="K481" s="332"/>
      <c r="L481" s="332"/>
      <c r="M481" s="332"/>
      <c r="N481" s="332"/>
      <c r="O481" s="332"/>
      <c r="P481" s="332"/>
      <c r="Q481" s="332"/>
      <c r="R481" s="332"/>
      <c r="S481" s="332"/>
      <c r="T481" s="332"/>
      <c r="U481" s="332"/>
      <c r="V481" s="332"/>
      <c r="W481" s="332"/>
      <c r="X481" s="332"/>
      <c r="Y481" s="332"/>
      <c r="Z481" s="332"/>
    </row>
    <row r="482" ht="15.75" customHeight="1">
      <c r="A482" s="27"/>
      <c r="B482" s="27"/>
      <c r="C482" s="27"/>
      <c r="D482" s="114"/>
      <c r="E482" s="114"/>
      <c r="F482" s="27"/>
      <c r="G482" s="27"/>
      <c r="H482" s="332"/>
      <c r="I482" s="332"/>
      <c r="J482" s="332"/>
      <c r="K482" s="332"/>
      <c r="L482" s="332"/>
      <c r="M482" s="332"/>
      <c r="N482" s="332"/>
      <c r="O482" s="332"/>
      <c r="P482" s="332"/>
      <c r="Q482" s="332"/>
      <c r="R482" s="332"/>
      <c r="S482" s="332"/>
      <c r="T482" s="332"/>
      <c r="U482" s="332"/>
      <c r="V482" s="332"/>
      <c r="W482" s="332"/>
      <c r="X482" s="332"/>
      <c r="Y482" s="332"/>
      <c r="Z482" s="332"/>
    </row>
    <row r="483" ht="15.75" customHeight="1">
      <c r="A483" s="27"/>
      <c r="B483" s="27"/>
      <c r="C483" s="27"/>
      <c r="D483" s="114"/>
      <c r="E483" s="114"/>
      <c r="F483" s="27"/>
      <c r="G483" s="27"/>
      <c r="H483" s="332"/>
      <c r="I483" s="332"/>
      <c r="J483" s="332"/>
      <c r="K483" s="332"/>
      <c r="L483" s="332"/>
      <c r="M483" s="332"/>
      <c r="N483" s="332"/>
      <c r="O483" s="332"/>
      <c r="P483" s="332"/>
      <c r="Q483" s="332"/>
      <c r="R483" s="332"/>
      <c r="S483" s="332"/>
      <c r="T483" s="332"/>
      <c r="U483" s="332"/>
      <c r="V483" s="332"/>
      <c r="W483" s="332"/>
      <c r="X483" s="332"/>
      <c r="Y483" s="332"/>
      <c r="Z483" s="332"/>
    </row>
    <row r="484" ht="15.75" customHeight="1">
      <c r="A484" s="27"/>
      <c r="B484" s="27"/>
      <c r="C484" s="27"/>
      <c r="D484" s="114"/>
      <c r="E484" s="114"/>
      <c r="F484" s="27"/>
      <c r="G484" s="27"/>
      <c r="H484" s="332"/>
      <c r="I484" s="332"/>
      <c r="J484" s="332"/>
      <c r="K484" s="332"/>
      <c r="L484" s="332"/>
      <c r="M484" s="332"/>
      <c r="N484" s="332"/>
      <c r="O484" s="332"/>
      <c r="P484" s="332"/>
      <c r="Q484" s="332"/>
      <c r="R484" s="332"/>
      <c r="S484" s="332"/>
      <c r="T484" s="332"/>
      <c r="U484" s="332"/>
      <c r="V484" s="332"/>
      <c r="W484" s="332"/>
      <c r="X484" s="332"/>
      <c r="Y484" s="332"/>
      <c r="Z484" s="332"/>
    </row>
    <row r="485" ht="15.75" customHeight="1">
      <c r="A485" s="27"/>
      <c r="B485" s="27"/>
      <c r="C485" s="27"/>
      <c r="D485" s="114"/>
      <c r="E485" s="114"/>
      <c r="F485" s="27"/>
      <c r="G485" s="27"/>
      <c r="H485" s="332"/>
      <c r="I485" s="332"/>
      <c r="J485" s="332"/>
      <c r="K485" s="332"/>
      <c r="L485" s="332"/>
      <c r="M485" s="332"/>
      <c r="N485" s="332"/>
      <c r="O485" s="332"/>
      <c r="P485" s="332"/>
      <c r="Q485" s="332"/>
      <c r="R485" s="332"/>
      <c r="S485" s="332"/>
      <c r="T485" s="332"/>
      <c r="U485" s="332"/>
      <c r="V485" s="332"/>
      <c r="W485" s="332"/>
      <c r="X485" s="332"/>
      <c r="Y485" s="332"/>
      <c r="Z485" s="332"/>
    </row>
    <row r="486" ht="15.75" customHeight="1">
      <c r="A486" s="27"/>
      <c r="B486" s="27"/>
      <c r="C486" s="27"/>
      <c r="D486" s="114"/>
      <c r="E486" s="114"/>
      <c r="F486" s="27"/>
      <c r="G486" s="27"/>
      <c r="H486" s="332"/>
      <c r="I486" s="332"/>
      <c r="J486" s="332"/>
      <c r="K486" s="332"/>
      <c r="L486" s="332"/>
      <c r="M486" s="332"/>
      <c r="N486" s="332"/>
      <c r="O486" s="332"/>
      <c r="P486" s="332"/>
      <c r="Q486" s="332"/>
      <c r="R486" s="332"/>
      <c r="S486" s="332"/>
      <c r="T486" s="332"/>
      <c r="U486" s="332"/>
      <c r="V486" s="332"/>
      <c r="W486" s="332"/>
      <c r="X486" s="332"/>
      <c r="Y486" s="332"/>
      <c r="Z486" s="332"/>
    </row>
    <row r="487" ht="15.75" customHeight="1">
      <c r="A487" s="27"/>
      <c r="B487" s="27"/>
      <c r="C487" s="27"/>
      <c r="D487" s="114"/>
      <c r="E487" s="114"/>
      <c r="F487" s="27"/>
      <c r="G487" s="27"/>
      <c r="H487" s="332"/>
      <c r="I487" s="332"/>
      <c r="J487" s="332"/>
      <c r="K487" s="332"/>
      <c r="L487" s="332"/>
      <c r="M487" s="332"/>
      <c r="N487" s="332"/>
      <c r="O487" s="332"/>
      <c r="P487" s="332"/>
      <c r="Q487" s="332"/>
      <c r="R487" s="332"/>
      <c r="S487" s="332"/>
      <c r="T487" s="332"/>
      <c r="U487" s="332"/>
      <c r="V487" s="332"/>
      <c r="W487" s="332"/>
      <c r="X487" s="332"/>
      <c r="Y487" s="332"/>
      <c r="Z487" s="332"/>
    </row>
    <row r="488" ht="15.75" customHeight="1">
      <c r="A488" s="27"/>
      <c r="B488" s="27"/>
      <c r="C488" s="27"/>
      <c r="D488" s="114"/>
      <c r="E488" s="114"/>
      <c r="F488" s="27"/>
      <c r="G488" s="27"/>
      <c r="H488" s="332"/>
      <c r="I488" s="332"/>
      <c r="J488" s="332"/>
      <c r="K488" s="332"/>
      <c r="L488" s="332"/>
      <c r="M488" s="332"/>
      <c r="N488" s="332"/>
      <c r="O488" s="332"/>
      <c r="P488" s="332"/>
      <c r="Q488" s="332"/>
      <c r="R488" s="332"/>
      <c r="S488" s="332"/>
      <c r="T488" s="332"/>
      <c r="U488" s="332"/>
      <c r="V488" s="332"/>
      <c r="W488" s="332"/>
      <c r="X488" s="332"/>
      <c r="Y488" s="332"/>
      <c r="Z488" s="332"/>
    </row>
    <row r="489" ht="15.75" customHeight="1">
      <c r="A489" s="27"/>
      <c r="B489" s="27"/>
      <c r="C489" s="27"/>
      <c r="D489" s="114"/>
      <c r="E489" s="114"/>
      <c r="F489" s="27"/>
      <c r="G489" s="27"/>
      <c r="H489" s="332"/>
      <c r="I489" s="332"/>
      <c r="J489" s="332"/>
      <c r="K489" s="332"/>
      <c r="L489" s="332"/>
      <c r="M489" s="332"/>
      <c r="N489" s="332"/>
      <c r="O489" s="332"/>
      <c r="P489" s="332"/>
      <c r="Q489" s="332"/>
      <c r="R489" s="332"/>
      <c r="S489" s="332"/>
      <c r="T489" s="332"/>
      <c r="U489" s="332"/>
      <c r="V489" s="332"/>
      <c r="W489" s="332"/>
      <c r="X489" s="332"/>
      <c r="Y489" s="332"/>
      <c r="Z489" s="332"/>
    </row>
    <row r="490" ht="15.75" customHeight="1">
      <c r="A490" s="27"/>
      <c r="B490" s="27"/>
      <c r="C490" s="27"/>
      <c r="D490" s="114"/>
      <c r="E490" s="114"/>
      <c r="F490" s="27"/>
      <c r="G490" s="27"/>
      <c r="H490" s="332"/>
      <c r="I490" s="332"/>
      <c r="J490" s="332"/>
      <c r="K490" s="332"/>
      <c r="L490" s="332"/>
      <c r="M490" s="332"/>
      <c r="N490" s="332"/>
      <c r="O490" s="332"/>
      <c r="P490" s="332"/>
      <c r="Q490" s="332"/>
      <c r="R490" s="332"/>
      <c r="S490" s="332"/>
      <c r="T490" s="332"/>
      <c r="U490" s="332"/>
      <c r="V490" s="332"/>
      <c r="W490" s="332"/>
      <c r="X490" s="332"/>
      <c r="Y490" s="332"/>
      <c r="Z490" s="332"/>
    </row>
    <row r="491" ht="15.75" customHeight="1">
      <c r="A491" s="27"/>
      <c r="B491" s="27"/>
      <c r="C491" s="27"/>
      <c r="D491" s="114"/>
      <c r="E491" s="114"/>
      <c r="F491" s="27"/>
      <c r="G491" s="27"/>
      <c r="H491" s="332"/>
      <c r="I491" s="332"/>
      <c r="J491" s="332"/>
      <c r="K491" s="332"/>
      <c r="L491" s="332"/>
      <c r="M491" s="332"/>
      <c r="N491" s="332"/>
      <c r="O491" s="332"/>
      <c r="P491" s="332"/>
      <c r="Q491" s="332"/>
      <c r="R491" s="332"/>
      <c r="S491" s="332"/>
      <c r="T491" s="332"/>
      <c r="U491" s="332"/>
      <c r="V491" s="332"/>
      <c r="W491" s="332"/>
      <c r="X491" s="332"/>
      <c r="Y491" s="332"/>
      <c r="Z491" s="332"/>
    </row>
    <row r="492" ht="15.75" customHeight="1">
      <c r="A492" s="27"/>
      <c r="B492" s="27"/>
      <c r="C492" s="27"/>
      <c r="D492" s="114"/>
      <c r="E492" s="114"/>
      <c r="F492" s="27"/>
      <c r="G492" s="27"/>
      <c r="H492" s="332"/>
      <c r="I492" s="332"/>
      <c r="J492" s="332"/>
      <c r="K492" s="332"/>
      <c r="L492" s="332"/>
      <c r="M492" s="332"/>
      <c r="N492" s="332"/>
      <c r="O492" s="332"/>
      <c r="P492" s="332"/>
      <c r="Q492" s="332"/>
      <c r="R492" s="332"/>
      <c r="S492" s="332"/>
      <c r="T492" s="332"/>
      <c r="U492" s="332"/>
      <c r="V492" s="332"/>
      <c r="W492" s="332"/>
      <c r="X492" s="332"/>
      <c r="Y492" s="332"/>
      <c r="Z492" s="332"/>
    </row>
    <row r="493" ht="15.75" customHeight="1">
      <c r="A493" s="27"/>
      <c r="B493" s="27"/>
      <c r="C493" s="27"/>
      <c r="D493" s="114"/>
      <c r="E493" s="114"/>
      <c r="F493" s="27"/>
      <c r="G493" s="27"/>
      <c r="H493" s="332"/>
      <c r="I493" s="332"/>
      <c r="J493" s="332"/>
      <c r="K493" s="332"/>
      <c r="L493" s="332"/>
      <c r="M493" s="332"/>
      <c r="N493" s="332"/>
      <c r="O493" s="332"/>
      <c r="P493" s="332"/>
      <c r="Q493" s="332"/>
      <c r="R493" s="332"/>
      <c r="S493" s="332"/>
      <c r="T493" s="332"/>
      <c r="U493" s="332"/>
      <c r="V493" s="332"/>
      <c r="W493" s="332"/>
      <c r="X493" s="332"/>
      <c r="Y493" s="332"/>
      <c r="Z493" s="332"/>
    </row>
    <row r="494" ht="15.75" customHeight="1">
      <c r="A494" s="27"/>
      <c r="B494" s="27"/>
      <c r="C494" s="27"/>
      <c r="D494" s="114"/>
      <c r="E494" s="114"/>
      <c r="F494" s="27"/>
      <c r="G494" s="27"/>
      <c r="H494" s="332"/>
      <c r="I494" s="332"/>
      <c r="J494" s="332"/>
      <c r="K494" s="332"/>
      <c r="L494" s="332"/>
      <c r="M494" s="332"/>
      <c r="N494" s="332"/>
      <c r="O494" s="332"/>
      <c r="P494" s="332"/>
      <c r="Q494" s="332"/>
      <c r="R494" s="332"/>
      <c r="S494" s="332"/>
      <c r="T494" s="332"/>
      <c r="U494" s="332"/>
      <c r="V494" s="332"/>
      <c r="W494" s="332"/>
      <c r="X494" s="332"/>
      <c r="Y494" s="332"/>
      <c r="Z494" s="332"/>
    </row>
    <row r="495" ht="15.75" customHeight="1">
      <c r="A495" s="27"/>
      <c r="B495" s="27"/>
      <c r="C495" s="27"/>
      <c r="D495" s="114"/>
      <c r="E495" s="114"/>
      <c r="F495" s="27"/>
      <c r="G495" s="27"/>
      <c r="H495" s="332"/>
      <c r="I495" s="332"/>
      <c r="J495" s="332"/>
      <c r="K495" s="332"/>
      <c r="L495" s="332"/>
      <c r="M495" s="332"/>
      <c r="N495" s="332"/>
      <c r="O495" s="332"/>
      <c r="P495" s="332"/>
      <c r="Q495" s="332"/>
      <c r="R495" s="332"/>
      <c r="S495" s="332"/>
      <c r="T495" s="332"/>
      <c r="U495" s="332"/>
      <c r="V495" s="332"/>
      <c r="W495" s="332"/>
      <c r="X495" s="332"/>
      <c r="Y495" s="332"/>
      <c r="Z495" s="332"/>
    </row>
    <row r="496" ht="15.75" customHeight="1">
      <c r="A496" s="27"/>
      <c r="B496" s="27"/>
      <c r="C496" s="27"/>
      <c r="D496" s="114"/>
      <c r="E496" s="114"/>
      <c r="F496" s="27"/>
      <c r="G496" s="27"/>
      <c r="H496" s="332"/>
      <c r="I496" s="332"/>
      <c r="J496" s="332"/>
      <c r="K496" s="332"/>
      <c r="L496" s="332"/>
      <c r="M496" s="332"/>
      <c r="N496" s="332"/>
      <c r="O496" s="332"/>
      <c r="P496" s="332"/>
      <c r="Q496" s="332"/>
      <c r="R496" s="332"/>
      <c r="S496" s="332"/>
      <c r="T496" s="332"/>
      <c r="U496" s="332"/>
      <c r="V496" s="332"/>
      <c r="W496" s="332"/>
      <c r="X496" s="332"/>
      <c r="Y496" s="332"/>
      <c r="Z496" s="332"/>
    </row>
    <row r="497" ht="15.75" customHeight="1">
      <c r="A497" s="27"/>
      <c r="B497" s="27"/>
      <c r="C497" s="27"/>
      <c r="D497" s="114"/>
      <c r="E497" s="114"/>
      <c r="F497" s="27"/>
      <c r="G497" s="27"/>
      <c r="H497" s="332"/>
      <c r="I497" s="332"/>
      <c r="J497" s="332"/>
      <c r="K497" s="332"/>
      <c r="L497" s="332"/>
      <c r="M497" s="332"/>
      <c r="N497" s="332"/>
      <c r="O497" s="332"/>
      <c r="P497" s="332"/>
      <c r="Q497" s="332"/>
      <c r="R497" s="332"/>
      <c r="S497" s="332"/>
      <c r="T497" s="332"/>
      <c r="U497" s="332"/>
      <c r="V497" s="332"/>
      <c r="W497" s="332"/>
      <c r="X497" s="332"/>
      <c r="Y497" s="332"/>
      <c r="Z497" s="332"/>
    </row>
    <row r="498" ht="15.75" customHeight="1">
      <c r="A498" s="27"/>
      <c r="B498" s="27"/>
      <c r="C498" s="27"/>
      <c r="D498" s="114"/>
      <c r="E498" s="114"/>
      <c r="F498" s="27"/>
      <c r="G498" s="27"/>
      <c r="H498" s="332"/>
      <c r="I498" s="332"/>
      <c r="J498" s="332"/>
      <c r="K498" s="332"/>
      <c r="L498" s="332"/>
      <c r="M498" s="332"/>
      <c r="N498" s="332"/>
      <c r="O498" s="332"/>
      <c r="P498" s="332"/>
      <c r="Q498" s="332"/>
      <c r="R498" s="332"/>
      <c r="S498" s="332"/>
      <c r="T498" s="332"/>
      <c r="U498" s="332"/>
      <c r="V498" s="332"/>
      <c r="W498" s="332"/>
      <c r="X498" s="332"/>
      <c r="Y498" s="332"/>
      <c r="Z498" s="332"/>
    </row>
    <row r="499" ht="15.75" customHeight="1">
      <c r="A499" s="27"/>
      <c r="B499" s="27"/>
      <c r="C499" s="27"/>
      <c r="D499" s="114"/>
      <c r="E499" s="114"/>
      <c r="F499" s="27"/>
      <c r="G499" s="27"/>
      <c r="H499" s="332"/>
      <c r="I499" s="332"/>
      <c r="J499" s="332"/>
      <c r="K499" s="332"/>
      <c r="L499" s="332"/>
      <c r="M499" s="332"/>
      <c r="N499" s="332"/>
      <c r="O499" s="332"/>
      <c r="P499" s="332"/>
      <c r="Q499" s="332"/>
      <c r="R499" s="332"/>
      <c r="S499" s="332"/>
      <c r="T499" s="332"/>
      <c r="U499" s="332"/>
      <c r="V499" s="332"/>
      <c r="W499" s="332"/>
      <c r="X499" s="332"/>
      <c r="Y499" s="332"/>
      <c r="Z499" s="332"/>
    </row>
    <row r="500" ht="15.75" customHeight="1">
      <c r="A500" s="27"/>
      <c r="B500" s="27"/>
      <c r="C500" s="27"/>
      <c r="D500" s="114"/>
      <c r="E500" s="114"/>
      <c r="F500" s="27"/>
      <c r="G500" s="27"/>
      <c r="H500" s="332"/>
      <c r="I500" s="332"/>
      <c r="J500" s="332"/>
      <c r="K500" s="332"/>
      <c r="L500" s="332"/>
      <c r="M500" s="332"/>
      <c r="N500" s="332"/>
      <c r="O500" s="332"/>
      <c r="P500" s="332"/>
      <c r="Q500" s="332"/>
      <c r="R500" s="332"/>
      <c r="S500" s="332"/>
      <c r="T500" s="332"/>
      <c r="U500" s="332"/>
      <c r="V500" s="332"/>
      <c r="W500" s="332"/>
      <c r="X500" s="332"/>
      <c r="Y500" s="332"/>
      <c r="Z500" s="332"/>
    </row>
    <row r="501" ht="15.75" customHeight="1">
      <c r="A501" s="27"/>
      <c r="B501" s="27"/>
      <c r="C501" s="27"/>
      <c r="D501" s="114"/>
      <c r="E501" s="114"/>
      <c r="F501" s="27"/>
      <c r="G501" s="27"/>
      <c r="H501" s="332"/>
      <c r="I501" s="332"/>
      <c r="J501" s="332"/>
      <c r="K501" s="332"/>
      <c r="L501" s="332"/>
      <c r="M501" s="332"/>
      <c r="N501" s="332"/>
      <c r="O501" s="332"/>
      <c r="P501" s="332"/>
      <c r="Q501" s="332"/>
      <c r="R501" s="332"/>
      <c r="S501" s="332"/>
      <c r="T501" s="332"/>
      <c r="U501" s="332"/>
      <c r="V501" s="332"/>
      <c r="W501" s="332"/>
      <c r="X501" s="332"/>
      <c r="Y501" s="332"/>
      <c r="Z501" s="332"/>
    </row>
    <row r="502" ht="15.75" customHeight="1">
      <c r="A502" s="27"/>
      <c r="B502" s="27"/>
      <c r="C502" s="27"/>
      <c r="D502" s="114"/>
      <c r="E502" s="114"/>
      <c r="F502" s="27"/>
      <c r="G502" s="27"/>
      <c r="H502" s="332"/>
      <c r="I502" s="332"/>
      <c r="J502" s="332"/>
      <c r="K502" s="332"/>
      <c r="L502" s="332"/>
      <c r="M502" s="332"/>
      <c r="N502" s="332"/>
      <c r="O502" s="332"/>
      <c r="P502" s="332"/>
      <c r="Q502" s="332"/>
      <c r="R502" s="332"/>
      <c r="S502" s="332"/>
      <c r="T502" s="332"/>
      <c r="U502" s="332"/>
      <c r="V502" s="332"/>
      <c r="W502" s="332"/>
      <c r="X502" s="332"/>
      <c r="Y502" s="332"/>
      <c r="Z502" s="332"/>
    </row>
    <row r="503" ht="15.75" customHeight="1">
      <c r="A503" s="27"/>
      <c r="B503" s="27"/>
      <c r="C503" s="27"/>
      <c r="D503" s="114"/>
      <c r="E503" s="114"/>
      <c r="F503" s="27"/>
      <c r="G503" s="27"/>
      <c r="H503" s="332"/>
      <c r="I503" s="332"/>
      <c r="J503" s="332"/>
      <c r="K503" s="332"/>
      <c r="L503" s="332"/>
      <c r="M503" s="332"/>
      <c r="N503" s="332"/>
      <c r="O503" s="332"/>
      <c r="P503" s="332"/>
      <c r="Q503" s="332"/>
      <c r="R503" s="332"/>
      <c r="S503" s="332"/>
      <c r="T503" s="332"/>
      <c r="U503" s="332"/>
      <c r="V503" s="332"/>
      <c r="W503" s="332"/>
      <c r="X503" s="332"/>
      <c r="Y503" s="332"/>
      <c r="Z503" s="332"/>
    </row>
    <row r="504" ht="15.75" customHeight="1">
      <c r="A504" s="27"/>
      <c r="B504" s="27"/>
      <c r="C504" s="27"/>
      <c r="D504" s="114"/>
      <c r="E504" s="114"/>
      <c r="F504" s="27"/>
      <c r="G504" s="27"/>
      <c r="H504" s="332"/>
      <c r="I504" s="332"/>
      <c r="J504" s="332"/>
      <c r="K504" s="332"/>
      <c r="L504" s="332"/>
      <c r="M504" s="332"/>
      <c r="N504" s="332"/>
      <c r="O504" s="332"/>
      <c r="P504" s="332"/>
      <c r="Q504" s="332"/>
      <c r="R504" s="332"/>
      <c r="S504" s="332"/>
      <c r="T504" s="332"/>
      <c r="U504" s="332"/>
      <c r="V504" s="332"/>
      <c r="W504" s="332"/>
      <c r="X504" s="332"/>
      <c r="Y504" s="332"/>
      <c r="Z504" s="332"/>
    </row>
    <row r="505" ht="15.75" customHeight="1">
      <c r="A505" s="27"/>
      <c r="B505" s="27"/>
      <c r="C505" s="27"/>
      <c r="D505" s="114"/>
      <c r="E505" s="114"/>
      <c r="F505" s="27"/>
      <c r="G505" s="27"/>
      <c r="H505" s="332"/>
      <c r="I505" s="332"/>
      <c r="J505" s="332"/>
      <c r="K505" s="332"/>
      <c r="L505" s="332"/>
      <c r="M505" s="332"/>
      <c r="N505" s="332"/>
      <c r="O505" s="332"/>
      <c r="P505" s="332"/>
      <c r="Q505" s="332"/>
      <c r="R505" s="332"/>
      <c r="S505" s="332"/>
      <c r="T505" s="332"/>
      <c r="U505" s="332"/>
      <c r="V505" s="332"/>
      <c r="W505" s="332"/>
      <c r="X505" s="332"/>
      <c r="Y505" s="332"/>
      <c r="Z505" s="332"/>
    </row>
    <row r="506" ht="15.75" customHeight="1">
      <c r="A506" s="27"/>
      <c r="B506" s="27"/>
      <c r="C506" s="27"/>
      <c r="D506" s="114"/>
      <c r="E506" s="114"/>
      <c r="F506" s="27"/>
      <c r="G506" s="27"/>
      <c r="H506" s="332"/>
      <c r="I506" s="332"/>
      <c r="J506" s="332"/>
      <c r="K506" s="332"/>
      <c r="L506" s="332"/>
      <c r="M506" s="332"/>
      <c r="N506" s="332"/>
      <c r="O506" s="332"/>
      <c r="P506" s="332"/>
      <c r="Q506" s="332"/>
      <c r="R506" s="332"/>
      <c r="S506" s="332"/>
      <c r="T506" s="332"/>
      <c r="U506" s="332"/>
      <c r="V506" s="332"/>
      <c r="W506" s="332"/>
      <c r="X506" s="332"/>
      <c r="Y506" s="332"/>
      <c r="Z506" s="332"/>
    </row>
    <row r="507" ht="15.75" customHeight="1">
      <c r="A507" s="27"/>
      <c r="B507" s="27"/>
      <c r="C507" s="27"/>
      <c r="D507" s="114"/>
      <c r="E507" s="114"/>
      <c r="F507" s="27"/>
      <c r="G507" s="27"/>
      <c r="H507" s="332"/>
      <c r="I507" s="332"/>
      <c r="J507" s="332"/>
      <c r="K507" s="332"/>
      <c r="L507" s="332"/>
      <c r="M507" s="332"/>
      <c r="N507" s="332"/>
      <c r="O507" s="332"/>
      <c r="P507" s="332"/>
      <c r="Q507" s="332"/>
      <c r="R507" s="332"/>
      <c r="S507" s="332"/>
      <c r="T507" s="332"/>
      <c r="U507" s="332"/>
      <c r="V507" s="332"/>
      <c r="W507" s="332"/>
      <c r="X507" s="332"/>
      <c r="Y507" s="332"/>
      <c r="Z507" s="332"/>
    </row>
    <row r="508" ht="15.75" customHeight="1">
      <c r="A508" s="27"/>
      <c r="B508" s="27"/>
      <c r="C508" s="27"/>
      <c r="D508" s="114"/>
      <c r="E508" s="114"/>
      <c r="F508" s="27"/>
      <c r="G508" s="27"/>
      <c r="H508" s="332"/>
      <c r="I508" s="332"/>
      <c r="J508" s="332"/>
      <c r="K508" s="332"/>
      <c r="L508" s="332"/>
      <c r="M508" s="332"/>
      <c r="N508" s="332"/>
      <c r="O508" s="332"/>
      <c r="P508" s="332"/>
      <c r="Q508" s="332"/>
      <c r="R508" s="332"/>
      <c r="S508" s="332"/>
      <c r="T508" s="332"/>
      <c r="U508" s="332"/>
      <c r="V508" s="332"/>
      <c r="W508" s="332"/>
      <c r="X508" s="332"/>
      <c r="Y508" s="332"/>
      <c r="Z508" s="332"/>
    </row>
    <row r="509" ht="15.75" customHeight="1">
      <c r="A509" s="27"/>
      <c r="B509" s="27"/>
      <c r="C509" s="27"/>
      <c r="D509" s="114"/>
      <c r="E509" s="114"/>
      <c r="F509" s="27"/>
      <c r="G509" s="27"/>
      <c r="H509" s="332"/>
      <c r="I509" s="332"/>
      <c r="J509" s="332"/>
      <c r="K509" s="332"/>
      <c r="L509" s="332"/>
      <c r="M509" s="332"/>
      <c r="N509" s="332"/>
      <c r="O509" s="332"/>
      <c r="P509" s="332"/>
      <c r="Q509" s="332"/>
      <c r="R509" s="332"/>
      <c r="S509" s="332"/>
      <c r="T509" s="332"/>
      <c r="U509" s="332"/>
      <c r="V509" s="332"/>
      <c r="W509" s="332"/>
      <c r="X509" s="332"/>
      <c r="Y509" s="332"/>
      <c r="Z509" s="332"/>
    </row>
    <row r="510" ht="15.75" customHeight="1">
      <c r="A510" s="27"/>
      <c r="B510" s="27"/>
      <c r="C510" s="27"/>
      <c r="D510" s="114"/>
      <c r="E510" s="114"/>
      <c r="F510" s="27"/>
      <c r="G510" s="27"/>
      <c r="H510" s="332"/>
      <c r="I510" s="332"/>
      <c r="J510" s="332"/>
      <c r="K510" s="332"/>
      <c r="L510" s="332"/>
      <c r="M510" s="332"/>
      <c r="N510" s="332"/>
      <c r="O510" s="332"/>
      <c r="P510" s="332"/>
      <c r="Q510" s="332"/>
      <c r="R510" s="332"/>
      <c r="S510" s="332"/>
      <c r="T510" s="332"/>
      <c r="U510" s="332"/>
      <c r="V510" s="332"/>
      <c r="W510" s="332"/>
      <c r="X510" s="332"/>
      <c r="Y510" s="332"/>
      <c r="Z510" s="332"/>
    </row>
    <row r="511" ht="15.75" customHeight="1">
      <c r="A511" s="27"/>
      <c r="B511" s="27"/>
      <c r="C511" s="27"/>
      <c r="D511" s="114"/>
      <c r="E511" s="114"/>
      <c r="F511" s="27"/>
      <c r="G511" s="27"/>
      <c r="H511" s="332"/>
      <c r="I511" s="332"/>
      <c r="J511" s="332"/>
      <c r="K511" s="332"/>
      <c r="L511" s="332"/>
      <c r="M511" s="332"/>
      <c r="N511" s="332"/>
      <c r="O511" s="332"/>
      <c r="P511" s="332"/>
      <c r="Q511" s="332"/>
      <c r="R511" s="332"/>
      <c r="S511" s="332"/>
      <c r="T511" s="332"/>
      <c r="U511" s="332"/>
      <c r="V511" s="332"/>
      <c r="W511" s="332"/>
      <c r="X511" s="332"/>
      <c r="Y511" s="332"/>
      <c r="Z511" s="332"/>
    </row>
    <row r="512" ht="15.75" customHeight="1">
      <c r="A512" s="27"/>
      <c r="B512" s="27"/>
      <c r="C512" s="27"/>
      <c r="D512" s="114"/>
      <c r="E512" s="114"/>
      <c r="F512" s="27"/>
      <c r="G512" s="27"/>
      <c r="H512" s="332"/>
      <c r="I512" s="332"/>
      <c r="J512" s="332"/>
      <c r="K512" s="332"/>
      <c r="L512" s="332"/>
      <c r="M512" s="332"/>
      <c r="N512" s="332"/>
      <c r="O512" s="332"/>
      <c r="P512" s="332"/>
      <c r="Q512" s="332"/>
      <c r="R512" s="332"/>
      <c r="S512" s="332"/>
      <c r="T512" s="332"/>
      <c r="U512" s="332"/>
      <c r="V512" s="332"/>
      <c r="W512" s="332"/>
      <c r="X512" s="332"/>
      <c r="Y512" s="332"/>
      <c r="Z512" s="332"/>
    </row>
    <row r="513" ht="15.75" customHeight="1">
      <c r="A513" s="27"/>
      <c r="B513" s="27"/>
      <c r="C513" s="27"/>
      <c r="D513" s="114"/>
      <c r="E513" s="114"/>
      <c r="F513" s="27"/>
      <c r="G513" s="27"/>
      <c r="H513" s="332"/>
      <c r="I513" s="332"/>
      <c r="J513" s="332"/>
      <c r="K513" s="332"/>
      <c r="L513" s="332"/>
      <c r="M513" s="332"/>
      <c r="N513" s="332"/>
      <c r="O513" s="332"/>
      <c r="P513" s="332"/>
      <c r="Q513" s="332"/>
      <c r="R513" s="332"/>
      <c r="S513" s="332"/>
      <c r="T513" s="332"/>
      <c r="U513" s="332"/>
      <c r="V513" s="332"/>
      <c r="W513" s="332"/>
      <c r="X513" s="332"/>
      <c r="Y513" s="332"/>
      <c r="Z513" s="332"/>
    </row>
    <row r="514" ht="15.75" customHeight="1">
      <c r="A514" s="27"/>
      <c r="B514" s="27"/>
      <c r="C514" s="27"/>
      <c r="D514" s="114"/>
      <c r="E514" s="114"/>
      <c r="F514" s="27"/>
      <c r="G514" s="27"/>
      <c r="H514" s="332"/>
      <c r="I514" s="332"/>
      <c r="J514" s="332"/>
      <c r="K514" s="332"/>
      <c r="L514" s="332"/>
      <c r="M514" s="332"/>
      <c r="N514" s="332"/>
      <c r="O514" s="332"/>
      <c r="P514" s="332"/>
      <c r="Q514" s="332"/>
      <c r="R514" s="332"/>
      <c r="S514" s="332"/>
      <c r="T514" s="332"/>
      <c r="U514" s="332"/>
      <c r="V514" s="332"/>
      <c r="W514" s="332"/>
      <c r="X514" s="332"/>
      <c r="Y514" s="332"/>
      <c r="Z514" s="332"/>
    </row>
    <row r="515" ht="15.75" customHeight="1">
      <c r="A515" s="27"/>
      <c r="B515" s="27"/>
      <c r="C515" s="27"/>
      <c r="D515" s="114"/>
      <c r="E515" s="114"/>
      <c r="F515" s="27"/>
      <c r="G515" s="27"/>
      <c r="H515" s="332"/>
      <c r="I515" s="332"/>
      <c r="J515" s="332"/>
      <c r="K515" s="332"/>
      <c r="L515" s="332"/>
      <c r="M515" s="332"/>
      <c r="N515" s="332"/>
      <c r="O515" s="332"/>
      <c r="P515" s="332"/>
      <c r="Q515" s="332"/>
      <c r="R515" s="332"/>
      <c r="S515" s="332"/>
      <c r="T515" s="332"/>
      <c r="U515" s="332"/>
      <c r="V515" s="332"/>
      <c r="W515" s="332"/>
      <c r="X515" s="332"/>
      <c r="Y515" s="332"/>
      <c r="Z515" s="332"/>
    </row>
    <row r="516" ht="15.75" customHeight="1">
      <c r="A516" s="27"/>
      <c r="B516" s="27"/>
      <c r="C516" s="27"/>
      <c r="D516" s="114"/>
      <c r="E516" s="114"/>
      <c r="F516" s="27"/>
      <c r="G516" s="27"/>
      <c r="H516" s="332"/>
      <c r="I516" s="332"/>
      <c r="J516" s="332"/>
      <c r="K516" s="332"/>
      <c r="L516" s="332"/>
      <c r="M516" s="332"/>
      <c r="N516" s="332"/>
      <c r="O516" s="332"/>
      <c r="P516" s="332"/>
      <c r="Q516" s="332"/>
      <c r="R516" s="332"/>
      <c r="S516" s="332"/>
      <c r="T516" s="332"/>
      <c r="U516" s="332"/>
      <c r="V516" s="332"/>
      <c r="W516" s="332"/>
      <c r="X516" s="332"/>
      <c r="Y516" s="332"/>
      <c r="Z516" s="332"/>
    </row>
    <row r="517" ht="15.75" customHeight="1">
      <c r="A517" s="27"/>
      <c r="B517" s="27"/>
      <c r="C517" s="27"/>
      <c r="D517" s="114"/>
      <c r="E517" s="114"/>
      <c r="F517" s="27"/>
      <c r="G517" s="27"/>
      <c r="H517" s="332"/>
      <c r="I517" s="332"/>
      <c r="J517" s="332"/>
      <c r="K517" s="332"/>
      <c r="L517" s="332"/>
      <c r="M517" s="332"/>
      <c r="N517" s="332"/>
      <c r="O517" s="332"/>
      <c r="P517" s="332"/>
      <c r="Q517" s="332"/>
      <c r="R517" s="332"/>
      <c r="S517" s="332"/>
      <c r="T517" s="332"/>
      <c r="U517" s="332"/>
      <c r="V517" s="332"/>
      <c r="W517" s="332"/>
      <c r="X517" s="332"/>
      <c r="Y517" s="332"/>
      <c r="Z517" s="332"/>
    </row>
    <row r="518" ht="15.75" customHeight="1">
      <c r="A518" s="27"/>
      <c r="B518" s="27"/>
      <c r="C518" s="27"/>
      <c r="D518" s="114"/>
      <c r="E518" s="114"/>
      <c r="F518" s="27"/>
      <c r="G518" s="27"/>
      <c r="H518" s="332"/>
      <c r="I518" s="332"/>
      <c r="J518" s="332"/>
      <c r="K518" s="332"/>
      <c r="L518" s="332"/>
      <c r="M518" s="332"/>
      <c r="N518" s="332"/>
      <c r="O518" s="332"/>
      <c r="P518" s="332"/>
      <c r="Q518" s="332"/>
      <c r="R518" s="332"/>
      <c r="S518" s="332"/>
      <c r="T518" s="332"/>
      <c r="U518" s="332"/>
      <c r="V518" s="332"/>
      <c r="W518" s="332"/>
      <c r="X518" s="332"/>
      <c r="Y518" s="332"/>
      <c r="Z518" s="332"/>
    </row>
    <row r="519" ht="15.75" customHeight="1">
      <c r="A519" s="27"/>
      <c r="B519" s="27"/>
      <c r="C519" s="27"/>
      <c r="D519" s="114"/>
      <c r="E519" s="114"/>
      <c r="F519" s="27"/>
      <c r="G519" s="27"/>
      <c r="H519" s="332"/>
      <c r="I519" s="332"/>
      <c r="J519" s="332"/>
      <c r="K519" s="332"/>
      <c r="L519" s="332"/>
      <c r="M519" s="332"/>
      <c r="N519" s="332"/>
      <c r="O519" s="332"/>
      <c r="P519" s="332"/>
      <c r="Q519" s="332"/>
      <c r="R519" s="332"/>
      <c r="S519" s="332"/>
      <c r="T519" s="332"/>
      <c r="U519" s="332"/>
      <c r="V519" s="332"/>
      <c r="W519" s="332"/>
      <c r="X519" s="332"/>
      <c r="Y519" s="332"/>
      <c r="Z519" s="332"/>
    </row>
    <row r="520" ht="15.75" customHeight="1">
      <c r="A520" s="27"/>
      <c r="B520" s="27"/>
      <c r="C520" s="27"/>
      <c r="D520" s="114"/>
      <c r="E520" s="114"/>
      <c r="F520" s="27"/>
      <c r="G520" s="27"/>
      <c r="H520" s="332"/>
      <c r="I520" s="332"/>
      <c r="J520" s="332"/>
      <c r="K520" s="332"/>
      <c r="L520" s="332"/>
      <c r="M520" s="332"/>
      <c r="N520" s="332"/>
      <c r="O520" s="332"/>
      <c r="P520" s="332"/>
      <c r="Q520" s="332"/>
      <c r="R520" s="332"/>
      <c r="S520" s="332"/>
      <c r="T520" s="332"/>
      <c r="U520" s="332"/>
      <c r="V520" s="332"/>
      <c r="W520" s="332"/>
      <c r="X520" s="332"/>
      <c r="Y520" s="332"/>
      <c r="Z520" s="332"/>
    </row>
    <row r="521" ht="15.75" customHeight="1">
      <c r="A521" s="27"/>
      <c r="B521" s="27"/>
      <c r="C521" s="27"/>
      <c r="D521" s="114"/>
      <c r="E521" s="114"/>
      <c r="F521" s="27"/>
      <c r="G521" s="27"/>
      <c r="H521" s="332"/>
      <c r="I521" s="332"/>
      <c r="J521" s="332"/>
      <c r="K521" s="332"/>
      <c r="L521" s="332"/>
      <c r="M521" s="332"/>
      <c r="N521" s="332"/>
      <c r="O521" s="332"/>
      <c r="P521" s="332"/>
      <c r="Q521" s="332"/>
      <c r="R521" s="332"/>
      <c r="S521" s="332"/>
      <c r="T521" s="332"/>
      <c r="U521" s="332"/>
      <c r="V521" s="332"/>
      <c r="W521" s="332"/>
      <c r="X521" s="332"/>
      <c r="Y521" s="332"/>
      <c r="Z521" s="332"/>
    </row>
    <row r="522" ht="15.75" customHeight="1">
      <c r="A522" s="27"/>
      <c r="B522" s="27"/>
      <c r="C522" s="27"/>
      <c r="D522" s="114"/>
      <c r="E522" s="114"/>
      <c r="F522" s="27"/>
      <c r="G522" s="27"/>
      <c r="H522" s="332"/>
      <c r="I522" s="332"/>
      <c r="J522" s="332"/>
      <c r="K522" s="332"/>
      <c r="L522" s="332"/>
      <c r="M522" s="332"/>
      <c r="N522" s="332"/>
      <c r="O522" s="332"/>
      <c r="P522" s="332"/>
      <c r="Q522" s="332"/>
      <c r="R522" s="332"/>
      <c r="S522" s="332"/>
      <c r="T522" s="332"/>
      <c r="U522" s="332"/>
      <c r="V522" s="332"/>
      <c r="W522" s="332"/>
      <c r="X522" s="332"/>
      <c r="Y522" s="332"/>
      <c r="Z522" s="332"/>
    </row>
    <row r="523" ht="15.75" customHeight="1">
      <c r="A523" s="27"/>
      <c r="B523" s="27"/>
      <c r="C523" s="27"/>
      <c r="D523" s="114"/>
      <c r="E523" s="114"/>
      <c r="F523" s="27"/>
      <c r="G523" s="27"/>
      <c r="H523" s="332"/>
      <c r="I523" s="332"/>
      <c r="J523" s="332"/>
      <c r="K523" s="332"/>
      <c r="L523" s="332"/>
      <c r="M523" s="332"/>
      <c r="N523" s="332"/>
      <c r="O523" s="332"/>
      <c r="P523" s="332"/>
      <c r="Q523" s="332"/>
      <c r="R523" s="332"/>
      <c r="S523" s="332"/>
      <c r="T523" s="332"/>
      <c r="U523" s="332"/>
      <c r="V523" s="332"/>
      <c r="W523" s="332"/>
      <c r="X523" s="332"/>
      <c r="Y523" s="332"/>
      <c r="Z523" s="332"/>
    </row>
    <row r="524" ht="15.75" customHeight="1">
      <c r="A524" s="27"/>
      <c r="B524" s="27"/>
      <c r="C524" s="27"/>
      <c r="D524" s="114"/>
      <c r="E524" s="114"/>
      <c r="F524" s="27"/>
      <c r="G524" s="27"/>
      <c r="H524" s="332"/>
      <c r="I524" s="332"/>
      <c r="J524" s="332"/>
      <c r="K524" s="332"/>
      <c r="L524" s="332"/>
      <c r="M524" s="332"/>
      <c r="N524" s="332"/>
      <c r="O524" s="332"/>
      <c r="P524" s="332"/>
      <c r="Q524" s="332"/>
      <c r="R524" s="332"/>
      <c r="S524" s="332"/>
      <c r="T524" s="332"/>
      <c r="U524" s="332"/>
      <c r="V524" s="332"/>
      <c r="W524" s="332"/>
      <c r="X524" s="332"/>
      <c r="Y524" s="332"/>
      <c r="Z524" s="332"/>
    </row>
    <row r="525" ht="15.75" customHeight="1">
      <c r="A525" s="27"/>
      <c r="B525" s="27"/>
      <c r="C525" s="27"/>
      <c r="D525" s="114"/>
      <c r="E525" s="114"/>
      <c r="F525" s="27"/>
      <c r="G525" s="27"/>
      <c r="H525" s="332"/>
      <c r="I525" s="332"/>
      <c r="J525" s="332"/>
      <c r="K525" s="332"/>
      <c r="L525" s="332"/>
      <c r="M525" s="332"/>
      <c r="N525" s="332"/>
      <c r="O525" s="332"/>
      <c r="P525" s="332"/>
      <c r="Q525" s="332"/>
      <c r="R525" s="332"/>
      <c r="S525" s="332"/>
      <c r="T525" s="332"/>
      <c r="U525" s="332"/>
      <c r="V525" s="332"/>
      <c r="W525" s="332"/>
      <c r="X525" s="332"/>
      <c r="Y525" s="332"/>
      <c r="Z525" s="332"/>
    </row>
    <row r="526" ht="15.75" customHeight="1">
      <c r="A526" s="27"/>
      <c r="B526" s="27"/>
      <c r="C526" s="27"/>
      <c r="D526" s="114"/>
      <c r="E526" s="114"/>
      <c r="F526" s="27"/>
      <c r="G526" s="27"/>
      <c r="H526" s="332"/>
      <c r="I526" s="332"/>
      <c r="J526" s="332"/>
      <c r="K526" s="332"/>
      <c r="L526" s="332"/>
      <c r="M526" s="332"/>
      <c r="N526" s="332"/>
      <c r="O526" s="332"/>
      <c r="P526" s="332"/>
      <c r="Q526" s="332"/>
      <c r="R526" s="332"/>
      <c r="S526" s="332"/>
      <c r="T526" s="332"/>
      <c r="U526" s="332"/>
      <c r="V526" s="332"/>
      <c r="W526" s="332"/>
      <c r="X526" s="332"/>
      <c r="Y526" s="332"/>
      <c r="Z526" s="332"/>
    </row>
    <row r="527" ht="15.75" customHeight="1">
      <c r="A527" s="27"/>
      <c r="B527" s="27"/>
      <c r="C527" s="27"/>
      <c r="D527" s="114"/>
      <c r="E527" s="114"/>
      <c r="F527" s="27"/>
      <c r="G527" s="27"/>
      <c r="H527" s="332"/>
      <c r="I527" s="332"/>
      <c r="J527" s="332"/>
      <c r="K527" s="332"/>
      <c r="L527" s="332"/>
      <c r="M527" s="332"/>
      <c r="N527" s="332"/>
      <c r="O527" s="332"/>
      <c r="P527" s="332"/>
      <c r="Q527" s="332"/>
      <c r="R527" s="332"/>
      <c r="S527" s="332"/>
      <c r="T527" s="332"/>
      <c r="U527" s="332"/>
      <c r="V527" s="332"/>
      <c r="W527" s="332"/>
      <c r="X527" s="332"/>
      <c r="Y527" s="332"/>
      <c r="Z527" s="332"/>
    </row>
    <row r="528" ht="15.75" customHeight="1">
      <c r="A528" s="27"/>
      <c r="B528" s="27"/>
      <c r="C528" s="27"/>
      <c r="D528" s="114"/>
      <c r="E528" s="114"/>
      <c r="F528" s="27"/>
      <c r="G528" s="27"/>
      <c r="H528" s="332"/>
      <c r="I528" s="332"/>
      <c r="J528" s="332"/>
      <c r="K528" s="332"/>
      <c r="L528" s="332"/>
      <c r="M528" s="332"/>
      <c r="N528" s="332"/>
      <c r="O528" s="332"/>
      <c r="P528" s="332"/>
      <c r="Q528" s="332"/>
      <c r="R528" s="332"/>
      <c r="S528" s="332"/>
      <c r="T528" s="332"/>
      <c r="U528" s="332"/>
      <c r="V528" s="332"/>
      <c r="W528" s="332"/>
      <c r="X528" s="332"/>
      <c r="Y528" s="332"/>
      <c r="Z528" s="332"/>
    </row>
    <row r="529" ht="15.75" customHeight="1">
      <c r="A529" s="27"/>
      <c r="B529" s="27"/>
      <c r="C529" s="27"/>
      <c r="D529" s="114"/>
      <c r="E529" s="114"/>
      <c r="F529" s="27"/>
      <c r="G529" s="27"/>
      <c r="H529" s="332"/>
      <c r="I529" s="332"/>
      <c r="J529" s="332"/>
      <c r="K529" s="332"/>
      <c r="L529" s="332"/>
      <c r="M529" s="332"/>
      <c r="N529" s="332"/>
      <c r="O529" s="332"/>
      <c r="P529" s="332"/>
      <c r="Q529" s="332"/>
      <c r="R529" s="332"/>
      <c r="S529" s="332"/>
      <c r="T529" s="332"/>
      <c r="U529" s="332"/>
      <c r="V529" s="332"/>
      <c r="W529" s="332"/>
      <c r="X529" s="332"/>
      <c r="Y529" s="332"/>
      <c r="Z529" s="332"/>
    </row>
    <row r="530" ht="15.75" customHeight="1">
      <c r="A530" s="27"/>
      <c r="B530" s="27"/>
      <c r="C530" s="27"/>
      <c r="D530" s="114"/>
      <c r="E530" s="114"/>
      <c r="F530" s="27"/>
      <c r="G530" s="27"/>
      <c r="H530" s="332"/>
      <c r="I530" s="332"/>
      <c r="J530" s="332"/>
      <c r="K530" s="332"/>
      <c r="L530" s="332"/>
      <c r="M530" s="332"/>
      <c r="N530" s="332"/>
      <c r="O530" s="332"/>
      <c r="P530" s="332"/>
      <c r="Q530" s="332"/>
      <c r="R530" s="332"/>
      <c r="S530" s="332"/>
      <c r="T530" s="332"/>
      <c r="U530" s="332"/>
      <c r="V530" s="332"/>
      <c r="W530" s="332"/>
      <c r="X530" s="332"/>
      <c r="Y530" s="332"/>
      <c r="Z530" s="332"/>
    </row>
    <row r="531" ht="15.75" customHeight="1">
      <c r="A531" s="27"/>
      <c r="B531" s="27"/>
      <c r="C531" s="27"/>
      <c r="D531" s="114"/>
      <c r="E531" s="114"/>
      <c r="F531" s="27"/>
      <c r="G531" s="27"/>
      <c r="H531" s="332"/>
      <c r="I531" s="332"/>
      <c r="J531" s="332"/>
      <c r="K531" s="332"/>
      <c r="L531" s="332"/>
      <c r="M531" s="332"/>
      <c r="N531" s="332"/>
      <c r="O531" s="332"/>
      <c r="P531" s="332"/>
      <c r="Q531" s="332"/>
      <c r="R531" s="332"/>
      <c r="S531" s="332"/>
      <c r="T531" s="332"/>
      <c r="U531" s="332"/>
      <c r="V531" s="332"/>
      <c r="W531" s="332"/>
      <c r="X531" s="332"/>
      <c r="Y531" s="332"/>
      <c r="Z531" s="332"/>
    </row>
    <row r="532" ht="15.75" customHeight="1">
      <c r="A532" s="27"/>
      <c r="B532" s="27"/>
      <c r="C532" s="27"/>
      <c r="D532" s="114"/>
      <c r="E532" s="114"/>
      <c r="F532" s="27"/>
      <c r="G532" s="27"/>
      <c r="H532" s="332"/>
      <c r="I532" s="332"/>
      <c r="J532" s="332"/>
      <c r="K532" s="332"/>
      <c r="L532" s="332"/>
      <c r="M532" s="332"/>
      <c r="N532" s="332"/>
      <c r="O532" s="332"/>
      <c r="P532" s="332"/>
      <c r="Q532" s="332"/>
      <c r="R532" s="332"/>
      <c r="S532" s="332"/>
      <c r="T532" s="332"/>
      <c r="U532" s="332"/>
      <c r="V532" s="332"/>
      <c r="W532" s="332"/>
      <c r="X532" s="332"/>
      <c r="Y532" s="332"/>
      <c r="Z532" s="332"/>
    </row>
    <row r="533" ht="15.75" customHeight="1">
      <c r="A533" s="27"/>
      <c r="B533" s="27"/>
      <c r="C533" s="27"/>
      <c r="D533" s="114"/>
      <c r="E533" s="114"/>
      <c r="F533" s="27"/>
      <c r="G533" s="27"/>
      <c r="H533" s="332"/>
      <c r="I533" s="332"/>
      <c r="J533" s="332"/>
      <c r="K533" s="332"/>
      <c r="L533" s="332"/>
      <c r="M533" s="332"/>
      <c r="N533" s="332"/>
      <c r="O533" s="332"/>
      <c r="P533" s="332"/>
      <c r="Q533" s="332"/>
      <c r="R533" s="332"/>
      <c r="S533" s="332"/>
      <c r="T533" s="332"/>
      <c r="U533" s="332"/>
      <c r="V533" s="332"/>
      <c r="W533" s="332"/>
      <c r="X533" s="332"/>
      <c r="Y533" s="332"/>
      <c r="Z533" s="332"/>
    </row>
    <row r="534" ht="15.75" customHeight="1">
      <c r="A534" s="27"/>
      <c r="B534" s="27"/>
      <c r="C534" s="27"/>
      <c r="D534" s="114"/>
      <c r="E534" s="114"/>
      <c r="F534" s="27"/>
      <c r="G534" s="27"/>
      <c r="H534" s="332"/>
      <c r="I534" s="332"/>
      <c r="J534" s="332"/>
      <c r="K534" s="332"/>
      <c r="L534" s="332"/>
      <c r="M534" s="332"/>
      <c r="N534" s="332"/>
      <c r="O534" s="332"/>
      <c r="P534" s="332"/>
      <c r="Q534" s="332"/>
      <c r="R534" s="332"/>
      <c r="S534" s="332"/>
      <c r="T534" s="332"/>
      <c r="U534" s="332"/>
      <c r="V534" s="332"/>
      <c r="W534" s="332"/>
      <c r="X534" s="332"/>
      <c r="Y534" s="332"/>
      <c r="Z534" s="332"/>
    </row>
    <row r="535" ht="15.75" customHeight="1">
      <c r="A535" s="27"/>
      <c r="B535" s="27"/>
      <c r="C535" s="27"/>
      <c r="D535" s="114"/>
      <c r="E535" s="114"/>
      <c r="F535" s="27"/>
      <c r="G535" s="27"/>
      <c r="H535" s="332"/>
      <c r="I535" s="332"/>
      <c r="J535" s="332"/>
      <c r="K535" s="332"/>
      <c r="L535" s="332"/>
      <c r="M535" s="332"/>
      <c r="N535" s="332"/>
      <c r="O535" s="332"/>
      <c r="P535" s="332"/>
      <c r="Q535" s="332"/>
      <c r="R535" s="332"/>
      <c r="S535" s="332"/>
      <c r="T535" s="332"/>
      <c r="U535" s="332"/>
      <c r="V535" s="332"/>
      <c r="W535" s="332"/>
      <c r="X535" s="332"/>
      <c r="Y535" s="332"/>
      <c r="Z535" s="332"/>
    </row>
    <row r="536" ht="15.75" customHeight="1">
      <c r="A536" s="27"/>
      <c r="B536" s="27"/>
      <c r="C536" s="27"/>
      <c r="D536" s="114"/>
      <c r="E536" s="114"/>
      <c r="F536" s="27"/>
      <c r="G536" s="27"/>
      <c r="H536" s="332"/>
      <c r="I536" s="332"/>
      <c r="J536" s="332"/>
      <c r="K536" s="332"/>
      <c r="L536" s="332"/>
      <c r="M536" s="332"/>
      <c r="N536" s="332"/>
      <c r="O536" s="332"/>
      <c r="P536" s="332"/>
      <c r="Q536" s="332"/>
      <c r="R536" s="332"/>
      <c r="S536" s="332"/>
      <c r="T536" s="332"/>
      <c r="U536" s="332"/>
      <c r="V536" s="332"/>
      <c r="W536" s="332"/>
      <c r="X536" s="332"/>
      <c r="Y536" s="332"/>
      <c r="Z536" s="332"/>
    </row>
    <row r="537" ht="15.75" customHeight="1">
      <c r="A537" s="27"/>
      <c r="B537" s="27"/>
      <c r="C537" s="27"/>
      <c r="D537" s="114"/>
      <c r="E537" s="114"/>
      <c r="F537" s="27"/>
      <c r="G537" s="27"/>
      <c r="H537" s="332"/>
      <c r="I537" s="332"/>
      <c r="J537" s="332"/>
      <c r="K537" s="332"/>
      <c r="L537" s="332"/>
      <c r="M537" s="332"/>
      <c r="N537" s="332"/>
      <c r="O537" s="332"/>
      <c r="P537" s="332"/>
      <c r="Q537" s="332"/>
      <c r="R537" s="332"/>
      <c r="S537" s="332"/>
      <c r="T537" s="332"/>
      <c r="U537" s="332"/>
      <c r="V537" s="332"/>
      <c r="W537" s="332"/>
      <c r="X537" s="332"/>
      <c r="Y537" s="332"/>
      <c r="Z537" s="332"/>
    </row>
    <row r="538" ht="15.75" customHeight="1">
      <c r="A538" s="27"/>
      <c r="B538" s="27"/>
      <c r="C538" s="27"/>
      <c r="D538" s="114"/>
      <c r="E538" s="114"/>
      <c r="F538" s="27"/>
      <c r="G538" s="27"/>
      <c r="H538" s="332"/>
      <c r="I538" s="332"/>
      <c r="J538" s="332"/>
      <c r="K538" s="332"/>
      <c r="L538" s="332"/>
      <c r="M538" s="332"/>
      <c r="N538" s="332"/>
      <c r="O538" s="332"/>
      <c r="P538" s="332"/>
      <c r="Q538" s="332"/>
      <c r="R538" s="332"/>
      <c r="S538" s="332"/>
      <c r="T538" s="332"/>
      <c r="U538" s="332"/>
      <c r="V538" s="332"/>
      <c r="W538" s="332"/>
      <c r="X538" s="332"/>
      <c r="Y538" s="332"/>
      <c r="Z538" s="332"/>
    </row>
    <row r="539" ht="15.75" customHeight="1">
      <c r="A539" s="27"/>
      <c r="B539" s="27"/>
      <c r="C539" s="27"/>
      <c r="D539" s="114"/>
      <c r="E539" s="114"/>
      <c r="F539" s="27"/>
      <c r="G539" s="27"/>
      <c r="H539" s="332"/>
      <c r="I539" s="332"/>
      <c r="J539" s="332"/>
      <c r="K539" s="332"/>
      <c r="L539" s="332"/>
      <c r="M539" s="332"/>
      <c r="N539" s="332"/>
      <c r="O539" s="332"/>
      <c r="P539" s="332"/>
      <c r="Q539" s="332"/>
      <c r="R539" s="332"/>
      <c r="S539" s="332"/>
      <c r="T539" s="332"/>
      <c r="U539" s="332"/>
      <c r="V539" s="332"/>
      <c r="W539" s="332"/>
      <c r="X539" s="332"/>
      <c r="Y539" s="332"/>
      <c r="Z539" s="332"/>
    </row>
    <row r="540" ht="15.75" customHeight="1">
      <c r="A540" s="27"/>
      <c r="B540" s="27"/>
      <c r="C540" s="27"/>
      <c r="D540" s="114"/>
      <c r="E540" s="114"/>
      <c r="F540" s="27"/>
      <c r="G540" s="27"/>
      <c r="H540" s="332"/>
      <c r="I540" s="332"/>
      <c r="J540" s="332"/>
      <c r="K540" s="332"/>
      <c r="L540" s="332"/>
      <c r="M540" s="332"/>
      <c r="N540" s="332"/>
      <c r="O540" s="332"/>
      <c r="P540" s="332"/>
      <c r="Q540" s="332"/>
      <c r="R540" s="332"/>
      <c r="S540" s="332"/>
      <c r="T540" s="332"/>
      <c r="U540" s="332"/>
      <c r="V540" s="332"/>
      <c r="W540" s="332"/>
      <c r="X540" s="332"/>
      <c r="Y540" s="332"/>
      <c r="Z540" s="332"/>
    </row>
    <row r="541" ht="15.75" customHeight="1">
      <c r="A541" s="27"/>
      <c r="B541" s="27"/>
      <c r="C541" s="27"/>
      <c r="D541" s="114"/>
      <c r="E541" s="114"/>
      <c r="F541" s="27"/>
      <c r="G541" s="27"/>
      <c r="H541" s="332"/>
      <c r="I541" s="332"/>
      <c r="J541" s="332"/>
      <c r="K541" s="332"/>
      <c r="L541" s="332"/>
      <c r="M541" s="332"/>
      <c r="N541" s="332"/>
      <c r="O541" s="332"/>
      <c r="P541" s="332"/>
      <c r="Q541" s="332"/>
      <c r="R541" s="332"/>
      <c r="S541" s="332"/>
      <c r="T541" s="332"/>
      <c r="U541" s="332"/>
      <c r="V541" s="332"/>
      <c r="W541" s="332"/>
      <c r="X541" s="332"/>
      <c r="Y541" s="332"/>
      <c r="Z541" s="332"/>
    </row>
    <row r="542" ht="15.75" customHeight="1">
      <c r="A542" s="27"/>
      <c r="B542" s="27"/>
      <c r="C542" s="27"/>
      <c r="D542" s="114"/>
      <c r="E542" s="114"/>
      <c r="F542" s="27"/>
      <c r="G542" s="27"/>
      <c r="H542" s="332"/>
      <c r="I542" s="332"/>
      <c r="J542" s="332"/>
      <c r="K542" s="332"/>
      <c r="L542" s="332"/>
      <c r="M542" s="332"/>
      <c r="N542" s="332"/>
      <c r="O542" s="332"/>
      <c r="P542" s="332"/>
      <c r="Q542" s="332"/>
      <c r="R542" s="332"/>
      <c r="S542" s="332"/>
      <c r="T542" s="332"/>
      <c r="U542" s="332"/>
      <c r="V542" s="332"/>
      <c r="W542" s="332"/>
      <c r="X542" s="332"/>
      <c r="Y542" s="332"/>
      <c r="Z542" s="332"/>
    </row>
    <row r="543" ht="15.75" customHeight="1">
      <c r="A543" s="27"/>
      <c r="B543" s="27"/>
      <c r="C543" s="27"/>
      <c r="D543" s="114"/>
      <c r="E543" s="114"/>
      <c r="F543" s="27"/>
      <c r="G543" s="27"/>
      <c r="H543" s="332"/>
      <c r="I543" s="332"/>
      <c r="J543" s="332"/>
      <c r="K543" s="332"/>
      <c r="L543" s="332"/>
      <c r="M543" s="332"/>
      <c r="N543" s="332"/>
      <c r="O543" s="332"/>
      <c r="P543" s="332"/>
      <c r="Q543" s="332"/>
      <c r="R543" s="332"/>
      <c r="S543" s="332"/>
      <c r="T543" s="332"/>
      <c r="U543" s="332"/>
      <c r="V543" s="332"/>
      <c r="W543" s="332"/>
      <c r="X543" s="332"/>
      <c r="Y543" s="332"/>
      <c r="Z543" s="332"/>
    </row>
    <row r="544" ht="15.75" customHeight="1">
      <c r="A544" s="27"/>
      <c r="B544" s="27"/>
      <c r="C544" s="27"/>
      <c r="D544" s="114"/>
      <c r="E544" s="114"/>
      <c r="F544" s="27"/>
      <c r="G544" s="27"/>
      <c r="H544" s="332"/>
      <c r="I544" s="332"/>
      <c r="J544" s="332"/>
      <c r="K544" s="332"/>
      <c r="L544" s="332"/>
      <c r="M544" s="332"/>
      <c r="N544" s="332"/>
      <c r="O544" s="332"/>
      <c r="P544" s="332"/>
      <c r="Q544" s="332"/>
      <c r="R544" s="332"/>
      <c r="S544" s="332"/>
      <c r="T544" s="332"/>
      <c r="U544" s="332"/>
      <c r="V544" s="332"/>
      <c r="W544" s="332"/>
      <c r="X544" s="332"/>
      <c r="Y544" s="332"/>
      <c r="Z544" s="332"/>
    </row>
    <row r="545" ht="15.75" customHeight="1">
      <c r="A545" s="27"/>
      <c r="B545" s="27"/>
      <c r="C545" s="27"/>
      <c r="D545" s="114"/>
      <c r="E545" s="114"/>
      <c r="F545" s="27"/>
      <c r="G545" s="27"/>
      <c r="H545" s="332"/>
      <c r="I545" s="332"/>
      <c r="J545" s="332"/>
      <c r="K545" s="332"/>
      <c r="L545" s="332"/>
      <c r="M545" s="332"/>
      <c r="N545" s="332"/>
      <c r="O545" s="332"/>
      <c r="P545" s="332"/>
      <c r="Q545" s="332"/>
      <c r="R545" s="332"/>
      <c r="S545" s="332"/>
      <c r="T545" s="332"/>
      <c r="U545" s="332"/>
      <c r="V545" s="332"/>
      <c r="W545" s="332"/>
      <c r="X545" s="332"/>
      <c r="Y545" s="332"/>
      <c r="Z545" s="332"/>
    </row>
    <row r="546" ht="15.75" customHeight="1">
      <c r="A546" s="27"/>
      <c r="B546" s="27"/>
      <c r="C546" s="27"/>
      <c r="D546" s="114"/>
      <c r="E546" s="114"/>
      <c r="F546" s="27"/>
      <c r="G546" s="27"/>
      <c r="H546" s="332"/>
      <c r="I546" s="332"/>
      <c r="J546" s="332"/>
      <c r="K546" s="332"/>
      <c r="L546" s="332"/>
      <c r="M546" s="332"/>
      <c r="N546" s="332"/>
      <c r="O546" s="332"/>
      <c r="P546" s="332"/>
      <c r="Q546" s="332"/>
      <c r="R546" s="332"/>
      <c r="S546" s="332"/>
      <c r="T546" s="332"/>
      <c r="U546" s="332"/>
      <c r="V546" s="332"/>
      <c r="W546" s="332"/>
      <c r="X546" s="332"/>
      <c r="Y546" s="332"/>
      <c r="Z546" s="332"/>
    </row>
    <row r="547" ht="15.75" customHeight="1">
      <c r="A547" s="27"/>
      <c r="B547" s="27"/>
      <c r="C547" s="27"/>
      <c r="D547" s="114"/>
      <c r="E547" s="114"/>
      <c r="F547" s="27"/>
      <c r="G547" s="27"/>
      <c r="H547" s="332"/>
      <c r="I547" s="332"/>
      <c r="J547" s="332"/>
      <c r="K547" s="332"/>
      <c r="L547" s="332"/>
      <c r="M547" s="332"/>
      <c r="N547" s="332"/>
      <c r="O547" s="332"/>
      <c r="P547" s="332"/>
      <c r="Q547" s="332"/>
      <c r="R547" s="332"/>
      <c r="S547" s="332"/>
      <c r="T547" s="332"/>
      <c r="U547" s="332"/>
      <c r="V547" s="332"/>
      <c r="W547" s="332"/>
      <c r="X547" s="332"/>
      <c r="Y547" s="332"/>
      <c r="Z547" s="332"/>
    </row>
    <row r="548" ht="15.75" customHeight="1">
      <c r="A548" s="27"/>
      <c r="B548" s="27"/>
      <c r="C548" s="27"/>
      <c r="D548" s="114"/>
      <c r="E548" s="114"/>
      <c r="F548" s="27"/>
      <c r="G548" s="27"/>
      <c r="H548" s="332"/>
      <c r="I548" s="332"/>
      <c r="J548" s="332"/>
      <c r="K548" s="332"/>
      <c r="L548" s="332"/>
      <c r="M548" s="332"/>
      <c r="N548" s="332"/>
      <c r="O548" s="332"/>
      <c r="P548" s="332"/>
      <c r="Q548" s="332"/>
      <c r="R548" s="332"/>
      <c r="S548" s="332"/>
      <c r="T548" s="332"/>
      <c r="U548" s="332"/>
      <c r="V548" s="332"/>
      <c r="W548" s="332"/>
      <c r="X548" s="332"/>
      <c r="Y548" s="332"/>
      <c r="Z548" s="332"/>
    </row>
    <row r="549" ht="15.75" customHeight="1">
      <c r="A549" s="27"/>
      <c r="B549" s="27"/>
      <c r="C549" s="27"/>
      <c r="D549" s="114"/>
      <c r="E549" s="114"/>
      <c r="F549" s="27"/>
      <c r="G549" s="27"/>
      <c r="H549" s="332"/>
      <c r="I549" s="332"/>
      <c r="J549" s="332"/>
      <c r="K549" s="332"/>
      <c r="L549" s="332"/>
      <c r="M549" s="332"/>
      <c r="N549" s="332"/>
      <c r="O549" s="332"/>
      <c r="P549" s="332"/>
      <c r="Q549" s="332"/>
      <c r="R549" s="332"/>
      <c r="S549" s="332"/>
      <c r="T549" s="332"/>
      <c r="U549" s="332"/>
      <c r="V549" s="332"/>
      <c r="W549" s="332"/>
      <c r="X549" s="332"/>
      <c r="Y549" s="332"/>
      <c r="Z549" s="332"/>
    </row>
    <row r="550" ht="15.75" customHeight="1">
      <c r="A550" s="27"/>
      <c r="B550" s="27"/>
      <c r="C550" s="27"/>
      <c r="D550" s="114"/>
      <c r="E550" s="114"/>
      <c r="F550" s="27"/>
      <c r="G550" s="27"/>
      <c r="H550" s="332"/>
      <c r="I550" s="332"/>
      <c r="J550" s="332"/>
      <c r="K550" s="332"/>
      <c r="L550" s="332"/>
      <c r="M550" s="332"/>
      <c r="N550" s="332"/>
      <c r="O550" s="332"/>
      <c r="P550" s="332"/>
      <c r="Q550" s="332"/>
      <c r="R550" s="332"/>
      <c r="S550" s="332"/>
      <c r="T550" s="332"/>
      <c r="U550" s="332"/>
      <c r="V550" s="332"/>
      <c r="W550" s="332"/>
      <c r="X550" s="332"/>
      <c r="Y550" s="332"/>
      <c r="Z550" s="332"/>
    </row>
    <row r="551" ht="15.75" customHeight="1">
      <c r="A551" s="27"/>
      <c r="B551" s="27"/>
      <c r="C551" s="27"/>
      <c r="D551" s="114"/>
      <c r="E551" s="114"/>
      <c r="F551" s="27"/>
      <c r="G551" s="27"/>
      <c r="H551" s="332"/>
      <c r="I551" s="332"/>
      <c r="J551" s="332"/>
      <c r="K551" s="332"/>
      <c r="L551" s="332"/>
      <c r="M551" s="332"/>
      <c r="N551" s="332"/>
      <c r="O551" s="332"/>
      <c r="P551" s="332"/>
      <c r="Q551" s="332"/>
      <c r="R551" s="332"/>
      <c r="S551" s="332"/>
      <c r="T551" s="332"/>
      <c r="U551" s="332"/>
      <c r="V551" s="332"/>
      <c r="W551" s="332"/>
      <c r="X551" s="332"/>
      <c r="Y551" s="332"/>
      <c r="Z551" s="332"/>
    </row>
    <row r="552" ht="15.75" customHeight="1">
      <c r="A552" s="27"/>
      <c r="B552" s="27"/>
      <c r="C552" s="27"/>
      <c r="D552" s="114"/>
      <c r="E552" s="114"/>
      <c r="F552" s="27"/>
      <c r="G552" s="27"/>
      <c r="H552" s="332"/>
      <c r="I552" s="332"/>
      <c r="J552" s="332"/>
      <c r="K552" s="332"/>
      <c r="L552" s="332"/>
      <c r="M552" s="332"/>
      <c r="N552" s="332"/>
      <c r="O552" s="332"/>
      <c r="P552" s="332"/>
      <c r="Q552" s="332"/>
      <c r="R552" s="332"/>
      <c r="S552" s="332"/>
      <c r="T552" s="332"/>
      <c r="U552" s="332"/>
      <c r="V552" s="332"/>
      <c r="W552" s="332"/>
      <c r="X552" s="332"/>
      <c r="Y552" s="332"/>
      <c r="Z552" s="332"/>
    </row>
    <row r="553" ht="15.75" customHeight="1">
      <c r="A553" s="27"/>
      <c r="B553" s="27"/>
      <c r="C553" s="27"/>
      <c r="D553" s="114"/>
      <c r="E553" s="114"/>
      <c r="F553" s="27"/>
      <c r="G553" s="27"/>
      <c r="H553" s="332"/>
      <c r="I553" s="332"/>
      <c r="J553" s="332"/>
      <c r="K553" s="332"/>
      <c r="L553" s="332"/>
      <c r="M553" s="332"/>
      <c r="N553" s="332"/>
      <c r="O553" s="332"/>
      <c r="P553" s="332"/>
      <c r="Q553" s="332"/>
      <c r="R553" s="332"/>
      <c r="S553" s="332"/>
      <c r="T553" s="332"/>
      <c r="U553" s="332"/>
      <c r="V553" s="332"/>
      <c r="W553" s="332"/>
      <c r="X553" s="332"/>
      <c r="Y553" s="332"/>
      <c r="Z553" s="332"/>
    </row>
    <row r="554" ht="15.75" customHeight="1">
      <c r="A554" s="27"/>
      <c r="B554" s="27"/>
      <c r="C554" s="27"/>
      <c r="D554" s="114"/>
      <c r="E554" s="114"/>
      <c r="F554" s="27"/>
      <c r="G554" s="27"/>
      <c r="H554" s="332"/>
      <c r="I554" s="332"/>
      <c r="J554" s="332"/>
      <c r="K554" s="332"/>
      <c r="L554" s="332"/>
      <c r="M554" s="332"/>
      <c r="N554" s="332"/>
      <c r="O554" s="332"/>
      <c r="P554" s="332"/>
      <c r="Q554" s="332"/>
      <c r="R554" s="332"/>
      <c r="S554" s="332"/>
      <c r="T554" s="332"/>
      <c r="U554" s="332"/>
      <c r="V554" s="332"/>
      <c r="W554" s="332"/>
      <c r="X554" s="332"/>
      <c r="Y554" s="332"/>
      <c r="Z554" s="332"/>
    </row>
    <row r="555" ht="15.75" customHeight="1">
      <c r="A555" s="27"/>
      <c r="B555" s="27"/>
      <c r="C555" s="27"/>
      <c r="D555" s="114"/>
      <c r="E555" s="114"/>
      <c r="F555" s="27"/>
      <c r="G555" s="27"/>
      <c r="H555" s="332"/>
      <c r="I555" s="332"/>
      <c r="J555" s="332"/>
      <c r="K555" s="332"/>
      <c r="L555" s="332"/>
      <c r="M555" s="332"/>
      <c r="N555" s="332"/>
      <c r="O555" s="332"/>
      <c r="P555" s="332"/>
      <c r="Q555" s="332"/>
      <c r="R555" s="332"/>
      <c r="S555" s="332"/>
      <c r="T555" s="332"/>
      <c r="U555" s="332"/>
      <c r="V555" s="332"/>
      <c r="W555" s="332"/>
      <c r="X555" s="332"/>
      <c r="Y555" s="332"/>
      <c r="Z555" s="332"/>
    </row>
    <row r="556" ht="15.75" customHeight="1">
      <c r="A556" s="27"/>
      <c r="B556" s="27"/>
      <c r="C556" s="27"/>
      <c r="D556" s="114"/>
      <c r="E556" s="114"/>
      <c r="F556" s="27"/>
      <c r="G556" s="27"/>
      <c r="H556" s="332"/>
      <c r="I556" s="332"/>
      <c r="J556" s="332"/>
      <c r="K556" s="332"/>
      <c r="L556" s="332"/>
      <c r="M556" s="332"/>
      <c r="N556" s="332"/>
      <c r="O556" s="332"/>
      <c r="P556" s="332"/>
      <c r="Q556" s="332"/>
      <c r="R556" s="332"/>
      <c r="S556" s="332"/>
      <c r="T556" s="332"/>
      <c r="U556" s="332"/>
      <c r="V556" s="332"/>
      <c r="W556" s="332"/>
      <c r="X556" s="332"/>
      <c r="Y556" s="332"/>
      <c r="Z556" s="332"/>
    </row>
    <row r="557" ht="15.75" customHeight="1">
      <c r="A557" s="27"/>
      <c r="B557" s="27"/>
      <c r="C557" s="27"/>
      <c r="D557" s="114"/>
      <c r="E557" s="114"/>
      <c r="F557" s="27"/>
      <c r="G557" s="27"/>
      <c r="H557" s="332"/>
      <c r="I557" s="332"/>
      <c r="J557" s="332"/>
      <c r="K557" s="332"/>
      <c r="L557" s="332"/>
      <c r="M557" s="332"/>
      <c r="N557" s="332"/>
      <c r="O557" s="332"/>
      <c r="P557" s="332"/>
      <c r="Q557" s="332"/>
      <c r="R557" s="332"/>
      <c r="S557" s="332"/>
      <c r="T557" s="332"/>
      <c r="U557" s="332"/>
      <c r="V557" s="332"/>
      <c r="W557" s="332"/>
      <c r="X557" s="332"/>
      <c r="Y557" s="332"/>
      <c r="Z557" s="332"/>
    </row>
    <row r="558" ht="15.75" customHeight="1">
      <c r="A558" s="27"/>
      <c r="B558" s="27"/>
      <c r="C558" s="27"/>
      <c r="D558" s="114"/>
      <c r="E558" s="114"/>
      <c r="F558" s="27"/>
      <c r="G558" s="27"/>
      <c r="H558" s="332"/>
      <c r="I558" s="332"/>
      <c r="J558" s="332"/>
      <c r="K558" s="332"/>
      <c r="L558" s="332"/>
      <c r="M558" s="332"/>
      <c r="N558" s="332"/>
      <c r="O558" s="332"/>
      <c r="P558" s="332"/>
      <c r="Q558" s="332"/>
      <c r="R558" s="332"/>
      <c r="S558" s="332"/>
      <c r="T558" s="332"/>
      <c r="U558" s="332"/>
      <c r="V558" s="332"/>
      <c r="W558" s="332"/>
      <c r="X558" s="332"/>
      <c r="Y558" s="332"/>
      <c r="Z558" s="332"/>
    </row>
    <row r="559" ht="15.75" customHeight="1">
      <c r="A559" s="27"/>
      <c r="B559" s="27"/>
      <c r="C559" s="27"/>
      <c r="D559" s="114"/>
      <c r="E559" s="114"/>
      <c r="F559" s="27"/>
      <c r="G559" s="27"/>
      <c r="H559" s="332"/>
      <c r="I559" s="332"/>
      <c r="J559" s="332"/>
      <c r="K559" s="332"/>
      <c r="L559" s="332"/>
      <c r="M559" s="332"/>
      <c r="N559" s="332"/>
      <c r="O559" s="332"/>
      <c r="P559" s="332"/>
      <c r="Q559" s="332"/>
      <c r="R559" s="332"/>
      <c r="S559" s="332"/>
      <c r="T559" s="332"/>
      <c r="U559" s="332"/>
      <c r="V559" s="332"/>
      <c r="W559" s="332"/>
      <c r="X559" s="332"/>
      <c r="Y559" s="332"/>
      <c r="Z559" s="332"/>
    </row>
    <row r="560" ht="15.75" customHeight="1">
      <c r="A560" s="27"/>
      <c r="B560" s="27"/>
      <c r="C560" s="27"/>
      <c r="D560" s="114"/>
      <c r="E560" s="114"/>
      <c r="F560" s="27"/>
      <c r="G560" s="27"/>
      <c r="H560" s="332"/>
      <c r="I560" s="332"/>
      <c r="J560" s="332"/>
      <c r="K560" s="332"/>
      <c r="L560" s="332"/>
      <c r="M560" s="332"/>
      <c r="N560" s="332"/>
      <c r="O560" s="332"/>
      <c r="P560" s="332"/>
      <c r="Q560" s="332"/>
      <c r="R560" s="332"/>
      <c r="S560" s="332"/>
      <c r="T560" s="332"/>
      <c r="U560" s="332"/>
      <c r="V560" s="332"/>
      <c r="W560" s="332"/>
      <c r="X560" s="332"/>
      <c r="Y560" s="332"/>
      <c r="Z560" s="332"/>
    </row>
    <row r="561" ht="15.75" customHeight="1">
      <c r="A561" s="27"/>
      <c r="B561" s="27"/>
      <c r="C561" s="27"/>
      <c r="D561" s="114"/>
      <c r="E561" s="114"/>
      <c r="F561" s="27"/>
      <c r="G561" s="27"/>
      <c r="H561" s="332"/>
      <c r="I561" s="332"/>
      <c r="J561" s="332"/>
      <c r="K561" s="332"/>
      <c r="L561" s="332"/>
      <c r="M561" s="332"/>
      <c r="N561" s="332"/>
      <c r="O561" s="332"/>
      <c r="P561" s="332"/>
      <c r="Q561" s="332"/>
      <c r="R561" s="332"/>
      <c r="S561" s="332"/>
      <c r="T561" s="332"/>
      <c r="U561" s="332"/>
      <c r="V561" s="332"/>
      <c r="W561" s="332"/>
      <c r="X561" s="332"/>
      <c r="Y561" s="332"/>
      <c r="Z561" s="332"/>
    </row>
    <row r="562" ht="15.75" customHeight="1">
      <c r="A562" s="27"/>
      <c r="B562" s="27"/>
      <c r="C562" s="27"/>
      <c r="D562" s="114"/>
      <c r="E562" s="114"/>
      <c r="F562" s="27"/>
      <c r="G562" s="27"/>
      <c r="H562" s="332"/>
      <c r="I562" s="332"/>
      <c r="J562" s="332"/>
      <c r="K562" s="332"/>
      <c r="L562" s="332"/>
      <c r="M562" s="332"/>
      <c r="N562" s="332"/>
      <c r="O562" s="332"/>
      <c r="P562" s="332"/>
      <c r="Q562" s="332"/>
      <c r="R562" s="332"/>
      <c r="S562" s="332"/>
      <c r="T562" s="332"/>
      <c r="U562" s="332"/>
      <c r="V562" s="332"/>
      <c r="W562" s="332"/>
      <c r="X562" s="332"/>
      <c r="Y562" s="332"/>
      <c r="Z562" s="332"/>
    </row>
    <row r="563" ht="15.75" customHeight="1">
      <c r="A563" s="27"/>
      <c r="B563" s="27"/>
      <c r="C563" s="27"/>
      <c r="D563" s="114"/>
      <c r="E563" s="114"/>
      <c r="F563" s="27"/>
      <c r="G563" s="27"/>
      <c r="H563" s="332"/>
      <c r="I563" s="332"/>
      <c r="J563" s="332"/>
      <c r="K563" s="332"/>
      <c r="L563" s="332"/>
      <c r="M563" s="332"/>
      <c r="N563" s="332"/>
      <c r="O563" s="332"/>
      <c r="P563" s="332"/>
      <c r="Q563" s="332"/>
      <c r="R563" s="332"/>
      <c r="S563" s="332"/>
      <c r="T563" s="332"/>
      <c r="U563" s="332"/>
      <c r="V563" s="332"/>
      <c r="W563" s="332"/>
      <c r="X563" s="332"/>
      <c r="Y563" s="332"/>
      <c r="Z563" s="332"/>
    </row>
    <row r="564" ht="15.75" customHeight="1">
      <c r="A564" s="27"/>
      <c r="B564" s="27"/>
      <c r="C564" s="27"/>
      <c r="D564" s="114"/>
      <c r="E564" s="114"/>
      <c r="F564" s="27"/>
      <c r="G564" s="27"/>
      <c r="H564" s="332"/>
      <c r="I564" s="332"/>
      <c r="J564" s="332"/>
      <c r="K564" s="332"/>
      <c r="L564" s="332"/>
      <c r="M564" s="332"/>
      <c r="N564" s="332"/>
      <c r="O564" s="332"/>
      <c r="P564" s="332"/>
      <c r="Q564" s="332"/>
      <c r="R564" s="332"/>
      <c r="S564" s="332"/>
      <c r="T564" s="332"/>
      <c r="U564" s="332"/>
      <c r="V564" s="332"/>
      <c r="W564" s="332"/>
      <c r="X564" s="332"/>
      <c r="Y564" s="332"/>
      <c r="Z564" s="332"/>
    </row>
    <row r="565" ht="15.75" customHeight="1">
      <c r="A565" s="27"/>
      <c r="B565" s="27"/>
      <c r="C565" s="27"/>
      <c r="D565" s="114"/>
      <c r="E565" s="114"/>
      <c r="F565" s="27"/>
      <c r="G565" s="27"/>
      <c r="H565" s="332"/>
      <c r="I565" s="332"/>
      <c r="J565" s="332"/>
      <c r="K565" s="332"/>
      <c r="L565" s="332"/>
      <c r="M565" s="332"/>
      <c r="N565" s="332"/>
      <c r="O565" s="332"/>
      <c r="P565" s="332"/>
      <c r="Q565" s="332"/>
      <c r="R565" s="332"/>
      <c r="S565" s="332"/>
      <c r="T565" s="332"/>
      <c r="U565" s="332"/>
      <c r="V565" s="332"/>
      <c r="W565" s="332"/>
      <c r="X565" s="332"/>
      <c r="Y565" s="332"/>
      <c r="Z565" s="332"/>
    </row>
    <row r="566" ht="15.75" customHeight="1">
      <c r="A566" s="27"/>
      <c r="B566" s="27"/>
      <c r="C566" s="27"/>
      <c r="D566" s="114"/>
      <c r="E566" s="114"/>
      <c r="F566" s="27"/>
      <c r="G566" s="27"/>
      <c r="H566" s="332"/>
      <c r="I566" s="332"/>
      <c r="J566" s="332"/>
      <c r="K566" s="332"/>
      <c r="L566" s="332"/>
      <c r="M566" s="332"/>
      <c r="N566" s="332"/>
      <c r="O566" s="332"/>
      <c r="P566" s="332"/>
      <c r="Q566" s="332"/>
      <c r="R566" s="332"/>
      <c r="S566" s="332"/>
      <c r="T566" s="332"/>
      <c r="U566" s="332"/>
      <c r="V566" s="332"/>
      <c r="W566" s="332"/>
      <c r="X566" s="332"/>
      <c r="Y566" s="332"/>
      <c r="Z566" s="332"/>
    </row>
    <row r="567" ht="15.75" customHeight="1">
      <c r="A567" s="27"/>
      <c r="B567" s="27"/>
      <c r="C567" s="27"/>
      <c r="D567" s="114"/>
      <c r="E567" s="114"/>
      <c r="F567" s="27"/>
      <c r="G567" s="27"/>
      <c r="H567" s="332"/>
      <c r="I567" s="332"/>
      <c r="J567" s="332"/>
      <c r="K567" s="332"/>
      <c r="L567" s="332"/>
      <c r="M567" s="332"/>
      <c r="N567" s="332"/>
      <c r="O567" s="332"/>
      <c r="P567" s="332"/>
      <c r="Q567" s="332"/>
      <c r="R567" s="332"/>
      <c r="S567" s="332"/>
      <c r="T567" s="332"/>
      <c r="U567" s="332"/>
      <c r="V567" s="332"/>
      <c r="W567" s="332"/>
      <c r="X567" s="332"/>
      <c r="Y567" s="332"/>
      <c r="Z567" s="332"/>
    </row>
    <row r="568" ht="15.75" customHeight="1">
      <c r="A568" s="27"/>
      <c r="B568" s="27"/>
      <c r="C568" s="27"/>
      <c r="D568" s="114"/>
      <c r="E568" s="114"/>
      <c r="F568" s="27"/>
      <c r="G568" s="27"/>
      <c r="H568" s="332"/>
      <c r="I568" s="332"/>
      <c r="J568" s="332"/>
      <c r="K568" s="332"/>
      <c r="L568" s="332"/>
      <c r="M568" s="332"/>
      <c r="N568" s="332"/>
      <c r="O568" s="332"/>
      <c r="P568" s="332"/>
      <c r="Q568" s="332"/>
      <c r="R568" s="332"/>
      <c r="S568" s="332"/>
      <c r="T568" s="332"/>
      <c r="U568" s="332"/>
      <c r="V568" s="332"/>
      <c r="W568" s="332"/>
      <c r="X568" s="332"/>
      <c r="Y568" s="332"/>
      <c r="Z568" s="332"/>
    </row>
    <row r="569" ht="15.75" customHeight="1">
      <c r="A569" s="27"/>
      <c r="B569" s="27"/>
      <c r="C569" s="27"/>
      <c r="D569" s="114"/>
      <c r="E569" s="114"/>
      <c r="F569" s="27"/>
      <c r="G569" s="27"/>
      <c r="H569" s="332"/>
      <c r="I569" s="332"/>
      <c r="J569" s="332"/>
      <c r="K569" s="332"/>
      <c r="L569" s="332"/>
      <c r="M569" s="332"/>
      <c r="N569" s="332"/>
      <c r="O569" s="332"/>
      <c r="P569" s="332"/>
      <c r="Q569" s="332"/>
      <c r="R569" s="332"/>
      <c r="S569" s="332"/>
      <c r="T569" s="332"/>
      <c r="U569" s="332"/>
      <c r="V569" s="332"/>
      <c r="W569" s="332"/>
      <c r="X569" s="332"/>
      <c r="Y569" s="332"/>
      <c r="Z569" s="332"/>
    </row>
    <row r="570" ht="15.75" customHeight="1">
      <c r="A570" s="27"/>
      <c r="B570" s="27"/>
      <c r="C570" s="27"/>
      <c r="D570" s="114"/>
      <c r="E570" s="114"/>
      <c r="F570" s="27"/>
      <c r="G570" s="27"/>
      <c r="H570" s="332"/>
      <c r="I570" s="332"/>
      <c r="J570" s="332"/>
      <c r="K570" s="332"/>
      <c r="L570" s="332"/>
      <c r="M570" s="332"/>
      <c r="N570" s="332"/>
      <c r="O570" s="332"/>
      <c r="P570" s="332"/>
      <c r="Q570" s="332"/>
      <c r="R570" s="332"/>
      <c r="S570" s="332"/>
      <c r="T570" s="332"/>
      <c r="U570" s="332"/>
      <c r="V570" s="332"/>
      <c r="W570" s="332"/>
      <c r="X570" s="332"/>
      <c r="Y570" s="332"/>
      <c r="Z570" s="332"/>
    </row>
    <row r="571" ht="15.75" customHeight="1">
      <c r="A571" s="27"/>
      <c r="B571" s="27"/>
      <c r="C571" s="27"/>
      <c r="D571" s="114"/>
      <c r="E571" s="114"/>
      <c r="F571" s="27"/>
      <c r="G571" s="27"/>
      <c r="H571" s="332"/>
      <c r="I571" s="332"/>
      <c r="J571" s="332"/>
      <c r="K571" s="332"/>
      <c r="L571" s="332"/>
      <c r="M571" s="332"/>
      <c r="N571" s="332"/>
      <c r="O571" s="332"/>
      <c r="P571" s="332"/>
      <c r="Q571" s="332"/>
      <c r="R571" s="332"/>
      <c r="S571" s="332"/>
      <c r="T571" s="332"/>
      <c r="U571" s="332"/>
      <c r="V571" s="332"/>
      <c r="W571" s="332"/>
      <c r="X571" s="332"/>
      <c r="Y571" s="332"/>
      <c r="Z571" s="332"/>
    </row>
    <row r="572" ht="15.75" customHeight="1">
      <c r="A572" s="27"/>
      <c r="B572" s="27"/>
      <c r="C572" s="27"/>
      <c r="D572" s="114"/>
      <c r="E572" s="114"/>
      <c r="F572" s="27"/>
      <c r="G572" s="27"/>
      <c r="H572" s="332"/>
      <c r="I572" s="332"/>
      <c r="J572" s="332"/>
      <c r="K572" s="332"/>
      <c r="L572" s="332"/>
      <c r="M572" s="332"/>
      <c r="N572" s="332"/>
      <c r="O572" s="332"/>
      <c r="P572" s="332"/>
      <c r="Q572" s="332"/>
      <c r="R572" s="332"/>
      <c r="S572" s="332"/>
      <c r="T572" s="332"/>
      <c r="U572" s="332"/>
      <c r="V572" s="332"/>
      <c r="W572" s="332"/>
      <c r="X572" s="332"/>
      <c r="Y572" s="332"/>
      <c r="Z572" s="332"/>
    </row>
    <row r="573" ht="15.75" customHeight="1">
      <c r="A573" s="27"/>
      <c r="B573" s="27"/>
      <c r="C573" s="27"/>
      <c r="D573" s="114"/>
      <c r="E573" s="114"/>
      <c r="F573" s="27"/>
      <c r="G573" s="27"/>
      <c r="H573" s="332"/>
      <c r="I573" s="332"/>
      <c r="J573" s="332"/>
      <c r="K573" s="332"/>
      <c r="L573" s="332"/>
      <c r="M573" s="332"/>
      <c r="N573" s="332"/>
      <c r="O573" s="332"/>
      <c r="P573" s="332"/>
      <c r="Q573" s="332"/>
      <c r="R573" s="332"/>
      <c r="S573" s="332"/>
      <c r="T573" s="332"/>
      <c r="U573" s="332"/>
      <c r="V573" s="332"/>
      <c r="W573" s="332"/>
      <c r="X573" s="332"/>
      <c r="Y573" s="332"/>
      <c r="Z573" s="332"/>
    </row>
    <row r="574" ht="15.75" customHeight="1">
      <c r="A574" s="27"/>
      <c r="B574" s="27"/>
      <c r="C574" s="27"/>
      <c r="D574" s="114"/>
      <c r="E574" s="114"/>
      <c r="F574" s="27"/>
      <c r="G574" s="27"/>
      <c r="H574" s="332"/>
      <c r="I574" s="332"/>
      <c r="J574" s="332"/>
      <c r="K574" s="332"/>
      <c r="L574" s="332"/>
      <c r="M574" s="332"/>
      <c r="N574" s="332"/>
      <c r="O574" s="332"/>
      <c r="P574" s="332"/>
      <c r="Q574" s="332"/>
      <c r="R574" s="332"/>
      <c r="S574" s="332"/>
      <c r="T574" s="332"/>
      <c r="U574" s="332"/>
      <c r="V574" s="332"/>
      <c r="W574" s="332"/>
      <c r="X574" s="332"/>
      <c r="Y574" s="332"/>
      <c r="Z574" s="332"/>
    </row>
    <row r="575" ht="15.75" customHeight="1">
      <c r="A575" s="27"/>
      <c r="B575" s="27"/>
      <c r="C575" s="27"/>
      <c r="D575" s="114"/>
      <c r="E575" s="114"/>
      <c r="F575" s="27"/>
      <c r="G575" s="27"/>
      <c r="H575" s="332"/>
      <c r="I575" s="332"/>
      <c r="J575" s="332"/>
      <c r="K575" s="332"/>
      <c r="L575" s="332"/>
      <c r="M575" s="332"/>
      <c r="N575" s="332"/>
      <c r="O575" s="332"/>
      <c r="P575" s="332"/>
      <c r="Q575" s="332"/>
      <c r="R575" s="332"/>
      <c r="S575" s="332"/>
      <c r="T575" s="332"/>
      <c r="U575" s="332"/>
      <c r="V575" s="332"/>
      <c r="W575" s="332"/>
      <c r="X575" s="332"/>
      <c r="Y575" s="332"/>
      <c r="Z575" s="332"/>
    </row>
    <row r="576" ht="15.75" customHeight="1">
      <c r="A576" s="27"/>
      <c r="B576" s="27"/>
      <c r="C576" s="27"/>
      <c r="D576" s="114"/>
      <c r="E576" s="114"/>
      <c r="F576" s="27"/>
      <c r="G576" s="27"/>
      <c r="H576" s="332"/>
      <c r="I576" s="332"/>
      <c r="J576" s="332"/>
      <c r="K576" s="332"/>
      <c r="L576" s="332"/>
      <c r="M576" s="332"/>
      <c r="N576" s="332"/>
      <c r="O576" s="332"/>
      <c r="P576" s="332"/>
      <c r="Q576" s="332"/>
      <c r="R576" s="332"/>
      <c r="S576" s="332"/>
      <c r="T576" s="332"/>
      <c r="U576" s="332"/>
      <c r="V576" s="332"/>
      <c r="W576" s="332"/>
      <c r="X576" s="332"/>
      <c r="Y576" s="332"/>
      <c r="Z576" s="332"/>
    </row>
    <row r="577" ht="15.75" customHeight="1">
      <c r="A577" s="27"/>
      <c r="B577" s="27"/>
      <c r="C577" s="27"/>
      <c r="D577" s="114"/>
      <c r="E577" s="114"/>
      <c r="F577" s="27"/>
      <c r="G577" s="27"/>
      <c r="H577" s="332"/>
      <c r="I577" s="332"/>
      <c r="J577" s="332"/>
      <c r="K577" s="332"/>
      <c r="L577" s="332"/>
      <c r="M577" s="332"/>
      <c r="N577" s="332"/>
      <c r="O577" s="332"/>
      <c r="P577" s="332"/>
      <c r="Q577" s="332"/>
      <c r="R577" s="332"/>
      <c r="S577" s="332"/>
      <c r="T577" s="332"/>
      <c r="U577" s="332"/>
      <c r="V577" s="332"/>
      <c r="W577" s="332"/>
      <c r="X577" s="332"/>
      <c r="Y577" s="332"/>
      <c r="Z577" s="332"/>
    </row>
    <row r="578" ht="15.75" customHeight="1">
      <c r="A578" s="27"/>
      <c r="B578" s="27"/>
      <c r="C578" s="27"/>
      <c r="D578" s="114"/>
      <c r="E578" s="114"/>
      <c r="F578" s="27"/>
      <c r="G578" s="27"/>
      <c r="H578" s="332"/>
      <c r="I578" s="332"/>
      <c r="J578" s="332"/>
      <c r="K578" s="332"/>
      <c r="L578" s="332"/>
      <c r="M578" s="332"/>
      <c r="N578" s="332"/>
      <c r="O578" s="332"/>
      <c r="P578" s="332"/>
      <c r="Q578" s="332"/>
      <c r="R578" s="332"/>
      <c r="S578" s="332"/>
      <c r="T578" s="332"/>
      <c r="U578" s="332"/>
      <c r="V578" s="332"/>
      <c r="W578" s="332"/>
      <c r="X578" s="332"/>
      <c r="Y578" s="332"/>
      <c r="Z578" s="332"/>
    </row>
    <row r="579" ht="15.75" customHeight="1">
      <c r="A579" s="27"/>
      <c r="B579" s="27"/>
      <c r="C579" s="27"/>
      <c r="D579" s="114"/>
      <c r="E579" s="114"/>
      <c r="F579" s="27"/>
      <c r="G579" s="27"/>
      <c r="H579" s="332"/>
      <c r="I579" s="332"/>
      <c r="J579" s="332"/>
      <c r="K579" s="332"/>
      <c r="L579" s="332"/>
      <c r="M579" s="332"/>
      <c r="N579" s="332"/>
      <c r="O579" s="332"/>
      <c r="P579" s="332"/>
      <c r="Q579" s="332"/>
      <c r="R579" s="332"/>
      <c r="S579" s="332"/>
      <c r="T579" s="332"/>
      <c r="U579" s="332"/>
      <c r="V579" s="332"/>
      <c r="W579" s="332"/>
      <c r="X579" s="332"/>
      <c r="Y579" s="332"/>
      <c r="Z579" s="332"/>
    </row>
    <row r="580" ht="15.75" customHeight="1">
      <c r="A580" s="27"/>
      <c r="B580" s="27"/>
      <c r="C580" s="27"/>
      <c r="D580" s="114"/>
      <c r="E580" s="114"/>
      <c r="F580" s="27"/>
      <c r="G580" s="27"/>
      <c r="H580" s="332"/>
      <c r="I580" s="332"/>
      <c r="J580" s="332"/>
      <c r="K580" s="332"/>
      <c r="L580" s="332"/>
      <c r="M580" s="332"/>
      <c r="N580" s="332"/>
      <c r="O580" s="332"/>
      <c r="P580" s="332"/>
      <c r="Q580" s="332"/>
      <c r="R580" s="332"/>
      <c r="S580" s="332"/>
      <c r="T580" s="332"/>
      <c r="U580" s="332"/>
      <c r="V580" s="332"/>
      <c r="W580" s="332"/>
      <c r="X580" s="332"/>
      <c r="Y580" s="332"/>
      <c r="Z580" s="332"/>
    </row>
    <row r="581" ht="15.75" customHeight="1">
      <c r="A581" s="27"/>
      <c r="B581" s="27"/>
      <c r="C581" s="27"/>
      <c r="D581" s="114"/>
      <c r="E581" s="114"/>
      <c r="F581" s="27"/>
      <c r="G581" s="27"/>
      <c r="H581" s="332"/>
      <c r="I581" s="332"/>
      <c r="J581" s="332"/>
      <c r="K581" s="332"/>
      <c r="L581" s="332"/>
      <c r="M581" s="332"/>
      <c r="N581" s="332"/>
      <c r="O581" s="332"/>
      <c r="P581" s="332"/>
      <c r="Q581" s="332"/>
      <c r="R581" s="332"/>
      <c r="S581" s="332"/>
      <c r="T581" s="332"/>
      <c r="U581" s="332"/>
      <c r="V581" s="332"/>
      <c r="W581" s="332"/>
      <c r="X581" s="332"/>
      <c r="Y581" s="332"/>
      <c r="Z581" s="332"/>
    </row>
    <row r="582" ht="15.75" customHeight="1">
      <c r="A582" s="27"/>
      <c r="B582" s="27"/>
      <c r="C582" s="27"/>
      <c r="D582" s="114"/>
      <c r="E582" s="114"/>
      <c r="F582" s="27"/>
      <c r="G582" s="27"/>
      <c r="H582" s="332"/>
      <c r="I582" s="332"/>
      <c r="J582" s="332"/>
      <c r="K582" s="332"/>
      <c r="L582" s="332"/>
      <c r="M582" s="332"/>
      <c r="N582" s="332"/>
      <c r="O582" s="332"/>
      <c r="P582" s="332"/>
      <c r="Q582" s="332"/>
      <c r="R582" s="332"/>
      <c r="S582" s="332"/>
      <c r="T582" s="332"/>
      <c r="U582" s="332"/>
      <c r="V582" s="332"/>
      <c r="W582" s="332"/>
      <c r="X582" s="332"/>
      <c r="Y582" s="332"/>
      <c r="Z582" s="332"/>
    </row>
    <row r="583" ht="15.75" customHeight="1">
      <c r="A583" s="27"/>
      <c r="B583" s="27"/>
      <c r="C583" s="27"/>
      <c r="D583" s="114"/>
      <c r="E583" s="114"/>
      <c r="F583" s="27"/>
      <c r="G583" s="27"/>
      <c r="H583" s="332"/>
      <c r="I583" s="332"/>
      <c r="J583" s="332"/>
      <c r="K583" s="332"/>
      <c r="L583" s="332"/>
      <c r="M583" s="332"/>
      <c r="N583" s="332"/>
      <c r="O583" s="332"/>
      <c r="P583" s="332"/>
      <c r="Q583" s="332"/>
      <c r="R583" s="332"/>
      <c r="S583" s="332"/>
      <c r="T583" s="332"/>
      <c r="U583" s="332"/>
      <c r="V583" s="332"/>
      <c r="W583" s="332"/>
      <c r="X583" s="332"/>
      <c r="Y583" s="332"/>
      <c r="Z583" s="332"/>
    </row>
    <row r="584" ht="15.75" customHeight="1">
      <c r="A584" s="27"/>
      <c r="B584" s="27"/>
      <c r="C584" s="27"/>
      <c r="D584" s="114"/>
      <c r="E584" s="114"/>
      <c r="F584" s="27"/>
      <c r="G584" s="27"/>
      <c r="H584" s="332"/>
      <c r="I584" s="332"/>
      <c r="J584" s="332"/>
      <c r="K584" s="332"/>
      <c r="L584" s="332"/>
      <c r="M584" s="332"/>
      <c r="N584" s="332"/>
      <c r="O584" s="332"/>
      <c r="P584" s="332"/>
      <c r="Q584" s="332"/>
      <c r="R584" s="332"/>
      <c r="S584" s="332"/>
      <c r="T584" s="332"/>
      <c r="U584" s="332"/>
      <c r="V584" s="332"/>
      <c r="W584" s="332"/>
      <c r="X584" s="332"/>
      <c r="Y584" s="332"/>
      <c r="Z584" s="332"/>
    </row>
    <row r="585" ht="15.75" customHeight="1">
      <c r="A585" s="27"/>
      <c r="B585" s="27"/>
      <c r="C585" s="27"/>
      <c r="D585" s="114"/>
      <c r="E585" s="114"/>
      <c r="F585" s="27"/>
      <c r="G585" s="27"/>
      <c r="H585" s="332"/>
      <c r="I585" s="332"/>
      <c r="J585" s="332"/>
      <c r="K585" s="332"/>
      <c r="L585" s="332"/>
      <c r="M585" s="332"/>
      <c r="N585" s="332"/>
      <c r="O585" s="332"/>
      <c r="P585" s="332"/>
      <c r="Q585" s="332"/>
      <c r="R585" s="332"/>
      <c r="S585" s="332"/>
      <c r="T585" s="332"/>
      <c r="U585" s="332"/>
      <c r="V585" s="332"/>
      <c r="W585" s="332"/>
      <c r="X585" s="332"/>
      <c r="Y585" s="332"/>
      <c r="Z585" s="332"/>
    </row>
    <row r="586" ht="15.75" customHeight="1">
      <c r="A586" s="27"/>
      <c r="B586" s="27"/>
      <c r="C586" s="27"/>
      <c r="D586" s="114"/>
      <c r="E586" s="114"/>
      <c r="F586" s="27"/>
      <c r="G586" s="27"/>
      <c r="H586" s="332"/>
      <c r="I586" s="332"/>
      <c r="J586" s="332"/>
      <c r="K586" s="332"/>
      <c r="L586" s="332"/>
      <c r="M586" s="332"/>
      <c r="N586" s="332"/>
      <c r="O586" s="332"/>
      <c r="P586" s="332"/>
      <c r="Q586" s="332"/>
      <c r="R586" s="332"/>
      <c r="S586" s="332"/>
      <c r="T586" s="332"/>
      <c r="U586" s="332"/>
      <c r="V586" s="332"/>
      <c r="W586" s="332"/>
      <c r="X586" s="332"/>
      <c r="Y586" s="332"/>
      <c r="Z586" s="332"/>
    </row>
    <row r="587" ht="15.75" customHeight="1">
      <c r="A587" s="27"/>
      <c r="B587" s="27"/>
      <c r="C587" s="27"/>
      <c r="D587" s="114"/>
      <c r="E587" s="114"/>
      <c r="F587" s="27"/>
      <c r="G587" s="27"/>
      <c r="H587" s="332"/>
      <c r="I587" s="332"/>
      <c r="J587" s="332"/>
      <c r="K587" s="332"/>
      <c r="L587" s="332"/>
      <c r="M587" s="332"/>
      <c r="N587" s="332"/>
      <c r="O587" s="332"/>
      <c r="P587" s="332"/>
      <c r="Q587" s="332"/>
      <c r="R587" s="332"/>
      <c r="S587" s="332"/>
      <c r="T587" s="332"/>
      <c r="U587" s="332"/>
      <c r="V587" s="332"/>
      <c r="W587" s="332"/>
      <c r="X587" s="332"/>
      <c r="Y587" s="332"/>
      <c r="Z587" s="332"/>
    </row>
    <row r="588" ht="15.75" customHeight="1">
      <c r="A588" s="27"/>
      <c r="B588" s="27"/>
      <c r="C588" s="27"/>
      <c r="D588" s="114"/>
      <c r="E588" s="114"/>
      <c r="F588" s="27"/>
      <c r="G588" s="27"/>
      <c r="H588" s="332"/>
      <c r="I588" s="332"/>
      <c r="J588" s="332"/>
      <c r="K588" s="332"/>
      <c r="L588" s="332"/>
      <c r="M588" s="332"/>
      <c r="N588" s="332"/>
      <c r="O588" s="332"/>
      <c r="P588" s="332"/>
      <c r="Q588" s="332"/>
      <c r="R588" s="332"/>
      <c r="S588" s="332"/>
      <c r="T588" s="332"/>
      <c r="U588" s="332"/>
      <c r="V588" s="332"/>
      <c r="W588" s="332"/>
      <c r="X588" s="332"/>
      <c r="Y588" s="332"/>
      <c r="Z588" s="332"/>
    </row>
    <row r="589" ht="15.75" customHeight="1">
      <c r="A589" s="27"/>
      <c r="B589" s="27"/>
      <c r="C589" s="27"/>
      <c r="D589" s="114"/>
      <c r="E589" s="114"/>
      <c r="F589" s="27"/>
      <c r="G589" s="27"/>
      <c r="H589" s="332"/>
      <c r="I589" s="332"/>
      <c r="J589" s="332"/>
      <c r="K589" s="332"/>
      <c r="L589" s="332"/>
      <c r="M589" s="332"/>
      <c r="N589" s="332"/>
      <c r="O589" s="332"/>
      <c r="P589" s="332"/>
      <c r="Q589" s="332"/>
      <c r="R589" s="332"/>
      <c r="S589" s="332"/>
      <c r="T589" s="332"/>
      <c r="U589" s="332"/>
      <c r="V589" s="332"/>
      <c r="W589" s="332"/>
      <c r="X589" s="332"/>
      <c r="Y589" s="332"/>
      <c r="Z589" s="332"/>
    </row>
    <row r="590" ht="15.75" customHeight="1">
      <c r="A590" s="27"/>
      <c r="B590" s="27"/>
      <c r="C590" s="27"/>
      <c r="D590" s="114"/>
      <c r="E590" s="114"/>
      <c r="F590" s="27"/>
      <c r="G590" s="27"/>
      <c r="H590" s="332"/>
      <c r="I590" s="332"/>
      <c r="J590" s="332"/>
      <c r="K590" s="332"/>
      <c r="L590" s="332"/>
      <c r="M590" s="332"/>
      <c r="N590" s="332"/>
      <c r="O590" s="332"/>
      <c r="P590" s="332"/>
      <c r="Q590" s="332"/>
      <c r="R590" s="332"/>
      <c r="S590" s="332"/>
      <c r="T590" s="332"/>
      <c r="U590" s="332"/>
      <c r="V590" s="332"/>
      <c r="W590" s="332"/>
      <c r="X590" s="332"/>
      <c r="Y590" s="332"/>
      <c r="Z590" s="332"/>
    </row>
    <row r="591" ht="15.75" customHeight="1">
      <c r="A591" s="27"/>
      <c r="B591" s="27"/>
      <c r="C591" s="27"/>
      <c r="D591" s="114"/>
      <c r="E591" s="114"/>
      <c r="F591" s="27"/>
      <c r="G591" s="27"/>
      <c r="H591" s="332"/>
      <c r="I591" s="332"/>
      <c r="J591" s="332"/>
      <c r="K591" s="332"/>
      <c r="L591" s="332"/>
      <c r="M591" s="332"/>
      <c r="N591" s="332"/>
      <c r="O591" s="332"/>
      <c r="P591" s="332"/>
      <c r="Q591" s="332"/>
      <c r="R591" s="332"/>
      <c r="S591" s="332"/>
      <c r="T591" s="332"/>
      <c r="U591" s="332"/>
      <c r="V591" s="332"/>
      <c r="W591" s="332"/>
      <c r="X591" s="332"/>
      <c r="Y591" s="332"/>
      <c r="Z591" s="332"/>
    </row>
    <row r="592" ht="15.75" customHeight="1">
      <c r="A592" s="27"/>
      <c r="B592" s="27"/>
      <c r="C592" s="27"/>
      <c r="D592" s="114"/>
      <c r="E592" s="114"/>
      <c r="F592" s="27"/>
      <c r="G592" s="27"/>
      <c r="H592" s="332"/>
      <c r="I592" s="332"/>
      <c r="J592" s="332"/>
      <c r="K592" s="332"/>
      <c r="L592" s="332"/>
      <c r="M592" s="332"/>
      <c r="N592" s="332"/>
      <c r="O592" s="332"/>
      <c r="P592" s="332"/>
      <c r="Q592" s="332"/>
      <c r="R592" s="332"/>
      <c r="S592" s="332"/>
      <c r="T592" s="332"/>
      <c r="U592" s="332"/>
      <c r="V592" s="332"/>
      <c r="W592" s="332"/>
      <c r="X592" s="332"/>
      <c r="Y592" s="332"/>
      <c r="Z592" s="332"/>
    </row>
    <row r="593" ht="15.75" customHeight="1">
      <c r="A593" s="27"/>
      <c r="B593" s="27"/>
      <c r="C593" s="27"/>
      <c r="D593" s="114"/>
      <c r="E593" s="114"/>
      <c r="F593" s="27"/>
      <c r="G593" s="27"/>
      <c r="H593" s="332"/>
      <c r="I593" s="332"/>
      <c r="J593" s="332"/>
      <c r="K593" s="332"/>
      <c r="L593" s="332"/>
      <c r="M593" s="332"/>
      <c r="N593" s="332"/>
      <c r="O593" s="332"/>
      <c r="P593" s="332"/>
      <c r="Q593" s="332"/>
      <c r="R593" s="332"/>
      <c r="S593" s="332"/>
      <c r="T593" s="332"/>
      <c r="U593" s="332"/>
      <c r="V593" s="332"/>
      <c r="W593" s="332"/>
      <c r="X593" s="332"/>
      <c r="Y593" s="332"/>
      <c r="Z593" s="332"/>
    </row>
    <row r="594" ht="15.75" customHeight="1">
      <c r="A594" s="27"/>
      <c r="B594" s="27"/>
      <c r="C594" s="27"/>
      <c r="D594" s="114"/>
      <c r="E594" s="114"/>
      <c r="F594" s="27"/>
      <c r="G594" s="27"/>
      <c r="H594" s="332"/>
      <c r="I594" s="332"/>
      <c r="J594" s="332"/>
      <c r="K594" s="332"/>
      <c r="L594" s="332"/>
      <c r="M594" s="332"/>
      <c r="N594" s="332"/>
      <c r="O594" s="332"/>
      <c r="P594" s="332"/>
      <c r="Q594" s="332"/>
      <c r="R594" s="332"/>
      <c r="S594" s="332"/>
      <c r="T594" s="332"/>
      <c r="U594" s="332"/>
      <c r="V594" s="332"/>
      <c r="W594" s="332"/>
      <c r="X594" s="332"/>
      <c r="Y594" s="332"/>
      <c r="Z594" s="332"/>
    </row>
    <row r="595" ht="15.75" customHeight="1">
      <c r="A595" s="27"/>
      <c r="B595" s="27"/>
      <c r="C595" s="27"/>
      <c r="D595" s="114"/>
      <c r="E595" s="114"/>
      <c r="F595" s="27"/>
      <c r="G595" s="27"/>
      <c r="H595" s="332"/>
      <c r="I595" s="332"/>
      <c r="J595" s="332"/>
      <c r="K595" s="332"/>
      <c r="L595" s="332"/>
      <c r="M595" s="332"/>
      <c r="N595" s="332"/>
      <c r="O595" s="332"/>
      <c r="P595" s="332"/>
      <c r="Q595" s="332"/>
      <c r="R595" s="332"/>
      <c r="S595" s="332"/>
      <c r="T595" s="332"/>
      <c r="U595" s="332"/>
      <c r="V595" s="332"/>
      <c r="W595" s="332"/>
      <c r="X595" s="332"/>
      <c r="Y595" s="332"/>
      <c r="Z595" s="332"/>
    </row>
    <row r="596" ht="15.75" customHeight="1">
      <c r="A596" s="27"/>
      <c r="B596" s="27"/>
      <c r="C596" s="27"/>
      <c r="D596" s="114"/>
      <c r="E596" s="114"/>
      <c r="F596" s="27"/>
      <c r="G596" s="27"/>
      <c r="H596" s="332"/>
      <c r="I596" s="332"/>
      <c r="J596" s="332"/>
      <c r="K596" s="332"/>
      <c r="L596" s="332"/>
      <c r="M596" s="332"/>
      <c r="N596" s="332"/>
      <c r="O596" s="332"/>
      <c r="P596" s="332"/>
      <c r="Q596" s="332"/>
      <c r="R596" s="332"/>
      <c r="S596" s="332"/>
      <c r="T596" s="332"/>
      <c r="U596" s="332"/>
      <c r="V596" s="332"/>
      <c r="W596" s="332"/>
      <c r="X596" s="332"/>
      <c r="Y596" s="332"/>
      <c r="Z596" s="332"/>
    </row>
    <row r="597" ht="15.75" customHeight="1">
      <c r="A597" s="27"/>
      <c r="B597" s="27"/>
      <c r="C597" s="27"/>
      <c r="D597" s="114"/>
      <c r="E597" s="114"/>
      <c r="F597" s="27"/>
      <c r="G597" s="27"/>
      <c r="H597" s="332"/>
      <c r="I597" s="332"/>
      <c r="J597" s="332"/>
      <c r="K597" s="332"/>
      <c r="L597" s="332"/>
      <c r="M597" s="332"/>
      <c r="N597" s="332"/>
      <c r="O597" s="332"/>
      <c r="P597" s="332"/>
      <c r="Q597" s="332"/>
      <c r="R597" s="332"/>
      <c r="S597" s="332"/>
      <c r="T597" s="332"/>
      <c r="U597" s="332"/>
      <c r="V597" s="332"/>
      <c r="W597" s="332"/>
      <c r="X597" s="332"/>
      <c r="Y597" s="332"/>
      <c r="Z597" s="332"/>
    </row>
    <row r="598" ht="15.75" customHeight="1">
      <c r="A598" s="27"/>
      <c r="B598" s="27"/>
      <c r="C598" s="27"/>
      <c r="D598" s="114"/>
      <c r="E598" s="114"/>
      <c r="F598" s="27"/>
      <c r="G598" s="27"/>
      <c r="H598" s="332"/>
      <c r="I598" s="332"/>
      <c r="J598" s="332"/>
      <c r="K598" s="332"/>
      <c r="L598" s="332"/>
      <c r="M598" s="332"/>
      <c r="N598" s="332"/>
      <c r="O598" s="332"/>
      <c r="P598" s="332"/>
      <c r="Q598" s="332"/>
      <c r="R598" s="332"/>
      <c r="S598" s="332"/>
      <c r="T598" s="332"/>
      <c r="U598" s="332"/>
      <c r="V598" s="332"/>
      <c r="W598" s="332"/>
      <c r="X598" s="332"/>
      <c r="Y598" s="332"/>
      <c r="Z598" s="332"/>
    </row>
    <row r="599" ht="15.75" customHeight="1">
      <c r="A599" s="27"/>
      <c r="B599" s="27"/>
      <c r="C599" s="27"/>
      <c r="D599" s="114"/>
      <c r="E599" s="114"/>
      <c r="F599" s="27"/>
      <c r="G599" s="27"/>
      <c r="H599" s="332"/>
      <c r="I599" s="332"/>
      <c r="J599" s="332"/>
      <c r="K599" s="332"/>
      <c r="L599" s="332"/>
      <c r="M599" s="332"/>
      <c r="N599" s="332"/>
      <c r="O599" s="332"/>
      <c r="P599" s="332"/>
      <c r="Q599" s="332"/>
      <c r="R599" s="332"/>
      <c r="S599" s="332"/>
      <c r="T599" s="332"/>
      <c r="U599" s="332"/>
      <c r="V599" s="332"/>
      <c r="W599" s="332"/>
      <c r="X599" s="332"/>
      <c r="Y599" s="332"/>
      <c r="Z599" s="332"/>
    </row>
    <row r="600" ht="15.75" customHeight="1">
      <c r="A600" s="27"/>
      <c r="B600" s="27"/>
      <c r="C600" s="27"/>
      <c r="D600" s="114"/>
      <c r="E600" s="114"/>
      <c r="F600" s="27"/>
      <c r="G600" s="27"/>
      <c r="H600" s="332"/>
      <c r="I600" s="332"/>
      <c r="J600" s="332"/>
      <c r="K600" s="332"/>
      <c r="L600" s="332"/>
      <c r="M600" s="332"/>
      <c r="N600" s="332"/>
      <c r="O600" s="332"/>
      <c r="P600" s="332"/>
      <c r="Q600" s="332"/>
      <c r="R600" s="332"/>
      <c r="S600" s="332"/>
      <c r="T600" s="332"/>
      <c r="U600" s="332"/>
      <c r="V600" s="332"/>
      <c r="W600" s="332"/>
      <c r="X600" s="332"/>
      <c r="Y600" s="332"/>
      <c r="Z600" s="332"/>
    </row>
    <row r="601" ht="15.75" customHeight="1">
      <c r="A601" s="27"/>
      <c r="B601" s="27"/>
      <c r="C601" s="27"/>
      <c r="D601" s="114"/>
      <c r="E601" s="114"/>
      <c r="F601" s="27"/>
      <c r="G601" s="27"/>
      <c r="H601" s="332"/>
      <c r="I601" s="332"/>
      <c r="J601" s="332"/>
      <c r="K601" s="332"/>
      <c r="L601" s="332"/>
      <c r="M601" s="332"/>
      <c r="N601" s="332"/>
      <c r="O601" s="332"/>
      <c r="P601" s="332"/>
      <c r="Q601" s="332"/>
      <c r="R601" s="332"/>
      <c r="S601" s="332"/>
      <c r="T601" s="332"/>
      <c r="U601" s="332"/>
      <c r="V601" s="332"/>
      <c r="W601" s="332"/>
      <c r="X601" s="332"/>
      <c r="Y601" s="332"/>
      <c r="Z601" s="332"/>
    </row>
    <row r="602" ht="15.75" customHeight="1">
      <c r="A602" s="27"/>
      <c r="B602" s="27"/>
      <c r="C602" s="27"/>
      <c r="D602" s="114"/>
      <c r="E602" s="114"/>
      <c r="F602" s="27"/>
      <c r="G602" s="27"/>
      <c r="H602" s="332"/>
      <c r="I602" s="332"/>
      <c r="J602" s="332"/>
      <c r="K602" s="332"/>
      <c r="L602" s="332"/>
      <c r="M602" s="332"/>
      <c r="N602" s="332"/>
      <c r="O602" s="332"/>
      <c r="P602" s="332"/>
      <c r="Q602" s="332"/>
      <c r="R602" s="332"/>
      <c r="S602" s="332"/>
      <c r="T602" s="332"/>
      <c r="U602" s="332"/>
      <c r="V602" s="332"/>
      <c r="W602" s="332"/>
      <c r="X602" s="332"/>
      <c r="Y602" s="332"/>
      <c r="Z602" s="332"/>
    </row>
    <row r="603" ht="15.75" customHeight="1">
      <c r="A603" s="27"/>
      <c r="B603" s="27"/>
      <c r="C603" s="27"/>
      <c r="D603" s="114"/>
      <c r="E603" s="114"/>
      <c r="F603" s="27"/>
      <c r="G603" s="27"/>
      <c r="H603" s="332"/>
      <c r="I603" s="332"/>
      <c r="J603" s="332"/>
      <c r="K603" s="332"/>
      <c r="L603" s="332"/>
      <c r="M603" s="332"/>
      <c r="N603" s="332"/>
      <c r="O603" s="332"/>
      <c r="P603" s="332"/>
      <c r="Q603" s="332"/>
      <c r="R603" s="332"/>
      <c r="S603" s="332"/>
      <c r="T603" s="332"/>
      <c r="U603" s="332"/>
      <c r="V603" s="332"/>
      <c r="W603" s="332"/>
      <c r="X603" s="332"/>
      <c r="Y603" s="332"/>
      <c r="Z603" s="332"/>
    </row>
    <row r="604" ht="15.75" customHeight="1">
      <c r="A604" s="27"/>
      <c r="B604" s="27"/>
      <c r="C604" s="27"/>
      <c r="D604" s="114"/>
      <c r="E604" s="114"/>
      <c r="F604" s="27"/>
      <c r="G604" s="27"/>
      <c r="H604" s="332"/>
      <c r="I604" s="332"/>
      <c r="J604" s="332"/>
      <c r="K604" s="332"/>
      <c r="L604" s="332"/>
      <c r="M604" s="332"/>
      <c r="N604" s="332"/>
      <c r="O604" s="332"/>
      <c r="P604" s="332"/>
      <c r="Q604" s="332"/>
      <c r="R604" s="332"/>
      <c r="S604" s="332"/>
      <c r="T604" s="332"/>
      <c r="U604" s="332"/>
      <c r="V604" s="332"/>
      <c r="W604" s="332"/>
      <c r="X604" s="332"/>
      <c r="Y604" s="332"/>
      <c r="Z604" s="332"/>
    </row>
    <row r="605" ht="15.75" customHeight="1">
      <c r="A605" s="27"/>
      <c r="B605" s="27"/>
      <c r="C605" s="27"/>
      <c r="D605" s="114"/>
      <c r="E605" s="114"/>
      <c r="F605" s="27"/>
      <c r="G605" s="27"/>
      <c r="H605" s="332"/>
      <c r="I605" s="332"/>
      <c r="J605" s="332"/>
      <c r="K605" s="332"/>
      <c r="L605" s="332"/>
      <c r="M605" s="332"/>
      <c r="N605" s="332"/>
      <c r="O605" s="332"/>
      <c r="P605" s="332"/>
      <c r="Q605" s="332"/>
      <c r="R605" s="332"/>
      <c r="S605" s="332"/>
      <c r="T605" s="332"/>
      <c r="U605" s="332"/>
      <c r="V605" s="332"/>
      <c r="W605" s="332"/>
      <c r="X605" s="332"/>
      <c r="Y605" s="332"/>
      <c r="Z605" s="332"/>
    </row>
    <row r="606" ht="15.75" customHeight="1">
      <c r="A606" s="27"/>
      <c r="B606" s="27"/>
      <c r="C606" s="27"/>
      <c r="D606" s="114"/>
      <c r="E606" s="114"/>
      <c r="F606" s="27"/>
      <c r="G606" s="27"/>
      <c r="H606" s="332"/>
      <c r="I606" s="332"/>
      <c r="J606" s="332"/>
      <c r="K606" s="332"/>
      <c r="L606" s="332"/>
      <c r="M606" s="332"/>
      <c r="N606" s="332"/>
      <c r="O606" s="332"/>
      <c r="P606" s="332"/>
      <c r="Q606" s="332"/>
      <c r="R606" s="332"/>
      <c r="S606" s="332"/>
      <c r="T606" s="332"/>
      <c r="U606" s="332"/>
      <c r="V606" s="332"/>
      <c r="W606" s="332"/>
      <c r="X606" s="332"/>
      <c r="Y606" s="332"/>
      <c r="Z606" s="332"/>
    </row>
    <row r="607" ht="15.75" customHeight="1">
      <c r="A607" s="27"/>
      <c r="B607" s="27"/>
      <c r="C607" s="27"/>
      <c r="D607" s="114"/>
      <c r="E607" s="114"/>
      <c r="F607" s="27"/>
      <c r="G607" s="27"/>
      <c r="H607" s="332"/>
      <c r="I607" s="332"/>
      <c r="J607" s="332"/>
      <c r="K607" s="332"/>
      <c r="L607" s="332"/>
      <c r="M607" s="332"/>
      <c r="N607" s="332"/>
      <c r="O607" s="332"/>
      <c r="P607" s="332"/>
      <c r="Q607" s="332"/>
      <c r="R607" s="332"/>
      <c r="S607" s="332"/>
      <c r="T607" s="332"/>
      <c r="U607" s="332"/>
      <c r="V607" s="332"/>
      <c r="W607" s="332"/>
      <c r="X607" s="332"/>
      <c r="Y607" s="332"/>
      <c r="Z607" s="332"/>
    </row>
    <row r="608" ht="15.75" customHeight="1">
      <c r="A608" s="27"/>
      <c r="B608" s="27"/>
      <c r="C608" s="27"/>
      <c r="D608" s="114"/>
      <c r="E608" s="114"/>
      <c r="F608" s="27"/>
      <c r="G608" s="27"/>
      <c r="H608" s="332"/>
      <c r="I608" s="332"/>
      <c r="J608" s="332"/>
      <c r="K608" s="332"/>
      <c r="L608" s="332"/>
      <c r="M608" s="332"/>
      <c r="N608" s="332"/>
      <c r="O608" s="332"/>
      <c r="P608" s="332"/>
      <c r="Q608" s="332"/>
      <c r="R608" s="332"/>
      <c r="S608" s="332"/>
      <c r="T608" s="332"/>
      <c r="U608" s="332"/>
      <c r="V608" s="332"/>
      <c r="W608" s="332"/>
      <c r="X608" s="332"/>
      <c r="Y608" s="332"/>
      <c r="Z608" s="332"/>
    </row>
    <row r="609" ht="15.75" customHeight="1">
      <c r="A609" s="27"/>
      <c r="B609" s="27"/>
      <c r="C609" s="27"/>
      <c r="D609" s="114"/>
      <c r="E609" s="114"/>
      <c r="F609" s="27"/>
      <c r="G609" s="27"/>
      <c r="H609" s="332"/>
      <c r="I609" s="332"/>
      <c r="J609" s="332"/>
      <c r="K609" s="332"/>
      <c r="L609" s="332"/>
      <c r="M609" s="332"/>
      <c r="N609" s="332"/>
      <c r="O609" s="332"/>
      <c r="P609" s="332"/>
      <c r="Q609" s="332"/>
      <c r="R609" s="332"/>
      <c r="S609" s="332"/>
      <c r="T609" s="332"/>
      <c r="U609" s="332"/>
      <c r="V609" s="332"/>
      <c r="W609" s="332"/>
      <c r="X609" s="332"/>
      <c r="Y609" s="332"/>
      <c r="Z609" s="332"/>
    </row>
    <row r="610" ht="15.75" customHeight="1">
      <c r="A610" s="27"/>
      <c r="B610" s="27"/>
      <c r="C610" s="27"/>
      <c r="D610" s="114"/>
      <c r="E610" s="114"/>
      <c r="F610" s="27"/>
      <c r="G610" s="27"/>
      <c r="H610" s="332"/>
      <c r="I610" s="332"/>
      <c r="J610" s="332"/>
      <c r="K610" s="332"/>
      <c r="L610" s="332"/>
      <c r="M610" s="332"/>
      <c r="N610" s="332"/>
      <c r="O610" s="332"/>
      <c r="P610" s="332"/>
      <c r="Q610" s="332"/>
      <c r="R610" s="332"/>
      <c r="S610" s="332"/>
      <c r="T610" s="332"/>
      <c r="U610" s="332"/>
      <c r="V610" s="332"/>
      <c r="W610" s="332"/>
      <c r="X610" s="332"/>
      <c r="Y610" s="332"/>
      <c r="Z610" s="332"/>
    </row>
    <row r="611" ht="15.75" customHeight="1">
      <c r="A611" s="27"/>
      <c r="B611" s="27"/>
      <c r="C611" s="27"/>
      <c r="D611" s="114"/>
      <c r="E611" s="114"/>
      <c r="F611" s="27"/>
      <c r="G611" s="27"/>
      <c r="H611" s="332"/>
      <c r="I611" s="332"/>
      <c r="J611" s="332"/>
      <c r="K611" s="332"/>
      <c r="L611" s="332"/>
      <c r="M611" s="332"/>
      <c r="N611" s="332"/>
      <c r="O611" s="332"/>
      <c r="P611" s="332"/>
      <c r="Q611" s="332"/>
      <c r="R611" s="332"/>
      <c r="S611" s="332"/>
      <c r="T611" s="332"/>
      <c r="U611" s="332"/>
      <c r="V611" s="332"/>
      <c r="W611" s="332"/>
      <c r="X611" s="332"/>
      <c r="Y611" s="332"/>
      <c r="Z611" s="332"/>
    </row>
    <row r="612" ht="15.75" customHeight="1">
      <c r="A612" s="27"/>
      <c r="B612" s="27"/>
      <c r="C612" s="27"/>
      <c r="D612" s="114"/>
      <c r="E612" s="114"/>
      <c r="F612" s="27"/>
      <c r="G612" s="27"/>
      <c r="H612" s="332"/>
      <c r="I612" s="332"/>
      <c r="J612" s="332"/>
      <c r="K612" s="332"/>
      <c r="L612" s="332"/>
      <c r="M612" s="332"/>
      <c r="N612" s="332"/>
      <c r="O612" s="332"/>
      <c r="P612" s="332"/>
      <c r="Q612" s="332"/>
      <c r="R612" s="332"/>
      <c r="S612" s="332"/>
      <c r="T612" s="332"/>
      <c r="U612" s="332"/>
      <c r="V612" s="332"/>
      <c r="W612" s="332"/>
      <c r="X612" s="332"/>
      <c r="Y612" s="332"/>
      <c r="Z612" s="332"/>
    </row>
    <row r="613" ht="15.75" customHeight="1">
      <c r="A613" s="27"/>
      <c r="B613" s="27"/>
      <c r="C613" s="27"/>
      <c r="D613" s="114"/>
      <c r="E613" s="114"/>
      <c r="F613" s="27"/>
      <c r="G613" s="27"/>
      <c r="H613" s="332"/>
      <c r="I613" s="332"/>
      <c r="J613" s="332"/>
      <c r="K613" s="332"/>
      <c r="L613" s="332"/>
      <c r="M613" s="332"/>
      <c r="N613" s="332"/>
      <c r="O613" s="332"/>
      <c r="P613" s="332"/>
      <c r="Q613" s="332"/>
      <c r="R613" s="332"/>
      <c r="S613" s="332"/>
      <c r="T613" s="332"/>
      <c r="U613" s="332"/>
      <c r="V613" s="332"/>
      <c r="W613" s="332"/>
      <c r="X613" s="332"/>
      <c r="Y613" s="332"/>
      <c r="Z613" s="332"/>
    </row>
    <row r="614" ht="15.75" customHeight="1">
      <c r="A614" s="27"/>
      <c r="B614" s="27"/>
      <c r="C614" s="27"/>
      <c r="D614" s="114"/>
      <c r="E614" s="114"/>
      <c r="F614" s="27"/>
      <c r="G614" s="27"/>
      <c r="H614" s="332"/>
      <c r="I614" s="332"/>
      <c r="J614" s="332"/>
      <c r="K614" s="332"/>
      <c r="L614" s="332"/>
      <c r="M614" s="332"/>
      <c r="N614" s="332"/>
      <c r="O614" s="332"/>
      <c r="P614" s="332"/>
      <c r="Q614" s="332"/>
      <c r="R614" s="332"/>
      <c r="S614" s="332"/>
      <c r="T614" s="332"/>
      <c r="U614" s="332"/>
      <c r="V614" s="332"/>
      <c r="W614" s="332"/>
      <c r="X614" s="332"/>
      <c r="Y614" s="332"/>
      <c r="Z614" s="332"/>
    </row>
    <row r="615" ht="15.75" customHeight="1">
      <c r="A615" s="27"/>
      <c r="B615" s="27"/>
      <c r="C615" s="27"/>
      <c r="D615" s="114"/>
      <c r="E615" s="114"/>
      <c r="F615" s="27"/>
      <c r="G615" s="27"/>
      <c r="H615" s="332"/>
      <c r="I615" s="332"/>
      <c r="J615" s="332"/>
      <c r="K615" s="332"/>
      <c r="L615" s="332"/>
      <c r="M615" s="332"/>
      <c r="N615" s="332"/>
      <c r="O615" s="332"/>
      <c r="P615" s="332"/>
      <c r="Q615" s="332"/>
      <c r="R615" s="332"/>
      <c r="S615" s="332"/>
      <c r="T615" s="332"/>
      <c r="U615" s="332"/>
      <c r="V615" s="332"/>
      <c r="W615" s="332"/>
      <c r="X615" s="332"/>
      <c r="Y615" s="332"/>
      <c r="Z615" s="332"/>
    </row>
    <row r="616" ht="15.75" customHeight="1">
      <c r="A616" s="27"/>
      <c r="B616" s="27"/>
      <c r="C616" s="27"/>
      <c r="D616" s="114"/>
      <c r="E616" s="114"/>
      <c r="F616" s="27"/>
      <c r="G616" s="27"/>
      <c r="H616" s="332"/>
      <c r="I616" s="332"/>
      <c r="J616" s="332"/>
      <c r="K616" s="332"/>
      <c r="L616" s="332"/>
      <c r="M616" s="332"/>
      <c r="N616" s="332"/>
      <c r="O616" s="332"/>
      <c r="P616" s="332"/>
      <c r="Q616" s="332"/>
      <c r="R616" s="332"/>
      <c r="S616" s="332"/>
      <c r="T616" s="332"/>
      <c r="U616" s="332"/>
      <c r="V616" s="332"/>
      <c r="W616" s="332"/>
      <c r="X616" s="332"/>
      <c r="Y616" s="332"/>
      <c r="Z616" s="332"/>
    </row>
    <row r="617" ht="15.75" customHeight="1">
      <c r="A617" s="27"/>
      <c r="B617" s="27"/>
      <c r="C617" s="27"/>
      <c r="D617" s="114"/>
      <c r="E617" s="114"/>
      <c r="F617" s="27"/>
      <c r="G617" s="27"/>
      <c r="H617" s="332"/>
      <c r="I617" s="332"/>
      <c r="J617" s="332"/>
      <c r="K617" s="332"/>
      <c r="L617" s="332"/>
      <c r="M617" s="332"/>
      <c r="N617" s="332"/>
      <c r="O617" s="332"/>
      <c r="P617" s="332"/>
      <c r="Q617" s="332"/>
      <c r="R617" s="332"/>
      <c r="S617" s="332"/>
      <c r="T617" s="332"/>
      <c r="U617" s="332"/>
      <c r="V617" s="332"/>
      <c r="W617" s="332"/>
      <c r="X617" s="332"/>
      <c r="Y617" s="332"/>
      <c r="Z617" s="332"/>
    </row>
    <row r="618" ht="15.75" customHeight="1">
      <c r="A618" s="27"/>
      <c r="B618" s="27"/>
      <c r="C618" s="27"/>
      <c r="D618" s="114"/>
      <c r="E618" s="114"/>
      <c r="F618" s="27"/>
      <c r="G618" s="27"/>
      <c r="H618" s="332"/>
      <c r="I618" s="332"/>
      <c r="J618" s="332"/>
      <c r="K618" s="332"/>
      <c r="L618" s="332"/>
      <c r="M618" s="332"/>
      <c r="N618" s="332"/>
      <c r="O618" s="332"/>
      <c r="P618" s="332"/>
      <c r="Q618" s="332"/>
      <c r="R618" s="332"/>
      <c r="S618" s="332"/>
      <c r="T618" s="332"/>
      <c r="U618" s="332"/>
      <c r="V618" s="332"/>
      <c r="W618" s="332"/>
      <c r="X618" s="332"/>
      <c r="Y618" s="332"/>
      <c r="Z618" s="332"/>
    </row>
    <row r="619" ht="15.75" customHeight="1">
      <c r="A619" s="27"/>
      <c r="B619" s="27"/>
      <c r="C619" s="27"/>
      <c r="D619" s="114"/>
      <c r="E619" s="114"/>
      <c r="F619" s="27"/>
      <c r="G619" s="27"/>
      <c r="H619" s="332"/>
      <c r="I619" s="332"/>
      <c r="J619" s="332"/>
      <c r="K619" s="332"/>
      <c r="L619" s="332"/>
      <c r="M619" s="332"/>
      <c r="N619" s="332"/>
      <c r="O619" s="332"/>
      <c r="P619" s="332"/>
      <c r="Q619" s="332"/>
      <c r="R619" s="332"/>
      <c r="S619" s="332"/>
      <c r="T619" s="332"/>
      <c r="U619" s="332"/>
      <c r="V619" s="332"/>
      <c r="W619" s="332"/>
      <c r="X619" s="332"/>
      <c r="Y619" s="332"/>
      <c r="Z619" s="332"/>
    </row>
    <row r="620" ht="15.75" customHeight="1">
      <c r="A620" s="27"/>
      <c r="B620" s="27"/>
      <c r="C620" s="27"/>
      <c r="D620" s="114"/>
      <c r="E620" s="114"/>
      <c r="F620" s="27"/>
      <c r="G620" s="27"/>
      <c r="H620" s="332"/>
      <c r="I620" s="332"/>
      <c r="J620" s="332"/>
      <c r="K620" s="332"/>
      <c r="L620" s="332"/>
      <c r="M620" s="332"/>
      <c r="N620" s="332"/>
      <c r="O620" s="332"/>
      <c r="P620" s="332"/>
      <c r="Q620" s="332"/>
      <c r="R620" s="332"/>
      <c r="S620" s="332"/>
      <c r="T620" s="332"/>
      <c r="U620" s="332"/>
      <c r="V620" s="332"/>
      <c r="W620" s="332"/>
      <c r="X620" s="332"/>
      <c r="Y620" s="332"/>
      <c r="Z620" s="332"/>
    </row>
    <row r="621" ht="15.75" customHeight="1">
      <c r="A621" s="27"/>
      <c r="B621" s="27"/>
      <c r="C621" s="27"/>
      <c r="D621" s="114"/>
      <c r="E621" s="114"/>
      <c r="F621" s="27"/>
      <c r="G621" s="27"/>
      <c r="H621" s="332"/>
      <c r="I621" s="332"/>
      <c r="J621" s="332"/>
      <c r="K621" s="332"/>
      <c r="L621" s="332"/>
      <c r="M621" s="332"/>
      <c r="N621" s="332"/>
      <c r="O621" s="332"/>
      <c r="P621" s="332"/>
      <c r="Q621" s="332"/>
      <c r="R621" s="332"/>
      <c r="S621" s="332"/>
      <c r="T621" s="332"/>
      <c r="U621" s="332"/>
      <c r="V621" s="332"/>
      <c r="W621" s="332"/>
      <c r="X621" s="332"/>
      <c r="Y621" s="332"/>
      <c r="Z621" s="332"/>
    </row>
    <row r="622" ht="15.75" customHeight="1">
      <c r="A622" s="27"/>
      <c r="B622" s="27"/>
      <c r="C622" s="27"/>
      <c r="D622" s="114"/>
      <c r="E622" s="114"/>
      <c r="F622" s="27"/>
      <c r="G622" s="27"/>
      <c r="H622" s="332"/>
      <c r="I622" s="332"/>
      <c r="J622" s="332"/>
      <c r="K622" s="332"/>
      <c r="L622" s="332"/>
      <c r="M622" s="332"/>
      <c r="N622" s="332"/>
      <c r="O622" s="332"/>
      <c r="P622" s="332"/>
      <c r="Q622" s="332"/>
      <c r="R622" s="332"/>
      <c r="S622" s="332"/>
      <c r="T622" s="332"/>
      <c r="U622" s="332"/>
      <c r="V622" s="332"/>
      <c r="W622" s="332"/>
      <c r="X622" s="332"/>
      <c r="Y622" s="332"/>
      <c r="Z622" s="332"/>
    </row>
    <row r="623" ht="15.75" customHeight="1">
      <c r="A623" s="27"/>
      <c r="B623" s="27"/>
      <c r="C623" s="27"/>
      <c r="D623" s="114"/>
      <c r="E623" s="114"/>
      <c r="F623" s="27"/>
      <c r="G623" s="27"/>
      <c r="H623" s="332"/>
      <c r="I623" s="332"/>
      <c r="J623" s="332"/>
      <c r="K623" s="332"/>
      <c r="L623" s="332"/>
      <c r="M623" s="332"/>
      <c r="N623" s="332"/>
      <c r="O623" s="332"/>
      <c r="P623" s="332"/>
      <c r="Q623" s="332"/>
      <c r="R623" s="332"/>
      <c r="S623" s="332"/>
      <c r="T623" s="332"/>
      <c r="U623" s="332"/>
      <c r="V623" s="332"/>
      <c r="W623" s="332"/>
      <c r="X623" s="332"/>
      <c r="Y623" s="332"/>
      <c r="Z623" s="332"/>
    </row>
    <row r="624" ht="15.75" customHeight="1">
      <c r="A624" s="27"/>
      <c r="B624" s="27"/>
      <c r="C624" s="27"/>
      <c r="D624" s="114"/>
      <c r="E624" s="114"/>
      <c r="F624" s="27"/>
      <c r="G624" s="27"/>
      <c r="H624" s="332"/>
      <c r="I624" s="332"/>
      <c r="J624" s="332"/>
      <c r="K624" s="332"/>
      <c r="L624" s="332"/>
      <c r="M624" s="332"/>
      <c r="N624" s="332"/>
      <c r="O624" s="332"/>
      <c r="P624" s="332"/>
      <c r="Q624" s="332"/>
      <c r="R624" s="332"/>
      <c r="S624" s="332"/>
      <c r="T624" s="332"/>
      <c r="U624" s="332"/>
      <c r="V624" s="332"/>
      <c r="W624" s="332"/>
      <c r="X624" s="332"/>
      <c r="Y624" s="332"/>
      <c r="Z624" s="332"/>
    </row>
    <row r="625" ht="15.75" customHeight="1">
      <c r="A625" s="27"/>
      <c r="B625" s="27"/>
      <c r="C625" s="27"/>
      <c r="D625" s="114"/>
      <c r="E625" s="114"/>
      <c r="F625" s="27"/>
      <c r="G625" s="27"/>
      <c r="H625" s="332"/>
      <c r="I625" s="332"/>
      <c r="J625" s="332"/>
      <c r="K625" s="332"/>
      <c r="L625" s="332"/>
      <c r="M625" s="332"/>
      <c r="N625" s="332"/>
      <c r="O625" s="332"/>
      <c r="P625" s="332"/>
      <c r="Q625" s="332"/>
      <c r="R625" s="332"/>
      <c r="S625" s="332"/>
      <c r="T625" s="332"/>
      <c r="U625" s="332"/>
      <c r="V625" s="332"/>
      <c r="W625" s="332"/>
      <c r="X625" s="332"/>
      <c r="Y625" s="332"/>
      <c r="Z625" s="332"/>
    </row>
    <row r="626" ht="15.75" customHeight="1">
      <c r="A626" s="27"/>
      <c r="B626" s="27"/>
      <c r="C626" s="27"/>
      <c r="D626" s="114"/>
      <c r="E626" s="114"/>
      <c r="F626" s="27"/>
      <c r="G626" s="27"/>
      <c r="H626" s="332"/>
      <c r="I626" s="332"/>
      <c r="J626" s="332"/>
      <c r="K626" s="332"/>
      <c r="L626" s="332"/>
      <c r="M626" s="332"/>
      <c r="N626" s="332"/>
      <c r="O626" s="332"/>
      <c r="P626" s="332"/>
      <c r="Q626" s="332"/>
      <c r="R626" s="332"/>
      <c r="S626" s="332"/>
      <c r="T626" s="332"/>
      <c r="U626" s="332"/>
      <c r="V626" s="332"/>
      <c r="W626" s="332"/>
      <c r="X626" s="332"/>
      <c r="Y626" s="332"/>
      <c r="Z626" s="332"/>
    </row>
    <row r="627" ht="15.75" customHeight="1">
      <c r="A627" s="27"/>
      <c r="B627" s="27"/>
      <c r="C627" s="27"/>
      <c r="D627" s="114"/>
      <c r="E627" s="114"/>
      <c r="F627" s="27"/>
      <c r="G627" s="27"/>
      <c r="H627" s="332"/>
      <c r="I627" s="332"/>
      <c r="J627" s="332"/>
      <c r="K627" s="332"/>
      <c r="L627" s="332"/>
      <c r="M627" s="332"/>
      <c r="N627" s="332"/>
      <c r="O627" s="332"/>
      <c r="P627" s="332"/>
      <c r="Q627" s="332"/>
      <c r="R627" s="332"/>
      <c r="S627" s="332"/>
      <c r="T627" s="332"/>
      <c r="U627" s="332"/>
      <c r="V627" s="332"/>
      <c r="W627" s="332"/>
      <c r="X627" s="332"/>
      <c r="Y627" s="332"/>
      <c r="Z627" s="332"/>
    </row>
    <row r="628" ht="15.75" customHeight="1">
      <c r="A628" s="27"/>
      <c r="B628" s="27"/>
      <c r="C628" s="27"/>
      <c r="D628" s="114"/>
      <c r="E628" s="114"/>
      <c r="F628" s="27"/>
      <c r="G628" s="27"/>
      <c r="H628" s="332"/>
      <c r="I628" s="332"/>
      <c r="J628" s="332"/>
      <c r="K628" s="332"/>
      <c r="L628" s="332"/>
      <c r="M628" s="332"/>
      <c r="N628" s="332"/>
      <c r="O628" s="332"/>
      <c r="P628" s="332"/>
      <c r="Q628" s="332"/>
      <c r="R628" s="332"/>
      <c r="S628" s="332"/>
      <c r="T628" s="332"/>
      <c r="U628" s="332"/>
      <c r="V628" s="332"/>
      <c r="W628" s="332"/>
      <c r="X628" s="332"/>
      <c r="Y628" s="332"/>
      <c r="Z628" s="332"/>
    </row>
    <row r="629" ht="15.75" customHeight="1">
      <c r="A629" s="27"/>
      <c r="B629" s="27"/>
      <c r="C629" s="27"/>
      <c r="D629" s="114"/>
      <c r="E629" s="114"/>
      <c r="F629" s="27"/>
      <c r="G629" s="27"/>
      <c r="H629" s="332"/>
      <c r="I629" s="332"/>
      <c r="J629" s="332"/>
      <c r="K629" s="332"/>
      <c r="L629" s="332"/>
      <c r="M629" s="332"/>
      <c r="N629" s="332"/>
      <c r="O629" s="332"/>
      <c r="P629" s="332"/>
      <c r="Q629" s="332"/>
      <c r="R629" s="332"/>
      <c r="S629" s="332"/>
      <c r="T629" s="332"/>
      <c r="U629" s="332"/>
      <c r="V629" s="332"/>
      <c r="W629" s="332"/>
      <c r="X629" s="332"/>
      <c r="Y629" s="332"/>
      <c r="Z629" s="332"/>
    </row>
    <row r="630" ht="15.75" customHeight="1">
      <c r="A630" s="27"/>
      <c r="B630" s="27"/>
      <c r="C630" s="27"/>
      <c r="D630" s="114"/>
      <c r="E630" s="114"/>
      <c r="F630" s="27"/>
      <c r="G630" s="27"/>
      <c r="H630" s="332"/>
      <c r="I630" s="332"/>
      <c r="J630" s="332"/>
      <c r="K630" s="332"/>
      <c r="L630" s="332"/>
      <c r="M630" s="332"/>
      <c r="N630" s="332"/>
      <c r="O630" s="332"/>
      <c r="P630" s="332"/>
      <c r="Q630" s="332"/>
      <c r="R630" s="332"/>
      <c r="S630" s="332"/>
      <c r="T630" s="332"/>
      <c r="U630" s="332"/>
      <c r="V630" s="332"/>
      <c r="W630" s="332"/>
      <c r="X630" s="332"/>
      <c r="Y630" s="332"/>
      <c r="Z630" s="332"/>
    </row>
    <row r="631" ht="15.75" customHeight="1">
      <c r="A631" s="27"/>
      <c r="B631" s="27"/>
      <c r="C631" s="27"/>
      <c r="D631" s="114"/>
      <c r="E631" s="114"/>
      <c r="F631" s="27"/>
      <c r="G631" s="27"/>
      <c r="H631" s="332"/>
      <c r="I631" s="332"/>
      <c r="J631" s="332"/>
      <c r="K631" s="332"/>
      <c r="L631" s="332"/>
      <c r="M631" s="332"/>
      <c r="N631" s="332"/>
      <c r="O631" s="332"/>
      <c r="P631" s="332"/>
      <c r="Q631" s="332"/>
      <c r="R631" s="332"/>
      <c r="S631" s="332"/>
      <c r="T631" s="332"/>
      <c r="U631" s="332"/>
      <c r="V631" s="332"/>
      <c r="W631" s="332"/>
      <c r="X631" s="332"/>
      <c r="Y631" s="332"/>
      <c r="Z631" s="332"/>
    </row>
    <row r="632" ht="15.75" customHeight="1">
      <c r="A632" s="27"/>
      <c r="B632" s="27"/>
      <c r="C632" s="27"/>
      <c r="D632" s="114"/>
      <c r="E632" s="114"/>
      <c r="F632" s="27"/>
      <c r="G632" s="27"/>
      <c r="H632" s="332"/>
      <c r="I632" s="332"/>
      <c r="J632" s="332"/>
      <c r="K632" s="332"/>
      <c r="L632" s="332"/>
      <c r="M632" s="332"/>
      <c r="N632" s="332"/>
      <c r="O632" s="332"/>
      <c r="P632" s="332"/>
      <c r="Q632" s="332"/>
      <c r="R632" s="332"/>
      <c r="S632" s="332"/>
      <c r="T632" s="332"/>
      <c r="U632" s="332"/>
      <c r="V632" s="332"/>
      <c r="W632" s="332"/>
      <c r="X632" s="332"/>
      <c r="Y632" s="332"/>
      <c r="Z632" s="332"/>
    </row>
    <row r="633" ht="15.75" customHeight="1">
      <c r="A633" s="27"/>
      <c r="B633" s="27"/>
      <c r="C633" s="27"/>
      <c r="D633" s="114"/>
      <c r="E633" s="114"/>
      <c r="F633" s="27"/>
      <c r="G633" s="27"/>
      <c r="H633" s="332"/>
      <c r="I633" s="332"/>
      <c r="J633" s="332"/>
      <c r="K633" s="332"/>
      <c r="L633" s="332"/>
      <c r="M633" s="332"/>
      <c r="N633" s="332"/>
      <c r="O633" s="332"/>
      <c r="P633" s="332"/>
      <c r="Q633" s="332"/>
      <c r="R633" s="332"/>
      <c r="S633" s="332"/>
      <c r="T633" s="332"/>
      <c r="U633" s="332"/>
      <c r="V633" s="332"/>
      <c r="W633" s="332"/>
      <c r="X633" s="332"/>
      <c r="Y633" s="332"/>
      <c r="Z633" s="332"/>
    </row>
    <row r="634" ht="15.75" customHeight="1">
      <c r="A634" s="27"/>
      <c r="B634" s="27"/>
      <c r="C634" s="27"/>
      <c r="D634" s="114"/>
      <c r="E634" s="114"/>
      <c r="F634" s="27"/>
      <c r="G634" s="27"/>
      <c r="H634" s="332"/>
      <c r="I634" s="332"/>
      <c r="J634" s="332"/>
      <c r="K634" s="332"/>
      <c r="L634" s="332"/>
      <c r="M634" s="332"/>
      <c r="N634" s="332"/>
      <c r="O634" s="332"/>
      <c r="P634" s="332"/>
      <c r="Q634" s="332"/>
      <c r="R634" s="332"/>
      <c r="S634" s="332"/>
      <c r="T634" s="332"/>
      <c r="U634" s="332"/>
      <c r="V634" s="332"/>
      <c r="W634" s="332"/>
      <c r="X634" s="332"/>
      <c r="Y634" s="332"/>
      <c r="Z634" s="332"/>
    </row>
    <row r="635" ht="15.75" customHeight="1">
      <c r="A635" s="27"/>
      <c r="B635" s="27"/>
      <c r="C635" s="27"/>
      <c r="D635" s="114"/>
      <c r="E635" s="114"/>
      <c r="F635" s="27"/>
      <c r="G635" s="27"/>
      <c r="H635" s="332"/>
      <c r="I635" s="332"/>
      <c r="J635" s="332"/>
      <c r="K635" s="332"/>
      <c r="L635" s="332"/>
      <c r="M635" s="332"/>
      <c r="N635" s="332"/>
      <c r="O635" s="332"/>
      <c r="P635" s="332"/>
      <c r="Q635" s="332"/>
      <c r="R635" s="332"/>
      <c r="S635" s="332"/>
      <c r="T635" s="332"/>
      <c r="U635" s="332"/>
      <c r="V635" s="332"/>
      <c r="W635" s="332"/>
      <c r="X635" s="332"/>
      <c r="Y635" s="332"/>
      <c r="Z635" s="332"/>
    </row>
    <row r="636" ht="15.75" customHeight="1">
      <c r="A636" s="27"/>
      <c r="B636" s="27"/>
      <c r="C636" s="27"/>
      <c r="D636" s="114"/>
      <c r="E636" s="114"/>
      <c r="F636" s="27"/>
      <c r="G636" s="27"/>
      <c r="H636" s="332"/>
      <c r="I636" s="332"/>
      <c r="J636" s="332"/>
      <c r="K636" s="332"/>
      <c r="L636" s="332"/>
      <c r="M636" s="332"/>
      <c r="N636" s="332"/>
      <c r="O636" s="332"/>
      <c r="P636" s="332"/>
      <c r="Q636" s="332"/>
      <c r="R636" s="332"/>
      <c r="S636" s="332"/>
      <c r="T636" s="332"/>
      <c r="U636" s="332"/>
      <c r="V636" s="332"/>
      <c r="W636" s="332"/>
      <c r="X636" s="332"/>
      <c r="Y636" s="332"/>
      <c r="Z636" s="332"/>
    </row>
    <row r="637" ht="15.75" customHeight="1">
      <c r="A637" s="27"/>
      <c r="B637" s="27"/>
      <c r="C637" s="27"/>
      <c r="D637" s="114"/>
      <c r="E637" s="114"/>
      <c r="F637" s="27"/>
      <c r="G637" s="27"/>
      <c r="H637" s="332"/>
      <c r="I637" s="332"/>
      <c r="J637" s="332"/>
      <c r="K637" s="332"/>
      <c r="L637" s="332"/>
      <c r="M637" s="332"/>
      <c r="N637" s="332"/>
      <c r="O637" s="332"/>
      <c r="P637" s="332"/>
      <c r="Q637" s="332"/>
      <c r="R637" s="332"/>
      <c r="S637" s="332"/>
      <c r="T637" s="332"/>
      <c r="U637" s="332"/>
      <c r="V637" s="332"/>
      <c r="W637" s="332"/>
      <c r="X637" s="332"/>
      <c r="Y637" s="332"/>
      <c r="Z637" s="332"/>
    </row>
    <row r="638" ht="15.75" customHeight="1">
      <c r="A638" s="27"/>
      <c r="B638" s="27"/>
      <c r="C638" s="27"/>
      <c r="D638" s="114"/>
      <c r="E638" s="114"/>
      <c r="F638" s="27"/>
      <c r="G638" s="27"/>
      <c r="H638" s="332"/>
      <c r="I638" s="332"/>
      <c r="J638" s="332"/>
      <c r="K638" s="332"/>
      <c r="L638" s="332"/>
      <c r="M638" s="332"/>
      <c r="N638" s="332"/>
      <c r="O638" s="332"/>
      <c r="P638" s="332"/>
      <c r="Q638" s="332"/>
      <c r="R638" s="332"/>
      <c r="S638" s="332"/>
      <c r="T638" s="332"/>
      <c r="U638" s="332"/>
      <c r="V638" s="332"/>
      <c r="W638" s="332"/>
      <c r="X638" s="332"/>
      <c r="Y638" s="332"/>
      <c r="Z638" s="332"/>
    </row>
    <row r="639" ht="15.75" customHeight="1">
      <c r="A639" s="27"/>
      <c r="B639" s="27"/>
      <c r="C639" s="27"/>
      <c r="D639" s="114"/>
      <c r="E639" s="114"/>
      <c r="F639" s="27"/>
      <c r="G639" s="27"/>
      <c r="H639" s="332"/>
      <c r="I639" s="332"/>
      <c r="J639" s="332"/>
      <c r="K639" s="332"/>
      <c r="L639" s="332"/>
      <c r="M639" s="332"/>
      <c r="N639" s="332"/>
      <c r="O639" s="332"/>
      <c r="P639" s="332"/>
      <c r="Q639" s="332"/>
      <c r="R639" s="332"/>
      <c r="S639" s="332"/>
      <c r="T639" s="332"/>
      <c r="U639" s="332"/>
      <c r="V639" s="332"/>
      <c r="W639" s="332"/>
      <c r="X639" s="332"/>
      <c r="Y639" s="332"/>
      <c r="Z639" s="332"/>
    </row>
    <row r="640" ht="15.75" customHeight="1">
      <c r="A640" s="27"/>
      <c r="B640" s="27"/>
      <c r="C640" s="27"/>
      <c r="D640" s="114"/>
      <c r="E640" s="114"/>
      <c r="F640" s="27"/>
      <c r="G640" s="27"/>
      <c r="H640" s="332"/>
      <c r="I640" s="332"/>
      <c r="J640" s="332"/>
      <c r="K640" s="332"/>
      <c r="L640" s="332"/>
      <c r="M640" s="332"/>
      <c r="N640" s="332"/>
      <c r="O640" s="332"/>
      <c r="P640" s="332"/>
      <c r="Q640" s="332"/>
      <c r="R640" s="332"/>
      <c r="S640" s="332"/>
      <c r="T640" s="332"/>
      <c r="U640" s="332"/>
      <c r="V640" s="332"/>
      <c r="W640" s="332"/>
      <c r="X640" s="332"/>
      <c r="Y640" s="332"/>
      <c r="Z640" s="332"/>
    </row>
    <row r="641" ht="15.75" customHeight="1">
      <c r="A641" s="27"/>
      <c r="B641" s="27"/>
      <c r="C641" s="27"/>
      <c r="D641" s="114"/>
      <c r="E641" s="114"/>
      <c r="F641" s="27"/>
      <c r="G641" s="27"/>
      <c r="H641" s="332"/>
      <c r="I641" s="332"/>
      <c r="J641" s="332"/>
      <c r="K641" s="332"/>
      <c r="L641" s="332"/>
      <c r="M641" s="332"/>
      <c r="N641" s="332"/>
      <c r="O641" s="332"/>
      <c r="P641" s="332"/>
      <c r="Q641" s="332"/>
      <c r="R641" s="332"/>
      <c r="S641" s="332"/>
      <c r="T641" s="332"/>
      <c r="U641" s="332"/>
      <c r="V641" s="332"/>
      <c r="W641" s="332"/>
      <c r="X641" s="332"/>
      <c r="Y641" s="332"/>
      <c r="Z641" s="332"/>
    </row>
    <row r="642" ht="15.75" customHeight="1">
      <c r="A642" s="27"/>
      <c r="B642" s="27"/>
      <c r="C642" s="27"/>
      <c r="D642" s="114"/>
      <c r="E642" s="114"/>
      <c r="F642" s="27"/>
      <c r="G642" s="27"/>
      <c r="H642" s="332"/>
      <c r="I642" s="332"/>
      <c r="J642" s="332"/>
      <c r="K642" s="332"/>
      <c r="L642" s="332"/>
      <c r="M642" s="332"/>
      <c r="N642" s="332"/>
      <c r="O642" s="332"/>
      <c r="P642" s="332"/>
      <c r="Q642" s="332"/>
      <c r="R642" s="332"/>
      <c r="S642" s="332"/>
      <c r="T642" s="332"/>
      <c r="U642" s="332"/>
      <c r="V642" s="332"/>
      <c r="W642" s="332"/>
      <c r="X642" s="332"/>
      <c r="Y642" s="332"/>
      <c r="Z642" s="332"/>
    </row>
    <row r="643" ht="15.75" customHeight="1">
      <c r="A643" s="27"/>
      <c r="B643" s="27"/>
      <c r="C643" s="27"/>
      <c r="D643" s="114"/>
      <c r="E643" s="114"/>
      <c r="F643" s="27"/>
      <c r="G643" s="27"/>
      <c r="H643" s="332"/>
      <c r="I643" s="332"/>
      <c r="J643" s="332"/>
      <c r="K643" s="332"/>
      <c r="L643" s="332"/>
      <c r="M643" s="332"/>
      <c r="N643" s="332"/>
      <c r="O643" s="332"/>
      <c r="P643" s="332"/>
      <c r="Q643" s="332"/>
      <c r="R643" s="332"/>
      <c r="S643" s="332"/>
      <c r="T643" s="332"/>
      <c r="U643" s="332"/>
      <c r="V643" s="332"/>
      <c r="W643" s="332"/>
      <c r="X643" s="332"/>
      <c r="Y643" s="332"/>
      <c r="Z643" s="332"/>
    </row>
    <row r="644" ht="15.75" customHeight="1">
      <c r="A644" s="27"/>
      <c r="B644" s="27"/>
      <c r="C644" s="27"/>
      <c r="D644" s="114"/>
      <c r="E644" s="114"/>
      <c r="F644" s="27"/>
      <c r="G644" s="27"/>
      <c r="H644" s="332"/>
      <c r="I644" s="332"/>
      <c r="J644" s="332"/>
      <c r="K644" s="332"/>
      <c r="L644" s="332"/>
      <c r="M644" s="332"/>
      <c r="N644" s="332"/>
      <c r="O644" s="332"/>
      <c r="P644" s="332"/>
      <c r="Q644" s="332"/>
      <c r="R644" s="332"/>
      <c r="S644" s="332"/>
      <c r="T644" s="332"/>
      <c r="U644" s="332"/>
      <c r="V644" s="332"/>
      <c r="W644" s="332"/>
      <c r="X644" s="332"/>
      <c r="Y644" s="332"/>
      <c r="Z644" s="332"/>
    </row>
    <row r="645" ht="15.75" customHeight="1">
      <c r="A645" s="27"/>
      <c r="B645" s="27"/>
      <c r="C645" s="27"/>
      <c r="D645" s="114"/>
      <c r="E645" s="114"/>
      <c r="F645" s="27"/>
      <c r="G645" s="27"/>
      <c r="H645" s="332"/>
      <c r="I645" s="332"/>
      <c r="J645" s="332"/>
      <c r="K645" s="332"/>
      <c r="L645" s="332"/>
      <c r="M645" s="332"/>
      <c r="N645" s="332"/>
      <c r="O645" s="332"/>
      <c r="P645" s="332"/>
      <c r="Q645" s="332"/>
      <c r="R645" s="332"/>
      <c r="S645" s="332"/>
      <c r="T645" s="332"/>
      <c r="U645" s="332"/>
      <c r="V645" s="332"/>
      <c r="W645" s="332"/>
      <c r="X645" s="332"/>
      <c r="Y645" s="332"/>
      <c r="Z645" s="332"/>
    </row>
    <row r="646" ht="15.75" customHeight="1">
      <c r="A646" s="27"/>
      <c r="B646" s="27"/>
      <c r="C646" s="27"/>
      <c r="D646" s="114"/>
      <c r="E646" s="114"/>
      <c r="F646" s="27"/>
      <c r="G646" s="27"/>
      <c r="H646" s="332"/>
      <c r="I646" s="332"/>
      <c r="J646" s="332"/>
      <c r="K646" s="332"/>
      <c r="L646" s="332"/>
      <c r="M646" s="332"/>
      <c r="N646" s="332"/>
      <c r="O646" s="332"/>
      <c r="P646" s="332"/>
      <c r="Q646" s="332"/>
      <c r="R646" s="332"/>
      <c r="S646" s="332"/>
      <c r="T646" s="332"/>
      <c r="U646" s="332"/>
      <c r="V646" s="332"/>
      <c r="W646" s="332"/>
      <c r="X646" s="332"/>
      <c r="Y646" s="332"/>
      <c r="Z646" s="332"/>
    </row>
    <row r="647" ht="15.75" customHeight="1">
      <c r="A647" s="27"/>
      <c r="B647" s="27"/>
      <c r="C647" s="27"/>
      <c r="D647" s="114"/>
      <c r="E647" s="114"/>
      <c r="F647" s="27"/>
      <c r="G647" s="27"/>
      <c r="H647" s="332"/>
      <c r="I647" s="332"/>
      <c r="J647" s="332"/>
      <c r="K647" s="332"/>
      <c r="L647" s="332"/>
      <c r="M647" s="332"/>
      <c r="N647" s="332"/>
      <c r="O647" s="332"/>
      <c r="P647" s="332"/>
      <c r="Q647" s="332"/>
      <c r="R647" s="332"/>
      <c r="S647" s="332"/>
      <c r="T647" s="332"/>
      <c r="U647" s="332"/>
      <c r="V647" s="332"/>
      <c r="W647" s="332"/>
      <c r="X647" s="332"/>
      <c r="Y647" s="332"/>
      <c r="Z647" s="332"/>
    </row>
    <row r="648" ht="15.75" customHeight="1">
      <c r="A648" s="27"/>
      <c r="B648" s="27"/>
      <c r="C648" s="27"/>
      <c r="D648" s="114"/>
      <c r="E648" s="114"/>
      <c r="F648" s="27"/>
      <c r="G648" s="27"/>
      <c r="H648" s="332"/>
      <c r="I648" s="332"/>
      <c r="J648" s="332"/>
      <c r="K648" s="332"/>
      <c r="L648" s="332"/>
      <c r="M648" s="332"/>
      <c r="N648" s="332"/>
      <c r="O648" s="332"/>
      <c r="P648" s="332"/>
      <c r="Q648" s="332"/>
      <c r="R648" s="332"/>
      <c r="S648" s="332"/>
      <c r="T648" s="332"/>
      <c r="U648" s="332"/>
      <c r="V648" s="332"/>
      <c r="W648" s="332"/>
      <c r="X648" s="332"/>
      <c r="Y648" s="332"/>
      <c r="Z648" s="332"/>
    </row>
    <row r="649" ht="15.75" customHeight="1">
      <c r="A649" s="27"/>
      <c r="B649" s="27"/>
      <c r="C649" s="27"/>
      <c r="D649" s="114"/>
      <c r="E649" s="114"/>
      <c r="F649" s="27"/>
      <c r="G649" s="27"/>
      <c r="H649" s="332"/>
      <c r="I649" s="332"/>
      <c r="J649" s="332"/>
      <c r="K649" s="332"/>
      <c r="L649" s="332"/>
      <c r="M649" s="332"/>
      <c r="N649" s="332"/>
      <c r="O649" s="332"/>
      <c r="P649" s="332"/>
      <c r="Q649" s="332"/>
      <c r="R649" s="332"/>
      <c r="S649" s="332"/>
      <c r="T649" s="332"/>
      <c r="U649" s="332"/>
      <c r="V649" s="332"/>
      <c r="W649" s="332"/>
      <c r="X649" s="332"/>
      <c r="Y649" s="332"/>
      <c r="Z649" s="332"/>
    </row>
    <row r="650" ht="15.75" customHeight="1">
      <c r="A650" s="27"/>
      <c r="B650" s="27"/>
      <c r="C650" s="27"/>
      <c r="D650" s="114"/>
      <c r="E650" s="114"/>
      <c r="F650" s="27"/>
      <c r="G650" s="27"/>
      <c r="H650" s="332"/>
      <c r="I650" s="332"/>
      <c r="J650" s="332"/>
      <c r="K650" s="332"/>
      <c r="L650" s="332"/>
      <c r="M650" s="332"/>
      <c r="N650" s="332"/>
      <c r="O650" s="332"/>
      <c r="P650" s="332"/>
      <c r="Q650" s="332"/>
      <c r="R650" s="332"/>
      <c r="S650" s="332"/>
      <c r="T650" s="332"/>
      <c r="U650" s="332"/>
      <c r="V650" s="332"/>
      <c r="W650" s="332"/>
      <c r="X650" s="332"/>
      <c r="Y650" s="332"/>
      <c r="Z650" s="332"/>
    </row>
    <row r="651" ht="15.75" customHeight="1">
      <c r="A651" s="27"/>
      <c r="B651" s="27"/>
      <c r="C651" s="27"/>
      <c r="D651" s="114"/>
      <c r="E651" s="114"/>
      <c r="F651" s="27"/>
      <c r="G651" s="27"/>
      <c r="H651" s="332"/>
      <c r="I651" s="332"/>
      <c r="J651" s="332"/>
      <c r="K651" s="332"/>
      <c r="L651" s="332"/>
      <c r="M651" s="332"/>
      <c r="N651" s="332"/>
      <c r="O651" s="332"/>
      <c r="P651" s="332"/>
      <c r="Q651" s="332"/>
      <c r="R651" s="332"/>
      <c r="S651" s="332"/>
      <c r="T651" s="332"/>
      <c r="U651" s="332"/>
      <c r="V651" s="332"/>
      <c r="W651" s="332"/>
      <c r="X651" s="332"/>
      <c r="Y651" s="332"/>
      <c r="Z651" s="332"/>
    </row>
    <row r="652" ht="15.75" customHeight="1">
      <c r="A652" s="27"/>
      <c r="B652" s="27"/>
      <c r="C652" s="27"/>
      <c r="D652" s="114"/>
      <c r="E652" s="114"/>
      <c r="F652" s="27"/>
      <c r="G652" s="27"/>
      <c r="H652" s="332"/>
      <c r="I652" s="332"/>
      <c r="J652" s="332"/>
      <c r="K652" s="332"/>
      <c r="L652" s="332"/>
      <c r="M652" s="332"/>
      <c r="N652" s="332"/>
      <c r="O652" s="332"/>
      <c r="P652" s="332"/>
      <c r="Q652" s="332"/>
      <c r="R652" s="332"/>
      <c r="S652" s="332"/>
      <c r="T652" s="332"/>
      <c r="U652" s="332"/>
      <c r="V652" s="332"/>
      <c r="W652" s="332"/>
      <c r="X652" s="332"/>
      <c r="Y652" s="332"/>
      <c r="Z652" s="332"/>
    </row>
    <row r="653" ht="15.75" customHeight="1">
      <c r="A653" s="27"/>
      <c r="B653" s="27"/>
      <c r="C653" s="27"/>
      <c r="D653" s="114"/>
      <c r="E653" s="114"/>
      <c r="F653" s="27"/>
      <c r="G653" s="27"/>
      <c r="H653" s="332"/>
      <c r="I653" s="332"/>
      <c r="J653" s="332"/>
      <c r="K653" s="332"/>
      <c r="L653" s="332"/>
      <c r="M653" s="332"/>
      <c r="N653" s="332"/>
      <c r="O653" s="332"/>
      <c r="P653" s="332"/>
      <c r="Q653" s="332"/>
      <c r="R653" s="332"/>
      <c r="S653" s="332"/>
      <c r="T653" s="332"/>
      <c r="U653" s="332"/>
      <c r="V653" s="332"/>
      <c r="W653" s="332"/>
      <c r="X653" s="332"/>
      <c r="Y653" s="332"/>
      <c r="Z653" s="332"/>
    </row>
    <row r="654" ht="15.75" customHeight="1">
      <c r="A654" s="27"/>
      <c r="B654" s="27"/>
      <c r="C654" s="27"/>
      <c r="D654" s="114"/>
      <c r="E654" s="114"/>
      <c r="F654" s="27"/>
      <c r="G654" s="27"/>
      <c r="H654" s="332"/>
      <c r="I654" s="332"/>
      <c r="J654" s="332"/>
      <c r="K654" s="332"/>
      <c r="L654" s="332"/>
      <c r="M654" s="332"/>
      <c r="N654" s="332"/>
      <c r="O654" s="332"/>
      <c r="P654" s="332"/>
      <c r="Q654" s="332"/>
      <c r="R654" s="332"/>
      <c r="S654" s="332"/>
      <c r="T654" s="332"/>
      <c r="U654" s="332"/>
      <c r="V654" s="332"/>
      <c r="W654" s="332"/>
      <c r="X654" s="332"/>
      <c r="Y654" s="332"/>
      <c r="Z654" s="332"/>
    </row>
    <row r="655" ht="15.75" customHeight="1">
      <c r="A655" s="27"/>
      <c r="B655" s="27"/>
      <c r="C655" s="27"/>
      <c r="D655" s="114"/>
      <c r="E655" s="114"/>
      <c r="F655" s="27"/>
      <c r="G655" s="27"/>
      <c r="H655" s="332"/>
      <c r="I655" s="332"/>
      <c r="J655" s="332"/>
      <c r="K655" s="332"/>
      <c r="L655" s="332"/>
      <c r="M655" s="332"/>
      <c r="N655" s="332"/>
      <c r="O655" s="332"/>
      <c r="P655" s="332"/>
      <c r="Q655" s="332"/>
      <c r="R655" s="332"/>
      <c r="S655" s="332"/>
      <c r="T655" s="332"/>
      <c r="U655" s="332"/>
      <c r="V655" s="332"/>
      <c r="W655" s="332"/>
      <c r="X655" s="332"/>
      <c r="Y655" s="332"/>
      <c r="Z655" s="332"/>
    </row>
    <row r="656" ht="15.75" customHeight="1">
      <c r="A656" s="27"/>
      <c r="B656" s="27"/>
      <c r="C656" s="27"/>
      <c r="D656" s="114"/>
      <c r="E656" s="114"/>
      <c r="F656" s="27"/>
      <c r="G656" s="27"/>
      <c r="H656" s="332"/>
      <c r="I656" s="332"/>
      <c r="J656" s="332"/>
      <c r="K656" s="332"/>
      <c r="L656" s="332"/>
      <c r="M656" s="332"/>
      <c r="N656" s="332"/>
      <c r="O656" s="332"/>
      <c r="P656" s="332"/>
      <c r="Q656" s="332"/>
      <c r="R656" s="332"/>
      <c r="S656" s="332"/>
      <c r="T656" s="332"/>
      <c r="U656" s="332"/>
      <c r="V656" s="332"/>
      <c r="W656" s="332"/>
      <c r="X656" s="332"/>
      <c r="Y656" s="332"/>
      <c r="Z656" s="332"/>
    </row>
    <row r="657" ht="15.75" customHeight="1">
      <c r="A657" s="27"/>
      <c r="B657" s="27"/>
      <c r="C657" s="27"/>
      <c r="D657" s="114"/>
      <c r="E657" s="114"/>
      <c r="F657" s="27"/>
      <c r="G657" s="27"/>
      <c r="H657" s="332"/>
      <c r="I657" s="332"/>
      <c r="J657" s="332"/>
      <c r="K657" s="332"/>
      <c r="L657" s="332"/>
      <c r="M657" s="332"/>
      <c r="N657" s="332"/>
      <c r="O657" s="332"/>
      <c r="P657" s="332"/>
      <c r="Q657" s="332"/>
      <c r="R657" s="332"/>
      <c r="S657" s="332"/>
      <c r="T657" s="332"/>
      <c r="U657" s="332"/>
      <c r="V657" s="332"/>
      <c r="W657" s="332"/>
      <c r="X657" s="332"/>
      <c r="Y657" s="332"/>
      <c r="Z657" s="332"/>
    </row>
    <row r="658" ht="15.75" customHeight="1">
      <c r="A658" s="27"/>
      <c r="B658" s="27"/>
      <c r="C658" s="27"/>
      <c r="D658" s="114"/>
      <c r="E658" s="114"/>
      <c r="F658" s="27"/>
      <c r="G658" s="27"/>
      <c r="H658" s="332"/>
      <c r="I658" s="332"/>
      <c r="J658" s="332"/>
      <c r="K658" s="332"/>
      <c r="L658" s="332"/>
      <c r="M658" s="332"/>
      <c r="N658" s="332"/>
      <c r="O658" s="332"/>
      <c r="P658" s="332"/>
      <c r="Q658" s="332"/>
      <c r="R658" s="332"/>
      <c r="S658" s="332"/>
      <c r="T658" s="332"/>
      <c r="U658" s="332"/>
      <c r="V658" s="332"/>
      <c r="W658" s="332"/>
      <c r="X658" s="332"/>
      <c r="Y658" s="332"/>
      <c r="Z658" s="332"/>
    </row>
    <row r="659" ht="15.75" customHeight="1">
      <c r="A659" s="27"/>
      <c r="B659" s="27"/>
      <c r="C659" s="27"/>
      <c r="D659" s="114"/>
      <c r="E659" s="114"/>
      <c r="F659" s="27"/>
      <c r="G659" s="27"/>
      <c r="H659" s="332"/>
      <c r="I659" s="332"/>
      <c r="J659" s="332"/>
      <c r="K659" s="332"/>
      <c r="L659" s="332"/>
      <c r="M659" s="332"/>
      <c r="N659" s="332"/>
      <c r="O659" s="332"/>
      <c r="P659" s="332"/>
      <c r="Q659" s="332"/>
      <c r="R659" s="332"/>
      <c r="S659" s="332"/>
      <c r="T659" s="332"/>
      <c r="U659" s="332"/>
      <c r="V659" s="332"/>
      <c r="W659" s="332"/>
      <c r="X659" s="332"/>
      <c r="Y659" s="332"/>
      <c r="Z659" s="332"/>
    </row>
    <row r="660" ht="15.75" customHeight="1">
      <c r="A660" s="27"/>
      <c r="B660" s="27"/>
      <c r="C660" s="27"/>
      <c r="D660" s="114"/>
      <c r="E660" s="114"/>
      <c r="F660" s="27"/>
      <c r="G660" s="27"/>
      <c r="H660" s="332"/>
      <c r="I660" s="332"/>
      <c r="J660" s="332"/>
      <c r="K660" s="332"/>
      <c r="L660" s="332"/>
      <c r="M660" s="332"/>
      <c r="N660" s="332"/>
      <c r="O660" s="332"/>
      <c r="P660" s="332"/>
      <c r="Q660" s="332"/>
      <c r="R660" s="332"/>
      <c r="S660" s="332"/>
      <c r="T660" s="332"/>
      <c r="U660" s="332"/>
      <c r="V660" s="332"/>
      <c r="W660" s="332"/>
      <c r="X660" s="332"/>
      <c r="Y660" s="332"/>
      <c r="Z660" s="332"/>
    </row>
    <row r="661" ht="15.75" customHeight="1">
      <c r="A661" s="27"/>
      <c r="B661" s="27"/>
      <c r="C661" s="27"/>
      <c r="D661" s="114"/>
      <c r="E661" s="114"/>
      <c r="F661" s="27"/>
      <c r="G661" s="27"/>
      <c r="H661" s="332"/>
      <c r="I661" s="332"/>
      <c r="J661" s="332"/>
      <c r="K661" s="332"/>
      <c r="L661" s="332"/>
      <c r="M661" s="332"/>
      <c r="N661" s="332"/>
      <c r="O661" s="332"/>
      <c r="P661" s="332"/>
      <c r="Q661" s="332"/>
      <c r="R661" s="332"/>
      <c r="S661" s="332"/>
      <c r="T661" s="332"/>
      <c r="U661" s="332"/>
      <c r="V661" s="332"/>
      <c r="W661" s="332"/>
      <c r="X661" s="332"/>
      <c r="Y661" s="332"/>
      <c r="Z661" s="332"/>
    </row>
    <row r="662" ht="15.75" customHeight="1">
      <c r="A662" s="27"/>
      <c r="B662" s="27"/>
      <c r="C662" s="27"/>
      <c r="D662" s="114"/>
      <c r="E662" s="114"/>
      <c r="F662" s="27"/>
      <c r="G662" s="27"/>
      <c r="H662" s="332"/>
      <c r="I662" s="332"/>
      <c r="J662" s="332"/>
      <c r="K662" s="332"/>
      <c r="L662" s="332"/>
      <c r="M662" s="332"/>
      <c r="N662" s="332"/>
      <c r="O662" s="332"/>
      <c r="P662" s="332"/>
      <c r="Q662" s="332"/>
      <c r="R662" s="332"/>
      <c r="S662" s="332"/>
      <c r="T662" s="332"/>
      <c r="U662" s="332"/>
      <c r="V662" s="332"/>
      <c r="W662" s="332"/>
      <c r="X662" s="332"/>
      <c r="Y662" s="332"/>
      <c r="Z662" s="332"/>
    </row>
    <row r="663" ht="15.75" customHeight="1">
      <c r="A663" s="27"/>
      <c r="B663" s="27"/>
      <c r="C663" s="27"/>
      <c r="D663" s="114"/>
      <c r="E663" s="114"/>
      <c r="F663" s="27"/>
      <c r="G663" s="27"/>
      <c r="H663" s="332"/>
      <c r="I663" s="332"/>
      <c r="J663" s="332"/>
      <c r="K663" s="332"/>
      <c r="L663" s="332"/>
      <c r="M663" s="332"/>
      <c r="N663" s="332"/>
      <c r="O663" s="332"/>
      <c r="P663" s="332"/>
      <c r="Q663" s="332"/>
      <c r="R663" s="332"/>
      <c r="S663" s="332"/>
      <c r="T663" s="332"/>
      <c r="U663" s="332"/>
      <c r="V663" s="332"/>
      <c r="W663" s="332"/>
      <c r="X663" s="332"/>
      <c r="Y663" s="332"/>
      <c r="Z663" s="332"/>
    </row>
    <row r="664" ht="15.75" customHeight="1">
      <c r="A664" s="27"/>
      <c r="B664" s="27"/>
      <c r="C664" s="27"/>
      <c r="D664" s="114"/>
      <c r="E664" s="114"/>
      <c r="F664" s="27"/>
      <c r="G664" s="27"/>
      <c r="H664" s="332"/>
      <c r="I664" s="332"/>
      <c r="J664" s="332"/>
      <c r="K664" s="332"/>
      <c r="L664" s="332"/>
      <c r="M664" s="332"/>
      <c r="N664" s="332"/>
      <c r="O664" s="332"/>
      <c r="P664" s="332"/>
      <c r="Q664" s="332"/>
      <c r="R664" s="332"/>
      <c r="S664" s="332"/>
      <c r="T664" s="332"/>
      <c r="U664" s="332"/>
      <c r="V664" s="332"/>
      <c r="W664" s="332"/>
      <c r="X664" s="332"/>
      <c r="Y664" s="332"/>
      <c r="Z664" s="332"/>
    </row>
    <row r="665" ht="15.75" customHeight="1">
      <c r="A665" s="27"/>
      <c r="B665" s="27"/>
      <c r="C665" s="27"/>
      <c r="D665" s="114"/>
      <c r="E665" s="114"/>
      <c r="F665" s="27"/>
      <c r="G665" s="27"/>
      <c r="H665" s="332"/>
      <c r="I665" s="332"/>
      <c r="J665" s="332"/>
      <c r="K665" s="332"/>
      <c r="L665" s="332"/>
      <c r="M665" s="332"/>
      <c r="N665" s="332"/>
      <c r="O665" s="332"/>
      <c r="P665" s="332"/>
      <c r="Q665" s="332"/>
      <c r="R665" s="332"/>
      <c r="S665" s="332"/>
      <c r="T665" s="332"/>
      <c r="U665" s="332"/>
      <c r="V665" s="332"/>
      <c r="W665" s="332"/>
      <c r="X665" s="332"/>
      <c r="Y665" s="332"/>
      <c r="Z665" s="332"/>
    </row>
    <row r="666" ht="15.75" customHeight="1">
      <c r="A666" s="27"/>
      <c r="B666" s="27"/>
      <c r="C666" s="27"/>
      <c r="D666" s="114"/>
      <c r="E666" s="114"/>
      <c r="F666" s="27"/>
      <c r="G666" s="27"/>
      <c r="H666" s="332"/>
      <c r="I666" s="332"/>
      <c r="J666" s="332"/>
      <c r="K666" s="332"/>
      <c r="L666" s="332"/>
      <c r="M666" s="332"/>
      <c r="N666" s="332"/>
      <c r="O666" s="332"/>
      <c r="P666" s="332"/>
      <c r="Q666" s="332"/>
      <c r="R666" s="332"/>
      <c r="S666" s="332"/>
      <c r="T666" s="332"/>
      <c r="U666" s="332"/>
      <c r="V666" s="332"/>
      <c r="W666" s="332"/>
      <c r="X666" s="332"/>
      <c r="Y666" s="332"/>
      <c r="Z666" s="332"/>
    </row>
    <row r="667" ht="15.75" customHeight="1">
      <c r="A667" s="27"/>
      <c r="B667" s="27"/>
      <c r="C667" s="27"/>
      <c r="D667" s="114"/>
      <c r="E667" s="114"/>
      <c r="F667" s="27"/>
      <c r="G667" s="27"/>
      <c r="H667" s="332"/>
      <c r="I667" s="332"/>
      <c r="J667" s="332"/>
      <c r="K667" s="332"/>
      <c r="L667" s="332"/>
      <c r="M667" s="332"/>
      <c r="N667" s="332"/>
      <c r="O667" s="332"/>
      <c r="P667" s="332"/>
      <c r="Q667" s="332"/>
      <c r="R667" s="332"/>
      <c r="S667" s="332"/>
      <c r="T667" s="332"/>
      <c r="U667" s="332"/>
      <c r="V667" s="332"/>
      <c r="W667" s="332"/>
      <c r="X667" s="332"/>
      <c r="Y667" s="332"/>
      <c r="Z667" s="332"/>
    </row>
    <row r="668" ht="15.75" customHeight="1">
      <c r="A668" s="27"/>
      <c r="B668" s="27"/>
      <c r="C668" s="27"/>
      <c r="D668" s="114"/>
      <c r="E668" s="114"/>
      <c r="F668" s="27"/>
      <c r="G668" s="27"/>
      <c r="H668" s="332"/>
      <c r="I668" s="332"/>
      <c r="J668" s="332"/>
      <c r="K668" s="332"/>
      <c r="L668" s="332"/>
      <c r="M668" s="332"/>
      <c r="N668" s="332"/>
      <c r="O668" s="332"/>
      <c r="P668" s="332"/>
      <c r="Q668" s="332"/>
      <c r="R668" s="332"/>
      <c r="S668" s="332"/>
      <c r="T668" s="332"/>
      <c r="U668" s="332"/>
      <c r="V668" s="332"/>
      <c r="W668" s="332"/>
      <c r="X668" s="332"/>
      <c r="Y668" s="332"/>
      <c r="Z668" s="332"/>
    </row>
    <row r="669" ht="15.75" customHeight="1">
      <c r="A669" s="27"/>
      <c r="B669" s="27"/>
      <c r="C669" s="27"/>
      <c r="D669" s="114"/>
      <c r="E669" s="114"/>
      <c r="F669" s="27"/>
      <c r="G669" s="27"/>
      <c r="H669" s="332"/>
      <c r="I669" s="332"/>
      <c r="J669" s="332"/>
      <c r="K669" s="332"/>
      <c r="L669" s="332"/>
      <c r="M669" s="332"/>
      <c r="N669" s="332"/>
      <c r="O669" s="332"/>
      <c r="P669" s="332"/>
      <c r="Q669" s="332"/>
      <c r="R669" s="332"/>
      <c r="S669" s="332"/>
      <c r="T669" s="332"/>
      <c r="U669" s="332"/>
      <c r="V669" s="332"/>
      <c r="W669" s="332"/>
      <c r="X669" s="332"/>
      <c r="Y669" s="332"/>
      <c r="Z669" s="332"/>
    </row>
    <row r="670" ht="15.75" customHeight="1">
      <c r="A670" s="27"/>
      <c r="B670" s="27"/>
      <c r="C670" s="27"/>
      <c r="D670" s="114"/>
      <c r="E670" s="114"/>
      <c r="F670" s="27"/>
      <c r="G670" s="27"/>
      <c r="H670" s="332"/>
      <c r="I670" s="332"/>
      <c r="J670" s="332"/>
      <c r="K670" s="332"/>
      <c r="L670" s="332"/>
      <c r="M670" s="332"/>
      <c r="N670" s="332"/>
      <c r="O670" s="332"/>
      <c r="P670" s="332"/>
      <c r="Q670" s="332"/>
      <c r="R670" s="332"/>
      <c r="S670" s="332"/>
      <c r="T670" s="332"/>
      <c r="U670" s="332"/>
      <c r="V670" s="332"/>
      <c r="W670" s="332"/>
      <c r="X670" s="332"/>
      <c r="Y670" s="332"/>
      <c r="Z670" s="332"/>
    </row>
    <row r="671" ht="15.75" customHeight="1">
      <c r="A671" s="27"/>
      <c r="B671" s="27"/>
      <c r="C671" s="27"/>
      <c r="D671" s="114"/>
      <c r="E671" s="114"/>
      <c r="F671" s="27"/>
      <c r="G671" s="27"/>
      <c r="H671" s="332"/>
      <c r="I671" s="332"/>
      <c r="J671" s="332"/>
      <c r="K671" s="332"/>
      <c r="L671" s="332"/>
      <c r="M671" s="332"/>
      <c r="N671" s="332"/>
      <c r="O671" s="332"/>
      <c r="P671" s="332"/>
      <c r="Q671" s="332"/>
      <c r="R671" s="332"/>
      <c r="S671" s="332"/>
      <c r="T671" s="332"/>
      <c r="U671" s="332"/>
      <c r="V671" s="332"/>
      <c r="W671" s="332"/>
      <c r="X671" s="332"/>
      <c r="Y671" s="332"/>
      <c r="Z671" s="332"/>
    </row>
    <row r="672" ht="15.75" customHeight="1">
      <c r="A672" s="27"/>
      <c r="B672" s="27"/>
      <c r="C672" s="27"/>
      <c r="D672" s="114"/>
      <c r="E672" s="114"/>
      <c r="F672" s="27"/>
      <c r="G672" s="27"/>
      <c r="H672" s="332"/>
      <c r="I672" s="332"/>
      <c r="J672" s="332"/>
      <c r="K672" s="332"/>
      <c r="L672" s="332"/>
      <c r="M672" s="332"/>
      <c r="N672" s="332"/>
      <c r="O672" s="332"/>
      <c r="P672" s="332"/>
      <c r="Q672" s="332"/>
      <c r="R672" s="332"/>
      <c r="S672" s="332"/>
      <c r="T672" s="332"/>
      <c r="U672" s="332"/>
      <c r="V672" s="332"/>
      <c r="W672" s="332"/>
      <c r="X672" s="332"/>
      <c r="Y672" s="332"/>
      <c r="Z672" s="332"/>
    </row>
    <row r="673" ht="15.75" customHeight="1">
      <c r="A673" s="27"/>
      <c r="B673" s="27"/>
      <c r="C673" s="27"/>
      <c r="D673" s="114"/>
      <c r="E673" s="114"/>
      <c r="F673" s="27"/>
      <c r="G673" s="27"/>
      <c r="H673" s="332"/>
      <c r="I673" s="332"/>
      <c r="J673" s="332"/>
      <c r="K673" s="332"/>
      <c r="L673" s="332"/>
      <c r="M673" s="332"/>
      <c r="N673" s="332"/>
      <c r="O673" s="332"/>
      <c r="P673" s="332"/>
      <c r="Q673" s="332"/>
      <c r="R673" s="332"/>
      <c r="S673" s="332"/>
      <c r="T673" s="332"/>
      <c r="U673" s="332"/>
      <c r="V673" s="332"/>
      <c r="W673" s="332"/>
      <c r="X673" s="332"/>
      <c r="Y673" s="332"/>
      <c r="Z673" s="332"/>
    </row>
    <row r="674" ht="15.75" customHeight="1">
      <c r="A674" s="27"/>
      <c r="B674" s="27"/>
      <c r="C674" s="27"/>
      <c r="D674" s="114"/>
      <c r="E674" s="114"/>
      <c r="F674" s="27"/>
      <c r="G674" s="27"/>
      <c r="H674" s="332"/>
      <c r="I674" s="332"/>
      <c r="J674" s="332"/>
      <c r="K674" s="332"/>
      <c r="L674" s="332"/>
      <c r="M674" s="332"/>
      <c r="N674" s="332"/>
      <c r="O674" s="332"/>
      <c r="P674" s="332"/>
      <c r="Q674" s="332"/>
      <c r="R674" s="332"/>
      <c r="S674" s="332"/>
      <c r="T674" s="332"/>
      <c r="U674" s="332"/>
      <c r="V674" s="332"/>
      <c r="W674" s="332"/>
      <c r="X674" s="332"/>
      <c r="Y674" s="332"/>
      <c r="Z674" s="332"/>
    </row>
    <row r="675" ht="15.75" customHeight="1">
      <c r="A675" s="27"/>
      <c r="B675" s="27"/>
      <c r="C675" s="27"/>
      <c r="D675" s="114"/>
      <c r="E675" s="114"/>
      <c r="F675" s="27"/>
      <c r="G675" s="27"/>
      <c r="H675" s="332"/>
      <c r="I675" s="332"/>
      <c r="J675" s="332"/>
      <c r="K675" s="332"/>
      <c r="L675" s="332"/>
      <c r="M675" s="332"/>
      <c r="N675" s="332"/>
      <c r="O675" s="332"/>
      <c r="P675" s="332"/>
      <c r="Q675" s="332"/>
      <c r="R675" s="332"/>
      <c r="S675" s="332"/>
      <c r="T675" s="332"/>
      <c r="U675" s="332"/>
      <c r="V675" s="332"/>
      <c r="W675" s="332"/>
      <c r="X675" s="332"/>
      <c r="Y675" s="332"/>
      <c r="Z675" s="332"/>
    </row>
    <row r="676" ht="15.75" customHeight="1">
      <c r="A676" s="27"/>
      <c r="B676" s="27"/>
      <c r="C676" s="27"/>
      <c r="D676" s="114"/>
      <c r="E676" s="114"/>
      <c r="F676" s="27"/>
      <c r="G676" s="27"/>
      <c r="H676" s="332"/>
      <c r="I676" s="332"/>
      <c r="J676" s="332"/>
      <c r="K676" s="332"/>
      <c r="L676" s="332"/>
      <c r="M676" s="332"/>
      <c r="N676" s="332"/>
      <c r="O676" s="332"/>
      <c r="P676" s="332"/>
      <c r="Q676" s="332"/>
      <c r="R676" s="332"/>
      <c r="S676" s="332"/>
      <c r="T676" s="332"/>
      <c r="U676" s="332"/>
      <c r="V676" s="332"/>
      <c r="W676" s="332"/>
      <c r="X676" s="332"/>
      <c r="Y676" s="332"/>
      <c r="Z676" s="332"/>
    </row>
    <row r="677" ht="15.75" customHeight="1">
      <c r="A677" s="27"/>
      <c r="B677" s="27"/>
      <c r="C677" s="27"/>
      <c r="D677" s="114"/>
      <c r="E677" s="114"/>
      <c r="F677" s="27"/>
      <c r="G677" s="27"/>
      <c r="H677" s="332"/>
      <c r="I677" s="332"/>
      <c r="J677" s="332"/>
      <c r="K677" s="332"/>
      <c r="L677" s="332"/>
      <c r="M677" s="332"/>
      <c r="N677" s="332"/>
      <c r="O677" s="332"/>
      <c r="P677" s="332"/>
      <c r="Q677" s="332"/>
      <c r="R677" s="332"/>
      <c r="S677" s="332"/>
      <c r="T677" s="332"/>
      <c r="U677" s="332"/>
      <c r="V677" s="332"/>
      <c r="W677" s="332"/>
      <c r="X677" s="332"/>
      <c r="Y677" s="332"/>
      <c r="Z677" s="332"/>
    </row>
    <row r="678" ht="15.75" customHeight="1">
      <c r="A678" s="27"/>
      <c r="B678" s="27"/>
      <c r="C678" s="27"/>
      <c r="D678" s="114"/>
      <c r="E678" s="114"/>
      <c r="F678" s="27"/>
      <c r="G678" s="27"/>
      <c r="H678" s="332"/>
      <c r="I678" s="332"/>
      <c r="J678" s="332"/>
      <c r="K678" s="332"/>
      <c r="L678" s="332"/>
      <c r="M678" s="332"/>
      <c r="N678" s="332"/>
      <c r="O678" s="332"/>
      <c r="P678" s="332"/>
      <c r="Q678" s="332"/>
      <c r="R678" s="332"/>
      <c r="S678" s="332"/>
      <c r="T678" s="332"/>
      <c r="U678" s="332"/>
      <c r="V678" s="332"/>
      <c r="W678" s="332"/>
      <c r="X678" s="332"/>
      <c r="Y678" s="332"/>
      <c r="Z678" s="332"/>
    </row>
    <row r="679" ht="15.75" customHeight="1">
      <c r="A679" s="27"/>
      <c r="B679" s="27"/>
      <c r="C679" s="27"/>
      <c r="D679" s="114"/>
      <c r="E679" s="114"/>
      <c r="F679" s="27"/>
      <c r="G679" s="27"/>
      <c r="H679" s="332"/>
      <c r="I679" s="332"/>
      <c r="J679" s="332"/>
      <c r="K679" s="332"/>
      <c r="L679" s="332"/>
      <c r="M679" s="332"/>
      <c r="N679" s="332"/>
      <c r="O679" s="332"/>
      <c r="P679" s="332"/>
      <c r="Q679" s="332"/>
      <c r="R679" s="332"/>
      <c r="S679" s="332"/>
      <c r="T679" s="332"/>
      <c r="U679" s="332"/>
      <c r="V679" s="332"/>
      <c r="W679" s="332"/>
      <c r="X679" s="332"/>
      <c r="Y679" s="332"/>
      <c r="Z679" s="332"/>
    </row>
    <row r="680" ht="15.75" customHeight="1">
      <c r="A680" s="27"/>
      <c r="B680" s="27"/>
      <c r="C680" s="27"/>
      <c r="D680" s="114"/>
      <c r="E680" s="114"/>
      <c r="F680" s="27"/>
      <c r="G680" s="27"/>
      <c r="H680" s="332"/>
      <c r="I680" s="332"/>
      <c r="J680" s="332"/>
      <c r="K680" s="332"/>
      <c r="L680" s="332"/>
      <c r="M680" s="332"/>
      <c r="N680" s="332"/>
      <c r="O680" s="332"/>
      <c r="P680" s="332"/>
      <c r="Q680" s="332"/>
      <c r="R680" s="332"/>
      <c r="S680" s="332"/>
      <c r="T680" s="332"/>
      <c r="U680" s="332"/>
      <c r="V680" s="332"/>
      <c r="W680" s="332"/>
      <c r="X680" s="332"/>
      <c r="Y680" s="332"/>
      <c r="Z680" s="332"/>
    </row>
    <row r="681" ht="15.75" customHeight="1">
      <c r="A681" s="27"/>
      <c r="B681" s="27"/>
      <c r="C681" s="27"/>
      <c r="D681" s="114"/>
      <c r="E681" s="114"/>
      <c r="F681" s="27"/>
      <c r="G681" s="27"/>
      <c r="H681" s="332"/>
      <c r="I681" s="332"/>
      <c r="J681" s="332"/>
      <c r="K681" s="332"/>
      <c r="L681" s="332"/>
      <c r="M681" s="332"/>
      <c r="N681" s="332"/>
      <c r="O681" s="332"/>
      <c r="P681" s="332"/>
      <c r="Q681" s="332"/>
      <c r="R681" s="332"/>
      <c r="S681" s="332"/>
      <c r="T681" s="332"/>
      <c r="U681" s="332"/>
      <c r="V681" s="332"/>
      <c r="W681" s="332"/>
      <c r="X681" s="332"/>
      <c r="Y681" s="332"/>
      <c r="Z681" s="332"/>
    </row>
    <row r="682" ht="15.75" customHeight="1">
      <c r="A682" s="27"/>
      <c r="B682" s="27"/>
      <c r="C682" s="27"/>
      <c r="D682" s="114"/>
      <c r="E682" s="114"/>
      <c r="F682" s="27"/>
      <c r="G682" s="27"/>
      <c r="H682" s="332"/>
      <c r="I682" s="332"/>
      <c r="J682" s="332"/>
      <c r="K682" s="332"/>
      <c r="L682" s="332"/>
      <c r="M682" s="332"/>
      <c r="N682" s="332"/>
      <c r="O682" s="332"/>
      <c r="P682" s="332"/>
      <c r="Q682" s="332"/>
      <c r="R682" s="332"/>
      <c r="S682" s="332"/>
      <c r="T682" s="332"/>
      <c r="U682" s="332"/>
      <c r="V682" s="332"/>
      <c r="W682" s="332"/>
      <c r="X682" s="332"/>
      <c r="Y682" s="332"/>
      <c r="Z682" s="332"/>
    </row>
    <row r="683" ht="15.75" customHeight="1">
      <c r="A683" s="27"/>
      <c r="B683" s="27"/>
      <c r="C683" s="27"/>
      <c r="D683" s="114"/>
      <c r="E683" s="114"/>
      <c r="F683" s="27"/>
      <c r="G683" s="27"/>
      <c r="H683" s="332"/>
      <c r="I683" s="332"/>
      <c r="J683" s="332"/>
      <c r="K683" s="332"/>
      <c r="L683" s="332"/>
      <c r="M683" s="332"/>
      <c r="N683" s="332"/>
      <c r="O683" s="332"/>
      <c r="P683" s="332"/>
      <c r="Q683" s="332"/>
      <c r="R683" s="332"/>
      <c r="S683" s="332"/>
      <c r="T683" s="332"/>
      <c r="U683" s="332"/>
      <c r="V683" s="332"/>
      <c r="W683" s="332"/>
      <c r="X683" s="332"/>
      <c r="Y683" s="332"/>
      <c r="Z683" s="332"/>
    </row>
    <row r="684" ht="15.75" customHeight="1">
      <c r="A684" s="27"/>
      <c r="B684" s="27"/>
      <c r="C684" s="27"/>
      <c r="D684" s="114"/>
      <c r="E684" s="114"/>
      <c r="F684" s="27"/>
      <c r="G684" s="27"/>
      <c r="H684" s="332"/>
      <c r="I684" s="332"/>
      <c r="J684" s="332"/>
      <c r="K684" s="332"/>
      <c r="L684" s="332"/>
      <c r="M684" s="332"/>
      <c r="N684" s="332"/>
      <c r="O684" s="332"/>
      <c r="P684" s="332"/>
      <c r="Q684" s="332"/>
      <c r="R684" s="332"/>
      <c r="S684" s="332"/>
      <c r="T684" s="332"/>
      <c r="U684" s="332"/>
      <c r="V684" s="332"/>
      <c r="W684" s="332"/>
      <c r="X684" s="332"/>
      <c r="Y684" s="332"/>
      <c r="Z684" s="332"/>
    </row>
    <row r="685" ht="15.75" customHeight="1">
      <c r="A685" s="27"/>
      <c r="B685" s="27"/>
      <c r="C685" s="27"/>
      <c r="D685" s="114"/>
      <c r="E685" s="114"/>
      <c r="F685" s="27"/>
      <c r="G685" s="27"/>
      <c r="H685" s="332"/>
      <c r="I685" s="332"/>
      <c r="J685" s="332"/>
      <c r="K685" s="332"/>
      <c r="L685" s="332"/>
      <c r="M685" s="332"/>
      <c r="N685" s="332"/>
      <c r="O685" s="332"/>
      <c r="P685" s="332"/>
      <c r="Q685" s="332"/>
      <c r="R685" s="332"/>
      <c r="S685" s="332"/>
      <c r="T685" s="332"/>
      <c r="U685" s="332"/>
      <c r="V685" s="332"/>
      <c r="W685" s="332"/>
      <c r="X685" s="332"/>
      <c r="Y685" s="332"/>
      <c r="Z685" s="332"/>
    </row>
    <row r="686" ht="15.75" customHeight="1">
      <c r="A686" s="27"/>
      <c r="B686" s="27"/>
      <c r="C686" s="27"/>
      <c r="D686" s="114"/>
      <c r="E686" s="114"/>
      <c r="F686" s="27"/>
      <c r="G686" s="27"/>
      <c r="H686" s="332"/>
      <c r="I686" s="332"/>
      <c r="J686" s="332"/>
      <c r="K686" s="332"/>
      <c r="L686" s="332"/>
      <c r="M686" s="332"/>
      <c r="N686" s="332"/>
      <c r="O686" s="332"/>
      <c r="P686" s="332"/>
      <c r="Q686" s="332"/>
      <c r="R686" s="332"/>
      <c r="S686" s="332"/>
      <c r="T686" s="332"/>
      <c r="U686" s="332"/>
      <c r="V686" s="332"/>
      <c r="W686" s="332"/>
      <c r="X686" s="332"/>
      <c r="Y686" s="332"/>
      <c r="Z686" s="332"/>
    </row>
    <row r="687" ht="15.75" customHeight="1">
      <c r="A687" s="27"/>
      <c r="B687" s="27"/>
      <c r="C687" s="27"/>
      <c r="D687" s="114"/>
      <c r="E687" s="114"/>
      <c r="F687" s="27"/>
      <c r="G687" s="27"/>
      <c r="H687" s="332"/>
      <c r="I687" s="332"/>
      <c r="J687" s="332"/>
      <c r="K687" s="332"/>
      <c r="L687" s="332"/>
      <c r="M687" s="332"/>
      <c r="N687" s="332"/>
      <c r="O687" s="332"/>
      <c r="P687" s="332"/>
      <c r="Q687" s="332"/>
      <c r="R687" s="332"/>
      <c r="S687" s="332"/>
      <c r="T687" s="332"/>
      <c r="U687" s="332"/>
      <c r="V687" s="332"/>
      <c r="W687" s="332"/>
      <c r="X687" s="332"/>
      <c r="Y687" s="332"/>
      <c r="Z687" s="332"/>
    </row>
    <row r="688" ht="15.75" customHeight="1">
      <c r="A688" s="27"/>
      <c r="B688" s="27"/>
      <c r="C688" s="27"/>
      <c r="D688" s="114"/>
      <c r="E688" s="114"/>
      <c r="F688" s="27"/>
      <c r="G688" s="27"/>
      <c r="H688" s="332"/>
      <c r="I688" s="332"/>
      <c r="J688" s="332"/>
      <c r="K688" s="332"/>
      <c r="L688" s="332"/>
      <c r="M688" s="332"/>
      <c r="N688" s="332"/>
      <c r="O688" s="332"/>
      <c r="P688" s="332"/>
      <c r="Q688" s="332"/>
      <c r="R688" s="332"/>
      <c r="S688" s="332"/>
      <c r="T688" s="332"/>
      <c r="U688" s="332"/>
      <c r="V688" s="332"/>
      <c r="W688" s="332"/>
      <c r="X688" s="332"/>
      <c r="Y688" s="332"/>
      <c r="Z688" s="332"/>
    </row>
    <row r="689" ht="15.75" customHeight="1">
      <c r="A689" s="27"/>
      <c r="B689" s="27"/>
      <c r="C689" s="27"/>
      <c r="D689" s="114"/>
      <c r="E689" s="114"/>
      <c r="F689" s="27"/>
      <c r="G689" s="27"/>
      <c r="H689" s="332"/>
      <c r="I689" s="332"/>
      <c r="J689" s="332"/>
      <c r="K689" s="332"/>
      <c r="L689" s="332"/>
      <c r="M689" s="332"/>
      <c r="N689" s="332"/>
      <c r="O689" s="332"/>
      <c r="P689" s="332"/>
      <c r="Q689" s="332"/>
      <c r="R689" s="332"/>
      <c r="S689" s="332"/>
      <c r="T689" s="332"/>
      <c r="U689" s="332"/>
      <c r="V689" s="332"/>
      <c r="W689" s="332"/>
      <c r="X689" s="332"/>
      <c r="Y689" s="332"/>
      <c r="Z689" s="332"/>
    </row>
    <row r="690" ht="15.75" customHeight="1">
      <c r="A690" s="27"/>
      <c r="B690" s="27"/>
      <c r="C690" s="27"/>
      <c r="D690" s="114"/>
      <c r="E690" s="114"/>
      <c r="F690" s="27"/>
      <c r="G690" s="27"/>
      <c r="H690" s="332"/>
      <c r="I690" s="332"/>
      <c r="J690" s="332"/>
      <c r="K690" s="332"/>
      <c r="L690" s="332"/>
      <c r="M690" s="332"/>
      <c r="N690" s="332"/>
      <c r="O690" s="332"/>
      <c r="P690" s="332"/>
      <c r="Q690" s="332"/>
      <c r="R690" s="332"/>
      <c r="S690" s="332"/>
      <c r="T690" s="332"/>
      <c r="U690" s="332"/>
      <c r="V690" s="332"/>
      <c r="W690" s="332"/>
      <c r="X690" s="332"/>
      <c r="Y690" s="332"/>
      <c r="Z690" s="332"/>
    </row>
    <row r="691" ht="15.75" customHeight="1">
      <c r="A691" s="27"/>
      <c r="B691" s="27"/>
      <c r="C691" s="27"/>
      <c r="D691" s="114"/>
      <c r="E691" s="114"/>
      <c r="F691" s="27"/>
      <c r="G691" s="27"/>
      <c r="H691" s="332"/>
      <c r="I691" s="332"/>
      <c r="J691" s="332"/>
      <c r="K691" s="332"/>
      <c r="L691" s="332"/>
      <c r="M691" s="332"/>
      <c r="N691" s="332"/>
      <c r="O691" s="332"/>
      <c r="P691" s="332"/>
      <c r="Q691" s="332"/>
      <c r="R691" s="332"/>
      <c r="S691" s="332"/>
      <c r="T691" s="332"/>
      <c r="U691" s="332"/>
      <c r="V691" s="332"/>
      <c r="W691" s="332"/>
      <c r="X691" s="332"/>
      <c r="Y691" s="332"/>
      <c r="Z691" s="332"/>
    </row>
    <row r="692" ht="15.75" customHeight="1">
      <c r="A692" s="27"/>
      <c r="B692" s="27"/>
      <c r="C692" s="27"/>
      <c r="D692" s="114"/>
      <c r="E692" s="114"/>
      <c r="F692" s="27"/>
      <c r="G692" s="27"/>
      <c r="H692" s="332"/>
      <c r="I692" s="332"/>
      <c r="J692" s="332"/>
      <c r="K692" s="332"/>
      <c r="L692" s="332"/>
      <c r="M692" s="332"/>
      <c r="N692" s="332"/>
      <c r="O692" s="332"/>
      <c r="P692" s="332"/>
      <c r="Q692" s="332"/>
      <c r="R692" s="332"/>
      <c r="S692" s="332"/>
      <c r="T692" s="332"/>
      <c r="U692" s="332"/>
      <c r="V692" s="332"/>
      <c r="W692" s="332"/>
      <c r="X692" s="332"/>
      <c r="Y692" s="332"/>
      <c r="Z692" s="332"/>
    </row>
    <row r="693" ht="15.75" customHeight="1">
      <c r="A693" s="27"/>
      <c r="B693" s="27"/>
      <c r="C693" s="27"/>
      <c r="D693" s="114"/>
      <c r="E693" s="114"/>
      <c r="F693" s="27"/>
      <c r="G693" s="27"/>
      <c r="H693" s="332"/>
      <c r="I693" s="332"/>
      <c r="J693" s="332"/>
      <c r="K693" s="332"/>
      <c r="L693" s="332"/>
      <c r="M693" s="332"/>
      <c r="N693" s="332"/>
      <c r="O693" s="332"/>
      <c r="P693" s="332"/>
      <c r="Q693" s="332"/>
      <c r="R693" s="332"/>
      <c r="S693" s="332"/>
      <c r="T693" s="332"/>
      <c r="U693" s="332"/>
      <c r="V693" s="332"/>
      <c r="W693" s="332"/>
      <c r="X693" s="332"/>
      <c r="Y693" s="332"/>
      <c r="Z693" s="332"/>
    </row>
    <row r="694" ht="15.75" customHeight="1">
      <c r="A694" s="27"/>
      <c r="B694" s="27"/>
      <c r="C694" s="27"/>
      <c r="D694" s="114"/>
      <c r="E694" s="114"/>
      <c r="F694" s="27"/>
      <c r="G694" s="27"/>
      <c r="H694" s="332"/>
      <c r="I694" s="332"/>
      <c r="J694" s="332"/>
      <c r="K694" s="332"/>
      <c r="L694" s="332"/>
      <c r="M694" s="332"/>
      <c r="N694" s="332"/>
      <c r="O694" s="332"/>
      <c r="P694" s="332"/>
      <c r="Q694" s="332"/>
      <c r="R694" s="332"/>
      <c r="S694" s="332"/>
      <c r="T694" s="332"/>
      <c r="U694" s="332"/>
      <c r="V694" s="332"/>
      <c r="W694" s="332"/>
      <c r="X694" s="332"/>
      <c r="Y694" s="332"/>
      <c r="Z694" s="332"/>
    </row>
    <row r="695" ht="15.75" customHeight="1">
      <c r="A695" s="27"/>
      <c r="B695" s="27"/>
      <c r="C695" s="27"/>
      <c r="D695" s="114"/>
      <c r="E695" s="114"/>
      <c r="F695" s="27"/>
      <c r="G695" s="27"/>
      <c r="H695" s="332"/>
      <c r="I695" s="332"/>
      <c r="J695" s="332"/>
      <c r="K695" s="332"/>
      <c r="L695" s="332"/>
      <c r="M695" s="332"/>
      <c r="N695" s="332"/>
      <c r="O695" s="332"/>
      <c r="P695" s="332"/>
      <c r="Q695" s="332"/>
      <c r="R695" s="332"/>
      <c r="S695" s="332"/>
      <c r="T695" s="332"/>
      <c r="U695" s="332"/>
      <c r="V695" s="332"/>
      <c r="W695" s="332"/>
      <c r="X695" s="332"/>
      <c r="Y695" s="332"/>
      <c r="Z695" s="332"/>
    </row>
    <row r="696" ht="15.75" customHeight="1">
      <c r="A696" s="27"/>
      <c r="B696" s="27"/>
      <c r="C696" s="27"/>
      <c r="D696" s="114"/>
      <c r="E696" s="114"/>
      <c r="F696" s="27"/>
      <c r="G696" s="27"/>
      <c r="H696" s="332"/>
      <c r="I696" s="332"/>
      <c r="J696" s="332"/>
      <c r="K696" s="332"/>
      <c r="L696" s="332"/>
      <c r="M696" s="332"/>
      <c r="N696" s="332"/>
      <c r="O696" s="332"/>
      <c r="P696" s="332"/>
      <c r="Q696" s="332"/>
      <c r="R696" s="332"/>
      <c r="S696" s="332"/>
      <c r="T696" s="332"/>
      <c r="U696" s="332"/>
      <c r="V696" s="332"/>
      <c r="W696" s="332"/>
      <c r="X696" s="332"/>
      <c r="Y696" s="332"/>
      <c r="Z696" s="332"/>
    </row>
    <row r="697" ht="15.75" customHeight="1">
      <c r="A697" s="27"/>
      <c r="B697" s="27"/>
      <c r="C697" s="27"/>
      <c r="D697" s="114"/>
      <c r="E697" s="114"/>
      <c r="F697" s="27"/>
      <c r="G697" s="27"/>
      <c r="H697" s="332"/>
      <c r="I697" s="332"/>
      <c r="J697" s="332"/>
      <c r="K697" s="332"/>
      <c r="L697" s="332"/>
      <c r="M697" s="332"/>
      <c r="N697" s="332"/>
      <c r="O697" s="332"/>
      <c r="P697" s="332"/>
      <c r="Q697" s="332"/>
      <c r="R697" s="332"/>
      <c r="S697" s="332"/>
      <c r="T697" s="332"/>
      <c r="U697" s="332"/>
      <c r="V697" s="332"/>
      <c r="W697" s="332"/>
      <c r="X697" s="332"/>
      <c r="Y697" s="332"/>
      <c r="Z697" s="332"/>
    </row>
    <row r="698" ht="15.75" customHeight="1">
      <c r="A698" s="27"/>
      <c r="B698" s="27"/>
      <c r="C698" s="27"/>
      <c r="D698" s="114"/>
      <c r="E698" s="114"/>
      <c r="F698" s="27"/>
      <c r="G698" s="27"/>
      <c r="H698" s="332"/>
      <c r="I698" s="332"/>
      <c r="J698" s="332"/>
      <c r="K698" s="332"/>
      <c r="L698" s="332"/>
      <c r="M698" s="332"/>
      <c r="N698" s="332"/>
      <c r="O698" s="332"/>
      <c r="P698" s="332"/>
      <c r="Q698" s="332"/>
      <c r="R698" s="332"/>
      <c r="S698" s="332"/>
      <c r="T698" s="332"/>
      <c r="U698" s="332"/>
      <c r="V698" s="332"/>
      <c r="W698" s="332"/>
      <c r="X698" s="332"/>
      <c r="Y698" s="332"/>
      <c r="Z698" s="332"/>
    </row>
    <row r="699" ht="15.75" customHeight="1">
      <c r="A699" s="27"/>
      <c r="B699" s="27"/>
      <c r="C699" s="27"/>
      <c r="D699" s="114"/>
      <c r="E699" s="114"/>
      <c r="F699" s="27"/>
      <c r="G699" s="27"/>
      <c r="H699" s="332"/>
      <c r="I699" s="332"/>
      <c r="J699" s="332"/>
      <c r="K699" s="332"/>
      <c r="L699" s="332"/>
      <c r="M699" s="332"/>
      <c r="N699" s="332"/>
      <c r="O699" s="332"/>
      <c r="P699" s="332"/>
      <c r="Q699" s="332"/>
      <c r="R699" s="332"/>
      <c r="S699" s="332"/>
      <c r="T699" s="332"/>
      <c r="U699" s="332"/>
      <c r="V699" s="332"/>
      <c r="W699" s="332"/>
      <c r="X699" s="332"/>
      <c r="Y699" s="332"/>
      <c r="Z699" s="332"/>
    </row>
    <row r="700" ht="15.75" customHeight="1">
      <c r="A700" s="27"/>
      <c r="B700" s="27"/>
      <c r="C700" s="27"/>
      <c r="D700" s="114"/>
      <c r="E700" s="114"/>
      <c r="F700" s="27"/>
      <c r="G700" s="27"/>
      <c r="H700" s="332"/>
      <c r="I700" s="332"/>
      <c r="J700" s="332"/>
      <c r="K700" s="332"/>
      <c r="L700" s="332"/>
      <c r="M700" s="332"/>
      <c r="N700" s="332"/>
      <c r="O700" s="332"/>
      <c r="P700" s="332"/>
      <c r="Q700" s="332"/>
      <c r="R700" s="332"/>
      <c r="S700" s="332"/>
      <c r="T700" s="332"/>
      <c r="U700" s="332"/>
      <c r="V700" s="332"/>
      <c r="W700" s="332"/>
      <c r="X700" s="332"/>
      <c r="Y700" s="332"/>
      <c r="Z700" s="332"/>
    </row>
    <row r="701" ht="15.75" customHeight="1">
      <c r="A701" s="27"/>
      <c r="B701" s="27"/>
      <c r="C701" s="27"/>
      <c r="D701" s="114"/>
      <c r="E701" s="114"/>
      <c r="F701" s="27"/>
      <c r="G701" s="27"/>
      <c r="H701" s="332"/>
      <c r="I701" s="332"/>
      <c r="J701" s="332"/>
      <c r="K701" s="332"/>
      <c r="L701" s="332"/>
      <c r="M701" s="332"/>
      <c r="N701" s="332"/>
      <c r="O701" s="332"/>
      <c r="P701" s="332"/>
      <c r="Q701" s="332"/>
      <c r="R701" s="332"/>
      <c r="S701" s="332"/>
      <c r="T701" s="332"/>
      <c r="U701" s="332"/>
      <c r="V701" s="332"/>
      <c r="W701" s="332"/>
      <c r="X701" s="332"/>
      <c r="Y701" s="332"/>
      <c r="Z701" s="332"/>
    </row>
    <row r="702" ht="15.75" customHeight="1">
      <c r="A702" s="27"/>
      <c r="B702" s="27"/>
      <c r="C702" s="27"/>
      <c r="D702" s="114"/>
      <c r="E702" s="114"/>
      <c r="F702" s="27"/>
      <c r="G702" s="27"/>
      <c r="H702" s="332"/>
      <c r="I702" s="332"/>
      <c r="J702" s="332"/>
      <c r="K702" s="332"/>
      <c r="L702" s="332"/>
      <c r="M702" s="332"/>
      <c r="N702" s="332"/>
      <c r="O702" s="332"/>
      <c r="P702" s="332"/>
      <c r="Q702" s="332"/>
      <c r="R702" s="332"/>
      <c r="S702" s="332"/>
      <c r="T702" s="332"/>
      <c r="U702" s="332"/>
      <c r="V702" s="332"/>
      <c r="W702" s="332"/>
      <c r="X702" s="332"/>
      <c r="Y702" s="332"/>
      <c r="Z702" s="332"/>
    </row>
    <row r="703" ht="15.75" customHeight="1">
      <c r="A703" s="27"/>
      <c r="B703" s="27"/>
      <c r="C703" s="27"/>
      <c r="D703" s="114"/>
      <c r="E703" s="114"/>
      <c r="F703" s="27"/>
      <c r="G703" s="27"/>
      <c r="H703" s="332"/>
      <c r="I703" s="332"/>
      <c r="J703" s="332"/>
      <c r="K703" s="332"/>
      <c r="L703" s="332"/>
      <c r="M703" s="332"/>
      <c r="N703" s="332"/>
      <c r="O703" s="332"/>
      <c r="P703" s="332"/>
      <c r="Q703" s="332"/>
      <c r="R703" s="332"/>
      <c r="S703" s="332"/>
      <c r="T703" s="332"/>
      <c r="U703" s="332"/>
      <c r="V703" s="332"/>
      <c r="W703" s="332"/>
      <c r="X703" s="332"/>
      <c r="Y703" s="332"/>
      <c r="Z703" s="332"/>
    </row>
    <row r="704" ht="15.75" customHeight="1">
      <c r="A704" s="27"/>
      <c r="B704" s="27"/>
      <c r="C704" s="27"/>
      <c r="D704" s="114"/>
      <c r="E704" s="114"/>
      <c r="F704" s="27"/>
      <c r="G704" s="27"/>
      <c r="H704" s="332"/>
      <c r="I704" s="332"/>
      <c r="J704" s="332"/>
      <c r="K704" s="332"/>
      <c r="L704" s="332"/>
      <c r="M704" s="332"/>
      <c r="N704" s="332"/>
      <c r="O704" s="332"/>
      <c r="P704" s="332"/>
      <c r="Q704" s="332"/>
      <c r="R704" s="332"/>
      <c r="S704" s="332"/>
      <c r="T704" s="332"/>
      <c r="U704" s="332"/>
      <c r="V704" s="332"/>
      <c r="W704" s="332"/>
      <c r="X704" s="332"/>
      <c r="Y704" s="332"/>
      <c r="Z704" s="332"/>
    </row>
    <row r="705" ht="15.75" customHeight="1">
      <c r="A705" s="27"/>
      <c r="B705" s="27"/>
      <c r="C705" s="27"/>
      <c r="D705" s="114"/>
      <c r="E705" s="114"/>
      <c r="F705" s="27"/>
      <c r="G705" s="27"/>
      <c r="H705" s="332"/>
      <c r="I705" s="332"/>
      <c r="J705" s="332"/>
      <c r="K705" s="332"/>
      <c r="L705" s="332"/>
      <c r="M705" s="332"/>
      <c r="N705" s="332"/>
      <c r="O705" s="332"/>
      <c r="P705" s="332"/>
      <c r="Q705" s="332"/>
      <c r="R705" s="332"/>
      <c r="S705" s="332"/>
      <c r="T705" s="332"/>
      <c r="U705" s="332"/>
      <c r="V705" s="332"/>
      <c r="W705" s="332"/>
      <c r="X705" s="332"/>
      <c r="Y705" s="332"/>
      <c r="Z705" s="332"/>
    </row>
    <row r="706" ht="15.75" customHeight="1">
      <c r="A706" s="27"/>
      <c r="B706" s="27"/>
      <c r="C706" s="27"/>
      <c r="D706" s="114"/>
      <c r="E706" s="114"/>
      <c r="F706" s="27"/>
      <c r="G706" s="27"/>
      <c r="H706" s="332"/>
      <c r="I706" s="332"/>
      <c r="J706" s="332"/>
      <c r="K706" s="332"/>
      <c r="L706" s="332"/>
      <c r="M706" s="332"/>
      <c r="N706" s="332"/>
      <c r="O706" s="332"/>
      <c r="P706" s="332"/>
      <c r="Q706" s="332"/>
      <c r="R706" s="332"/>
      <c r="S706" s="332"/>
      <c r="T706" s="332"/>
      <c r="U706" s="332"/>
      <c r="V706" s="332"/>
      <c r="W706" s="332"/>
      <c r="X706" s="332"/>
      <c r="Y706" s="332"/>
      <c r="Z706" s="332"/>
    </row>
    <row r="707" ht="15.75" customHeight="1">
      <c r="A707" s="27"/>
      <c r="B707" s="27"/>
      <c r="C707" s="27"/>
      <c r="D707" s="114"/>
      <c r="E707" s="114"/>
      <c r="F707" s="27"/>
      <c r="G707" s="27"/>
      <c r="H707" s="332"/>
      <c r="I707" s="332"/>
      <c r="J707" s="332"/>
      <c r="K707" s="332"/>
      <c r="L707" s="332"/>
      <c r="M707" s="332"/>
      <c r="N707" s="332"/>
      <c r="O707" s="332"/>
      <c r="P707" s="332"/>
      <c r="Q707" s="332"/>
      <c r="R707" s="332"/>
      <c r="S707" s="332"/>
      <c r="T707" s="332"/>
      <c r="U707" s="332"/>
      <c r="V707" s="332"/>
      <c r="W707" s="332"/>
      <c r="X707" s="332"/>
      <c r="Y707" s="332"/>
      <c r="Z707" s="332"/>
    </row>
    <row r="708" ht="15.75" customHeight="1">
      <c r="A708" s="27"/>
      <c r="B708" s="27"/>
      <c r="C708" s="27"/>
      <c r="D708" s="114"/>
      <c r="E708" s="114"/>
      <c r="F708" s="27"/>
      <c r="G708" s="27"/>
      <c r="H708" s="332"/>
      <c r="I708" s="332"/>
      <c r="J708" s="332"/>
      <c r="K708" s="332"/>
      <c r="L708" s="332"/>
      <c r="M708" s="332"/>
      <c r="N708" s="332"/>
      <c r="O708" s="332"/>
      <c r="P708" s="332"/>
      <c r="Q708" s="332"/>
      <c r="R708" s="332"/>
      <c r="S708" s="332"/>
      <c r="T708" s="332"/>
      <c r="U708" s="332"/>
      <c r="V708" s="332"/>
      <c r="W708" s="332"/>
      <c r="X708" s="332"/>
      <c r="Y708" s="332"/>
      <c r="Z708" s="332"/>
    </row>
    <row r="709" ht="15.75" customHeight="1">
      <c r="A709" s="27"/>
      <c r="B709" s="27"/>
      <c r="C709" s="27"/>
      <c r="D709" s="114"/>
      <c r="E709" s="114"/>
      <c r="F709" s="27"/>
      <c r="G709" s="27"/>
      <c r="H709" s="332"/>
      <c r="I709" s="332"/>
      <c r="J709" s="332"/>
      <c r="K709" s="332"/>
      <c r="L709" s="332"/>
      <c r="M709" s="332"/>
      <c r="N709" s="332"/>
      <c r="O709" s="332"/>
      <c r="P709" s="332"/>
      <c r="Q709" s="332"/>
      <c r="R709" s="332"/>
      <c r="S709" s="332"/>
      <c r="T709" s="332"/>
      <c r="U709" s="332"/>
      <c r="V709" s="332"/>
      <c r="W709" s="332"/>
      <c r="X709" s="332"/>
      <c r="Y709" s="332"/>
      <c r="Z709" s="332"/>
    </row>
    <row r="710" ht="15.75" customHeight="1">
      <c r="A710" s="27"/>
      <c r="B710" s="27"/>
      <c r="C710" s="27"/>
      <c r="D710" s="114"/>
      <c r="E710" s="114"/>
      <c r="F710" s="27"/>
      <c r="G710" s="27"/>
      <c r="H710" s="332"/>
      <c r="I710" s="332"/>
      <c r="J710" s="332"/>
      <c r="K710" s="332"/>
      <c r="L710" s="332"/>
      <c r="M710" s="332"/>
      <c r="N710" s="332"/>
      <c r="O710" s="332"/>
      <c r="P710" s="332"/>
      <c r="Q710" s="332"/>
      <c r="R710" s="332"/>
      <c r="S710" s="332"/>
      <c r="T710" s="332"/>
      <c r="U710" s="332"/>
      <c r="V710" s="332"/>
      <c r="W710" s="332"/>
      <c r="X710" s="332"/>
      <c r="Y710" s="332"/>
      <c r="Z710" s="332"/>
    </row>
    <row r="711" ht="15.75" customHeight="1">
      <c r="A711" s="27"/>
      <c r="B711" s="27"/>
      <c r="C711" s="27"/>
      <c r="D711" s="114"/>
      <c r="E711" s="114"/>
      <c r="F711" s="27"/>
      <c r="G711" s="27"/>
      <c r="H711" s="332"/>
      <c r="I711" s="332"/>
      <c r="J711" s="332"/>
      <c r="K711" s="332"/>
      <c r="L711" s="332"/>
      <c r="M711" s="332"/>
      <c r="N711" s="332"/>
      <c r="O711" s="332"/>
      <c r="P711" s="332"/>
      <c r="Q711" s="332"/>
      <c r="R711" s="332"/>
      <c r="S711" s="332"/>
      <c r="T711" s="332"/>
      <c r="U711" s="332"/>
      <c r="V711" s="332"/>
      <c r="W711" s="332"/>
      <c r="X711" s="332"/>
      <c r="Y711" s="332"/>
      <c r="Z711" s="332"/>
    </row>
    <row r="712" ht="15.75" customHeight="1">
      <c r="A712" s="27"/>
      <c r="B712" s="27"/>
      <c r="C712" s="27"/>
      <c r="D712" s="114"/>
      <c r="E712" s="114"/>
      <c r="F712" s="27"/>
      <c r="G712" s="27"/>
      <c r="H712" s="332"/>
      <c r="I712" s="332"/>
      <c r="J712" s="332"/>
      <c r="K712" s="332"/>
      <c r="L712" s="332"/>
      <c r="M712" s="332"/>
      <c r="N712" s="332"/>
      <c r="O712" s="332"/>
      <c r="P712" s="332"/>
      <c r="Q712" s="332"/>
      <c r="R712" s="332"/>
      <c r="S712" s="332"/>
      <c r="T712" s="332"/>
      <c r="U712" s="332"/>
      <c r="V712" s="332"/>
      <c r="W712" s="332"/>
      <c r="X712" s="332"/>
      <c r="Y712" s="332"/>
      <c r="Z712" s="332"/>
    </row>
    <row r="713" ht="15.75" customHeight="1">
      <c r="A713" s="27"/>
      <c r="B713" s="27"/>
      <c r="C713" s="27"/>
      <c r="D713" s="114"/>
      <c r="E713" s="114"/>
      <c r="F713" s="27"/>
      <c r="G713" s="27"/>
      <c r="H713" s="332"/>
      <c r="I713" s="332"/>
      <c r="J713" s="332"/>
      <c r="K713" s="332"/>
      <c r="L713" s="332"/>
      <c r="M713" s="332"/>
      <c r="N713" s="332"/>
      <c r="O713" s="332"/>
      <c r="P713" s="332"/>
      <c r="Q713" s="332"/>
      <c r="R713" s="332"/>
      <c r="S713" s="332"/>
      <c r="T713" s="332"/>
      <c r="U713" s="332"/>
      <c r="V713" s="332"/>
      <c r="W713" s="332"/>
      <c r="X713" s="332"/>
      <c r="Y713" s="332"/>
      <c r="Z713" s="332"/>
    </row>
    <row r="714" ht="15.75" customHeight="1">
      <c r="A714" s="27"/>
      <c r="B714" s="27"/>
      <c r="C714" s="27"/>
      <c r="D714" s="114"/>
      <c r="E714" s="114"/>
      <c r="F714" s="27"/>
      <c r="G714" s="27"/>
      <c r="H714" s="332"/>
      <c r="I714" s="332"/>
      <c r="J714" s="332"/>
      <c r="K714" s="332"/>
      <c r="L714" s="332"/>
      <c r="M714" s="332"/>
      <c r="N714" s="332"/>
      <c r="O714" s="332"/>
      <c r="P714" s="332"/>
      <c r="Q714" s="332"/>
      <c r="R714" s="332"/>
      <c r="S714" s="332"/>
      <c r="T714" s="332"/>
      <c r="U714" s="332"/>
      <c r="V714" s="332"/>
      <c r="W714" s="332"/>
      <c r="X714" s="332"/>
      <c r="Y714" s="332"/>
      <c r="Z714" s="332"/>
    </row>
    <row r="715" ht="15.75" customHeight="1">
      <c r="A715" s="27"/>
      <c r="B715" s="27"/>
      <c r="C715" s="27"/>
      <c r="D715" s="114"/>
      <c r="E715" s="114"/>
      <c r="F715" s="27"/>
      <c r="G715" s="27"/>
      <c r="H715" s="332"/>
      <c r="I715" s="332"/>
      <c r="J715" s="332"/>
      <c r="K715" s="332"/>
      <c r="L715" s="332"/>
      <c r="M715" s="332"/>
      <c r="N715" s="332"/>
      <c r="O715" s="332"/>
      <c r="P715" s="332"/>
      <c r="Q715" s="332"/>
      <c r="R715" s="332"/>
      <c r="S715" s="332"/>
      <c r="T715" s="332"/>
      <c r="U715" s="332"/>
      <c r="V715" s="332"/>
      <c r="W715" s="332"/>
      <c r="X715" s="332"/>
      <c r="Y715" s="332"/>
      <c r="Z715" s="332"/>
    </row>
    <row r="716" ht="15.75" customHeight="1">
      <c r="A716" s="27"/>
      <c r="B716" s="27"/>
      <c r="C716" s="27"/>
      <c r="D716" s="114"/>
      <c r="E716" s="114"/>
      <c r="F716" s="27"/>
      <c r="G716" s="27"/>
      <c r="H716" s="332"/>
      <c r="I716" s="332"/>
      <c r="J716" s="332"/>
      <c r="K716" s="332"/>
      <c r="L716" s="332"/>
      <c r="M716" s="332"/>
      <c r="N716" s="332"/>
      <c r="O716" s="332"/>
      <c r="P716" s="332"/>
      <c r="Q716" s="332"/>
      <c r="R716" s="332"/>
      <c r="S716" s="332"/>
      <c r="T716" s="332"/>
      <c r="U716" s="332"/>
      <c r="V716" s="332"/>
      <c r="W716" s="332"/>
      <c r="X716" s="332"/>
      <c r="Y716" s="332"/>
      <c r="Z716" s="332"/>
    </row>
    <row r="717" ht="15.75" customHeight="1">
      <c r="A717" s="27"/>
      <c r="B717" s="27"/>
      <c r="C717" s="27"/>
      <c r="D717" s="114"/>
      <c r="E717" s="114"/>
      <c r="F717" s="27"/>
      <c r="G717" s="27"/>
      <c r="H717" s="332"/>
      <c r="I717" s="332"/>
      <c r="J717" s="332"/>
      <c r="K717" s="332"/>
      <c r="L717" s="332"/>
      <c r="M717" s="332"/>
      <c r="N717" s="332"/>
      <c r="O717" s="332"/>
      <c r="P717" s="332"/>
      <c r="Q717" s="332"/>
      <c r="R717" s="332"/>
      <c r="S717" s="332"/>
      <c r="T717" s="332"/>
      <c r="U717" s="332"/>
      <c r="V717" s="332"/>
      <c r="W717" s="332"/>
      <c r="X717" s="332"/>
      <c r="Y717" s="332"/>
      <c r="Z717" s="332"/>
    </row>
    <row r="718" ht="15.75" customHeight="1">
      <c r="A718" s="27"/>
      <c r="B718" s="27"/>
      <c r="C718" s="27"/>
      <c r="D718" s="114"/>
      <c r="E718" s="114"/>
      <c r="F718" s="27"/>
      <c r="G718" s="27"/>
      <c r="H718" s="332"/>
      <c r="I718" s="332"/>
      <c r="J718" s="332"/>
      <c r="K718" s="332"/>
      <c r="L718" s="332"/>
      <c r="M718" s="332"/>
      <c r="N718" s="332"/>
      <c r="O718" s="332"/>
      <c r="P718" s="332"/>
      <c r="Q718" s="332"/>
      <c r="R718" s="332"/>
      <c r="S718" s="332"/>
      <c r="T718" s="332"/>
      <c r="U718" s="332"/>
      <c r="V718" s="332"/>
      <c r="W718" s="332"/>
      <c r="X718" s="332"/>
      <c r="Y718" s="332"/>
      <c r="Z718" s="332"/>
    </row>
    <row r="719" ht="15.75" customHeight="1">
      <c r="A719" s="27"/>
      <c r="B719" s="27"/>
      <c r="C719" s="27"/>
      <c r="D719" s="114"/>
      <c r="E719" s="114"/>
      <c r="F719" s="27"/>
      <c r="G719" s="27"/>
      <c r="H719" s="332"/>
      <c r="I719" s="332"/>
      <c r="J719" s="332"/>
      <c r="K719" s="332"/>
      <c r="L719" s="332"/>
      <c r="M719" s="332"/>
      <c r="N719" s="332"/>
      <c r="O719" s="332"/>
      <c r="P719" s="332"/>
      <c r="Q719" s="332"/>
      <c r="R719" s="332"/>
      <c r="S719" s="332"/>
      <c r="T719" s="332"/>
      <c r="U719" s="332"/>
      <c r="V719" s="332"/>
      <c r="W719" s="332"/>
      <c r="X719" s="332"/>
      <c r="Y719" s="332"/>
      <c r="Z719" s="332"/>
    </row>
    <row r="720" ht="15.75" customHeight="1">
      <c r="A720" s="27"/>
      <c r="B720" s="27"/>
      <c r="C720" s="27"/>
      <c r="D720" s="114"/>
      <c r="E720" s="114"/>
      <c r="F720" s="27"/>
      <c r="G720" s="27"/>
      <c r="H720" s="332"/>
      <c r="I720" s="332"/>
      <c r="J720" s="332"/>
      <c r="K720" s="332"/>
      <c r="L720" s="332"/>
      <c r="M720" s="332"/>
      <c r="N720" s="332"/>
      <c r="O720" s="332"/>
      <c r="P720" s="332"/>
      <c r="Q720" s="332"/>
      <c r="R720" s="332"/>
      <c r="S720" s="332"/>
      <c r="T720" s="332"/>
      <c r="U720" s="332"/>
      <c r="V720" s="332"/>
      <c r="W720" s="332"/>
      <c r="X720" s="332"/>
      <c r="Y720" s="332"/>
      <c r="Z720" s="332"/>
    </row>
    <row r="721" ht="15.75" customHeight="1">
      <c r="A721" s="27"/>
      <c r="B721" s="27"/>
      <c r="C721" s="27"/>
      <c r="D721" s="114"/>
      <c r="E721" s="114"/>
      <c r="F721" s="27"/>
      <c r="G721" s="27"/>
      <c r="H721" s="332"/>
      <c r="I721" s="332"/>
      <c r="J721" s="332"/>
      <c r="K721" s="332"/>
      <c r="L721" s="332"/>
      <c r="M721" s="332"/>
      <c r="N721" s="332"/>
      <c r="O721" s="332"/>
      <c r="P721" s="332"/>
      <c r="Q721" s="332"/>
      <c r="R721" s="332"/>
      <c r="S721" s="332"/>
      <c r="T721" s="332"/>
      <c r="U721" s="332"/>
      <c r="V721" s="332"/>
      <c r="W721" s="332"/>
      <c r="X721" s="332"/>
      <c r="Y721" s="332"/>
      <c r="Z721" s="332"/>
    </row>
    <row r="722" ht="15.75" customHeight="1">
      <c r="A722" s="27"/>
      <c r="B722" s="27"/>
      <c r="C722" s="27"/>
      <c r="D722" s="114"/>
      <c r="E722" s="114"/>
      <c r="F722" s="27"/>
      <c r="G722" s="27"/>
      <c r="H722" s="332"/>
      <c r="I722" s="332"/>
      <c r="J722" s="332"/>
      <c r="K722" s="332"/>
      <c r="L722" s="332"/>
      <c r="M722" s="332"/>
      <c r="N722" s="332"/>
      <c r="O722" s="332"/>
      <c r="P722" s="332"/>
      <c r="Q722" s="332"/>
      <c r="R722" s="332"/>
      <c r="S722" s="332"/>
      <c r="T722" s="332"/>
      <c r="U722" s="332"/>
      <c r="V722" s="332"/>
      <c r="W722" s="332"/>
      <c r="X722" s="332"/>
      <c r="Y722" s="332"/>
      <c r="Z722" s="332"/>
    </row>
    <row r="723" ht="15.75" customHeight="1">
      <c r="A723" s="27"/>
      <c r="B723" s="27"/>
      <c r="C723" s="27"/>
      <c r="D723" s="114"/>
      <c r="E723" s="114"/>
      <c r="F723" s="27"/>
      <c r="G723" s="27"/>
      <c r="H723" s="332"/>
      <c r="I723" s="332"/>
      <c r="J723" s="332"/>
      <c r="K723" s="332"/>
      <c r="L723" s="332"/>
      <c r="M723" s="332"/>
      <c r="N723" s="332"/>
      <c r="O723" s="332"/>
      <c r="P723" s="332"/>
      <c r="Q723" s="332"/>
      <c r="R723" s="332"/>
      <c r="S723" s="332"/>
      <c r="T723" s="332"/>
      <c r="U723" s="332"/>
      <c r="V723" s="332"/>
      <c r="W723" s="332"/>
      <c r="X723" s="332"/>
      <c r="Y723" s="332"/>
      <c r="Z723" s="332"/>
    </row>
    <row r="724" ht="15.75" customHeight="1">
      <c r="A724" s="27"/>
      <c r="B724" s="27"/>
      <c r="C724" s="27"/>
      <c r="D724" s="114"/>
      <c r="E724" s="114"/>
      <c r="F724" s="27"/>
      <c r="G724" s="27"/>
      <c r="H724" s="332"/>
      <c r="I724" s="332"/>
      <c r="J724" s="332"/>
      <c r="K724" s="332"/>
      <c r="L724" s="332"/>
      <c r="M724" s="332"/>
      <c r="N724" s="332"/>
      <c r="O724" s="332"/>
      <c r="P724" s="332"/>
      <c r="Q724" s="332"/>
      <c r="R724" s="332"/>
      <c r="S724" s="332"/>
      <c r="T724" s="332"/>
      <c r="U724" s="332"/>
      <c r="V724" s="332"/>
      <c r="W724" s="332"/>
      <c r="X724" s="332"/>
      <c r="Y724" s="332"/>
      <c r="Z724" s="332"/>
    </row>
    <row r="725" ht="15.75" customHeight="1">
      <c r="A725" s="27"/>
      <c r="B725" s="27"/>
      <c r="C725" s="27"/>
      <c r="D725" s="114"/>
      <c r="E725" s="114"/>
      <c r="F725" s="27"/>
      <c r="G725" s="27"/>
      <c r="H725" s="332"/>
      <c r="I725" s="332"/>
      <c r="J725" s="332"/>
      <c r="K725" s="332"/>
      <c r="L725" s="332"/>
      <c r="M725" s="332"/>
      <c r="N725" s="332"/>
      <c r="O725" s="332"/>
      <c r="P725" s="332"/>
      <c r="Q725" s="332"/>
      <c r="R725" s="332"/>
      <c r="S725" s="332"/>
      <c r="T725" s="332"/>
      <c r="U725" s="332"/>
      <c r="V725" s="332"/>
      <c r="W725" s="332"/>
      <c r="X725" s="332"/>
      <c r="Y725" s="332"/>
      <c r="Z725" s="332"/>
    </row>
    <row r="726" ht="15.75" customHeight="1">
      <c r="A726" s="27"/>
      <c r="B726" s="27"/>
      <c r="C726" s="27"/>
      <c r="D726" s="114"/>
      <c r="E726" s="114"/>
      <c r="F726" s="27"/>
      <c r="G726" s="27"/>
      <c r="H726" s="332"/>
      <c r="I726" s="332"/>
      <c r="J726" s="332"/>
      <c r="K726" s="332"/>
      <c r="L726" s="332"/>
      <c r="M726" s="332"/>
      <c r="N726" s="332"/>
      <c r="O726" s="332"/>
      <c r="P726" s="332"/>
      <c r="Q726" s="332"/>
      <c r="R726" s="332"/>
      <c r="S726" s="332"/>
      <c r="T726" s="332"/>
      <c r="U726" s="332"/>
      <c r="V726" s="332"/>
      <c r="W726" s="332"/>
      <c r="X726" s="332"/>
      <c r="Y726" s="332"/>
      <c r="Z726" s="332"/>
    </row>
    <row r="727" ht="15.75" customHeight="1">
      <c r="A727" s="27"/>
      <c r="B727" s="27"/>
      <c r="C727" s="27"/>
      <c r="D727" s="114"/>
      <c r="E727" s="114"/>
      <c r="F727" s="27"/>
      <c r="G727" s="27"/>
      <c r="H727" s="332"/>
      <c r="I727" s="332"/>
      <c r="J727" s="332"/>
      <c r="K727" s="332"/>
      <c r="L727" s="332"/>
      <c r="M727" s="332"/>
      <c r="N727" s="332"/>
      <c r="O727" s="332"/>
      <c r="P727" s="332"/>
      <c r="Q727" s="332"/>
      <c r="R727" s="332"/>
      <c r="S727" s="332"/>
      <c r="T727" s="332"/>
      <c r="U727" s="332"/>
      <c r="V727" s="332"/>
      <c r="W727" s="332"/>
      <c r="X727" s="332"/>
      <c r="Y727" s="332"/>
      <c r="Z727" s="332"/>
    </row>
    <row r="728" ht="15.75" customHeight="1">
      <c r="A728" s="27"/>
      <c r="B728" s="27"/>
      <c r="C728" s="27"/>
      <c r="D728" s="114"/>
      <c r="E728" s="114"/>
      <c r="F728" s="27"/>
      <c r="G728" s="27"/>
      <c r="H728" s="332"/>
      <c r="I728" s="332"/>
      <c r="J728" s="332"/>
      <c r="K728" s="332"/>
      <c r="L728" s="332"/>
      <c r="M728" s="332"/>
      <c r="N728" s="332"/>
      <c r="O728" s="332"/>
      <c r="P728" s="332"/>
      <c r="Q728" s="332"/>
      <c r="R728" s="332"/>
      <c r="S728" s="332"/>
      <c r="T728" s="332"/>
      <c r="U728" s="332"/>
      <c r="V728" s="332"/>
      <c r="W728" s="332"/>
      <c r="X728" s="332"/>
      <c r="Y728" s="332"/>
      <c r="Z728" s="332"/>
    </row>
    <row r="729" ht="15.75" customHeight="1">
      <c r="A729" s="27"/>
      <c r="B729" s="27"/>
      <c r="C729" s="27"/>
      <c r="D729" s="114"/>
      <c r="E729" s="114"/>
      <c r="F729" s="27"/>
      <c r="G729" s="27"/>
      <c r="H729" s="332"/>
      <c r="I729" s="332"/>
      <c r="J729" s="332"/>
      <c r="K729" s="332"/>
      <c r="L729" s="332"/>
      <c r="M729" s="332"/>
      <c r="N729" s="332"/>
      <c r="O729" s="332"/>
      <c r="P729" s="332"/>
      <c r="Q729" s="332"/>
      <c r="R729" s="332"/>
      <c r="S729" s="332"/>
      <c r="T729" s="332"/>
      <c r="U729" s="332"/>
      <c r="V729" s="332"/>
      <c r="W729" s="332"/>
      <c r="X729" s="332"/>
      <c r="Y729" s="332"/>
      <c r="Z729" s="332"/>
    </row>
    <row r="730" ht="15.75" customHeight="1">
      <c r="A730" s="27"/>
      <c r="B730" s="27"/>
      <c r="C730" s="27"/>
      <c r="D730" s="114"/>
      <c r="E730" s="114"/>
      <c r="F730" s="27"/>
      <c r="G730" s="27"/>
      <c r="H730" s="332"/>
      <c r="I730" s="332"/>
      <c r="J730" s="332"/>
      <c r="K730" s="332"/>
      <c r="L730" s="332"/>
      <c r="M730" s="332"/>
      <c r="N730" s="332"/>
      <c r="O730" s="332"/>
      <c r="P730" s="332"/>
      <c r="Q730" s="332"/>
      <c r="R730" s="332"/>
      <c r="S730" s="332"/>
      <c r="T730" s="332"/>
      <c r="U730" s="332"/>
      <c r="V730" s="332"/>
      <c r="W730" s="332"/>
      <c r="X730" s="332"/>
      <c r="Y730" s="332"/>
      <c r="Z730" s="332"/>
    </row>
    <row r="731" ht="15.75" customHeight="1">
      <c r="A731" s="27"/>
      <c r="B731" s="27"/>
      <c r="C731" s="27"/>
      <c r="D731" s="114"/>
      <c r="E731" s="114"/>
      <c r="F731" s="27"/>
      <c r="G731" s="27"/>
      <c r="H731" s="332"/>
      <c r="I731" s="332"/>
      <c r="J731" s="332"/>
      <c r="K731" s="332"/>
      <c r="L731" s="332"/>
      <c r="M731" s="332"/>
      <c r="N731" s="332"/>
      <c r="O731" s="332"/>
      <c r="P731" s="332"/>
      <c r="Q731" s="332"/>
      <c r="R731" s="332"/>
      <c r="S731" s="332"/>
      <c r="T731" s="332"/>
      <c r="U731" s="332"/>
      <c r="V731" s="332"/>
      <c r="W731" s="332"/>
      <c r="X731" s="332"/>
      <c r="Y731" s="332"/>
      <c r="Z731" s="332"/>
    </row>
    <row r="732" ht="15.75" customHeight="1">
      <c r="A732" s="27"/>
      <c r="B732" s="27"/>
      <c r="C732" s="27"/>
      <c r="D732" s="114"/>
      <c r="E732" s="114"/>
      <c r="F732" s="27"/>
      <c r="G732" s="27"/>
      <c r="H732" s="332"/>
      <c r="I732" s="332"/>
      <c r="J732" s="332"/>
      <c r="K732" s="332"/>
      <c r="L732" s="332"/>
      <c r="M732" s="332"/>
      <c r="N732" s="332"/>
      <c r="O732" s="332"/>
      <c r="P732" s="332"/>
      <c r="Q732" s="332"/>
      <c r="R732" s="332"/>
      <c r="S732" s="332"/>
      <c r="T732" s="332"/>
      <c r="U732" s="332"/>
      <c r="V732" s="332"/>
      <c r="W732" s="332"/>
      <c r="X732" s="332"/>
      <c r="Y732" s="332"/>
      <c r="Z732" s="332"/>
    </row>
    <row r="733" ht="15.75" customHeight="1">
      <c r="A733" s="27"/>
      <c r="B733" s="27"/>
      <c r="C733" s="27"/>
      <c r="D733" s="114"/>
      <c r="E733" s="114"/>
      <c r="F733" s="27"/>
      <c r="G733" s="27"/>
      <c r="H733" s="332"/>
      <c r="I733" s="332"/>
      <c r="J733" s="332"/>
      <c r="K733" s="332"/>
      <c r="L733" s="332"/>
      <c r="M733" s="332"/>
      <c r="N733" s="332"/>
      <c r="O733" s="332"/>
      <c r="P733" s="332"/>
      <c r="Q733" s="332"/>
      <c r="R733" s="332"/>
      <c r="S733" s="332"/>
      <c r="T733" s="332"/>
      <c r="U733" s="332"/>
      <c r="V733" s="332"/>
      <c r="W733" s="332"/>
      <c r="X733" s="332"/>
      <c r="Y733" s="332"/>
      <c r="Z733" s="332"/>
    </row>
    <row r="734" ht="15.75" customHeight="1">
      <c r="A734" s="27"/>
      <c r="B734" s="27"/>
      <c r="C734" s="27"/>
      <c r="D734" s="114"/>
      <c r="E734" s="114"/>
      <c r="F734" s="27"/>
      <c r="G734" s="27"/>
      <c r="H734" s="332"/>
      <c r="I734" s="332"/>
      <c r="J734" s="332"/>
      <c r="K734" s="332"/>
      <c r="L734" s="332"/>
      <c r="M734" s="332"/>
      <c r="N734" s="332"/>
      <c r="O734" s="332"/>
      <c r="P734" s="332"/>
      <c r="Q734" s="332"/>
      <c r="R734" s="332"/>
      <c r="S734" s="332"/>
      <c r="T734" s="332"/>
      <c r="U734" s="332"/>
      <c r="V734" s="332"/>
      <c r="W734" s="332"/>
      <c r="X734" s="332"/>
      <c r="Y734" s="332"/>
      <c r="Z734" s="332"/>
    </row>
    <row r="735" ht="15.75" customHeight="1">
      <c r="A735" s="27"/>
      <c r="B735" s="27"/>
      <c r="C735" s="27"/>
      <c r="D735" s="114"/>
      <c r="E735" s="114"/>
      <c r="F735" s="27"/>
      <c r="G735" s="27"/>
      <c r="H735" s="332"/>
      <c r="I735" s="332"/>
      <c r="J735" s="332"/>
      <c r="K735" s="332"/>
      <c r="L735" s="332"/>
      <c r="M735" s="332"/>
      <c r="N735" s="332"/>
      <c r="O735" s="332"/>
      <c r="P735" s="332"/>
      <c r="Q735" s="332"/>
      <c r="R735" s="332"/>
      <c r="S735" s="332"/>
      <c r="T735" s="332"/>
      <c r="U735" s="332"/>
      <c r="V735" s="332"/>
      <c r="W735" s="332"/>
      <c r="X735" s="332"/>
      <c r="Y735" s="332"/>
      <c r="Z735" s="332"/>
    </row>
    <row r="736" ht="15.75" customHeight="1">
      <c r="A736" s="27"/>
      <c r="B736" s="27"/>
      <c r="C736" s="27"/>
      <c r="D736" s="114"/>
      <c r="E736" s="114"/>
      <c r="F736" s="27"/>
      <c r="G736" s="27"/>
      <c r="H736" s="332"/>
      <c r="I736" s="332"/>
      <c r="J736" s="332"/>
      <c r="K736" s="332"/>
      <c r="L736" s="332"/>
      <c r="M736" s="332"/>
      <c r="N736" s="332"/>
      <c r="O736" s="332"/>
      <c r="P736" s="332"/>
      <c r="Q736" s="332"/>
      <c r="R736" s="332"/>
      <c r="S736" s="332"/>
      <c r="T736" s="332"/>
      <c r="U736" s="332"/>
      <c r="V736" s="332"/>
      <c r="W736" s="332"/>
      <c r="X736" s="332"/>
      <c r="Y736" s="332"/>
      <c r="Z736" s="332"/>
    </row>
    <row r="737" ht="15.75" customHeight="1">
      <c r="A737" s="27"/>
      <c r="B737" s="27"/>
      <c r="C737" s="27"/>
      <c r="D737" s="114"/>
      <c r="E737" s="114"/>
      <c r="F737" s="27"/>
      <c r="G737" s="27"/>
      <c r="H737" s="332"/>
      <c r="I737" s="332"/>
      <c r="J737" s="332"/>
      <c r="K737" s="332"/>
      <c r="L737" s="332"/>
      <c r="M737" s="332"/>
      <c r="N737" s="332"/>
      <c r="O737" s="332"/>
      <c r="P737" s="332"/>
      <c r="Q737" s="332"/>
      <c r="R737" s="332"/>
      <c r="S737" s="332"/>
      <c r="T737" s="332"/>
      <c r="U737" s="332"/>
      <c r="V737" s="332"/>
      <c r="W737" s="332"/>
      <c r="X737" s="332"/>
      <c r="Y737" s="332"/>
      <c r="Z737" s="332"/>
    </row>
    <row r="738" ht="15.75" customHeight="1">
      <c r="A738" s="27"/>
      <c r="B738" s="27"/>
      <c r="C738" s="27"/>
      <c r="D738" s="114"/>
      <c r="E738" s="114"/>
      <c r="F738" s="27"/>
      <c r="G738" s="27"/>
      <c r="H738" s="332"/>
      <c r="I738" s="332"/>
      <c r="J738" s="332"/>
      <c r="K738" s="332"/>
      <c r="L738" s="332"/>
      <c r="M738" s="332"/>
      <c r="N738" s="332"/>
      <c r="O738" s="332"/>
      <c r="P738" s="332"/>
      <c r="Q738" s="332"/>
      <c r="R738" s="332"/>
      <c r="S738" s="332"/>
      <c r="T738" s="332"/>
      <c r="U738" s="332"/>
      <c r="V738" s="332"/>
      <c r="W738" s="332"/>
      <c r="X738" s="332"/>
      <c r="Y738" s="332"/>
      <c r="Z738" s="332"/>
    </row>
    <row r="739" ht="15.75" customHeight="1">
      <c r="A739" s="27"/>
      <c r="B739" s="27"/>
      <c r="C739" s="27"/>
      <c r="D739" s="114"/>
      <c r="E739" s="114"/>
      <c r="F739" s="27"/>
      <c r="G739" s="27"/>
      <c r="H739" s="332"/>
      <c r="I739" s="332"/>
      <c r="J739" s="332"/>
      <c r="K739" s="332"/>
      <c r="L739" s="332"/>
      <c r="M739" s="332"/>
      <c r="N739" s="332"/>
      <c r="O739" s="332"/>
      <c r="P739" s="332"/>
      <c r="Q739" s="332"/>
      <c r="R739" s="332"/>
      <c r="S739" s="332"/>
      <c r="T739" s="332"/>
      <c r="U739" s="332"/>
      <c r="V739" s="332"/>
      <c r="W739" s="332"/>
      <c r="X739" s="332"/>
      <c r="Y739" s="332"/>
      <c r="Z739" s="332"/>
    </row>
    <row r="740" ht="15.75" customHeight="1">
      <c r="A740" s="27"/>
      <c r="B740" s="27"/>
      <c r="C740" s="27"/>
      <c r="D740" s="114"/>
      <c r="E740" s="114"/>
      <c r="F740" s="27"/>
      <c r="G740" s="27"/>
      <c r="H740" s="332"/>
      <c r="I740" s="332"/>
      <c r="J740" s="332"/>
      <c r="K740" s="332"/>
      <c r="L740" s="332"/>
      <c r="M740" s="332"/>
      <c r="N740" s="332"/>
      <c r="O740" s="332"/>
      <c r="P740" s="332"/>
      <c r="Q740" s="332"/>
      <c r="R740" s="332"/>
      <c r="S740" s="332"/>
      <c r="T740" s="332"/>
      <c r="U740" s="332"/>
      <c r="V740" s="332"/>
      <c r="W740" s="332"/>
      <c r="X740" s="332"/>
      <c r="Y740" s="332"/>
      <c r="Z740" s="332"/>
    </row>
    <row r="741" ht="15.75" customHeight="1">
      <c r="A741" s="27"/>
      <c r="B741" s="27"/>
      <c r="C741" s="27"/>
      <c r="D741" s="114"/>
      <c r="E741" s="114"/>
      <c r="F741" s="27"/>
      <c r="G741" s="27"/>
      <c r="H741" s="332"/>
      <c r="I741" s="332"/>
      <c r="J741" s="332"/>
      <c r="K741" s="332"/>
      <c r="L741" s="332"/>
      <c r="M741" s="332"/>
      <c r="N741" s="332"/>
      <c r="O741" s="332"/>
      <c r="P741" s="332"/>
      <c r="Q741" s="332"/>
      <c r="R741" s="332"/>
      <c r="S741" s="332"/>
      <c r="T741" s="332"/>
      <c r="U741" s="332"/>
      <c r="V741" s="332"/>
      <c r="W741" s="332"/>
      <c r="X741" s="332"/>
      <c r="Y741" s="332"/>
      <c r="Z741" s="332"/>
    </row>
    <row r="742" ht="15.75" customHeight="1">
      <c r="A742" s="27"/>
      <c r="B742" s="27"/>
      <c r="C742" s="27"/>
      <c r="D742" s="114"/>
      <c r="E742" s="114"/>
      <c r="F742" s="27"/>
      <c r="G742" s="27"/>
      <c r="H742" s="332"/>
      <c r="I742" s="332"/>
      <c r="J742" s="332"/>
      <c r="K742" s="332"/>
      <c r="L742" s="332"/>
      <c r="M742" s="332"/>
      <c r="N742" s="332"/>
      <c r="O742" s="332"/>
      <c r="P742" s="332"/>
      <c r="Q742" s="332"/>
      <c r="R742" s="332"/>
      <c r="S742" s="332"/>
      <c r="T742" s="332"/>
      <c r="U742" s="332"/>
      <c r="V742" s="332"/>
      <c r="W742" s="332"/>
      <c r="X742" s="332"/>
      <c r="Y742" s="332"/>
      <c r="Z742" s="332"/>
    </row>
    <row r="743" ht="15.75" customHeight="1">
      <c r="A743" s="27"/>
      <c r="B743" s="27"/>
      <c r="C743" s="27"/>
      <c r="D743" s="114"/>
      <c r="E743" s="114"/>
      <c r="F743" s="27"/>
      <c r="G743" s="27"/>
      <c r="H743" s="332"/>
      <c r="I743" s="332"/>
      <c r="J743" s="332"/>
      <c r="K743" s="332"/>
      <c r="L743" s="332"/>
      <c r="M743" s="332"/>
      <c r="N743" s="332"/>
      <c r="O743" s="332"/>
      <c r="P743" s="332"/>
      <c r="Q743" s="332"/>
      <c r="R743" s="332"/>
      <c r="S743" s="332"/>
      <c r="T743" s="332"/>
      <c r="U743" s="332"/>
      <c r="V743" s="332"/>
      <c r="W743" s="332"/>
      <c r="X743" s="332"/>
      <c r="Y743" s="332"/>
      <c r="Z743" s="332"/>
    </row>
    <row r="744" ht="15.75" customHeight="1">
      <c r="A744" s="27"/>
      <c r="B744" s="27"/>
      <c r="C744" s="27"/>
      <c r="D744" s="114"/>
      <c r="E744" s="114"/>
      <c r="F744" s="27"/>
      <c r="G744" s="27"/>
      <c r="H744" s="332"/>
      <c r="I744" s="332"/>
      <c r="J744" s="332"/>
      <c r="K744" s="332"/>
      <c r="L744" s="332"/>
      <c r="M744" s="332"/>
      <c r="N744" s="332"/>
      <c r="O744" s="332"/>
      <c r="P744" s="332"/>
      <c r="Q744" s="332"/>
      <c r="R744" s="332"/>
      <c r="S744" s="332"/>
      <c r="T744" s="332"/>
      <c r="U744" s="332"/>
      <c r="V744" s="332"/>
      <c r="W744" s="332"/>
      <c r="X744" s="332"/>
      <c r="Y744" s="332"/>
      <c r="Z744" s="332"/>
    </row>
    <row r="745" ht="15.75" customHeight="1">
      <c r="A745" s="27"/>
      <c r="B745" s="27"/>
      <c r="C745" s="27"/>
      <c r="D745" s="114"/>
      <c r="E745" s="114"/>
      <c r="F745" s="27"/>
      <c r="G745" s="27"/>
      <c r="H745" s="332"/>
      <c r="I745" s="332"/>
      <c r="J745" s="332"/>
      <c r="K745" s="332"/>
      <c r="L745" s="332"/>
      <c r="M745" s="332"/>
      <c r="N745" s="332"/>
      <c r="O745" s="332"/>
      <c r="P745" s="332"/>
      <c r="Q745" s="332"/>
      <c r="R745" s="332"/>
      <c r="S745" s="332"/>
      <c r="T745" s="332"/>
      <c r="U745" s="332"/>
      <c r="V745" s="332"/>
      <c r="W745" s="332"/>
      <c r="X745" s="332"/>
      <c r="Y745" s="332"/>
      <c r="Z745" s="332"/>
    </row>
    <row r="746" ht="15.75" customHeight="1">
      <c r="A746" s="27"/>
      <c r="B746" s="27"/>
      <c r="C746" s="27"/>
      <c r="D746" s="114"/>
      <c r="E746" s="114"/>
      <c r="F746" s="27"/>
      <c r="G746" s="27"/>
      <c r="H746" s="332"/>
      <c r="I746" s="332"/>
      <c r="J746" s="332"/>
      <c r="K746" s="332"/>
      <c r="L746" s="332"/>
      <c r="M746" s="332"/>
      <c r="N746" s="332"/>
      <c r="O746" s="332"/>
      <c r="P746" s="332"/>
      <c r="Q746" s="332"/>
      <c r="R746" s="332"/>
      <c r="S746" s="332"/>
      <c r="T746" s="332"/>
      <c r="U746" s="332"/>
      <c r="V746" s="332"/>
      <c r="W746" s="332"/>
      <c r="X746" s="332"/>
      <c r="Y746" s="332"/>
      <c r="Z746" s="332"/>
    </row>
    <row r="747" ht="15.75" customHeight="1">
      <c r="A747" s="27"/>
      <c r="B747" s="27"/>
      <c r="C747" s="27"/>
      <c r="D747" s="114"/>
      <c r="E747" s="114"/>
      <c r="F747" s="27"/>
      <c r="G747" s="27"/>
      <c r="H747" s="332"/>
      <c r="I747" s="332"/>
      <c r="J747" s="332"/>
      <c r="K747" s="332"/>
      <c r="L747" s="332"/>
      <c r="M747" s="332"/>
      <c r="N747" s="332"/>
      <c r="O747" s="332"/>
      <c r="P747" s="332"/>
      <c r="Q747" s="332"/>
      <c r="R747" s="332"/>
      <c r="S747" s="332"/>
      <c r="T747" s="332"/>
      <c r="U747" s="332"/>
      <c r="V747" s="332"/>
      <c r="W747" s="332"/>
      <c r="X747" s="332"/>
      <c r="Y747" s="332"/>
      <c r="Z747" s="332"/>
    </row>
    <row r="748" ht="15.75" customHeight="1">
      <c r="A748" s="27"/>
      <c r="B748" s="27"/>
      <c r="C748" s="27"/>
      <c r="D748" s="114"/>
      <c r="E748" s="114"/>
      <c r="F748" s="27"/>
      <c r="G748" s="27"/>
      <c r="H748" s="332"/>
      <c r="I748" s="332"/>
      <c r="J748" s="332"/>
      <c r="K748" s="332"/>
      <c r="L748" s="332"/>
      <c r="M748" s="332"/>
      <c r="N748" s="332"/>
      <c r="O748" s="332"/>
      <c r="P748" s="332"/>
      <c r="Q748" s="332"/>
      <c r="R748" s="332"/>
      <c r="S748" s="332"/>
      <c r="T748" s="332"/>
      <c r="U748" s="332"/>
      <c r="V748" s="332"/>
      <c r="W748" s="332"/>
      <c r="X748" s="332"/>
      <c r="Y748" s="332"/>
      <c r="Z748" s="332"/>
    </row>
    <row r="749" ht="15.75" customHeight="1">
      <c r="A749" s="27"/>
      <c r="B749" s="27"/>
      <c r="C749" s="27"/>
      <c r="D749" s="114"/>
      <c r="E749" s="114"/>
      <c r="F749" s="27"/>
      <c r="G749" s="27"/>
      <c r="H749" s="332"/>
      <c r="I749" s="332"/>
      <c r="J749" s="332"/>
      <c r="K749" s="332"/>
      <c r="L749" s="332"/>
      <c r="M749" s="332"/>
      <c r="N749" s="332"/>
      <c r="O749" s="332"/>
      <c r="P749" s="332"/>
      <c r="Q749" s="332"/>
      <c r="R749" s="332"/>
      <c r="S749" s="332"/>
      <c r="T749" s="332"/>
      <c r="U749" s="332"/>
      <c r="V749" s="332"/>
      <c r="W749" s="332"/>
      <c r="X749" s="332"/>
      <c r="Y749" s="332"/>
      <c r="Z749" s="332"/>
    </row>
    <row r="750" ht="15.75" customHeight="1">
      <c r="A750" s="27"/>
      <c r="B750" s="27"/>
      <c r="C750" s="27"/>
      <c r="D750" s="114"/>
      <c r="E750" s="114"/>
      <c r="F750" s="27"/>
      <c r="G750" s="27"/>
      <c r="H750" s="332"/>
      <c r="I750" s="332"/>
      <c r="J750" s="332"/>
      <c r="K750" s="332"/>
      <c r="L750" s="332"/>
      <c r="M750" s="332"/>
      <c r="N750" s="332"/>
      <c r="O750" s="332"/>
      <c r="P750" s="332"/>
      <c r="Q750" s="332"/>
      <c r="R750" s="332"/>
      <c r="S750" s="332"/>
      <c r="T750" s="332"/>
      <c r="U750" s="332"/>
      <c r="V750" s="332"/>
      <c r="W750" s="332"/>
      <c r="X750" s="332"/>
      <c r="Y750" s="332"/>
      <c r="Z750" s="332"/>
    </row>
    <row r="751" ht="15.75" customHeight="1">
      <c r="A751" s="27"/>
      <c r="B751" s="27"/>
      <c r="C751" s="27"/>
      <c r="D751" s="114"/>
      <c r="E751" s="114"/>
      <c r="F751" s="27"/>
      <c r="G751" s="27"/>
      <c r="H751" s="332"/>
      <c r="I751" s="332"/>
      <c r="J751" s="332"/>
      <c r="K751" s="332"/>
      <c r="L751" s="332"/>
      <c r="M751" s="332"/>
      <c r="N751" s="332"/>
      <c r="O751" s="332"/>
      <c r="P751" s="332"/>
      <c r="Q751" s="332"/>
      <c r="R751" s="332"/>
      <c r="S751" s="332"/>
      <c r="T751" s="332"/>
      <c r="U751" s="332"/>
      <c r="V751" s="332"/>
      <c r="W751" s="332"/>
      <c r="X751" s="332"/>
      <c r="Y751" s="332"/>
      <c r="Z751" s="332"/>
    </row>
    <row r="752" ht="15.75" customHeight="1">
      <c r="A752" s="27"/>
      <c r="B752" s="27"/>
      <c r="C752" s="27"/>
      <c r="D752" s="114"/>
      <c r="E752" s="114"/>
      <c r="F752" s="27"/>
      <c r="G752" s="27"/>
      <c r="H752" s="332"/>
      <c r="I752" s="332"/>
      <c r="J752" s="332"/>
      <c r="K752" s="332"/>
      <c r="L752" s="332"/>
      <c r="M752" s="332"/>
      <c r="N752" s="332"/>
      <c r="O752" s="332"/>
      <c r="P752" s="332"/>
      <c r="Q752" s="332"/>
      <c r="R752" s="332"/>
      <c r="S752" s="332"/>
      <c r="T752" s="332"/>
      <c r="U752" s="332"/>
      <c r="V752" s="332"/>
      <c r="W752" s="332"/>
      <c r="X752" s="332"/>
      <c r="Y752" s="332"/>
      <c r="Z752" s="332"/>
    </row>
    <row r="753" ht="15.75" customHeight="1">
      <c r="A753" s="27"/>
      <c r="B753" s="27"/>
      <c r="C753" s="27"/>
      <c r="D753" s="114"/>
      <c r="E753" s="114"/>
      <c r="F753" s="27"/>
      <c r="G753" s="27"/>
      <c r="H753" s="332"/>
      <c r="I753" s="332"/>
      <c r="J753" s="332"/>
      <c r="K753" s="332"/>
      <c r="L753" s="332"/>
      <c r="M753" s="332"/>
      <c r="N753" s="332"/>
      <c r="O753" s="332"/>
      <c r="P753" s="332"/>
      <c r="Q753" s="332"/>
      <c r="R753" s="332"/>
      <c r="S753" s="332"/>
      <c r="T753" s="332"/>
      <c r="U753" s="332"/>
      <c r="V753" s="332"/>
      <c r="W753" s="332"/>
      <c r="X753" s="332"/>
      <c r="Y753" s="332"/>
      <c r="Z753" s="332"/>
    </row>
    <row r="754" ht="15.75" customHeight="1">
      <c r="A754" s="27"/>
      <c r="B754" s="27"/>
      <c r="C754" s="27"/>
      <c r="D754" s="114"/>
      <c r="E754" s="114"/>
      <c r="F754" s="27"/>
      <c r="G754" s="27"/>
      <c r="H754" s="332"/>
      <c r="I754" s="332"/>
      <c r="J754" s="332"/>
      <c r="K754" s="332"/>
      <c r="L754" s="332"/>
      <c r="M754" s="332"/>
      <c r="N754" s="332"/>
      <c r="O754" s="332"/>
      <c r="P754" s="332"/>
      <c r="Q754" s="332"/>
      <c r="R754" s="332"/>
      <c r="S754" s="332"/>
      <c r="T754" s="332"/>
      <c r="U754" s="332"/>
      <c r="V754" s="332"/>
      <c r="W754" s="332"/>
      <c r="X754" s="332"/>
      <c r="Y754" s="332"/>
      <c r="Z754" s="332"/>
    </row>
    <row r="755" ht="15.75" customHeight="1">
      <c r="A755" s="27"/>
      <c r="B755" s="27"/>
      <c r="C755" s="27"/>
      <c r="D755" s="114"/>
      <c r="E755" s="114"/>
      <c r="F755" s="27"/>
      <c r="G755" s="27"/>
      <c r="H755" s="332"/>
      <c r="I755" s="332"/>
      <c r="J755" s="332"/>
      <c r="K755" s="332"/>
      <c r="L755" s="332"/>
      <c r="M755" s="332"/>
      <c r="N755" s="332"/>
      <c r="O755" s="332"/>
      <c r="P755" s="332"/>
      <c r="Q755" s="332"/>
      <c r="R755" s="332"/>
      <c r="S755" s="332"/>
      <c r="T755" s="332"/>
      <c r="U755" s="332"/>
      <c r="V755" s="332"/>
      <c r="W755" s="332"/>
      <c r="X755" s="332"/>
      <c r="Y755" s="332"/>
      <c r="Z755" s="332"/>
    </row>
    <row r="756" ht="15.75" customHeight="1">
      <c r="A756" s="27"/>
      <c r="B756" s="27"/>
      <c r="C756" s="27"/>
      <c r="D756" s="114"/>
      <c r="E756" s="114"/>
      <c r="F756" s="27"/>
      <c r="G756" s="27"/>
      <c r="H756" s="332"/>
      <c r="I756" s="332"/>
      <c r="J756" s="332"/>
      <c r="K756" s="332"/>
      <c r="L756" s="332"/>
      <c r="M756" s="332"/>
      <c r="N756" s="332"/>
      <c r="O756" s="332"/>
      <c r="P756" s="332"/>
      <c r="Q756" s="332"/>
      <c r="R756" s="332"/>
      <c r="S756" s="332"/>
      <c r="T756" s="332"/>
      <c r="U756" s="332"/>
      <c r="V756" s="332"/>
      <c r="W756" s="332"/>
      <c r="X756" s="332"/>
      <c r="Y756" s="332"/>
      <c r="Z756" s="332"/>
    </row>
    <row r="757" ht="15.75" customHeight="1">
      <c r="A757" s="27"/>
      <c r="B757" s="27"/>
      <c r="C757" s="27"/>
      <c r="D757" s="114"/>
      <c r="E757" s="114"/>
      <c r="F757" s="27"/>
      <c r="G757" s="27"/>
      <c r="H757" s="332"/>
      <c r="I757" s="332"/>
      <c r="J757" s="332"/>
      <c r="K757" s="332"/>
      <c r="L757" s="332"/>
      <c r="M757" s="332"/>
      <c r="N757" s="332"/>
      <c r="O757" s="332"/>
      <c r="P757" s="332"/>
      <c r="Q757" s="332"/>
      <c r="R757" s="332"/>
      <c r="S757" s="332"/>
      <c r="T757" s="332"/>
      <c r="U757" s="332"/>
      <c r="V757" s="332"/>
      <c r="W757" s="332"/>
      <c r="X757" s="332"/>
      <c r="Y757" s="332"/>
      <c r="Z757" s="332"/>
    </row>
    <row r="758" ht="15.75" customHeight="1">
      <c r="A758" s="27"/>
      <c r="B758" s="27"/>
      <c r="C758" s="27"/>
      <c r="D758" s="114"/>
      <c r="E758" s="114"/>
      <c r="F758" s="27"/>
      <c r="G758" s="27"/>
      <c r="H758" s="332"/>
      <c r="I758" s="332"/>
      <c r="J758" s="332"/>
      <c r="K758" s="332"/>
      <c r="L758" s="332"/>
      <c r="M758" s="332"/>
      <c r="N758" s="332"/>
      <c r="O758" s="332"/>
      <c r="P758" s="332"/>
      <c r="Q758" s="332"/>
      <c r="R758" s="332"/>
      <c r="S758" s="332"/>
      <c r="T758" s="332"/>
      <c r="U758" s="332"/>
      <c r="V758" s="332"/>
      <c r="W758" s="332"/>
      <c r="X758" s="332"/>
      <c r="Y758" s="332"/>
      <c r="Z758" s="332"/>
    </row>
    <row r="759" ht="15.75" customHeight="1">
      <c r="A759" s="27"/>
      <c r="B759" s="27"/>
      <c r="C759" s="27"/>
      <c r="D759" s="114"/>
      <c r="E759" s="114"/>
      <c r="F759" s="27"/>
      <c r="G759" s="27"/>
      <c r="H759" s="332"/>
      <c r="I759" s="332"/>
      <c r="J759" s="332"/>
      <c r="K759" s="332"/>
      <c r="L759" s="332"/>
      <c r="M759" s="332"/>
      <c r="N759" s="332"/>
      <c r="O759" s="332"/>
      <c r="P759" s="332"/>
      <c r="Q759" s="332"/>
      <c r="R759" s="332"/>
      <c r="S759" s="332"/>
      <c r="T759" s="332"/>
      <c r="U759" s="332"/>
      <c r="V759" s="332"/>
      <c r="W759" s="332"/>
      <c r="X759" s="332"/>
      <c r="Y759" s="332"/>
      <c r="Z759" s="332"/>
    </row>
    <row r="760" ht="15.75" customHeight="1">
      <c r="A760" s="27"/>
      <c r="B760" s="27"/>
      <c r="C760" s="27"/>
      <c r="D760" s="114"/>
      <c r="E760" s="114"/>
      <c r="F760" s="27"/>
      <c r="G760" s="27"/>
      <c r="H760" s="332"/>
      <c r="I760" s="332"/>
      <c r="J760" s="332"/>
      <c r="K760" s="332"/>
      <c r="L760" s="332"/>
      <c r="M760" s="332"/>
      <c r="N760" s="332"/>
      <c r="O760" s="332"/>
      <c r="P760" s="332"/>
      <c r="Q760" s="332"/>
      <c r="R760" s="332"/>
      <c r="S760" s="332"/>
      <c r="T760" s="332"/>
      <c r="U760" s="332"/>
      <c r="V760" s="332"/>
      <c r="W760" s="332"/>
      <c r="X760" s="332"/>
      <c r="Y760" s="332"/>
      <c r="Z760" s="332"/>
    </row>
    <row r="761" ht="15.75" customHeight="1">
      <c r="A761" s="27"/>
      <c r="B761" s="27"/>
      <c r="C761" s="27"/>
      <c r="D761" s="114"/>
      <c r="E761" s="114"/>
      <c r="F761" s="27"/>
      <c r="G761" s="27"/>
      <c r="H761" s="332"/>
      <c r="I761" s="332"/>
      <c r="J761" s="332"/>
      <c r="K761" s="332"/>
      <c r="L761" s="332"/>
      <c r="M761" s="332"/>
      <c r="N761" s="332"/>
      <c r="O761" s="332"/>
      <c r="P761" s="332"/>
      <c r="Q761" s="332"/>
      <c r="R761" s="332"/>
      <c r="S761" s="332"/>
      <c r="T761" s="332"/>
      <c r="U761" s="332"/>
      <c r="V761" s="332"/>
      <c r="W761" s="332"/>
      <c r="X761" s="332"/>
      <c r="Y761" s="332"/>
      <c r="Z761" s="332"/>
    </row>
    <row r="762" ht="15.75" customHeight="1">
      <c r="A762" s="27"/>
      <c r="B762" s="27"/>
      <c r="C762" s="27"/>
      <c r="D762" s="114"/>
      <c r="E762" s="114"/>
      <c r="F762" s="27"/>
      <c r="G762" s="27"/>
      <c r="H762" s="332"/>
      <c r="I762" s="332"/>
      <c r="J762" s="332"/>
      <c r="K762" s="332"/>
      <c r="L762" s="332"/>
      <c r="M762" s="332"/>
      <c r="N762" s="332"/>
      <c r="O762" s="332"/>
      <c r="P762" s="332"/>
      <c r="Q762" s="332"/>
      <c r="R762" s="332"/>
      <c r="S762" s="332"/>
      <c r="T762" s="332"/>
      <c r="U762" s="332"/>
      <c r="V762" s="332"/>
      <c r="W762" s="332"/>
      <c r="X762" s="332"/>
      <c r="Y762" s="332"/>
      <c r="Z762" s="332"/>
    </row>
    <row r="763" ht="15.75" customHeight="1">
      <c r="A763" s="27"/>
      <c r="B763" s="27"/>
      <c r="C763" s="27"/>
      <c r="D763" s="114"/>
      <c r="E763" s="114"/>
      <c r="F763" s="27"/>
      <c r="G763" s="27"/>
      <c r="H763" s="332"/>
      <c r="I763" s="332"/>
      <c r="J763" s="332"/>
      <c r="K763" s="332"/>
      <c r="L763" s="332"/>
      <c r="M763" s="332"/>
      <c r="N763" s="332"/>
      <c r="O763" s="332"/>
      <c r="P763" s="332"/>
      <c r="Q763" s="332"/>
      <c r="R763" s="332"/>
      <c r="S763" s="332"/>
      <c r="T763" s="332"/>
      <c r="U763" s="332"/>
      <c r="V763" s="332"/>
      <c r="W763" s="332"/>
      <c r="X763" s="332"/>
      <c r="Y763" s="332"/>
      <c r="Z763" s="332"/>
    </row>
    <row r="764" ht="15.75" customHeight="1">
      <c r="A764" s="27"/>
      <c r="B764" s="27"/>
      <c r="C764" s="27"/>
      <c r="D764" s="114"/>
      <c r="E764" s="114"/>
      <c r="F764" s="27"/>
      <c r="G764" s="27"/>
      <c r="H764" s="332"/>
      <c r="I764" s="332"/>
      <c r="J764" s="332"/>
      <c r="K764" s="332"/>
      <c r="L764" s="332"/>
      <c r="M764" s="332"/>
      <c r="N764" s="332"/>
      <c r="O764" s="332"/>
      <c r="P764" s="332"/>
      <c r="Q764" s="332"/>
      <c r="R764" s="332"/>
      <c r="S764" s="332"/>
      <c r="T764" s="332"/>
      <c r="U764" s="332"/>
      <c r="V764" s="332"/>
      <c r="W764" s="332"/>
      <c r="X764" s="332"/>
      <c r="Y764" s="332"/>
      <c r="Z764" s="332"/>
    </row>
    <row r="765" ht="15.75" customHeight="1">
      <c r="A765" s="27"/>
      <c r="B765" s="27"/>
      <c r="C765" s="27"/>
      <c r="D765" s="114"/>
      <c r="E765" s="114"/>
      <c r="F765" s="27"/>
      <c r="G765" s="27"/>
      <c r="H765" s="332"/>
      <c r="I765" s="332"/>
      <c r="J765" s="332"/>
      <c r="K765" s="332"/>
      <c r="L765" s="332"/>
      <c r="M765" s="332"/>
      <c r="N765" s="332"/>
      <c r="O765" s="332"/>
      <c r="P765" s="332"/>
      <c r="Q765" s="332"/>
      <c r="R765" s="332"/>
      <c r="S765" s="332"/>
      <c r="T765" s="332"/>
      <c r="U765" s="332"/>
      <c r="V765" s="332"/>
      <c r="W765" s="332"/>
      <c r="X765" s="332"/>
      <c r="Y765" s="332"/>
      <c r="Z765" s="332"/>
    </row>
    <row r="766" ht="15.75" customHeight="1">
      <c r="A766" s="27"/>
      <c r="B766" s="27"/>
      <c r="C766" s="27"/>
      <c r="D766" s="114"/>
      <c r="E766" s="114"/>
      <c r="F766" s="27"/>
      <c r="G766" s="27"/>
      <c r="H766" s="332"/>
      <c r="I766" s="332"/>
      <c r="J766" s="332"/>
      <c r="K766" s="332"/>
      <c r="L766" s="332"/>
      <c r="M766" s="332"/>
      <c r="N766" s="332"/>
      <c r="O766" s="332"/>
      <c r="P766" s="332"/>
      <c r="Q766" s="332"/>
      <c r="R766" s="332"/>
      <c r="S766" s="332"/>
      <c r="T766" s="332"/>
      <c r="U766" s="332"/>
      <c r="V766" s="332"/>
      <c r="W766" s="332"/>
      <c r="X766" s="332"/>
      <c r="Y766" s="332"/>
      <c r="Z766" s="332"/>
    </row>
    <row r="767" ht="15.75" customHeight="1">
      <c r="A767" s="27"/>
      <c r="B767" s="27"/>
      <c r="C767" s="27"/>
      <c r="D767" s="114"/>
      <c r="E767" s="114"/>
      <c r="F767" s="27"/>
      <c r="G767" s="27"/>
      <c r="H767" s="332"/>
      <c r="I767" s="332"/>
      <c r="J767" s="332"/>
      <c r="K767" s="332"/>
      <c r="L767" s="332"/>
      <c r="M767" s="332"/>
      <c r="N767" s="332"/>
      <c r="O767" s="332"/>
      <c r="P767" s="332"/>
      <c r="Q767" s="332"/>
      <c r="R767" s="332"/>
      <c r="S767" s="332"/>
      <c r="T767" s="332"/>
      <c r="U767" s="332"/>
      <c r="V767" s="332"/>
      <c r="W767" s="332"/>
      <c r="X767" s="332"/>
      <c r="Y767" s="332"/>
      <c r="Z767" s="332"/>
    </row>
    <row r="768" ht="15.75" customHeight="1">
      <c r="A768" s="27"/>
      <c r="B768" s="27"/>
      <c r="C768" s="27"/>
      <c r="D768" s="114"/>
      <c r="E768" s="114"/>
      <c r="F768" s="27"/>
      <c r="G768" s="27"/>
      <c r="H768" s="332"/>
      <c r="I768" s="332"/>
      <c r="J768" s="332"/>
      <c r="K768" s="332"/>
      <c r="L768" s="332"/>
      <c r="M768" s="332"/>
      <c r="N768" s="332"/>
      <c r="O768" s="332"/>
      <c r="P768" s="332"/>
      <c r="Q768" s="332"/>
      <c r="R768" s="332"/>
      <c r="S768" s="332"/>
      <c r="T768" s="332"/>
      <c r="U768" s="332"/>
      <c r="V768" s="332"/>
      <c r="W768" s="332"/>
      <c r="X768" s="332"/>
      <c r="Y768" s="332"/>
      <c r="Z768" s="332"/>
    </row>
    <row r="769" ht="15.75" customHeight="1">
      <c r="A769" s="27"/>
      <c r="B769" s="27"/>
      <c r="C769" s="27"/>
      <c r="D769" s="114"/>
      <c r="E769" s="114"/>
      <c r="F769" s="27"/>
      <c r="G769" s="27"/>
      <c r="H769" s="332"/>
      <c r="I769" s="332"/>
      <c r="J769" s="332"/>
      <c r="K769" s="332"/>
      <c r="L769" s="332"/>
      <c r="M769" s="332"/>
      <c r="N769" s="332"/>
      <c r="O769" s="332"/>
      <c r="P769" s="332"/>
      <c r="Q769" s="332"/>
      <c r="R769" s="332"/>
      <c r="S769" s="332"/>
      <c r="T769" s="332"/>
      <c r="U769" s="332"/>
      <c r="V769" s="332"/>
      <c r="W769" s="332"/>
      <c r="X769" s="332"/>
      <c r="Y769" s="332"/>
      <c r="Z769" s="332"/>
    </row>
    <row r="770" ht="15.75" customHeight="1">
      <c r="A770" s="27"/>
      <c r="B770" s="27"/>
      <c r="C770" s="27"/>
      <c r="D770" s="114"/>
      <c r="E770" s="114"/>
      <c r="F770" s="27"/>
      <c r="G770" s="27"/>
      <c r="H770" s="332"/>
      <c r="I770" s="332"/>
      <c r="J770" s="332"/>
      <c r="K770" s="332"/>
      <c r="L770" s="332"/>
      <c r="M770" s="332"/>
      <c r="N770" s="332"/>
      <c r="O770" s="332"/>
      <c r="P770" s="332"/>
      <c r="Q770" s="332"/>
      <c r="R770" s="332"/>
      <c r="S770" s="332"/>
      <c r="T770" s="332"/>
      <c r="U770" s="332"/>
      <c r="V770" s="332"/>
      <c r="W770" s="332"/>
      <c r="X770" s="332"/>
      <c r="Y770" s="332"/>
      <c r="Z770" s="332"/>
    </row>
    <row r="771" ht="15.75" customHeight="1">
      <c r="A771" s="27"/>
      <c r="B771" s="27"/>
      <c r="C771" s="27"/>
      <c r="D771" s="114"/>
      <c r="E771" s="114"/>
      <c r="F771" s="27"/>
      <c r="G771" s="27"/>
      <c r="H771" s="332"/>
      <c r="I771" s="332"/>
      <c r="J771" s="332"/>
      <c r="K771" s="332"/>
      <c r="L771" s="332"/>
      <c r="M771" s="332"/>
      <c r="N771" s="332"/>
      <c r="O771" s="332"/>
      <c r="P771" s="332"/>
      <c r="Q771" s="332"/>
      <c r="R771" s="332"/>
      <c r="S771" s="332"/>
      <c r="T771" s="332"/>
      <c r="U771" s="332"/>
      <c r="V771" s="332"/>
      <c r="W771" s="332"/>
      <c r="X771" s="332"/>
      <c r="Y771" s="332"/>
      <c r="Z771" s="332"/>
    </row>
    <row r="772" ht="15.75" customHeight="1">
      <c r="A772" s="27"/>
      <c r="B772" s="27"/>
      <c r="C772" s="27"/>
      <c r="D772" s="114"/>
      <c r="E772" s="114"/>
      <c r="F772" s="27"/>
      <c r="G772" s="27"/>
      <c r="H772" s="332"/>
      <c r="I772" s="332"/>
      <c r="J772" s="332"/>
      <c r="K772" s="332"/>
      <c r="L772" s="332"/>
      <c r="M772" s="332"/>
      <c r="N772" s="332"/>
      <c r="O772" s="332"/>
      <c r="P772" s="332"/>
      <c r="Q772" s="332"/>
      <c r="R772" s="332"/>
      <c r="S772" s="332"/>
      <c r="T772" s="332"/>
      <c r="U772" s="332"/>
      <c r="V772" s="332"/>
      <c r="W772" s="332"/>
      <c r="X772" s="332"/>
      <c r="Y772" s="332"/>
      <c r="Z772" s="332"/>
    </row>
    <row r="773" ht="15.75" customHeight="1">
      <c r="A773" s="27"/>
      <c r="B773" s="27"/>
      <c r="C773" s="27"/>
      <c r="D773" s="114"/>
      <c r="E773" s="114"/>
      <c r="F773" s="27"/>
      <c r="G773" s="27"/>
      <c r="H773" s="332"/>
      <c r="I773" s="332"/>
      <c r="J773" s="332"/>
      <c r="K773" s="332"/>
      <c r="L773" s="332"/>
      <c r="M773" s="332"/>
      <c r="N773" s="332"/>
      <c r="O773" s="332"/>
      <c r="P773" s="332"/>
      <c r="Q773" s="332"/>
      <c r="R773" s="332"/>
      <c r="S773" s="332"/>
      <c r="T773" s="332"/>
      <c r="U773" s="332"/>
      <c r="V773" s="332"/>
      <c r="W773" s="332"/>
      <c r="X773" s="332"/>
      <c r="Y773" s="332"/>
      <c r="Z773" s="332"/>
    </row>
    <row r="774" ht="15.75" customHeight="1">
      <c r="A774" s="27"/>
      <c r="B774" s="27"/>
      <c r="C774" s="27"/>
      <c r="D774" s="114"/>
      <c r="E774" s="114"/>
      <c r="F774" s="27"/>
      <c r="G774" s="27"/>
      <c r="H774" s="332"/>
      <c r="I774" s="332"/>
      <c r="J774" s="332"/>
      <c r="K774" s="332"/>
      <c r="L774" s="332"/>
      <c r="M774" s="332"/>
      <c r="N774" s="332"/>
      <c r="O774" s="332"/>
      <c r="P774" s="332"/>
      <c r="Q774" s="332"/>
      <c r="R774" s="332"/>
      <c r="S774" s="332"/>
      <c r="T774" s="332"/>
      <c r="U774" s="332"/>
      <c r="V774" s="332"/>
      <c r="W774" s="332"/>
      <c r="X774" s="332"/>
      <c r="Y774" s="332"/>
      <c r="Z774" s="332"/>
    </row>
    <row r="775" ht="15.75" customHeight="1">
      <c r="A775" s="27"/>
      <c r="B775" s="27"/>
      <c r="C775" s="27"/>
      <c r="D775" s="114"/>
      <c r="E775" s="114"/>
      <c r="F775" s="27"/>
      <c r="G775" s="27"/>
      <c r="H775" s="332"/>
      <c r="I775" s="332"/>
      <c r="J775" s="332"/>
      <c r="K775" s="332"/>
      <c r="L775" s="332"/>
      <c r="M775" s="332"/>
      <c r="N775" s="332"/>
      <c r="O775" s="332"/>
      <c r="P775" s="332"/>
      <c r="Q775" s="332"/>
      <c r="R775" s="332"/>
      <c r="S775" s="332"/>
      <c r="T775" s="332"/>
      <c r="U775" s="332"/>
      <c r="V775" s="332"/>
      <c r="W775" s="332"/>
      <c r="X775" s="332"/>
      <c r="Y775" s="332"/>
      <c r="Z775" s="332"/>
    </row>
    <row r="776" ht="15.75" customHeight="1">
      <c r="A776" s="27"/>
      <c r="B776" s="27"/>
      <c r="C776" s="27"/>
      <c r="D776" s="114"/>
      <c r="E776" s="114"/>
      <c r="F776" s="27"/>
      <c r="G776" s="27"/>
      <c r="H776" s="332"/>
      <c r="I776" s="332"/>
      <c r="J776" s="332"/>
      <c r="K776" s="332"/>
      <c r="L776" s="332"/>
      <c r="M776" s="332"/>
      <c r="N776" s="332"/>
      <c r="O776" s="332"/>
      <c r="P776" s="332"/>
      <c r="Q776" s="332"/>
      <c r="R776" s="332"/>
      <c r="S776" s="332"/>
      <c r="T776" s="332"/>
      <c r="U776" s="332"/>
      <c r="V776" s="332"/>
      <c r="W776" s="332"/>
      <c r="X776" s="332"/>
      <c r="Y776" s="332"/>
      <c r="Z776" s="332"/>
    </row>
    <row r="777" ht="15.75" customHeight="1">
      <c r="A777" s="27"/>
      <c r="B777" s="27"/>
      <c r="C777" s="27"/>
      <c r="D777" s="114"/>
      <c r="E777" s="114"/>
      <c r="F777" s="27"/>
      <c r="G777" s="27"/>
      <c r="H777" s="332"/>
      <c r="I777" s="332"/>
      <c r="J777" s="332"/>
      <c r="K777" s="332"/>
      <c r="L777" s="332"/>
      <c r="M777" s="332"/>
      <c r="N777" s="332"/>
      <c r="O777" s="332"/>
      <c r="P777" s="332"/>
      <c r="Q777" s="332"/>
      <c r="R777" s="332"/>
      <c r="S777" s="332"/>
      <c r="T777" s="332"/>
      <c r="U777" s="332"/>
      <c r="V777" s="332"/>
      <c r="W777" s="332"/>
      <c r="X777" s="332"/>
      <c r="Y777" s="332"/>
      <c r="Z777" s="332"/>
    </row>
    <row r="778" ht="15.75" customHeight="1">
      <c r="A778" s="27"/>
      <c r="B778" s="27"/>
      <c r="C778" s="27"/>
      <c r="D778" s="114"/>
      <c r="E778" s="114"/>
      <c r="F778" s="27"/>
      <c r="G778" s="27"/>
      <c r="H778" s="332"/>
      <c r="I778" s="332"/>
      <c r="J778" s="332"/>
      <c r="K778" s="332"/>
      <c r="L778" s="332"/>
      <c r="M778" s="332"/>
      <c r="N778" s="332"/>
      <c r="O778" s="332"/>
      <c r="P778" s="332"/>
      <c r="Q778" s="332"/>
      <c r="R778" s="332"/>
      <c r="S778" s="332"/>
      <c r="T778" s="332"/>
      <c r="U778" s="332"/>
      <c r="V778" s="332"/>
      <c r="W778" s="332"/>
      <c r="X778" s="332"/>
      <c r="Y778" s="332"/>
      <c r="Z778" s="332"/>
    </row>
    <row r="779" ht="15.75" customHeight="1">
      <c r="A779" s="27"/>
      <c r="B779" s="27"/>
      <c r="C779" s="27"/>
      <c r="D779" s="114"/>
      <c r="E779" s="114"/>
      <c r="F779" s="27"/>
      <c r="G779" s="27"/>
      <c r="H779" s="332"/>
      <c r="I779" s="332"/>
      <c r="J779" s="332"/>
      <c r="K779" s="332"/>
      <c r="L779" s="332"/>
      <c r="M779" s="332"/>
      <c r="N779" s="332"/>
      <c r="O779" s="332"/>
      <c r="P779" s="332"/>
      <c r="Q779" s="332"/>
      <c r="R779" s="332"/>
      <c r="S779" s="332"/>
      <c r="T779" s="332"/>
      <c r="U779" s="332"/>
      <c r="V779" s="332"/>
      <c r="W779" s="332"/>
      <c r="X779" s="332"/>
      <c r="Y779" s="332"/>
      <c r="Z779" s="332"/>
    </row>
    <row r="780" ht="15.75" customHeight="1">
      <c r="A780" s="27"/>
      <c r="B780" s="27"/>
      <c r="C780" s="27"/>
      <c r="D780" s="114"/>
      <c r="E780" s="114"/>
      <c r="F780" s="27"/>
      <c r="G780" s="27"/>
      <c r="H780" s="332"/>
      <c r="I780" s="332"/>
      <c r="J780" s="332"/>
      <c r="K780" s="332"/>
      <c r="L780" s="332"/>
      <c r="M780" s="332"/>
      <c r="N780" s="332"/>
      <c r="O780" s="332"/>
      <c r="P780" s="332"/>
      <c r="Q780" s="332"/>
      <c r="R780" s="332"/>
      <c r="S780" s="332"/>
      <c r="T780" s="332"/>
      <c r="U780" s="332"/>
      <c r="V780" s="332"/>
      <c r="W780" s="332"/>
      <c r="X780" s="332"/>
      <c r="Y780" s="332"/>
      <c r="Z780" s="332"/>
    </row>
    <row r="781" ht="15.75" customHeight="1">
      <c r="A781" s="27"/>
      <c r="B781" s="27"/>
      <c r="C781" s="27"/>
      <c r="D781" s="114"/>
      <c r="E781" s="114"/>
      <c r="F781" s="27"/>
      <c r="G781" s="27"/>
      <c r="H781" s="332"/>
      <c r="I781" s="332"/>
      <c r="J781" s="332"/>
      <c r="K781" s="332"/>
      <c r="L781" s="332"/>
      <c r="M781" s="332"/>
      <c r="N781" s="332"/>
      <c r="O781" s="332"/>
      <c r="P781" s="332"/>
      <c r="Q781" s="332"/>
      <c r="R781" s="332"/>
      <c r="S781" s="332"/>
      <c r="T781" s="332"/>
      <c r="U781" s="332"/>
      <c r="V781" s="332"/>
      <c r="W781" s="332"/>
      <c r="X781" s="332"/>
      <c r="Y781" s="332"/>
      <c r="Z781" s="332"/>
    </row>
    <row r="782" ht="15.75" customHeight="1">
      <c r="A782" s="27"/>
      <c r="B782" s="27"/>
      <c r="C782" s="27"/>
      <c r="D782" s="114"/>
      <c r="E782" s="114"/>
      <c r="F782" s="27"/>
      <c r="G782" s="27"/>
      <c r="H782" s="332"/>
      <c r="I782" s="332"/>
      <c r="J782" s="332"/>
      <c r="K782" s="332"/>
      <c r="L782" s="332"/>
      <c r="M782" s="332"/>
      <c r="N782" s="332"/>
      <c r="O782" s="332"/>
      <c r="P782" s="332"/>
      <c r="Q782" s="332"/>
      <c r="R782" s="332"/>
      <c r="S782" s="332"/>
      <c r="T782" s="332"/>
      <c r="U782" s="332"/>
      <c r="V782" s="332"/>
      <c r="W782" s="332"/>
      <c r="X782" s="332"/>
      <c r="Y782" s="332"/>
      <c r="Z782" s="332"/>
    </row>
    <row r="783" ht="15.75" customHeight="1">
      <c r="A783" s="27"/>
      <c r="B783" s="27"/>
      <c r="C783" s="27"/>
      <c r="D783" s="114"/>
      <c r="E783" s="114"/>
      <c r="F783" s="27"/>
      <c r="G783" s="27"/>
      <c r="H783" s="332"/>
      <c r="I783" s="332"/>
      <c r="J783" s="332"/>
      <c r="K783" s="332"/>
      <c r="L783" s="332"/>
      <c r="M783" s="332"/>
      <c r="N783" s="332"/>
      <c r="O783" s="332"/>
      <c r="P783" s="332"/>
      <c r="Q783" s="332"/>
      <c r="R783" s="332"/>
      <c r="S783" s="332"/>
      <c r="T783" s="332"/>
      <c r="U783" s="332"/>
      <c r="V783" s="332"/>
      <c r="W783" s="332"/>
      <c r="X783" s="332"/>
      <c r="Y783" s="332"/>
      <c r="Z783" s="332"/>
    </row>
    <row r="784" ht="15.75" customHeight="1">
      <c r="A784" s="27"/>
      <c r="B784" s="27"/>
      <c r="C784" s="27"/>
      <c r="D784" s="114"/>
      <c r="E784" s="114"/>
      <c r="F784" s="27"/>
      <c r="G784" s="27"/>
      <c r="H784" s="332"/>
      <c r="I784" s="332"/>
      <c r="J784" s="332"/>
      <c r="K784" s="332"/>
      <c r="L784" s="332"/>
      <c r="M784" s="332"/>
      <c r="N784" s="332"/>
      <c r="O784" s="332"/>
      <c r="P784" s="332"/>
      <c r="Q784" s="332"/>
      <c r="R784" s="332"/>
      <c r="S784" s="332"/>
      <c r="T784" s="332"/>
      <c r="U784" s="332"/>
      <c r="V784" s="332"/>
      <c r="W784" s="332"/>
      <c r="X784" s="332"/>
      <c r="Y784" s="332"/>
      <c r="Z784" s="332"/>
    </row>
    <row r="785" ht="15.75" customHeight="1">
      <c r="A785" s="27"/>
      <c r="B785" s="27"/>
      <c r="C785" s="27"/>
      <c r="D785" s="114"/>
      <c r="E785" s="114"/>
      <c r="F785" s="27"/>
      <c r="G785" s="27"/>
      <c r="H785" s="332"/>
      <c r="I785" s="332"/>
      <c r="J785" s="332"/>
      <c r="K785" s="332"/>
      <c r="L785" s="332"/>
      <c r="M785" s="332"/>
      <c r="N785" s="332"/>
      <c r="O785" s="332"/>
      <c r="P785" s="332"/>
      <c r="Q785" s="332"/>
      <c r="R785" s="332"/>
      <c r="S785" s="332"/>
      <c r="T785" s="332"/>
      <c r="U785" s="332"/>
      <c r="V785" s="332"/>
      <c r="W785" s="332"/>
      <c r="X785" s="332"/>
      <c r="Y785" s="332"/>
      <c r="Z785" s="332"/>
    </row>
    <row r="786" ht="15.75" customHeight="1">
      <c r="A786" s="27"/>
      <c r="B786" s="27"/>
      <c r="C786" s="27"/>
      <c r="D786" s="114"/>
      <c r="E786" s="114"/>
      <c r="F786" s="27"/>
      <c r="G786" s="27"/>
      <c r="H786" s="332"/>
      <c r="I786" s="332"/>
      <c r="J786" s="332"/>
      <c r="K786" s="332"/>
      <c r="L786" s="332"/>
      <c r="M786" s="332"/>
      <c r="N786" s="332"/>
      <c r="O786" s="332"/>
      <c r="P786" s="332"/>
      <c r="Q786" s="332"/>
      <c r="R786" s="332"/>
      <c r="S786" s="332"/>
      <c r="T786" s="332"/>
      <c r="U786" s="332"/>
      <c r="V786" s="332"/>
      <c r="W786" s="332"/>
      <c r="X786" s="332"/>
      <c r="Y786" s="332"/>
      <c r="Z786" s="332"/>
    </row>
    <row r="787" ht="15.75" customHeight="1">
      <c r="A787" s="27"/>
      <c r="B787" s="27"/>
      <c r="C787" s="27"/>
      <c r="D787" s="114"/>
      <c r="E787" s="114"/>
      <c r="F787" s="27"/>
      <c r="G787" s="27"/>
      <c r="H787" s="332"/>
      <c r="I787" s="332"/>
      <c r="J787" s="332"/>
      <c r="K787" s="332"/>
      <c r="L787" s="332"/>
      <c r="M787" s="332"/>
      <c r="N787" s="332"/>
      <c r="O787" s="332"/>
      <c r="P787" s="332"/>
      <c r="Q787" s="332"/>
      <c r="R787" s="332"/>
      <c r="S787" s="332"/>
      <c r="T787" s="332"/>
      <c r="U787" s="332"/>
      <c r="V787" s="332"/>
      <c r="W787" s="332"/>
      <c r="X787" s="332"/>
      <c r="Y787" s="332"/>
      <c r="Z787" s="332"/>
    </row>
    <row r="788" ht="15.75" customHeight="1">
      <c r="A788" s="27"/>
      <c r="B788" s="27"/>
      <c r="C788" s="27"/>
      <c r="D788" s="114"/>
      <c r="E788" s="114"/>
      <c r="F788" s="27"/>
      <c r="G788" s="27"/>
      <c r="H788" s="332"/>
      <c r="I788" s="332"/>
      <c r="J788" s="332"/>
      <c r="K788" s="332"/>
      <c r="L788" s="332"/>
      <c r="M788" s="332"/>
      <c r="N788" s="332"/>
      <c r="O788" s="332"/>
      <c r="P788" s="332"/>
      <c r="Q788" s="332"/>
      <c r="R788" s="332"/>
      <c r="S788" s="332"/>
      <c r="T788" s="332"/>
      <c r="U788" s="332"/>
      <c r="V788" s="332"/>
      <c r="W788" s="332"/>
      <c r="X788" s="332"/>
      <c r="Y788" s="332"/>
      <c r="Z788" s="332"/>
    </row>
    <row r="789" ht="15.75" customHeight="1">
      <c r="A789" s="27"/>
      <c r="B789" s="27"/>
      <c r="C789" s="27"/>
      <c r="D789" s="114"/>
      <c r="E789" s="114"/>
      <c r="F789" s="27"/>
      <c r="G789" s="27"/>
      <c r="H789" s="332"/>
      <c r="I789" s="332"/>
      <c r="J789" s="332"/>
      <c r="K789" s="332"/>
      <c r="L789" s="332"/>
      <c r="M789" s="332"/>
      <c r="N789" s="332"/>
      <c r="O789" s="332"/>
      <c r="P789" s="332"/>
      <c r="Q789" s="332"/>
      <c r="R789" s="332"/>
      <c r="S789" s="332"/>
      <c r="T789" s="332"/>
      <c r="U789" s="332"/>
      <c r="V789" s="332"/>
      <c r="W789" s="332"/>
      <c r="X789" s="332"/>
      <c r="Y789" s="332"/>
      <c r="Z789" s="332"/>
    </row>
    <row r="790" ht="15.75" customHeight="1">
      <c r="A790" s="27"/>
      <c r="B790" s="27"/>
      <c r="C790" s="27"/>
      <c r="D790" s="114"/>
      <c r="E790" s="114"/>
      <c r="F790" s="27"/>
      <c r="G790" s="27"/>
      <c r="H790" s="332"/>
      <c r="I790" s="332"/>
      <c r="J790" s="332"/>
      <c r="K790" s="332"/>
      <c r="L790" s="332"/>
      <c r="M790" s="332"/>
      <c r="N790" s="332"/>
      <c r="O790" s="332"/>
      <c r="P790" s="332"/>
      <c r="Q790" s="332"/>
      <c r="R790" s="332"/>
      <c r="S790" s="332"/>
      <c r="T790" s="332"/>
      <c r="U790" s="332"/>
      <c r="V790" s="332"/>
      <c r="W790" s="332"/>
      <c r="X790" s="332"/>
      <c r="Y790" s="332"/>
      <c r="Z790" s="332"/>
    </row>
    <row r="791" ht="15.75" customHeight="1">
      <c r="A791" s="27"/>
      <c r="B791" s="27"/>
      <c r="C791" s="27"/>
      <c r="D791" s="114"/>
      <c r="E791" s="114"/>
      <c r="F791" s="27"/>
      <c r="G791" s="27"/>
      <c r="H791" s="332"/>
      <c r="I791" s="332"/>
      <c r="J791" s="332"/>
      <c r="K791" s="332"/>
      <c r="L791" s="332"/>
      <c r="M791" s="332"/>
      <c r="N791" s="332"/>
      <c r="O791" s="332"/>
      <c r="P791" s="332"/>
      <c r="Q791" s="332"/>
      <c r="R791" s="332"/>
      <c r="S791" s="332"/>
      <c r="T791" s="332"/>
      <c r="U791" s="332"/>
      <c r="V791" s="332"/>
      <c r="W791" s="332"/>
      <c r="X791" s="332"/>
      <c r="Y791" s="332"/>
      <c r="Z791" s="332"/>
    </row>
    <row r="792" ht="15.75" customHeight="1">
      <c r="A792" s="27"/>
      <c r="B792" s="27"/>
      <c r="C792" s="27"/>
      <c r="D792" s="114"/>
      <c r="E792" s="114"/>
      <c r="F792" s="27"/>
      <c r="G792" s="27"/>
      <c r="H792" s="332"/>
      <c r="I792" s="332"/>
      <c r="J792" s="332"/>
      <c r="K792" s="332"/>
      <c r="L792" s="332"/>
      <c r="M792" s="332"/>
      <c r="N792" s="332"/>
      <c r="O792" s="332"/>
      <c r="P792" s="332"/>
      <c r="Q792" s="332"/>
      <c r="R792" s="332"/>
      <c r="S792" s="332"/>
      <c r="T792" s="332"/>
      <c r="U792" s="332"/>
      <c r="V792" s="332"/>
      <c r="W792" s="332"/>
      <c r="X792" s="332"/>
      <c r="Y792" s="332"/>
      <c r="Z792" s="332"/>
    </row>
    <row r="793" ht="15.75" customHeight="1">
      <c r="A793" s="27"/>
      <c r="B793" s="27"/>
      <c r="C793" s="27"/>
      <c r="D793" s="114"/>
      <c r="E793" s="114"/>
      <c r="F793" s="27"/>
      <c r="G793" s="27"/>
      <c r="H793" s="332"/>
      <c r="I793" s="332"/>
      <c r="J793" s="332"/>
      <c r="K793" s="332"/>
      <c r="L793" s="332"/>
      <c r="M793" s="332"/>
      <c r="N793" s="332"/>
      <c r="O793" s="332"/>
      <c r="P793" s="332"/>
      <c r="Q793" s="332"/>
      <c r="R793" s="332"/>
      <c r="S793" s="332"/>
      <c r="T793" s="332"/>
      <c r="U793" s="332"/>
      <c r="V793" s="332"/>
      <c r="W793" s="332"/>
      <c r="X793" s="332"/>
      <c r="Y793" s="332"/>
      <c r="Z793" s="332"/>
    </row>
    <row r="794" ht="15.75" customHeight="1">
      <c r="A794" s="27"/>
      <c r="B794" s="27"/>
      <c r="C794" s="27"/>
      <c r="D794" s="114"/>
      <c r="E794" s="114"/>
      <c r="F794" s="27"/>
      <c r="G794" s="27"/>
      <c r="H794" s="332"/>
      <c r="I794" s="332"/>
      <c r="J794" s="332"/>
      <c r="K794" s="332"/>
      <c r="L794" s="332"/>
      <c r="M794" s="332"/>
      <c r="N794" s="332"/>
      <c r="O794" s="332"/>
      <c r="P794" s="332"/>
      <c r="Q794" s="332"/>
      <c r="R794" s="332"/>
      <c r="S794" s="332"/>
      <c r="T794" s="332"/>
      <c r="U794" s="332"/>
      <c r="V794" s="332"/>
      <c r="W794" s="332"/>
      <c r="X794" s="332"/>
      <c r="Y794" s="332"/>
      <c r="Z794" s="332"/>
    </row>
    <row r="795" ht="15.75" customHeight="1">
      <c r="A795" s="27"/>
      <c r="B795" s="27"/>
      <c r="C795" s="27"/>
      <c r="D795" s="114"/>
      <c r="E795" s="114"/>
      <c r="F795" s="27"/>
      <c r="G795" s="27"/>
      <c r="H795" s="332"/>
      <c r="I795" s="332"/>
      <c r="J795" s="332"/>
      <c r="K795" s="332"/>
      <c r="L795" s="332"/>
      <c r="M795" s="332"/>
      <c r="N795" s="332"/>
      <c r="O795" s="332"/>
      <c r="P795" s="332"/>
      <c r="Q795" s="332"/>
      <c r="R795" s="332"/>
      <c r="S795" s="332"/>
      <c r="T795" s="332"/>
      <c r="U795" s="332"/>
      <c r="V795" s="332"/>
      <c r="W795" s="332"/>
      <c r="X795" s="332"/>
      <c r="Y795" s="332"/>
      <c r="Z795" s="332"/>
    </row>
    <row r="796" ht="15.75" customHeight="1">
      <c r="A796" s="27"/>
      <c r="B796" s="27"/>
      <c r="C796" s="27"/>
      <c r="D796" s="114"/>
      <c r="E796" s="114"/>
      <c r="F796" s="27"/>
      <c r="G796" s="27"/>
      <c r="H796" s="332"/>
      <c r="I796" s="332"/>
      <c r="J796" s="332"/>
      <c r="K796" s="332"/>
      <c r="L796" s="332"/>
      <c r="M796" s="332"/>
      <c r="N796" s="332"/>
      <c r="O796" s="332"/>
      <c r="P796" s="332"/>
      <c r="Q796" s="332"/>
      <c r="R796" s="332"/>
      <c r="S796" s="332"/>
      <c r="T796" s="332"/>
      <c r="U796" s="332"/>
      <c r="V796" s="332"/>
      <c r="W796" s="332"/>
      <c r="X796" s="332"/>
      <c r="Y796" s="332"/>
      <c r="Z796" s="332"/>
    </row>
    <row r="797" ht="15.75" customHeight="1">
      <c r="A797" s="27"/>
      <c r="B797" s="27"/>
      <c r="C797" s="27"/>
      <c r="D797" s="114"/>
      <c r="E797" s="114"/>
      <c r="F797" s="27"/>
      <c r="G797" s="27"/>
      <c r="H797" s="332"/>
      <c r="I797" s="332"/>
      <c r="J797" s="332"/>
      <c r="K797" s="332"/>
      <c r="L797" s="332"/>
      <c r="M797" s="332"/>
      <c r="N797" s="332"/>
      <c r="O797" s="332"/>
      <c r="P797" s="332"/>
      <c r="Q797" s="332"/>
      <c r="R797" s="332"/>
      <c r="S797" s="332"/>
      <c r="T797" s="332"/>
      <c r="U797" s="332"/>
      <c r="V797" s="332"/>
      <c r="W797" s="332"/>
      <c r="X797" s="332"/>
      <c r="Y797" s="332"/>
      <c r="Z797" s="332"/>
    </row>
    <row r="798" ht="15.75" customHeight="1">
      <c r="A798" s="27"/>
      <c r="B798" s="27"/>
      <c r="C798" s="27"/>
      <c r="D798" s="114"/>
      <c r="E798" s="114"/>
      <c r="F798" s="27"/>
      <c r="G798" s="27"/>
      <c r="H798" s="332"/>
      <c r="I798" s="332"/>
      <c r="J798" s="332"/>
      <c r="K798" s="332"/>
      <c r="L798" s="332"/>
      <c r="M798" s="332"/>
      <c r="N798" s="332"/>
      <c r="O798" s="332"/>
      <c r="P798" s="332"/>
      <c r="Q798" s="332"/>
      <c r="R798" s="332"/>
      <c r="S798" s="332"/>
      <c r="T798" s="332"/>
      <c r="U798" s="332"/>
      <c r="V798" s="332"/>
      <c r="W798" s="332"/>
      <c r="X798" s="332"/>
      <c r="Y798" s="332"/>
      <c r="Z798" s="332"/>
    </row>
    <row r="799" ht="15.75" customHeight="1">
      <c r="A799" s="27"/>
      <c r="B799" s="27"/>
      <c r="C799" s="27"/>
      <c r="D799" s="114"/>
      <c r="E799" s="114"/>
      <c r="F799" s="27"/>
      <c r="G799" s="27"/>
      <c r="H799" s="332"/>
      <c r="I799" s="332"/>
      <c r="J799" s="332"/>
      <c r="K799" s="332"/>
      <c r="L799" s="332"/>
      <c r="M799" s="332"/>
      <c r="N799" s="332"/>
      <c r="O799" s="332"/>
      <c r="P799" s="332"/>
      <c r="Q799" s="332"/>
      <c r="R799" s="332"/>
      <c r="S799" s="332"/>
      <c r="T799" s="332"/>
      <c r="U799" s="332"/>
      <c r="V799" s="332"/>
      <c r="W799" s="332"/>
      <c r="X799" s="332"/>
      <c r="Y799" s="332"/>
      <c r="Z799" s="332"/>
    </row>
    <row r="800" ht="15.75" customHeight="1">
      <c r="A800" s="27"/>
      <c r="B800" s="27"/>
      <c r="C800" s="27"/>
      <c r="D800" s="114"/>
      <c r="E800" s="114"/>
      <c r="F800" s="27"/>
      <c r="G800" s="27"/>
      <c r="H800" s="332"/>
      <c r="I800" s="332"/>
      <c r="J800" s="332"/>
      <c r="K800" s="332"/>
      <c r="L800" s="332"/>
      <c r="M800" s="332"/>
      <c r="N800" s="332"/>
      <c r="O800" s="332"/>
      <c r="P800" s="332"/>
      <c r="Q800" s="332"/>
      <c r="R800" s="332"/>
      <c r="S800" s="332"/>
      <c r="T800" s="332"/>
      <c r="U800" s="332"/>
      <c r="V800" s="332"/>
      <c r="W800" s="332"/>
      <c r="X800" s="332"/>
      <c r="Y800" s="332"/>
      <c r="Z800" s="332"/>
    </row>
    <row r="801" ht="15.75" customHeight="1">
      <c r="A801" s="27"/>
      <c r="B801" s="27"/>
      <c r="C801" s="27"/>
      <c r="D801" s="114"/>
      <c r="E801" s="114"/>
      <c r="F801" s="27"/>
      <c r="G801" s="27"/>
      <c r="H801" s="332"/>
      <c r="I801" s="332"/>
      <c r="J801" s="332"/>
      <c r="K801" s="332"/>
      <c r="L801" s="332"/>
      <c r="M801" s="332"/>
      <c r="N801" s="332"/>
      <c r="O801" s="332"/>
      <c r="P801" s="332"/>
      <c r="Q801" s="332"/>
      <c r="R801" s="332"/>
      <c r="S801" s="332"/>
      <c r="T801" s="332"/>
      <c r="U801" s="332"/>
      <c r="V801" s="332"/>
      <c r="W801" s="332"/>
      <c r="X801" s="332"/>
      <c r="Y801" s="332"/>
      <c r="Z801" s="332"/>
    </row>
    <row r="802" ht="15.75" customHeight="1">
      <c r="A802" s="27"/>
      <c r="B802" s="27"/>
      <c r="C802" s="27"/>
      <c r="D802" s="114"/>
      <c r="E802" s="114"/>
      <c r="F802" s="27"/>
      <c r="G802" s="27"/>
      <c r="H802" s="332"/>
      <c r="I802" s="332"/>
      <c r="J802" s="332"/>
      <c r="K802" s="332"/>
      <c r="L802" s="332"/>
      <c r="M802" s="332"/>
      <c r="N802" s="332"/>
      <c r="O802" s="332"/>
      <c r="P802" s="332"/>
      <c r="Q802" s="332"/>
      <c r="R802" s="332"/>
      <c r="S802" s="332"/>
      <c r="T802" s="332"/>
      <c r="U802" s="332"/>
      <c r="V802" s="332"/>
      <c r="W802" s="332"/>
      <c r="X802" s="332"/>
      <c r="Y802" s="332"/>
      <c r="Z802" s="332"/>
    </row>
    <row r="803" ht="15.75" customHeight="1">
      <c r="A803" s="27"/>
      <c r="B803" s="27"/>
      <c r="C803" s="27"/>
      <c r="D803" s="114"/>
      <c r="E803" s="114"/>
      <c r="F803" s="27"/>
      <c r="G803" s="27"/>
      <c r="H803" s="332"/>
      <c r="I803" s="332"/>
      <c r="J803" s="332"/>
      <c r="K803" s="332"/>
      <c r="L803" s="332"/>
      <c r="M803" s="332"/>
      <c r="N803" s="332"/>
      <c r="O803" s="332"/>
      <c r="P803" s="332"/>
      <c r="Q803" s="332"/>
      <c r="R803" s="332"/>
      <c r="S803" s="332"/>
      <c r="T803" s="332"/>
      <c r="U803" s="332"/>
      <c r="V803" s="332"/>
      <c r="W803" s="332"/>
      <c r="X803" s="332"/>
      <c r="Y803" s="332"/>
      <c r="Z803" s="332"/>
    </row>
    <row r="804" ht="15.75" customHeight="1">
      <c r="A804" s="27"/>
      <c r="B804" s="27"/>
      <c r="C804" s="27"/>
      <c r="D804" s="114"/>
      <c r="E804" s="114"/>
      <c r="F804" s="27"/>
      <c r="G804" s="27"/>
      <c r="H804" s="332"/>
      <c r="I804" s="332"/>
      <c r="J804" s="332"/>
      <c r="K804" s="332"/>
      <c r="L804" s="332"/>
      <c r="M804" s="332"/>
      <c r="N804" s="332"/>
      <c r="O804" s="332"/>
      <c r="P804" s="332"/>
      <c r="Q804" s="332"/>
      <c r="R804" s="332"/>
      <c r="S804" s="332"/>
      <c r="T804" s="332"/>
      <c r="U804" s="332"/>
      <c r="V804" s="332"/>
      <c r="W804" s="332"/>
      <c r="X804" s="332"/>
      <c r="Y804" s="332"/>
      <c r="Z804" s="332"/>
    </row>
    <row r="805" ht="15.75" customHeight="1">
      <c r="A805" s="27"/>
      <c r="B805" s="27"/>
      <c r="C805" s="27"/>
      <c r="D805" s="114"/>
      <c r="E805" s="114"/>
      <c r="F805" s="27"/>
      <c r="G805" s="27"/>
      <c r="H805" s="332"/>
      <c r="I805" s="332"/>
      <c r="J805" s="332"/>
      <c r="K805" s="332"/>
      <c r="L805" s="332"/>
      <c r="M805" s="332"/>
      <c r="N805" s="332"/>
      <c r="O805" s="332"/>
      <c r="P805" s="332"/>
      <c r="Q805" s="332"/>
      <c r="R805" s="332"/>
      <c r="S805" s="332"/>
      <c r="T805" s="332"/>
      <c r="U805" s="332"/>
      <c r="V805" s="332"/>
      <c r="W805" s="332"/>
      <c r="X805" s="332"/>
      <c r="Y805" s="332"/>
      <c r="Z805" s="332"/>
    </row>
    <row r="806" ht="15.75" customHeight="1">
      <c r="A806" s="27"/>
      <c r="B806" s="27"/>
      <c r="C806" s="27"/>
      <c r="D806" s="114"/>
      <c r="E806" s="114"/>
      <c r="F806" s="27"/>
      <c r="G806" s="27"/>
      <c r="H806" s="332"/>
      <c r="I806" s="332"/>
      <c r="J806" s="332"/>
      <c r="K806" s="332"/>
      <c r="L806" s="332"/>
      <c r="M806" s="332"/>
      <c r="N806" s="332"/>
      <c r="O806" s="332"/>
      <c r="P806" s="332"/>
      <c r="Q806" s="332"/>
      <c r="R806" s="332"/>
      <c r="S806" s="332"/>
      <c r="T806" s="332"/>
      <c r="U806" s="332"/>
      <c r="V806" s="332"/>
      <c r="W806" s="332"/>
      <c r="X806" s="332"/>
      <c r="Y806" s="332"/>
      <c r="Z806" s="332"/>
    </row>
    <row r="807" ht="15.75" customHeight="1">
      <c r="A807" s="27"/>
      <c r="B807" s="27"/>
      <c r="C807" s="27"/>
      <c r="D807" s="114"/>
      <c r="E807" s="114"/>
      <c r="F807" s="27"/>
      <c r="G807" s="27"/>
      <c r="H807" s="332"/>
      <c r="I807" s="332"/>
      <c r="J807" s="332"/>
      <c r="K807" s="332"/>
      <c r="L807" s="332"/>
      <c r="M807" s="332"/>
      <c r="N807" s="332"/>
      <c r="O807" s="332"/>
      <c r="P807" s="332"/>
      <c r="Q807" s="332"/>
      <c r="R807" s="332"/>
      <c r="S807" s="332"/>
      <c r="T807" s="332"/>
      <c r="U807" s="332"/>
      <c r="V807" s="332"/>
      <c r="W807" s="332"/>
      <c r="X807" s="332"/>
      <c r="Y807" s="332"/>
      <c r="Z807" s="332"/>
    </row>
    <row r="808" ht="15.75" customHeight="1">
      <c r="A808" s="27"/>
      <c r="B808" s="27"/>
      <c r="C808" s="27"/>
      <c r="D808" s="114"/>
      <c r="E808" s="114"/>
      <c r="F808" s="27"/>
      <c r="G808" s="27"/>
      <c r="H808" s="332"/>
      <c r="I808" s="332"/>
      <c r="J808" s="332"/>
      <c r="K808" s="332"/>
      <c r="L808" s="332"/>
      <c r="M808" s="332"/>
      <c r="N808" s="332"/>
      <c r="O808" s="332"/>
      <c r="P808" s="332"/>
      <c r="Q808" s="332"/>
      <c r="R808" s="332"/>
      <c r="S808" s="332"/>
      <c r="T808" s="332"/>
      <c r="U808" s="332"/>
      <c r="V808" s="332"/>
      <c r="W808" s="332"/>
      <c r="X808" s="332"/>
      <c r="Y808" s="332"/>
      <c r="Z808" s="332"/>
    </row>
    <row r="809" ht="15.75" customHeight="1">
      <c r="A809" s="27"/>
      <c r="B809" s="27"/>
      <c r="C809" s="27"/>
      <c r="D809" s="114"/>
      <c r="E809" s="114"/>
      <c r="F809" s="27"/>
      <c r="G809" s="27"/>
      <c r="H809" s="332"/>
      <c r="I809" s="332"/>
      <c r="J809" s="332"/>
      <c r="K809" s="332"/>
      <c r="L809" s="332"/>
      <c r="M809" s="332"/>
      <c r="N809" s="332"/>
      <c r="O809" s="332"/>
      <c r="P809" s="332"/>
      <c r="Q809" s="332"/>
      <c r="R809" s="332"/>
      <c r="S809" s="332"/>
      <c r="T809" s="332"/>
      <c r="U809" s="332"/>
      <c r="V809" s="332"/>
      <c r="W809" s="332"/>
      <c r="X809" s="332"/>
      <c r="Y809" s="332"/>
      <c r="Z809" s="332"/>
    </row>
    <row r="810" ht="15.75" customHeight="1">
      <c r="A810" s="27"/>
      <c r="B810" s="27"/>
      <c r="C810" s="27"/>
      <c r="D810" s="114"/>
      <c r="E810" s="114"/>
      <c r="F810" s="27"/>
      <c r="G810" s="27"/>
      <c r="H810" s="332"/>
      <c r="I810" s="332"/>
      <c r="J810" s="332"/>
      <c r="K810" s="332"/>
      <c r="L810" s="332"/>
      <c r="M810" s="332"/>
      <c r="N810" s="332"/>
      <c r="O810" s="332"/>
      <c r="P810" s="332"/>
      <c r="Q810" s="332"/>
      <c r="R810" s="332"/>
      <c r="S810" s="332"/>
      <c r="T810" s="332"/>
      <c r="U810" s="332"/>
      <c r="V810" s="332"/>
      <c r="W810" s="332"/>
      <c r="X810" s="332"/>
      <c r="Y810" s="332"/>
      <c r="Z810" s="332"/>
    </row>
    <row r="811" ht="15.75" customHeight="1">
      <c r="A811" s="27"/>
      <c r="B811" s="27"/>
      <c r="C811" s="27"/>
      <c r="D811" s="114"/>
      <c r="E811" s="114"/>
      <c r="F811" s="27"/>
      <c r="G811" s="27"/>
      <c r="H811" s="332"/>
      <c r="I811" s="332"/>
      <c r="J811" s="332"/>
      <c r="K811" s="332"/>
      <c r="L811" s="332"/>
      <c r="M811" s="332"/>
      <c r="N811" s="332"/>
      <c r="O811" s="332"/>
      <c r="P811" s="332"/>
      <c r="Q811" s="332"/>
      <c r="R811" s="332"/>
      <c r="S811" s="332"/>
      <c r="T811" s="332"/>
      <c r="U811" s="332"/>
      <c r="V811" s="332"/>
      <c r="W811" s="332"/>
      <c r="X811" s="332"/>
      <c r="Y811" s="332"/>
      <c r="Z811" s="332"/>
    </row>
    <row r="812" ht="15.75" customHeight="1">
      <c r="A812" s="27"/>
      <c r="B812" s="27"/>
      <c r="C812" s="27"/>
      <c r="D812" s="114"/>
      <c r="E812" s="114"/>
      <c r="F812" s="27"/>
      <c r="G812" s="27"/>
      <c r="H812" s="332"/>
      <c r="I812" s="332"/>
      <c r="J812" s="332"/>
      <c r="K812" s="332"/>
      <c r="L812" s="332"/>
      <c r="M812" s="332"/>
      <c r="N812" s="332"/>
      <c r="O812" s="332"/>
      <c r="P812" s="332"/>
      <c r="Q812" s="332"/>
      <c r="R812" s="332"/>
      <c r="S812" s="332"/>
      <c r="T812" s="332"/>
      <c r="U812" s="332"/>
      <c r="V812" s="332"/>
      <c r="W812" s="332"/>
      <c r="X812" s="332"/>
      <c r="Y812" s="332"/>
      <c r="Z812" s="332"/>
    </row>
    <row r="813" ht="15.75" customHeight="1">
      <c r="A813" s="27"/>
      <c r="B813" s="27"/>
      <c r="C813" s="27"/>
      <c r="D813" s="114"/>
      <c r="E813" s="114"/>
      <c r="F813" s="27"/>
      <c r="G813" s="27"/>
      <c r="H813" s="332"/>
      <c r="I813" s="332"/>
      <c r="J813" s="332"/>
      <c r="K813" s="332"/>
      <c r="L813" s="332"/>
      <c r="M813" s="332"/>
      <c r="N813" s="332"/>
      <c r="O813" s="332"/>
      <c r="P813" s="332"/>
      <c r="Q813" s="332"/>
      <c r="R813" s="332"/>
      <c r="S813" s="332"/>
      <c r="T813" s="332"/>
      <c r="U813" s="332"/>
      <c r="V813" s="332"/>
      <c r="W813" s="332"/>
      <c r="X813" s="332"/>
      <c r="Y813" s="332"/>
      <c r="Z813" s="332"/>
    </row>
    <row r="814" ht="15.75" customHeight="1">
      <c r="A814" s="27"/>
      <c r="B814" s="27"/>
      <c r="C814" s="27"/>
      <c r="D814" s="114"/>
      <c r="E814" s="114"/>
      <c r="F814" s="27"/>
      <c r="G814" s="27"/>
      <c r="H814" s="332"/>
      <c r="I814" s="332"/>
      <c r="J814" s="332"/>
      <c r="K814" s="332"/>
      <c r="L814" s="332"/>
      <c r="M814" s="332"/>
      <c r="N814" s="332"/>
      <c r="O814" s="332"/>
      <c r="P814" s="332"/>
      <c r="Q814" s="332"/>
      <c r="R814" s="332"/>
      <c r="S814" s="332"/>
      <c r="T814" s="332"/>
      <c r="U814" s="332"/>
      <c r="V814" s="332"/>
      <c r="W814" s="332"/>
      <c r="X814" s="332"/>
      <c r="Y814" s="332"/>
      <c r="Z814" s="332"/>
    </row>
    <row r="815" ht="15.75" customHeight="1">
      <c r="A815" s="27"/>
      <c r="B815" s="27"/>
      <c r="C815" s="27"/>
      <c r="D815" s="114"/>
      <c r="E815" s="114"/>
      <c r="F815" s="27"/>
      <c r="G815" s="27"/>
      <c r="H815" s="332"/>
      <c r="I815" s="332"/>
      <c r="J815" s="332"/>
      <c r="K815" s="332"/>
      <c r="L815" s="332"/>
      <c r="M815" s="332"/>
      <c r="N815" s="332"/>
      <c r="O815" s="332"/>
      <c r="P815" s="332"/>
      <c r="Q815" s="332"/>
      <c r="R815" s="332"/>
      <c r="S815" s="332"/>
      <c r="T815" s="332"/>
      <c r="U815" s="332"/>
      <c r="V815" s="332"/>
      <c r="W815" s="332"/>
      <c r="X815" s="332"/>
      <c r="Y815" s="332"/>
      <c r="Z815" s="332"/>
    </row>
    <row r="816" ht="15.75" customHeight="1">
      <c r="A816" s="27"/>
      <c r="B816" s="27"/>
      <c r="C816" s="27"/>
      <c r="D816" s="114"/>
      <c r="E816" s="114"/>
      <c r="F816" s="27"/>
      <c r="G816" s="27"/>
      <c r="H816" s="332"/>
      <c r="I816" s="332"/>
      <c r="J816" s="332"/>
      <c r="K816" s="332"/>
      <c r="L816" s="332"/>
      <c r="M816" s="332"/>
      <c r="N816" s="332"/>
      <c r="O816" s="332"/>
      <c r="P816" s="332"/>
      <c r="Q816" s="332"/>
      <c r="R816" s="332"/>
      <c r="S816" s="332"/>
      <c r="T816" s="332"/>
      <c r="U816" s="332"/>
      <c r="V816" s="332"/>
      <c r="W816" s="332"/>
      <c r="X816" s="332"/>
      <c r="Y816" s="332"/>
      <c r="Z816" s="332"/>
    </row>
    <row r="817" ht="15.75" customHeight="1">
      <c r="A817" s="27"/>
      <c r="B817" s="27"/>
      <c r="C817" s="27"/>
      <c r="D817" s="114"/>
      <c r="E817" s="114"/>
      <c r="F817" s="27"/>
      <c r="G817" s="27"/>
      <c r="H817" s="332"/>
      <c r="I817" s="332"/>
      <c r="J817" s="332"/>
      <c r="K817" s="332"/>
      <c r="L817" s="332"/>
      <c r="M817" s="332"/>
      <c r="N817" s="332"/>
      <c r="O817" s="332"/>
      <c r="P817" s="332"/>
      <c r="Q817" s="332"/>
      <c r="R817" s="332"/>
      <c r="S817" s="332"/>
      <c r="T817" s="332"/>
      <c r="U817" s="332"/>
      <c r="V817" s="332"/>
      <c r="W817" s="332"/>
      <c r="X817" s="332"/>
      <c r="Y817" s="332"/>
      <c r="Z817" s="332"/>
    </row>
    <row r="818" ht="15.75" customHeight="1">
      <c r="A818" s="27"/>
      <c r="B818" s="27"/>
      <c r="C818" s="27"/>
      <c r="D818" s="114"/>
      <c r="E818" s="114"/>
      <c r="F818" s="27"/>
      <c r="G818" s="27"/>
      <c r="H818" s="332"/>
      <c r="I818" s="332"/>
      <c r="J818" s="332"/>
      <c r="K818" s="332"/>
      <c r="L818" s="332"/>
      <c r="M818" s="332"/>
      <c r="N818" s="332"/>
      <c r="O818" s="332"/>
      <c r="P818" s="332"/>
      <c r="Q818" s="332"/>
      <c r="R818" s="332"/>
      <c r="S818" s="332"/>
      <c r="T818" s="332"/>
      <c r="U818" s="332"/>
      <c r="V818" s="332"/>
      <c r="W818" s="332"/>
      <c r="X818" s="332"/>
      <c r="Y818" s="332"/>
      <c r="Z818" s="332"/>
    </row>
    <row r="819" ht="15.75" customHeight="1">
      <c r="A819" s="27"/>
      <c r="B819" s="27"/>
      <c r="C819" s="27"/>
      <c r="D819" s="114"/>
      <c r="E819" s="114"/>
      <c r="F819" s="27"/>
      <c r="G819" s="27"/>
      <c r="H819" s="332"/>
      <c r="I819" s="332"/>
      <c r="J819" s="332"/>
      <c r="K819" s="332"/>
      <c r="L819" s="332"/>
      <c r="M819" s="332"/>
      <c r="N819" s="332"/>
      <c r="O819" s="332"/>
      <c r="P819" s="332"/>
      <c r="Q819" s="332"/>
      <c r="R819" s="332"/>
      <c r="S819" s="332"/>
      <c r="T819" s="332"/>
      <c r="U819" s="332"/>
      <c r="V819" s="332"/>
      <c r="W819" s="332"/>
      <c r="X819" s="332"/>
      <c r="Y819" s="332"/>
      <c r="Z819" s="332"/>
    </row>
    <row r="820" ht="15.75" customHeight="1">
      <c r="A820" s="27"/>
      <c r="B820" s="27"/>
      <c r="C820" s="27"/>
      <c r="D820" s="114"/>
      <c r="E820" s="114"/>
      <c r="F820" s="27"/>
      <c r="G820" s="27"/>
      <c r="H820" s="332"/>
      <c r="I820" s="332"/>
      <c r="J820" s="332"/>
      <c r="K820" s="332"/>
      <c r="L820" s="332"/>
      <c r="M820" s="332"/>
      <c r="N820" s="332"/>
      <c r="O820" s="332"/>
      <c r="P820" s="332"/>
      <c r="Q820" s="332"/>
      <c r="R820" s="332"/>
      <c r="S820" s="332"/>
      <c r="T820" s="332"/>
      <c r="U820" s="332"/>
      <c r="V820" s="332"/>
      <c r="W820" s="332"/>
      <c r="X820" s="332"/>
      <c r="Y820" s="332"/>
      <c r="Z820" s="332"/>
    </row>
    <row r="821" ht="15.75" customHeight="1">
      <c r="A821" s="27"/>
      <c r="B821" s="27"/>
      <c r="C821" s="27"/>
      <c r="D821" s="114"/>
      <c r="E821" s="114"/>
      <c r="F821" s="27"/>
      <c r="G821" s="27"/>
      <c r="H821" s="332"/>
      <c r="I821" s="332"/>
      <c r="J821" s="332"/>
      <c r="K821" s="332"/>
      <c r="L821" s="332"/>
      <c r="M821" s="332"/>
      <c r="N821" s="332"/>
      <c r="O821" s="332"/>
      <c r="P821" s="332"/>
      <c r="Q821" s="332"/>
      <c r="R821" s="332"/>
      <c r="S821" s="332"/>
      <c r="T821" s="332"/>
      <c r="U821" s="332"/>
      <c r="V821" s="332"/>
      <c r="W821" s="332"/>
      <c r="X821" s="332"/>
      <c r="Y821" s="332"/>
      <c r="Z821" s="332"/>
    </row>
    <row r="822" ht="15.75" customHeight="1">
      <c r="A822" s="27"/>
      <c r="B822" s="27"/>
      <c r="C822" s="27"/>
      <c r="D822" s="114"/>
      <c r="E822" s="114"/>
      <c r="F822" s="27"/>
      <c r="G822" s="27"/>
      <c r="H822" s="332"/>
      <c r="I822" s="332"/>
      <c r="J822" s="332"/>
      <c r="K822" s="332"/>
      <c r="L822" s="332"/>
      <c r="M822" s="332"/>
      <c r="N822" s="332"/>
      <c r="O822" s="332"/>
      <c r="P822" s="332"/>
      <c r="Q822" s="332"/>
      <c r="R822" s="332"/>
      <c r="S822" s="332"/>
      <c r="T822" s="332"/>
      <c r="U822" s="332"/>
      <c r="V822" s="332"/>
      <c r="W822" s="332"/>
      <c r="X822" s="332"/>
      <c r="Y822" s="332"/>
      <c r="Z822" s="332"/>
    </row>
    <row r="823" ht="15.75" customHeight="1">
      <c r="A823" s="27"/>
      <c r="B823" s="27"/>
      <c r="C823" s="27"/>
      <c r="D823" s="114"/>
      <c r="E823" s="114"/>
      <c r="F823" s="27"/>
      <c r="G823" s="27"/>
      <c r="H823" s="332"/>
      <c r="I823" s="332"/>
      <c r="J823" s="332"/>
      <c r="K823" s="332"/>
      <c r="L823" s="332"/>
      <c r="M823" s="332"/>
      <c r="N823" s="332"/>
      <c r="O823" s="332"/>
      <c r="P823" s="332"/>
      <c r="Q823" s="332"/>
      <c r="R823" s="332"/>
      <c r="S823" s="332"/>
      <c r="T823" s="332"/>
      <c r="U823" s="332"/>
      <c r="V823" s="332"/>
      <c r="W823" s="332"/>
      <c r="X823" s="332"/>
      <c r="Y823" s="332"/>
      <c r="Z823" s="332"/>
    </row>
    <row r="824" ht="15.75" customHeight="1">
      <c r="A824" s="27"/>
      <c r="B824" s="27"/>
      <c r="C824" s="27"/>
      <c r="D824" s="114"/>
      <c r="E824" s="114"/>
      <c r="F824" s="27"/>
      <c r="G824" s="27"/>
      <c r="H824" s="332"/>
      <c r="I824" s="332"/>
      <c r="J824" s="332"/>
      <c r="K824" s="332"/>
      <c r="L824" s="332"/>
      <c r="M824" s="332"/>
      <c r="N824" s="332"/>
      <c r="O824" s="332"/>
      <c r="P824" s="332"/>
      <c r="Q824" s="332"/>
      <c r="R824" s="332"/>
      <c r="S824" s="332"/>
      <c r="T824" s="332"/>
      <c r="U824" s="332"/>
      <c r="V824" s="332"/>
      <c r="W824" s="332"/>
      <c r="X824" s="332"/>
      <c r="Y824" s="332"/>
      <c r="Z824" s="332"/>
    </row>
    <row r="825" ht="15.75" customHeight="1">
      <c r="A825" s="27"/>
      <c r="B825" s="27"/>
      <c r="C825" s="27"/>
      <c r="D825" s="114"/>
      <c r="E825" s="114"/>
      <c r="F825" s="27"/>
      <c r="G825" s="27"/>
      <c r="H825" s="332"/>
      <c r="I825" s="332"/>
      <c r="J825" s="332"/>
      <c r="K825" s="332"/>
      <c r="L825" s="332"/>
      <c r="M825" s="332"/>
      <c r="N825" s="332"/>
      <c r="O825" s="332"/>
      <c r="P825" s="332"/>
      <c r="Q825" s="332"/>
      <c r="R825" s="332"/>
      <c r="S825" s="332"/>
      <c r="T825" s="332"/>
      <c r="U825" s="332"/>
      <c r="V825" s="332"/>
      <c r="W825" s="332"/>
      <c r="X825" s="332"/>
      <c r="Y825" s="332"/>
      <c r="Z825" s="332"/>
    </row>
    <row r="826" ht="15.75" customHeight="1">
      <c r="A826" s="27"/>
      <c r="B826" s="27"/>
      <c r="C826" s="27"/>
      <c r="D826" s="114"/>
      <c r="E826" s="114"/>
      <c r="F826" s="27"/>
      <c r="G826" s="27"/>
      <c r="H826" s="332"/>
      <c r="I826" s="332"/>
      <c r="J826" s="332"/>
      <c r="K826" s="332"/>
      <c r="L826" s="332"/>
      <c r="M826" s="332"/>
      <c r="N826" s="332"/>
      <c r="O826" s="332"/>
      <c r="P826" s="332"/>
      <c r="Q826" s="332"/>
      <c r="R826" s="332"/>
      <c r="S826" s="332"/>
      <c r="T826" s="332"/>
      <c r="U826" s="332"/>
      <c r="V826" s="332"/>
      <c r="W826" s="332"/>
      <c r="X826" s="332"/>
      <c r="Y826" s="332"/>
      <c r="Z826" s="332"/>
    </row>
    <row r="827" ht="15.75" customHeight="1">
      <c r="A827" s="27"/>
      <c r="B827" s="27"/>
      <c r="C827" s="27"/>
      <c r="D827" s="114"/>
      <c r="E827" s="114"/>
      <c r="F827" s="27"/>
      <c r="G827" s="27"/>
      <c r="H827" s="332"/>
      <c r="I827" s="332"/>
      <c r="J827" s="332"/>
      <c r="K827" s="332"/>
      <c r="L827" s="332"/>
      <c r="M827" s="332"/>
      <c r="N827" s="332"/>
      <c r="O827" s="332"/>
      <c r="P827" s="332"/>
      <c r="Q827" s="332"/>
      <c r="R827" s="332"/>
      <c r="S827" s="332"/>
      <c r="T827" s="332"/>
      <c r="U827" s="332"/>
      <c r="V827" s="332"/>
      <c r="W827" s="332"/>
      <c r="X827" s="332"/>
      <c r="Y827" s="332"/>
      <c r="Z827" s="332"/>
    </row>
    <row r="828" ht="15.75" customHeight="1">
      <c r="A828" s="27"/>
      <c r="B828" s="27"/>
      <c r="C828" s="27"/>
      <c r="D828" s="114"/>
      <c r="E828" s="114"/>
      <c r="F828" s="27"/>
      <c r="G828" s="27"/>
      <c r="H828" s="332"/>
      <c r="I828" s="332"/>
      <c r="J828" s="332"/>
      <c r="K828" s="332"/>
      <c r="L828" s="332"/>
      <c r="M828" s="332"/>
      <c r="N828" s="332"/>
      <c r="O828" s="332"/>
      <c r="P828" s="332"/>
      <c r="Q828" s="332"/>
      <c r="R828" s="332"/>
      <c r="S828" s="332"/>
      <c r="T828" s="332"/>
      <c r="U828" s="332"/>
      <c r="V828" s="332"/>
      <c r="W828" s="332"/>
      <c r="X828" s="332"/>
      <c r="Y828" s="332"/>
      <c r="Z828" s="332"/>
    </row>
    <row r="829" ht="15.75" customHeight="1">
      <c r="A829" s="27"/>
      <c r="B829" s="27"/>
      <c r="C829" s="27"/>
      <c r="D829" s="114"/>
      <c r="E829" s="114"/>
      <c r="F829" s="27"/>
      <c r="G829" s="27"/>
      <c r="H829" s="332"/>
      <c r="I829" s="332"/>
      <c r="J829" s="332"/>
      <c r="K829" s="332"/>
      <c r="L829" s="332"/>
      <c r="M829" s="332"/>
      <c r="N829" s="332"/>
      <c r="O829" s="332"/>
      <c r="P829" s="332"/>
      <c r="Q829" s="332"/>
      <c r="R829" s="332"/>
      <c r="S829" s="332"/>
      <c r="T829" s="332"/>
      <c r="U829" s="332"/>
      <c r="V829" s="332"/>
      <c r="W829" s="332"/>
      <c r="X829" s="332"/>
      <c r="Y829" s="332"/>
      <c r="Z829" s="332"/>
    </row>
    <row r="830" ht="15.75" customHeight="1">
      <c r="A830" s="27"/>
      <c r="B830" s="27"/>
      <c r="C830" s="27"/>
      <c r="D830" s="114"/>
      <c r="E830" s="114"/>
      <c r="F830" s="27"/>
      <c r="G830" s="27"/>
      <c r="H830" s="332"/>
      <c r="I830" s="332"/>
      <c r="J830" s="332"/>
      <c r="K830" s="332"/>
      <c r="L830" s="332"/>
      <c r="M830" s="332"/>
      <c r="N830" s="332"/>
      <c r="O830" s="332"/>
      <c r="P830" s="332"/>
      <c r="Q830" s="332"/>
      <c r="R830" s="332"/>
      <c r="S830" s="332"/>
      <c r="T830" s="332"/>
      <c r="U830" s="332"/>
      <c r="V830" s="332"/>
      <c r="W830" s="332"/>
      <c r="X830" s="332"/>
      <c r="Y830" s="332"/>
      <c r="Z830" s="332"/>
    </row>
    <row r="831" ht="15.75" customHeight="1">
      <c r="A831" s="27"/>
      <c r="B831" s="27"/>
      <c r="C831" s="27"/>
      <c r="D831" s="114"/>
      <c r="E831" s="114"/>
      <c r="F831" s="27"/>
      <c r="G831" s="27"/>
      <c r="H831" s="332"/>
      <c r="I831" s="332"/>
      <c r="J831" s="332"/>
      <c r="K831" s="332"/>
      <c r="L831" s="332"/>
      <c r="M831" s="332"/>
      <c r="N831" s="332"/>
      <c r="O831" s="332"/>
      <c r="P831" s="332"/>
      <c r="Q831" s="332"/>
      <c r="R831" s="332"/>
      <c r="S831" s="332"/>
      <c r="T831" s="332"/>
      <c r="U831" s="332"/>
      <c r="V831" s="332"/>
      <c r="W831" s="332"/>
      <c r="X831" s="332"/>
      <c r="Y831" s="332"/>
      <c r="Z831" s="332"/>
    </row>
    <row r="832" ht="15.75" customHeight="1">
      <c r="A832" s="27"/>
      <c r="B832" s="27"/>
      <c r="C832" s="27"/>
      <c r="D832" s="114"/>
      <c r="E832" s="114"/>
      <c r="F832" s="27"/>
      <c r="G832" s="27"/>
      <c r="H832" s="332"/>
      <c r="I832" s="332"/>
      <c r="J832" s="332"/>
      <c r="K832" s="332"/>
      <c r="L832" s="332"/>
      <c r="M832" s="332"/>
      <c r="N832" s="332"/>
      <c r="O832" s="332"/>
      <c r="P832" s="332"/>
      <c r="Q832" s="332"/>
      <c r="R832" s="332"/>
      <c r="S832" s="332"/>
      <c r="T832" s="332"/>
      <c r="U832" s="332"/>
      <c r="V832" s="332"/>
      <c r="W832" s="332"/>
      <c r="X832" s="332"/>
      <c r="Y832" s="332"/>
      <c r="Z832" s="332"/>
    </row>
    <row r="833" ht="15.75" customHeight="1">
      <c r="A833" s="27"/>
      <c r="B833" s="27"/>
      <c r="C833" s="27"/>
      <c r="D833" s="114"/>
      <c r="E833" s="114"/>
      <c r="F833" s="27"/>
      <c r="G833" s="27"/>
      <c r="H833" s="332"/>
      <c r="I833" s="332"/>
      <c r="J833" s="332"/>
      <c r="K833" s="332"/>
      <c r="L833" s="332"/>
      <c r="M833" s="332"/>
      <c r="N833" s="332"/>
      <c r="O833" s="332"/>
      <c r="P833" s="332"/>
      <c r="Q833" s="332"/>
      <c r="R833" s="332"/>
      <c r="S833" s="332"/>
      <c r="T833" s="332"/>
      <c r="U833" s="332"/>
      <c r="V833" s="332"/>
      <c r="W833" s="332"/>
      <c r="X833" s="332"/>
      <c r="Y833" s="332"/>
      <c r="Z833" s="332"/>
    </row>
    <row r="834" ht="15.75" customHeight="1">
      <c r="A834" s="27"/>
      <c r="B834" s="27"/>
      <c r="C834" s="27"/>
      <c r="D834" s="114"/>
      <c r="E834" s="114"/>
      <c r="F834" s="27"/>
      <c r="G834" s="27"/>
      <c r="H834" s="332"/>
      <c r="I834" s="332"/>
      <c r="J834" s="332"/>
      <c r="K834" s="332"/>
      <c r="L834" s="332"/>
      <c r="M834" s="332"/>
      <c r="N834" s="332"/>
      <c r="O834" s="332"/>
      <c r="P834" s="332"/>
      <c r="Q834" s="332"/>
      <c r="R834" s="332"/>
      <c r="S834" s="332"/>
      <c r="T834" s="332"/>
      <c r="U834" s="332"/>
      <c r="V834" s="332"/>
      <c r="W834" s="332"/>
      <c r="X834" s="332"/>
      <c r="Y834" s="332"/>
      <c r="Z834" s="332"/>
    </row>
    <row r="835" ht="15.75" customHeight="1">
      <c r="A835" s="27"/>
      <c r="B835" s="27"/>
      <c r="C835" s="27"/>
      <c r="D835" s="114"/>
      <c r="E835" s="114"/>
      <c r="F835" s="27"/>
      <c r="G835" s="27"/>
      <c r="H835" s="332"/>
      <c r="I835" s="332"/>
      <c r="J835" s="332"/>
      <c r="K835" s="332"/>
      <c r="L835" s="332"/>
      <c r="M835" s="332"/>
      <c r="N835" s="332"/>
      <c r="O835" s="332"/>
      <c r="P835" s="332"/>
      <c r="Q835" s="332"/>
      <c r="R835" s="332"/>
      <c r="S835" s="332"/>
      <c r="T835" s="332"/>
      <c r="U835" s="332"/>
      <c r="V835" s="332"/>
      <c r="W835" s="332"/>
      <c r="X835" s="332"/>
      <c r="Y835" s="332"/>
      <c r="Z835" s="332"/>
    </row>
    <row r="836" ht="15.75" customHeight="1">
      <c r="A836" s="27"/>
      <c r="B836" s="27"/>
      <c r="C836" s="27"/>
      <c r="D836" s="114"/>
      <c r="E836" s="114"/>
      <c r="F836" s="27"/>
      <c r="G836" s="27"/>
      <c r="H836" s="332"/>
      <c r="I836" s="332"/>
      <c r="J836" s="332"/>
      <c r="K836" s="332"/>
      <c r="L836" s="332"/>
      <c r="M836" s="332"/>
      <c r="N836" s="332"/>
      <c r="O836" s="332"/>
      <c r="P836" s="332"/>
      <c r="Q836" s="332"/>
      <c r="R836" s="332"/>
      <c r="S836" s="332"/>
      <c r="T836" s="332"/>
      <c r="U836" s="332"/>
      <c r="V836" s="332"/>
      <c r="W836" s="332"/>
      <c r="X836" s="332"/>
      <c r="Y836" s="332"/>
      <c r="Z836" s="332"/>
    </row>
    <row r="837" ht="15.75" customHeight="1">
      <c r="A837" s="27"/>
      <c r="B837" s="27"/>
      <c r="C837" s="27"/>
      <c r="D837" s="114"/>
      <c r="E837" s="114"/>
      <c r="F837" s="27"/>
      <c r="G837" s="27"/>
      <c r="H837" s="332"/>
      <c r="I837" s="332"/>
      <c r="J837" s="332"/>
      <c r="K837" s="332"/>
      <c r="L837" s="332"/>
      <c r="M837" s="332"/>
      <c r="N837" s="332"/>
      <c r="O837" s="332"/>
      <c r="P837" s="332"/>
      <c r="Q837" s="332"/>
      <c r="R837" s="332"/>
      <c r="S837" s="332"/>
      <c r="T837" s="332"/>
      <c r="U837" s="332"/>
      <c r="V837" s="332"/>
      <c r="W837" s="332"/>
      <c r="X837" s="332"/>
      <c r="Y837" s="332"/>
      <c r="Z837" s="332"/>
    </row>
    <row r="838" ht="15.75" customHeight="1">
      <c r="A838" s="27"/>
      <c r="B838" s="27"/>
      <c r="C838" s="27"/>
      <c r="D838" s="114"/>
      <c r="E838" s="114"/>
      <c r="F838" s="27"/>
      <c r="G838" s="27"/>
      <c r="H838" s="332"/>
      <c r="I838" s="332"/>
      <c r="J838" s="332"/>
      <c r="K838" s="332"/>
      <c r="L838" s="332"/>
      <c r="M838" s="332"/>
      <c r="N838" s="332"/>
      <c r="O838" s="332"/>
      <c r="P838" s="332"/>
      <c r="Q838" s="332"/>
      <c r="R838" s="332"/>
      <c r="S838" s="332"/>
      <c r="T838" s="332"/>
      <c r="U838" s="332"/>
      <c r="V838" s="332"/>
      <c r="W838" s="332"/>
      <c r="X838" s="332"/>
      <c r="Y838" s="332"/>
      <c r="Z838" s="332"/>
    </row>
    <row r="839" ht="15.75" customHeight="1">
      <c r="A839" s="27"/>
      <c r="B839" s="27"/>
      <c r="C839" s="27"/>
      <c r="D839" s="114"/>
      <c r="E839" s="114"/>
      <c r="F839" s="27"/>
      <c r="G839" s="27"/>
      <c r="H839" s="332"/>
      <c r="I839" s="332"/>
      <c r="J839" s="332"/>
      <c r="K839" s="332"/>
      <c r="L839" s="332"/>
      <c r="M839" s="332"/>
      <c r="N839" s="332"/>
      <c r="O839" s="332"/>
      <c r="P839" s="332"/>
      <c r="Q839" s="332"/>
      <c r="R839" s="332"/>
      <c r="S839" s="332"/>
      <c r="T839" s="332"/>
      <c r="U839" s="332"/>
      <c r="V839" s="332"/>
      <c r="W839" s="332"/>
      <c r="X839" s="332"/>
      <c r="Y839" s="332"/>
      <c r="Z839" s="332"/>
    </row>
    <row r="840" ht="15.75" customHeight="1">
      <c r="A840" s="27"/>
      <c r="B840" s="27"/>
      <c r="C840" s="27"/>
      <c r="D840" s="114"/>
      <c r="E840" s="114"/>
      <c r="F840" s="27"/>
      <c r="G840" s="27"/>
      <c r="H840" s="332"/>
      <c r="I840" s="332"/>
      <c r="J840" s="332"/>
      <c r="K840" s="332"/>
      <c r="L840" s="332"/>
      <c r="M840" s="332"/>
      <c r="N840" s="332"/>
      <c r="O840" s="332"/>
      <c r="P840" s="332"/>
      <c r="Q840" s="332"/>
      <c r="R840" s="332"/>
      <c r="S840" s="332"/>
      <c r="T840" s="332"/>
      <c r="U840" s="332"/>
      <c r="V840" s="332"/>
      <c r="W840" s="332"/>
      <c r="X840" s="332"/>
      <c r="Y840" s="332"/>
      <c r="Z840" s="332"/>
    </row>
    <row r="841" ht="15.75" customHeight="1">
      <c r="A841" s="27"/>
      <c r="B841" s="27"/>
      <c r="C841" s="27"/>
      <c r="D841" s="114"/>
      <c r="E841" s="114"/>
      <c r="F841" s="27"/>
      <c r="G841" s="27"/>
      <c r="H841" s="332"/>
      <c r="I841" s="332"/>
      <c r="J841" s="332"/>
      <c r="K841" s="332"/>
      <c r="L841" s="332"/>
      <c r="M841" s="332"/>
      <c r="N841" s="332"/>
      <c r="O841" s="332"/>
      <c r="P841" s="332"/>
      <c r="Q841" s="332"/>
      <c r="R841" s="332"/>
      <c r="S841" s="332"/>
      <c r="T841" s="332"/>
      <c r="U841" s="332"/>
      <c r="V841" s="332"/>
      <c r="W841" s="332"/>
      <c r="X841" s="332"/>
      <c r="Y841" s="332"/>
      <c r="Z841" s="332"/>
    </row>
    <row r="842" ht="15.75" customHeight="1">
      <c r="A842" s="27"/>
      <c r="B842" s="27"/>
      <c r="C842" s="27"/>
      <c r="D842" s="114"/>
      <c r="E842" s="114"/>
      <c r="F842" s="27"/>
      <c r="G842" s="27"/>
      <c r="H842" s="332"/>
      <c r="I842" s="332"/>
      <c r="J842" s="332"/>
      <c r="K842" s="332"/>
      <c r="L842" s="332"/>
      <c r="M842" s="332"/>
      <c r="N842" s="332"/>
      <c r="O842" s="332"/>
      <c r="P842" s="332"/>
      <c r="Q842" s="332"/>
      <c r="R842" s="332"/>
      <c r="S842" s="332"/>
      <c r="T842" s="332"/>
      <c r="U842" s="332"/>
      <c r="V842" s="332"/>
      <c r="W842" s="332"/>
      <c r="X842" s="332"/>
      <c r="Y842" s="332"/>
      <c r="Z842" s="332"/>
    </row>
    <row r="843" ht="15.75" customHeight="1">
      <c r="A843" s="27"/>
      <c r="B843" s="27"/>
      <c r="C843" s="27"/>
      <c r="D843" s="114"/>
      <c r="E843" s="114"/>
      <c r="F843" s="27"/>
      <c r="G843" s="27"/>
      <c r="H843" s="332"/>
      <c r="I843" s="332"/>
      <c r="J843" s="332"/>
      <c r="K843" s="332"/>
      <c r="L843" s="332"/>
      <c r="M843" s="332"/>
      <c r="N843" s="332"/>
      <c r="O843" s="332"/>
      <c r="P843" s="332"/>
      <c r="Q843" s="332"/>
      <c r="R843" s="332"/>
      <c r="S843" s="332"/>
      <c r="T843" s="332"/>
      <c r="U843" s="332"/>
      <c r="V843" s="332"/>
      <c r="W843" s="332"/>
      <c r="X843" s="332"/>
      <c r="Y843" s="332"/>
      <c r="Z843" s="332"/>
    </row>
    <row r="844" ht="15.75" customHeight="1">
      <c r="A844" s="27"/>
      <c r="B844" s="27"/>
      <c r="C844" s="27"/>
      <c r="D844" s="114"/>
      <c r="E844" s="114"/>
      <c r="F844" s="27"/>
      <c r="G844" s="27"/>
      <c r="H844" s="332"/>
      <c r="I844" s="332"/>
      <c r="J844" s="332"/>
      <c r="K844" s="332"/>
      <c r="L844" s="332"/>
      <c r="M844" s="332"/>
      <c r="N844" s="332"/>
      <c r="O844" s="332"/>
      <c r="P844" s="332"/>
      <c r="Q844" s="332"/>
      <c r="R844" s="332"/>
      <c r="S844" s="332"/>
      <c r="T844" s="332"/>
      <c r="U844" s="332"/>
      <c r="V844" s="332"/>
      <c r="W844" s="332"/>
      <c r="X844" s="332"/>
      <c r="Y844" s="332"/>
      <c r="Z844" s="332"/>
    </row>
    <row r="845" ht="15.75" customHeight="1">
      <c r="A845" s="27"/>
      <c r="B845" s="27"/>
      <c r="C845" s="27"/>
      <c r="D845" s="114"/>
      <c r="E845" s="114"/>
      <c r="F845" s="27"/>
      <c r="G845" s="27"/>
      <c r="H845" s="332"/>
      <c r="I845" s="332"/>
      <c r="J845" s="332"/>
      <c r="K845" s="332"/>
      <c r="L845" s="332"/>
      <c r="M845" s="332"/>
      <c r="N845" s="332"/>
      <c r="O845" s="332"/>
      <c r="P845" s="332"/>
      <c r="Q845" s="332"/>
      <c r="R845" s="332"/>
      <c r="S845" s="332"/>
      <c r="T845" s="332"/>
      <c r="U845" s="332"/>
      <c r="V845" s="332"/>
      <c r="W845" s="332"/>
      <c r="X845" s="332"/>
      <c r="Y845" s="332"/>
      <c r="Z845" s="332"/>
    </row>
    <row r="846" ht="15.75" customHeight="1">
      <c r="A846" s="27"/>
      <c r="B846" s="27"/>
      <c r="C846" s="27"/>
      <c r="D846" s="114"/>
      <c r="E846" s="114"/>
      <c r="F846" s="27"/>
      <c r="G846" s="27"/>
      <c r="H846" s="332"/>
      <c r="I846" s="332"/>
      <c r="J846" s="332"/>
      <c r="K846" s="332"/>
      <c r="L846" s="332"/>
      <c r="M846" s="332"/>
      <c r="N846" s="332"/>
      <c r="O846" s="332"/>
      <c r="P846" s="332"/>
      <c r="Q846" s="332"/>
      <c r="R846" s="332"/>
      <c r="S846" s="332"/>
      <c r="T846" s="332"/>
      <c r="U846" s="332"/>
      <c r="V846" s="332"/>
      <c r="W846" s="332"/>
      <c r="X846" s="332"/>
      <c r="Y846" s="332"/>
      <c r="Z846" s="332"/>
    </row>
    <row r="847" ht="15.75" customHeight="1">
      <c r="A847" s="27"/>
      <c r="B847" s="27"/>
      <c r="C847" s="27"/>
      <c r="D847" s="114"/>
      <c r="E847" s="114"/>
      <c r="F847" s="27"/>
      <c r="G847" s="27"/>
      <c r="H847" s="332"/>
      <c r="I847" s="332"/>
      <c r="J847" s="332"/>
      <c r="K847" s="332"/>
      <c r="L847" s="332"/>
      <c r="M847" s="332"/>
      <c r="N847" s="332"/>
      <c r="O847" s="332"/>
      <c r="P847" s="332"/>
      <c r="Q847" s="332"/>
      <c r="R847" s="332"/>
      <c r="S847" s="332"/>
      <c r="T847" s="332"/>
      <c r="U847" s="332"/>
      <c r="V847" s="332"/>
      <c r="W847" s="332"/>
      <c r="X847" s="332"/>
      <c r="Y847" s="332"/>
      <c r="Z847" s="332"/>
    </row>
    <row r="848" ht="15.75" customHeight="1">
      <c r="A848" s="27"/>
      <c r="B848" s="27"/>
      <c r="C848" s="27"/>
      <c r="D848" s="114"/>
      <c r="E848" s="114"/>
      <c r="F848" s="27"/>
      <c r="G848" s="27"/>
      <c r="H848" s="332"/>
      <c r="I848" s="332"/>
      <c r="J848" s="332"/>
      <c r="K848" s="332"/>
      <c r="L848" s="332"/>
      <c r="M848" s="332"/>
      <c r="N848" s="332"/>
      <c r="O848" s="332"/>
      <c r="P848" s="332"/>
      <c r="Q848" s="332"/>
      <c r="R848" s="332"/>
      <c r="S848" s="332"/>
      <c r="T848" s="332"/>
      <c r="U848" s="332"/>
      <c r="V848" s="332"/>
      <c r="W848" s="332"/>
      <c r="X848" s="332"/>
      <c r="Y848" s="332"/>
      <c r="Z848" s="332"/>
    </row>
    <row r="849" ht="15.75" customHeight="1">
      <c r="A849" s="27"/>
      <c r="B849" s="27"/>
      <c r="C849" s="27"/>
      <c r="D849" s="114"/>
      <c r="E849" s="114"/>
      <c r="F849" s="27"/>
      <c r="G849" s="27"/>
      <c r="H849" s="332"/>
      <c r="I849" s="332"/>
      <c r="J849" s="332"/>
      <c r="K849" s="332"/>
      <c r="L849" s="332"/>
      <c r="M849" s="332"/>
      <c r="N849" s="332"/>
      <c r="O849" s="332"/>
      <c r="P849" s="332"/>
      <c r="Q849" s="332"/>
      <c r="R849" s="332"/>
      <c r="S849" s="332"/>
      <c r="T849" s="332"/>
      <c r="U849" s="332"/>
      <c r="V849" s="332"/>
      <c r="W849" s="332"/>
      <c r="X849" s="332"/>
      <c r="Y849" s="332"/>
      <c r="Z849" s="332"/>
    </row>
    <row r="850" ht="15.75" customHeight="1">
      <c r="A850" s="27"/>
      <c r="B850" s="27"/>
      <c r="C850" s="27"/>
      <c r="D850" s="114"/>
      <c r="E850" s="114"/>
      <c r="F850" s="27"/>
      <c r="G850" s="27"/>
      <c r="H850" s="332"/>
      <c r="I850" s="332"/>
      <c r="J850" s="332"/>
      <c r="K850" s="332"/>
      <c r="L850" s="332"/>
      <c r="M850" s="332"/>
      <c r="N850" s="332"/>
      <c r="O850" s="332"/>
      <c r="P850" s="332"/>
      <c r="Q850" s="332"/>
      <c r="R850" s="332"/>
      <c r="S850" s="332"/>
      <c r="T850" s="332"/>
      <c r="U850" s="332"/>
      <c r="V850" s="332"/>
      <c r="W850" s="332"/>
      <c r="X850" s="332"/>
      <c r="Y850" s="332"/>
      <c r="Z850" s="332"/>
    </row>
    <row r="851" ht="15.75" customHeight="1">
      <c r="A851" s="27"/>
      <c r="B851" s="27"/>
      <c r="C851" s="27"/>
      <c r="D851" s="114"/>
      <c r="E851" s="114"/>
      <c r="F851" s="27"/>
      <c r="G851" s="27"/>
      <c r="H851" s="332"/>
      <c r="I851" s="332"/>
      <c r="J851" s="332"/>
      <c r="K851" s="332"/>
      <c r="L851" s="332"/>
      <c r="M851" s="332"/>
      <c r="N851" s="332"/>
      <c r="O851" s="332"/>
      <c r="P851" s="332"/>
      <c r="Q851" s="332"/>
      <c r="R851" s="332"/>
      <c r="S851" s="332"/>
      <c r="T851" s="332"/>
      <c r="U851" s="332"/>
      <c r="V851" s="332"/>
      <c r="W851" s="332"/>
      <c r="X851" s="332"/>
      <c r="Y851" s="332"/>
      <c r="Z851" s="332"/>
    </row>
    <row r="852" ht="15.75" customHeight="1">
      <c r="A852" s="27"/>
      <c r="B852" s="27"/>
      <c r="C852" s="27"/>
      <c r="D852" s="114"/>
      <c r="E852" s="114"/>
      <c r="F852" s="27"/>
      <c r="G852" s="27"/>
      <c r="H852" s="332"/>
      <c r="I852" s="332"/>
      <c r="J852" s="332"/>
      <c r="K852" s="332"/>
      <c r="L852" s="332"/>
      <c r="M852" s="332"/>
      <c r="N852" s="332"/>
      <c r="O852" s="332"/>
      <c r="P852" s="332"/>
      <c r="Q852" s="332"/>
      <c r="R852" s="332"/>
      <c r="S852" s="332"/>
      <c r="T852" s="332"/>
      <c r="U852" s="332"/>
      <c r="V852" s="332"/>
      <c r="W852" s="332"/>
      <c r="X852" s="332"/>
      <c r="Y852" s="332"/>
      <c r="Z852" s="332"/>
    </row>
    <row r="853" ht="15.75" customHeight="1">
      <c r="A853" s="27"/>
      <c r="B853" s="27"/>
      <c r="C853" s="27"/>
      <c r="D853" s="114"/>
      <c r="E853" s="114"/>
      <c r="F853" s="27"/>
      <c r="G853" s="27"/>
      <c r="H853" s="332"/>
      <c r="I853" s="332"/>
      <c r="J853" s="332"/>
      <c r="K853" s="332"/>
      <c r="L853" s="332"/>
      <c r="M853" s="332"/>
      <c r="N853" s="332"/>
      <c r="O853" s="332"/>
      <c r="P853" s="332"/>
      <c r="Q853" s="332"/>
      <c r="R853" s="332"/>
      <c r="S853" s="332"/>
      <c r="T853" s="332"/>
      <c r="U853" s="332"/>
      <c r="V853" s="332"/>
      <c r="W853" s="332"/>
      <c r="X853" s="332"/>
      <c r="Y853" s="332"/>
      <c r="Z853" s="332"/>
    </row>
    <row r="854" ht="15.75" customHeight="1">
      <c r="A854" s="27"/>
      <c r="B854" s="27"/>
      <c r="C854" s="27"/>
      <c r="D854" s="114"/>
      <c r="E854" s="114"/>
      <c r="F854" s="27"/>
      <c r="G854" s="27"/>
      <c r="H854" s="332"/>
      <c r="I854" s="332"/>
      <c r="J854" s="332"/>
      <c r="K854" s="332"/>
      <c r="L854" s="332"/>
      <c r="M854" s="332"/>
      <c r="N854" s="332"/>
      <c r="O854" s="332"/>
      <c r="P854" s="332"/>
      <c r="Q854" s="332"/>
      <c r="R854" s="332"/>
      <c r="S854" s="332"/>
      <c r="T854" s="332"/>
      <c r="U854" s="332"/>
      <c r="V854" s="332"/>
      <c r="W854" s="332"/>
      <c r="X854" s="332"/>
      <c r="Y854" s="332"/>
      <c r="Z854" s="332"/>
    </row>
    <row r="855" ht="15.75" customHeight="1">
      <c r="A855" s="27"/>
      <c r="B855" s="27"/>
      <c r="C855" s="27"/>
      <c r="D855" s="114"/>
      <c r="E855" s="114"/>
      <c r="F855" s="27"/>
      <c r="G855" s="27"/>
      <c r="H855" s="332"/>
      <c r="I855" s="332"/>
      <c r="J855" s="332"/>
      <c r="K855" s="332"/>
      <c r="L855" s="332"/>
      <c r="M855" s="332"/>
      <c r="N855" s="332"/>
      <c r="O855" s="332"/>
      <c r="P855" s="332"/>
      <c r="Q855" s="332"/>
      <c r="R855" s="332"/>
      <c r="S855" s="332"/>
      <c r="T855" s="332"/>
      <c r="U855" s="332"/>
      <c r="V855" s="332"/>
      <c r="W855" s="332"/>
      <c r="X855" s="332"/>
      <c r="Y855" s="332"/>
      <c r="Z855" s="332"/>
    </row>
    <row r="856" ht="15.75" customHeight="1">
      <c r="A856" s="27"/>
      <c r="B856" s="27"/>
      <c r="C856" s="27"/>
      <c r="D856" s="114"/>
      <c r="E856" s="114"/>
      <c r="F856" s="27"/>
      <c r="G856" s="27"/>
      <c r="H856" s="332"/>
      <c r="I856" s="332"/>
      <c r="J856" s="332"/>
      <c r="K856" s="332"/>
      <c r="L856" s="332"/>
      <c r="M856" s="332"/>
      <c r="N856" s="332"/>
      <c r="O856" s="332"/>
      <c r="P856" s="332"/>
      <c r="Q856" s="332"/>
      <c r="R856" s="332"/>
      <c r="S856" s="332"/>
      <c r="T856" s="332"/>
      <c r="U856" s="332"/>
      <c r="V856" s="332"/>
      <c r="W856" s="332"/>
      <c r="X856" s="332"/>
      <c r="Y856" s="332"/>
      <c r="Z856" s="332"/>
    </row>
    <row r="857" ht="15.75" customHeight="1">
      <c r="A857" s="27"/>
      <c r="B857" s="27"/>
      <c r="C857" s="27"/>
      <c r="D857" s="114"/>
      <c r="E857" s="114"/>
      <c r="F857" s="27"/>
      <c r="G857" s="27"/>
      <c r="H857" s="332"/>
      <c r="I857" s="332"/>
      <c r="J857" s="332"/>
      <c r="K857" s="332"/>
      <c r="L857" s="332"/>
      <c r="M857" s="332"/>
      <c r="N857" s="332"/>
      <c r="O857" s="332"/>
      <c r="P857" s="332"/>
      <c r="Q857" s="332"/>
      <c r="R857" s="332"/>
      <c r="S857" s="332"/>
      <c r="T857" s="332"/>
      <c r="U857" s="332"/>
      <c r="V857" s="332"/>
      <c r="W857" s="332"/>
      <c r="X857" s="332"/>
      <c r="Y857" s="332"/>
      <c r="Z857" s="332"/>
    </row>
    <row r="858" ht="15.75" customHeight="1">
      <c r="A858" s="27"/>
      <c r="B858" s="27"/>
      <c r="C858" s="27"/>
      <c r="D858" s="114"/>
      <c r="E858" s="114"/>
      <c r="F858" s="27"/>
      <c r="G858" s="27"/>
      <c r="H858" s="332"/>
      <c r="I858" s="332"/>
      <c r="J858" s="332"/>
      <c r="K858" s="332"/>
      <c r="L858" s="332"/>
      <c r="M858" s="332"/>
      <c r="N858" s="332"/>
      <c r="O858" s="332"/>
      <c r="P858" s="332"/>
      <c r="Q858" s="332"/>
      <c r="R858" s="332"/>
      <c r="S858" s="332"/>
      <c r="T858" s="332"/>
      <c r="U858" s="332"/>
      <c r="V858" s="332"/>
      <c r="W858" s="332"/>
      <c r="X858" s="332"/>
      <c r="Y858" s="332"/>
      <c r="Z858" s="332"/>
    </row>
    <row r="859" ht="15.75" customHeight="1">
      <c r="A859" s="27"/>
      <c r="B859" s="27"/>
      <c r="C859" s="27"/>
      <c r="D859" s="114"/>
      <c r="E859" s="114"/>
      <c r="F859" s="27"/>
      <c r="G859" s="27"/>
      <c r="H859" s="332"/>
      <c r="I859" s="332"/>
      <c r="J859" s="332"/>
      <c r="K859" s="332"/>
      <c r="L859" s="332"/>
      <c r="M859" s="332"/>
      <c r="N859" s="332"/>
      <c r="O859" s="332"/>
      <c r="P859" s="332"/>
      <c r="Q859" s="332"/>
      <c r="R859" s="332"/>
      <c r="S859" s="332"/>
      <c r="T859" s="332"/>
      <c r="U859" s="332"/>
      <c r="V859" s="332"/>
      <c r="W859" s="332"/>
      <c r="X859" s="332"/>
      <c r="Y859" s="332"/>
      <c r="Z859" s="332"/>
    </row>
    <row r="860" ht="15.75" customHeight="1">
      <c r="A860" s="27"/>
      <c r="B860" s="27"/>
      <c r="C860" s="27"/>
      <c r="D860" s="114"/>
      <c r="E860" s="114"/>
      <c r="F860" s="27"/>
      <c r="G860" s="27"/>
      <c r="H860" s="332"/>
      <c r="I860" s="332"/>
      <c r="J860" s="332"/>
      <c r="K860" s="332"/>
      <c r="L860" s="332"/>
      <c r="M860" s="332"/>
      <c r="N860" s="332"/>
      <c r="O860" s="332"/>
      <c r="P860" s="332"/>
      <c r="Q860" s="332"/>
      <c r="R860" s="332"/>
      <c r="S860" s="332"/>
      <c r="T860" s="332"/>
      <c r="U860" s="332"/>
      <c r="V860" s="332"/>
      <c r="W860" s="332"/>
      <c r="X860" s="332"/>
      <c r="Y860" s="332"/>
      <c r="Z860" s="332"/>
    </row>
    <row r="861" ht="15.75" customHeight="1">
      <c r="A861" s="27"/>
      <c r="B861" s="27"/>
      <c r="C861" s="27"/>
      <c r="D861" s="114"/>
      <c r="E861" s="114"/>
      <c r="F861" s="27"/>
      <c r="G861" s="27"/>
      <c r="H861" s="332"/>
      <c r="I861" s="332"/>
      <c r="J861" s="332"/>
      <c r="K861" s="332"/>
      <c r="L861" s="332"/>
      <c r="M861" s="332"/>
      <c r="N861" s="332"/>
      <c r="O861" s="332"/>
      <c r="P861" s="332"/>
      <c r="Q861" s="332"/>
      <c r="R861" s="332"/>
      <c r="S861" s="332"/>
      <c r="T861" s="332"/>
      <c r="U861" s="332"/>
      <c r="V861" s="332"/>
      <c r="W861" s="332"/>
      <c r="X861" s="332"/>
      <c r="Y861" s="332"/>
      <c r="Z861" s="332"/>
    </row>
    <row r="862" ht="15.75" customHeight="1">
      <c r="A862" s="27"/>
      <c r="B862" s="27"/>
      <c r="C862" s="27"/>
      <c r="D862" s="114"/>
      <c r="E862" s="114"/>
      <c r="F862" s="27"/>
      <c r="G862" s="27"/>
      <c r="H862" s="332"/>
      <c r="I862" s="332"/>
      <c r="J862" s="332"/>
      <c r="K862" s="332"/>
      <c r="L862" s="332"/>
      <c r="M862" s="332"/>
      <c r="N862" s="332"/>
      <c r="O862" s="332"/>
      <c r="P862" s="332"/>
      <c r="Q862" s="332"/>
      <c r="R862" s="332"/>
      <c r="S862" s="332"/>
      <c r="T862" s="332"/>
      <c r="U862" s="332"/>
      <c r="V862" s="332"/>
      <c r="W862" s="332"/>
      <c r="X862" s="332"/>
      <c r="Y862" s="332"/>
      <c r="Z862" s="332"/>
    </row>
    <row r="863" ht="15.75" customHeight="1">
      <c r="A863" s="27"/>
      <c r="B863" s="27"/>
      <c r="C863" s="27"/>
      <c r="D863" s="114"/>
      <c r="E863" s="114"/>
      <c r="F863" s="27"/>
      <c r="G863" s="27"/>
      <c r="H863" s="332"/>
      <c r="I863" s="332"/>
      <c r="J863" s="332"/>
      <c r="K863" s="332"/>
      <c r="L863" s="332"/>
      <c r="M863" s="332"/>
      <c r="N863" s="332"/>
      <c r="O863" s="332"/>
      <c r="P863" s="332"/>
      <c r="Q863" s="332"/>
      <c r="R863" s="332"/>
      <c r="S863" s="332"/>
      <c r="T863" s="332"/>
      <c r="U863" s="332"/>
      <c r="V863" s="332"/>
      <c r="W863" s="332"/>
      <c r="X863" s="332"/>
      <c r="Y863" s="332"/>
      <c r="Z863" s="332"/>
    </row>
    <row r="864" ht="15.75" customHeight="1">
      <c r="A864" s="27"/>
      <c r="B864" s="27"/>
      <c r="C864" s="27"/>
      <c r="D864" s="114"/>
      <c r="E864" s="114"/>
      <c r="F864" s="27"/>
      <c r="G864" s="27"/>
      <c r="H864" s="332"/>
      <c r="I864" s="332"/>
      <c r="J864" s="332"/>
      <c r="K864" s="332"/>
      <c r="L864" s="332"/>
      <c r="M864" s="332"/>
      <c r="N864" s="332"/>
      <c r="O864" s="332"/>
      <c r="P864" s="332"/>
      <c r="Q864" s="332"/>
      <c r="R864" s="332"/>
      <c r="S864" s="332"/>
      <c r="T864" s="332"/>
      <c r="U864" s="332"/>
      <c r="V864" s="332"/>
      <c r="W864" s="332"/>
      <c r="X864" s="332"/>
      <c r="Y864" s="332"/>
      <c r="Z864" s="332"/>
    </row>
    <row r="865" ht="15.75" customHeight="1">
      <c r="A865" s="27"/>
      <c r="B865" s="27"/>
      <c r="C865" s="27"/>
      <c r="D865" s="114"/>
      <c r="E865" s="114"/>
      <c r="F865" s="27"/>
      <c r="G865" s="27"/>
      <c r="H865" s="332"/>
      <c r="I865" s="332"/>
      <c r="J865" s="332"/>
      <c r="K865" s="332"/>
      <c r="L865" s="332"/>
      <c r="M865" s="332"/>
      <c r="N865" s="332"/>
      <c r="O865" s="332"/>
      <c r="P865" s="332"/>
      <c r="Q865" s="332"/>
      <c r="R865" s="332"/>
      <c r="S865" s="332"/>
      <c r="T865" s="332"/>
      <c r="U865" s="332"/>
      <c r="V865" s="332"/>
      <c r="W865" s="332"/>
      <c r="X865" s="332"/>
      <c r="Y865" s="332"/>
      <c r="Z865" s="332"/>
    </row>
    <row r="866" ht="15.75" customHeight="1">
      <c r="A866" s="27"/>
      <c r="B866" s="27"/>
      <c r="C866" s="27"/>
      <c r="D866" s="114"/>
      <c r="E866" s="114"/>
      <c r="F866" s="27"/>
      <c r="G866" s="27"/>
      <c r="H866" s="332"/>
      <c r="I866" s="332"/>
      <c r="J866" s="332"/>
      <c r="K866" s="332"/>
      <c r="L866" s="332"/>
      <c r="M866" s="332"/>
      <c r="N866" s="332"/>
      <c r="O866" s="332"/>
      <c r="P866" s="332"/>
      <c r="Q866" s="332"/>
      <c r="R866" s="332"/>
      <c r="S866" s="332"/>
      <c r="T866" s="332"/>
      <c r="U866" s="332"/>
      <c r="V866" s="332"/>
      <c r="W866" s="332"/>
      <c r="X866" s="332"/>
      <c r="Y866" s="332"/>
      <c r="Z866" s="332"/>
    </row>
    <row r="867" ht="15.75" customHeight="1">
      <c r="A867" s="27"/>
      <c r="B867" s="27"/>
      <c r="C867" s="27"/>
      <c r="D867" s="114"/>
      <c r="E867" s="114"/>
      <c r="F867" s="27"/>
      <c r="G867" s="27"/>
      <c r="H867" s="332"/>
      <c r="I867" s="332"/>
      <c r="J867" s="332"/>
      <c r="K867" s="332"/>
      <c r="L867" s="332"/>
      <c r="M867" s="332"/>
      <c r="N867" s="332"/>
      <c r="O867" s="332"/>
      <c r="P867" s="332"/>
      <c r="Q867" s="332"/>
      <c r="R867" s="332"/>
      <c r="S867" s="332"/>
      <c r="T867" s="332"/>
      <c r="U867" s="332"/>
      <c r="V867" s="332"/>
      <c r="W867" s="332"/>
      <c r="X867" s="332"/>
      <c r="Y867" s="332"/>
      <c r="Z867" s="332"/>
    </row>
    <row r="868" ht="15.75" customHeight="1">
      <c r="A868" s="27"/>
      <c r="B868" s="27"/>
      <c r="C868" s="27"/>
      <c r="D868" s="114"/>
      <c r="E868" s="114"/>
      <c r="F868" s="27"/>
      <c r="G868" s="27"/>
      <c r="H868" s="332"/>
      <c r="I868" s="332"/>
      <c r="J868" s="332"/>
      <c r="K868" s="332"/>
      <c r="L868" s="332"/>
      <c r="M868" s="332"/>
      <c r="N868" s="332"/>
      <c r="O868" s="332"/>
      <c r="P868" s="332"/>
      <c r="Q868" s="332"/>
      <c r="R868" s="332"/>
      <c r="S868" s="332"/>
      <c r="T868" s="332"/>
      <c r="U868" s="332"/>
      <c r="V868" s="332"/>
      <c r="W868" s="332"/>
      <c r="X868" s="332"/>
      <c r="Y868" s="332"/>
      <c r="Z868" s="332"/>
    </row>
    <row r="869" ht="15.75" customHeight="1">
      <c r="A869" s="27"/>
      <c r="B869" s="27"/>
      <c r="C869" s="27"/>
      <c r="D869" s="114"/>
      <c r="E869" s="114"/>
      <c r="F869" s="27"/>
      <c r="G869" s="27"/>
      <c r="H869" s="332"/>
      <c r="I869" s="332"/>
      <c r="J869" s="332"/>
      <c r="K869" s="332"/>
      <c r="L869" s="332"/>
      <c r="M869" s="332"/>
      <c r="N869" s="332"/>
      <c r="O869" s="332"/>
      <c r="P869" s="332"/>
      <c r="Q869" s="332"/>
      <c r="R869" s="332"/>
      <c r="S869" s="332"/>
      <c r="T869" s="332"/>
      <c r="U869" s="332"/>
      <c r="V869" s="332"/>
      <c r="W869" s="332"/>
      <c r="X869" s="332"/>
      <c r="Y869" s="332"/>
      <c r="Z869" s="332"/>
    </row>
    <row r="870" ht="15.75" customHeight="1">
      <c r="A870" s="27"/>
      <c r="B870" s="27"/>
      <c r="C870" s="27"/>
      <c r="D870" s="114"/>
      <c r="E870" s="114"/>
      <c r="F870" s="27"/>
      <c r="G870" s="27"/>
      <c r="H870" s="332"/>
      <c r="I870" s="332"/>
      <c r="J870" s="332"/>
      <c r="K870" s="332"/>
      <c r="L870" s="332"/>
      <c r="M870" s="332"/>
      <c r="N870" s="332"/>
      <c r="O870" s="332"/>
      <c r="P870" s="332"/>
      <c r="Q870" s="332"/>
      <c r="R870" s="332"/>
      <c r="S870" s="332"/>
      <c r="T870" s="332"/>
      <c r="U870" s="332"/>
      <c r="V870" s="332"/>
      <c r="W870" s="332"/>
      <c r="X870" s="332"/>
      <c r="Y870" s="332"/>
      <c r="Z870" s="332"/>
    </row>
    <row r="871" ht="15.75" customHeight="1">
      <c r="A871" s="27"/>
      <c r="B871" s="27"/>
      <c r="C871" s="27"/>
      <c r="D871" s="114"/>
      <c r="E871" s="114"/>
      <c r="F871" s="27"/>
      <c r="G871" s="27"/>
      <c r="H871" s="332"/>
      <c r="I871" s="332"/>
      <c r="J871" s="332"/>
      <c r="K871" s="332"/>
      <c r="L871" s="332"/>
      <c r="M871" s="332"/>
      <c r="N871" s="332"/>
      <c r="O871" s="332"/>
      <c r="P871" s="332"/>
      <c r="Q871" s="332"/>
      <c r="R871" s="332"/>
      <c r="S871" s="332"/>
      <c r="T871" s="332"/>
      <c r="U871" s="332"/>
      <c r="V871" s="332"/>
      <c r="W871" s="332"/>
      <c r="X871" s="332"/>
      <c r="Y871" s="332"/>
      <c r="Z871" s="332"/>
    </row>
    <row r="872" ht="15.75" customHeight="1">
      <c r="A872" s="27"/>
      <c r="B872" s="27"/>
      <c r="C872" s="27"/>
      <c r="D872" s="114"/>
      <c r="E872" s="114"/>
      <c r="F872" s="27"/>
      <c r="G872" s="27"/>
      <c r="H872" s="332"/>
      <c r="I872" s="332"/>
      <c r="J872" s="332"/>
      <c r="K872" s="332"/>
      <c r="L872" s="332"/>
      <c r="M872" s="332"/>
      <c r="N872" s="332"/>
      <c r="O872" s="332"/>
      <c r="P872" s="332"/>
      <c r="Q872" s="332"/>
      <c r="R872" s="332"/>
      <c r="S872" s="332"/>
      <c r="T872" s="332"/>
      <c r="U872" s="332"/>
      <c r="V872" s="332"/>
      <c r="W872" s="332"/>
      <c r="X872" s="332"/>
      <c r="Y872" s="332"/>
      <c r="Z872" s="332"/>
    </row>
    <row r="873" ht="15.75" customHeight="1">
      <c r="A873" s="27"/>
      <c r="B873" s="27"/>
      <c r="C873" s="27"/>
      <c r="D873" s="114"/>
      <c r="E873" s="114"/>
      <c r="F873" s="27"/>
      <c r="G873" s="27"/>
      <c r="H873" s="332"/>
      <c r="I873" s="332"/>
      <c r="J873" s="332"/>
      <c r="K873" s="332"/>
      <c r="L873" s="332"/>
      <c r="M873" s="332"/>
      <c r="N873" s="332"/>
      <c r="O873" s="332"/>
      <c r="P873" s="332"/>
      <c r="Q873" s="332"/>
      <c r="R873" s="332"/>
      <c r="S873" s="332"/>
      <c r="T873" s="332"/>
      <c r="U873" s="332"/>
      <c r="V873" s="332"/>
      <c r="W873" s="332"/>
      <c r="X873" s="332"/>
      <c r="Y873" s="332"/>
      <c r="Z873" s="332"/>
    </row>
    <row r="874" ht="15.75" customHeight="1">
      <c r="A874" s="27"/>
      <c r="B874" s="27"/>
      <c r="C874" s="27"/>
      <c r="D874" s="114"/>
      <c r="E874" s="114"/>
      <c r="F874" s="27"/>
      <c r="G874" s="27"/>
      <c r="H874" s="332"/>
      <c r="I874" s="332"/>
      <c r="J874" s="332"/>
      <c r="K874" s="332"/>
      <c r="L874" s="332"/>
      <c r="M874" s="332"/>
      <c r="N874" s="332"/>
      <c r="O874" s="332"/>
      <c r="P874" s="332"/>
      <c r="Q874" s="332"/>
      <c r="R874" s="332"/>
      <c r="S874" s="332"/>
      <c r="T874" s="332"/>
      <c r="U874" s="332"/>
      <c r="V874" s="332"/>
      <c r="W874" s="332"/>
      <c r="X874" s="332"/>
      <c r="Y874" s="332"/>
      <c r="Z874" s="332"/>
    </row>
    <row r="875" ht="15.75" customHeight="1">
      <c r="A875" s="27"/>
      <c r="B875" s="27"/>
      <c r="C875" s="27"/>
      <c r="D875" s="114"/>
      <c r="E875" s="114"/>
      <c r="F875" s="27"/>
      <c r="G875" s="27"/>
      <c r="H875" s="332"/>
      <c r="I875" s="332"/>
      <c r="J875" s="332"/>
      <c r="K875" s="332"/>
      <c r="L875" s="332"/>
      <c r="M875" s="332"/>
      <c r="N875" s="332"/>
      <c r="O875" s="332"/>
      <c r="P875" s="332"/>
      <c r="Q875" s="332"/>
      <c r="R875" s="332"/>
      <c r="S875" s="332"/>
      <c r="T875" s="332"/>
      <c r="U875" s="332"/>
      <c r="V875" s="332"/>
      <c r="W875" s="332"/>
      <c r="X875" s="332"/>
      <c r="Y875" s="332"/>
      <c r="Z875" s="332"/>
    </row>
    <row r="876" ht="15.75" customHeight="1">
      <c r="A876" s="27"/>
      <c r="B876" s="27"/>
      <c r="C876" s="27"/>
      <c r="D876" s="114"/>
      <c r="E876" s="114"/>
      <c r="F876" s="27"/>
      <c r="G876" s="27"/>
      <c r="H876" s="332"/>
      <c r="I876" s="332"/>
      <c r="J876" s="332"/>
      <c r="K876" s="332"/>
      <c r="L876" s="332"/>
      <c r="M876" s="332"/>
      <c r="N876" s="332"/>
      <c r="O876" s="332"/>
      <c r="P876" s="332"/>
      <c r="Q876" s="332"/>
      <c r="R876" s="332"/>
      <c r="S876" s="332"/>
      <c r="T876" s="332"/>
      <c r="U876" s="332"/>
      <c r="V876" s="332"/>
      <c r="W876" s="332"/>
      <c r="X876" s="332"/>
      <c r="Y876" s="332"/>
      <c r="Z876" s="332"/>
    </row>
    <row r="877" ht="15.75" customHeight="1">
      <c r="A877" s="27"/>
      <c r="B877" s="27"/>
      <c r="C877" s="27"/>
      <c r="D877" s="114"/>
      <c r="E877" s="114"/>
      <c r="F877" s="27"/>
      <c r="G877" s="27"/>
      <c r="H877" s="332"/>
      <c r="I877" s="332"/>
      <c r="J877" s="332"/>
      <c r="K877" s="332"/>
      <c r="L877" s="332"/>
      <c r="M877" s="332"/>
      <c r="N877" s="332"/>
      <c r="O877" s="332"/>
      <c r="P877" s="332"/>
      <c r="Q877" s="332"/>
      <c r="R877" s="332"/>
      <c r="S877" s="332"/>
      <c r="T877" s="332"/>
      <c r="U877" s="332"/>
      <c r="V877" s="332"/>
      <c r="W877" s="332"/>
      <c r="X877" s="332"/>
      <c r="Y877" s="332"/>
      <c r="Z877" s="332"/>
    </row>
    <row r="878" ht="15.75" customHeight="1">
      <c r="A878" s="27"/>
      <c r="B878" s="27"/>
      <c r="C878" s="27"/>
      <c r="D878" s="114"/>
      <c r="E878" s="114"/>
      <c r="F878" s="27"/>
      <c r="G878" s="27"/>
      <c r="H878" s="332"/>
      <c r="I878" s="332"/>
      <c r="J878" s="332"/>
      <c r="K878" s="332"/>
      <c r="L878" s="332"/>
      <c r="M878" s="332"/>
      <c r="N878" s="332"/>
      <c r="O878" s="332"/>
      <c r="P878" s="332"/>
      <c r="Q878" s="332"/>
      <c r="R878" s="332"/>
      <c r="S878" s="332"/>
      <c r="T878" s="332"/>
      <c r="U878" s="332"/>
      <c r="V878" s="332"/>
      <c r="W878" s="332"/>
      <c r="X878" s="332"/>
      <c r="Y878" s="332"/>
      <c r="Z878" s="332"/>
    </row>
    <row r="879" ht="15.75" customHeight="1">
      <c r="A879" s="27"/>
      <c r="B879" s="27"/>
      <c r="C879" s="27"/>
      <c r="D879" s="114"/>
      <c r="E879" s="114"/>
      <c r="F879" s="27"/>
      <c r="G879" s="27"/>
      <c r="H879" s="332"/>
      <c r="I879" s="332"/>
      <c r="J879" s="332"/>
      <c r="K879" s="332"/>
      <c r="L879" s="332"/>
      <c r="M879" s="332"/>
      <c r="N879" s="332"/>
      <c r="O879" s="332"/>
      <c r="P879" s="332"/>
      <c r="Q879" s="332"/>
      <c r="R879" s="332"/>
      <c r="S879" s="332"/>
      <c r="T879" s="332"/>
      <c r="U879" s="332"/>
      <c r="V879" s="332"/>
      <c r="W879" s="332"/>
      <c r="X879" s="332"/>
      <c r="Y879" s="332"/>
      <c r="Z879" s="332"/>
    </row>
    <row r="880" ht="15.75" customHeight="1">
      <c r="A880" s="27"/>
      <c r="B880" s="27"/>
      <c r="C880" s="27"/>
      <c r="D880" s="114"/>
      <c r="E880" s="114"/>
      <c r="F880" s="27"/>
      <c r="G880" s="27"/>
      <c r="H880" s="332"/>
      <c r="I880" s="332"/>
      <c r="J880" s="332"/>
      <c r="K880" s="332"/>
      <c r="L880" s="332"/>
      <c r="M880" s="332"/>
      <c r="N880" s="332"/>
      <c r="O880" s="332"/>
      <c r="P880" s="332"/>
      <c r="Q880" s="332"/>
      <c r="R880" s="332"/>
      <c r="S880" s="332"/>
      <c r="T880" s="332"/>
      <c r="U880" s="332"/>
      <c r="V880" s="332"/>
      <c r="W880" s="332"/>
      <c r="X880" s="332"/>
      <c r="Y880" s="332"/>
      <c r="Z880" s="332"/>
    </row>
    <row r="881" ht="15.75" customHeight="1">
      <c r="A881" s="27"/>
      <c r="B881" s="27"/>
      <c r="C881" s="27"/>
      <c r="D881" s="114"/>
      <c r="E881" s="114"/>
      <c r="F881" s="27"/>
      <c r="G881" s="27"/>
      <c r="H881" s="332"/>
      <c r="I881" s="332"/>
      <c r="J881" s="332"/>
      <c r="K881" s="332"/>
      <c r="L881" s="332"/>
      <c r="M881" s="332"/>
      <c r="N881" s="332"/>
      <c r="O881" s="332"/>
      <c r="P881" s="332"/>
      <c r="Q881" s="332"/>
      <c r="R881" s="332"/>
      <c r="S881" s="332"/>
      <c r="T881" s="332"/>
      <c r="U881" s="332"/>
      <c r="V881" s="332"/>
      <c r="W881" s="332"/>
      <c r="X881" s="332"/>
      <c r="Y881" s="332"/>
      <c r="Z881" s="332"/>
    </row>
    <row r="882" ht="15.75" customHeight="1">
      <c r="A882" s="27"/>
      <c r="B882" s="27"/>
      <c r="C882" s="27"/>
      <c r="D882" s="114"/>
      <c r="E882" s="114"/>
      <c r="F882" s="27"/>
      <c r="G882" s="27"/>
      <c r="H882" s="332"/>
      <c r="I882" s="332"/>
      <c r="J882" s="332"/>
      <c r="K882" s="332"/>
      <c r="L882" s="332"/>
      <c r="M882" s="332"/>
      <c r="N882" s="332"/>
      <c r="O882" s="332"/>
      <c r="P882" s="332"/>
      <c r="Q882" s="332"/>
      <c r="R882" s="332"/>
      <c r="S882" s="332"/>
      <c r="T882" s="332"/>
      <c r="U882" s="332"/>
      <c r="V882" s="332"/>
      <c r="W882" s="332"/>
      <c r="X882" s="332"/>
      <c r="Y882" s="332"/>
      <c r="Z882" s="332"/>
    </row>
    <row r="883" ht="15.75" customHeight="1">
      <c r="A883" s="27"/>
      <c r="B883" s="27"/>
      <c r="C883" s="27"/>
      <c r="D883" s="114"/>
      <c r="E883" s="114"/>
      <c r="F883" s="27"/>
      <c r="G883" s="27"/>
      <c r="H883" s="332"/>
      <c r="I883" s="332"/>
      <c r="J883" s="332"/>
      <c r="K883" s="332"/>
      <c r="L883" s="332"/>
      <c r="M883" s="332"/>
      <c r="N883" s="332"/>
      <c r="O883" s="332"/>
      <c r="P883" s="332"/>
      <c r="Q883" s="332"/>
      <c r="R883" s="332"/>
      <c r="S883" s="332"/>
      <c r="T883" s="332"/>
      <c r="U883" s="332"/>
      <c r="V883" s="332"/>
      <c r="W883" s="332"/>
      <c r="X883" s="332"/>
      <c r="Y883" s="332"/>
      <c r="Z883" s="332"/>
    </row>
    <row r="884" ht="15.75" customHeight="1">
      <c r="A884" s="27"/>
      <c r="B884" s="27"/>
      <c r="C884" s="27"/>
      <c r="D884" s="114"/>
      <c r="E884" s="114"/>
      <c r="F884" s="27"/>
      <c r="G884" s="27"/>
      <c r="H884" s="332"/>
      <c r="I884" s="332"/>
      <c r="J884" s="332"/>
      <c r="K884" s="332"/>
      <c r="L884" s="332"/>
      <c r="M884" s="332"/>
      <c r="N884" s="332"/>
      <c r="O884" s="332"/>
      <c r="P884" s="332"/>
      <c r="Q884" s="332"/>
      <c r="R884" s="332"/>
      <c r="S884" s="332"/>
      <c r="T884" s="332"/>
      <c r="U884" s="332"/>
      <c r="V884" s="332"/>
      <c r="W884" s="332"/>
      <c r="X884" s="332"/>
      <c r="Y884" s="332"/>
      <c r="Z884" s="332"/>
    </row>
    <row r="885" ht="15.75" customHeight="1">
      <c r="A885" s="27"/>
      <c r="B885" s="27"/>
      <c r="C885" s="27"/>
      <c r="D885" s="114"/>
      <c r="E885" s="114"/>
      <c r="F885" s="27"/>
      <c r="G885" s="27"/>
      <c r="H885" s="332"/>
      <c r="I885" s="332"/>
      <c r="J885" s="332"/>
      <c r="K885" s="332"/>
      <c r="L885" s="332"/>
      <c r="M885" s="332"/>
      <c r="N885" s="332"/>
      <c r="O885" s="332"/>
      <c r="P885" s="332"/>
      <c r="Q885" s="332"/>
      <c r="R885" s="332"/>
      <c r="S885" s="332"/>
      <c r="T885" s="332"/>
      <c r="U885" s="332"/>
      <c r="V885" s="332"/>
      <c r="W885" s="332"/>
      <c r="X885" s="332"/>
      <c r="Y885" s="332"/>
      <c r="Z885" s="332"/>
    </row>
    <row r="886" ht="15.75" customHeight="1">
      <c r="A886" s="27"/>
      <c r="B886" s="27"/>
      <c r="C886" s="27"/>
      <c r="D886" s="114"/>
      <c r="E886" s="114"/>
      <c r="F886" s="27"/>
      <c r="G886" s="27"/>
      <c r="H886" s="332"/>
      <c r="I886" s="332"/>
      <c r="J886" s="332"/>
      <c r="K886" s="332"/>
      <c r="L886" s="332"/>
      <c r="M886" s="332"/>
      <c r="N886" s="332"/>
      <c r="O886" s="332"/>
      <c r="P886" s="332"/>
      <c r="Q886" s="332"/>
      <c r="R886" s="332"/>
      <c r="S886" s="332"/>
      <c r="T886" s="332"/>
      <c r="U886" s="332"/>
      <c r="V886" s="332"/>
      <c r="W886" s="332"/>
      <c r="X886" s="332"/>
      <c r="Y886" s="332"/>
      <c r="Z886" s="332"/>
    </row>
    <row r="887" ht="15.75" customHeight="1">
      <c r="A887" s="27"/>
      <c r="B887" s="27"/>
      <c r="C887" s="27"/>
      <c r="D887" s="114"/>
      <c r="E887" s="114"/>
      <c r="F887" s="27"/>
      <c r="G887" s="27"/>
      <c r="H887" s="332"/>
      <c r="I887" s="332"/>
      <c r="J887" s="332"/>
      <c r="K887" s="332"/>
      <c r="L887" s="332"/>
      <c r="M887" s="332"/>
      <c r="N887" s="332"/>
      <c r="O887" s="332"/>
      <c r="P887" s="332"/>
      <c r="Q887" s="332"/>
      <c r="R887" s="332"/>
      <c r="S887" s="332"/>
      <c r="T887" s="332"/>
      <c r="U887" s="332"/>
      <c r="V887" s="332"/>
      <c r="W887" s="332"/>
      <c r="X887" s="332"/>
      <c r="Y887" s="332"/>
      <c r="Z887" s="332"/>
    </row>
    <row r="888" ht="15.75" customHeight="1">
      <c r="A888" s="27"/>
      <c r="B888" s="27"/>
      <c r="C888" s="27"/>
      <c r="D888" s="114"/>
      <c r="E888" s="114"/>
      <c r="F888" s="27"/>
      <c r="G888" s="27"/>
      <c r="H888" s="332"/>
      <c r="I888" s="332"/>
      <c r="J888" s="332"/>
      <c r="K888" s="332"/>
      <c r="L888" s="332"/>
      <c r="M888" s="332"/>
      <c r="N888" s="332"/>
      <c r="O888" s="332"/>
      <c r="P888" s="332"/>
      <c r="Q888" s="332"/>
      <c r="R888" s="332"/>
      <c r="S888" s="332"/>
      <c r="T888" s="332"/>
      <c r="U888" s="332"/>
      <c r="V888" s="332"/>
      <c r="W888" s="332"/>
      <c r="X888" s="332"/>
      <c r="Y888" s="332"/>
      <c r="Z888" s="332"/>
    </row>
    <row r="889" ht="15.75" customHeight="1">
      <c r="A889" s="27"/>
      <c r="B889" s="27"/>
      <c r="C889" s="27"/>
      <c r="D889" s="114"/>
      <c r="E889" s="114"/>
      <c r="F889" s="27"/>
      <c r="G889" s="27"/>
      <c r="H889" s="332"/>
      <c r="I889" s="332"/>
      <c r="J889" s="332"/>
      <c r="K889" s="332"/>
      <c r="L889" s="332"/>
      <c r="M889" s="332"/>
      <c r="N889" s="332"/>
      <c r="O889" s="332"/>
      <c r="P889" s="332"/>
      <c r="Q889" s="332"/>
      <c r="R889" s="332"/>
      <c r="S889" s="332"/>
      <c r="T889" s="332"/>
      <c r="U889" s="332"/>
      <c r="V889" s="332"/>
      <c r="W889" s="332"/>
      <c r="X889" s="332"/>
      <c r="Y889" s="332"/>
      <c r="Z889" s="332"/>
    </row>
    <row r="890" ht="15.75" customHeight="1">
      <c r="A890" s="27"/>
      <c r="B890" s="27"/>
      <c r="C890" s="27"/>
      <c r="D890" s="114"/>
      <c r="E890" s="114"/>
      <c r="F890" s="27"/>
      <c r="G890" s="27"/>
      <c r="H890" s="332"/>
      <c r="I890" s="332"/>
      <c r="J890" s="332"/>
      <c r="K890" s="332"/>
      <c r="L890" s="332"/>
      <c r="M890" s="332"/>
      <c r="N890" s="332"/>
      <c r="O890" s="332"/>
      <c r="P890" s="332"/>
      <c r="Q890" s="332"/>
      <c r="R890" s="332"/>
      <c r="S890" s="332"/>
      <c r="T890" s="332"/>
      <c r="U890" s="332"/>
      <c r="V890" s="332"/>
      <c r="W890" s="332"/>
      <c r="X890" s="332"/>
      <c r="Y890" s="332"/>
      <c r="Z890" s="332"/>
    </row>
    <row r="891" ht="15.75" customHeight="1">
      <c r="A891" s="27"/>
      <c r="B891" s="27"/>
      <c r="C891" s="27"/>
      <c r="D891" s="114"/>
      <c r="E891" s="114"/>
      <c r="F891" s="27"/>
      <c r="G891" s="27"/>
      <c r="H891" s="332"/>
      <c r="I891" s="332"/>
      <c r="J891" s="332"/>
      <c r="K891" s="332"/>
      <c r="L891" s="332"/>
      <c r="M891" s="332"/>
      <c r="N891" s="332"/>
      <c r="O891" s="332"/>
      <c r="P891" s="332"/>
      <c r="Q891" s="332"/>
      <c r="R891" s="332"/>
      <c r="S891" s="332"/>
      <c r="T891" s="332"/>
      <c r="U891" s="332"/>
      <c r="V891" s="332"/>
      <c r="W891" s="332"/>
      <c r="X891" s="332"/>
      <c r="Y891" s="332"/>
      <c r="Z891" s="332"/>
    </row>
    <row r="892" ht="15.75" customHeight="1">
      <c r="A892" s="27"/>
      <c r="B892" s="27"/>
      <c r="C892" s="27"/>
      <c r="D892" s="114"/>
      <c r="E892" s="114"/>
      <c r="F892" s="27"/>
      <c r="G892" s="27"/>
      <c r="H892" s="332"/>
      <c r="I892" s="332"/>
      <c r="J892" s="332"/>
      <c r="K892" s="332"/>
      <c r="L892" s="332"/>
      <c r="M892" s="332"/>
      <c r="N892" s="332"/>
      <c r="O892" s="332"/>
      <c r="P892" s="332"/>
      <c r="Q892" s="332"/>
      <c r="R892" s="332"/>
      <c r="S892" s="332"/>
      <c r="T892" s="332"/>
      <c r="U892" s="332"/>
      <c r="V892" s="332"/>
      <c r="W892" s="332"/>
      <c r="X892" s="332"/>
      <c r="Y892" s="332"/>
      <c r="Z892" s="332"/>
    </row>
    <row r="893" ht="15.75" customHeight="1">
      <c r="A893" s="27"/>
      <c r="B893" s="27"/>
      <c r="C893" s="27"/>
      <c r="D893" s="114"/>
      <c r="E893" s="114"/>
      <c r="F893" s="27"/>
      <c r="G893" s="27"/>
      <c r="H893" s="332"/>
      <c r="I893" s="332"/>
      <c r="J893" s="332"/>
      <c r="K893" s="332"/>
      <c r="L893" s="332"/>
      <c r="M893" s="332"/>
      <c r="N893" s="332"/>
      <c r="O893" s="332"/>
      <c r="P893" s="332"/>
      <c r="Q893" s="332"/>
      <c r="R893" s="332"/>
      <c r="S893" s="332"/>
      <c r="T893" s="332"/>
      <c r="U893" s="332"/>
      <c r="V893" s="332"/>
      <c r="W893" s="332"/>
      <c r="X893" s="332"/>
      <c r="Y893" s="332"/>
      <c r="Z893" s="332"/>
    </row>
    <row r="894" ht="15.75" customHeight="1">
      <c r="A894" s="27"/>
      <c r="B894" s="27"/>
      <c r="C894" s="27"/>
      <c r="D894" s="114"/>
      <c r="E894" s="114"/>
      <c r="F894" s="27"/>
      <c r="G894" s="27"/>
      <c r="H894" s="332"/>
      <c r="I894" s="332"/>
      <c r="J894" s="332"/>
      <c r="K894" s="332"/>
      <c r="L894" s="332"/>
      <c r="M894" s="332"/>
      <c r="N894" s="332"/>
      <c r="O894" s="332"/>
      <c r="P894" s="332"/>
      <c r="Q894" s="332"/>
      <c r="R894" s="332"/>
      <c r="S894" s="332"/>
      <c r="T894" s="332"/>
      <c r="U894" s="332"/>
      <c r="V894" s="332"/>
      <c r="W894" s="332"/>
      <c r="X894" s="332"/>
      <c r="Y894" s="332"/>
      <c r="Z894" s="332"/>
    </row>
    <row r="895" ht="15.75" customHeight="1">
      <c r="A895" s="27"/>
      <c r="B895" s="27"/>
      <c r="C895" s="27"/>
      <c r="D895" s="114"/>
      <c r="E895" s="114"/>
      <c r="F895" s="27"/>
      <c r="G895" s="27"/>
      <c r="H895" s="332"/>
      <c r="I895" s="332"/>
      <c r="J895" s="332"/>
      <c r="K895" s="332"/>
      <c r="L895" s="332"/>
      <c r="M895" s="332"/>
      <c r="N895" s="332"/>
      <c r="O895" s="332"/>
      <c r="P895" s="332"/>
      <c r="Q895" s="332"/>
      <c r="R895" s="332"/>
      <c r="S895" s="332"/>
      <c r="T895" s="332"/>
      <c r="U895" s="332"/>
      <c r="V895" s="332"/>
      <c r="W895" s="332"/>
      <c r="X895" s="332"/>
      <c r="Y895" s="332"/>
      <c r="Z895" s="332"/>
    </row>
    <row r="896" ht="15.75" customHeight="1">
      <c r="A896" s="27"/>
      <c r="B896" s="27"/>
      <c r="C896" s="27"/>
      <c r="D896" s="114"/>
      <c r="E896" s="114"/>
      <c r="F896" s="27"/>
      <c r="G896" s="27"/>
      <c r="H896" s="332"/>
      <c r="I896" s="332"/>
      <c r="J896" s="332"/>
      <c r="K896" s="332"/>
      <c r="L896" s="332"/>
      <c r="M896" s="332"/>
      <c r="N896" s="332"/>
      <c r="O896" s="332"/>
      <c r="P896" s="332"/>
      <c r="Q896" s="332"/>
      <c r="R896" s="332"/>
      <c r="S896" s="332"/>
      <c r="T896" s="332"/>
      <c r="U896" s="332"/>
      <c r="V896" s="332"/>
      <c r="W896" s="332"/>
      <c r="X896" s="332"/>
      <c r="Y896" s="332"/>
      <c r="Z896" s="332"/>
    </row>
    <row r="897" ht="15.75" customHeight="1">
      <c r="A897" s="27"/>
      <c r="B897" s="27"/>
      <c r="C897" s="27"/>
      <c r="D897" s="114"/>
      <c r="E897" s="114"/>
      <c r="F897" s="27"/>
      <c r="G897" s="27"/>
      <c r="H897" s="332"/>
      <c r="I897" s="332"/>
      <c r="J897" s="332"/>
      <c r="K897" s="332"/>
      <c r="L897" s="332"/>
      <c r="M897" s="332"/>
      <c r="N897" s="332"/>
      <c r="O897" s="332"/>
      <c r="P897" s="332"/>
      <c r="Q897" s="332"/>
      <c r="R897" s="332"/>
      <c r="S897" s="332"/>
      <c r="T897" s="332"/>
      <c r="U897" s="332"/>
      <c r="V897" s="332"/>
      <c r="W897" s="332"/>
      <c r="X897" s="332"/>
      <c r="Y897" s="332"/>
      <c r="Z897" s="332"/>
    </row>
    <row r="898" ht="15.75" customHeight="1">
      <c r="A898" s="27"/>
      <c r="B898" s="27"/>
      <c r="C898" s="27"/>
      <c r="D898" s="114"/>
      <c r="E898" s="114"/>
      <c r="F898" s="27"/>
      <c r="G898" s="27"/>
      <c r="H898" s="332"/>
      <c r="I898" s="332"/>
      <c r="J898" s="332"/>
      <c r="K898" s="332"/>
      <c r="L898" s="332"/>
      <c r="M898" s="332"/>
      <c r="N898" s="332"/>
      <c r="O898" s="332"/>
      <c r="P898" s="332"/>
      <c r="Q898" s="332"/>
      <c r="R898" s="332"/>
      <c r="S898" s="332"/>
      <c r="T898" s="332"/>
      <c r="U898" s="332"/>
      <c r="V898" s="332"/>
      <c r="W898" s="332"/>
      <c r="X898" s="332"/>
      <c r="Y898" s="332"/>
      <c r="Z898" s="332"/>
    </row>
    <row r="899" ht="15.75" customHeight="1">
      <c r="A899" s="27"/>
      <c r="B899" s="27"/>
      <c r="C899" s="27"/>
      <c r="D899" s="114"/>
      <c r="E899" s="114"/>
      <c r="F899" s="27"/>
      <c r="G899" s="27"/>
      <c r="H899" s="332"/>
      <c r="I899" s="332"/>
      <c r="J899" s="332"/>
      <c r="K899" s="332"/>
      <c r="L899" s="332"/>
      <c r="M899" s="332"/>
      <c r="N899" s="332"/>
      <c r="O899" s="332"/>
      <c r="P899" s="332"/>
      <c r="Q899" s="332"/>
      <c r="R899" s="332"/>
      <c r="S899" s="332"/>
      <c r="T899" s="332"/>
      <c r="U899" s="332"/>
      <c r="V899" s="332"/>
      <c r="W899" s="332"/>
      <c r="X899" s="332"/>
      <c r="Y899" s="332"/>
      <c r="Z899" s="332"/>
    </row>
    <row r="900" ht="15.75" customHeight="1">
      <c r="A900" s="27"/>
      <c r="B900" s="27"/>
      <c r="C900" s="27"/>
      <c r="D900" s="114"/>
      <c r="E900" s="114"/>
      <c r="F900" s="27"/>
      <c r="G900" s="27"/>
      <c r="H900" s="332"/>
      <c r="I900" s="332"/>
      <c r="J900" s="332"/>
      <c r="K900" s="332"/>
      <c r="L900" s="332"/>
      <c r="M900" s="332"/>
      <c r="N900" s="332"/>
      <c r="O900" s="332"/>
      <c r="P900" s="332"/>
      <c r="Q900" s="332"/>
      <c r="R900" s="332"/>
      <c r="S900" s="332"/>
      <c r="T900" s="332"/>
      <c r="U900" s="332"/>
      <c r="V900" s="332"/>
      <c r="W900" s="332"/>
      <c r="X900" s="332"/>
      <c r="Y900" s="332"/>
      <c r="Z900" s="332"/>
    </row>
    <row r="901" ht="15.75" customHeight="1">
      <c r="A901" s="27"/>
      <c r="B901" s="27"/>
      <c r="C901" s="27"/>
      <c r="D901" s="114"/>
      <c r="E901" s="114"/>
      <c r="F901" s="27"/>
      <c r="G901" s="27"/>
      <c r="H901" s="332"/>
      <c r="I901" s="332"/>
      <c r="J901" s="332"/>
      <c r="K901" s="332"/>
      <c r="L901" s="332"/>
      <c r="M901" s="332"/>
      <c r="N901" s="332"/>
      <c r="O901" s="332"/>
      <c r="P901" s="332"/>
      <c r="Q901" s="332"/>
      <c r="R901" s="332"/>
      <c r="S901" s="332"/>
      <c r="T901" s="332"/>
      <c r="U901" s="332"/>
      <c r="V901" s="332"/>
      <c r="W901" s="332"/>
      <c r="X901" s="332"/>
      <c r="Y901" s="332"/>
      <c r="Z901" s="332"/>
    </row>
    <row r="902" ht="15.75" customHeight="1">
      <c r="A902" s="27"/>
      <c r="B902" s="27"/>
      <c r="C902" s="27"/>
      <c r="D902" s="114"/>
      <c r="E902" s="114"/>
      <c r="F902" s="27"/>
      <c r="G902" s="27"/>
      <c r="H902" s="332"/>
      <c r="I902" s="332"/>
      <c r="J902" s="332"/>
      <c r="K902" s="332"/>
      <c r="L902" s="332"/>
      <c r="M902" s="332"/>
      <c r="N902" s="332"/>
      <c r="O902" s="332"/>
      <c r="P902" s="332"/>
      <c r="Q902" s="332"/>
      <c r="R902" s="332"/>
      <c r="S902" s="332"/>
      <c r="T902" s="332"/>
      <c r="U902" s="332"/>
      <c r="V902" s="332"/>
      <c r="W902" s="332"/>
      <c r="X902" s="332"/>
      <c r="Y902" s="332"/>
      <c r="Z902" s="332"/>
    </row>
    <row r="903" ht="15.75" customHeight="1">
      <c r="A903" s="27"/>
      <c r="B903" s="27"/>
      <c r="C903" s="27"/>
      <c r="D903" s="114"/>
      <c r="E903" s="114"/>
      <c r="F903" s="27"/>
      <c r="G903" s="27"/>
      <c r="H903" s="332"/>
      <c r="I903" s="332"/>
      <c r="J903" s="332"/>
      <c r="K903" s="332"/>
      <c r="L903" s="332"/>
      <c r="M903" s="332"/>
      <c r="N903" s="332"/>
      <c r="O903" s="332"/>
      <c r="P903" s="332"/>
      <c r="Q903" s="332"/>
      <c r="R903" s="332"/>
      <c r="S903" s="332"/>
      <c r="T903" s="332"/>
      <c r="U903" s="332"/>
      <c r="V903" s="332"/>
      <c r="W903" s="332"/>
      <c r="X903" s="332"/>
      <c r="Y903" s="332"/>
      <c r="Z903" s="332"/>
    </row>
    <row r="904" ht="15.75" customHeight="1">
      <c r="A904" s="27"/>
      <c r="B904" s="27"/>
      <c r="C904" s="27"/>
      <c r="D904" s="114"/>
      <c r="E904" s="114"/>
      <c r="F904" s="27"/>
      <c r="G904" s="27"/>
      <c r="H904" s="332"/>
      <c r="I904" s="332"/>
      <c r="J904" s="332"/>
      <c r="K904" s="332"/>
      <c r="L904" s="332"/>
      <c r="M904" s="332"/>
      <c r="N904" s="332"/>
      <c r="O904" s="332"/>
      <c r="P904" s="332"/>
      <c r="Q904" s="332"/>
      <c r="R904" s="332"/>
      <c r="S904" s="332"/>
      <c r="T904" s="332"/>
      <c r="U904" s="332"/>
      <c r="V904" s="332"/>
      <c r="W904" s="332"/>
      <c r="X904" s="332"/>
      <c r="Y904" s="332"/>
      <c r="Z904" s="332"/>
    </row>
    <row r="905" ht="15.75" customHeight="1">
      <c r="A905" s="27"/>
      <c r="B905" s="27"/>
      <c r="C905" s="27"/>
      <c r="D905" s="114"/>
      <c r="E905" s="114"/>
      <c r="F905" s="27"/>
      <c r="G905" s="27"/>
      <c r="H905" s="332"/>
      <c r="I905" s="332"/>
      <c r="J905" s="332"/>
      <c r="K905" s="332"/>
      <c r="L905" s="332"/>
      <c r="M905" s="332"/>
      <c r="N905" s="332"/>
      <c r="O905" s="332"/>
      <c r="P905" s="332"/>
      <c r="Q905" s="332"/>
      <c r="R905" s="332"/>
      <c r="S905" s="332"/>
      <c r="T905" s="332"/>
      <c r="U905" s="332"/>
      <c r="V905" s="332"/>
      <c r="W905" s="332"/>
      <c r="X905" s="332"/>
      <c r="Y905" s="332"/>
      <c r="Z905" s="332"/>
    </row>
    <row r="906" ht="15.75" customHeight="1">
      <c r="A906" s="27"/>
      <c r="B906" s="27"/>
      <c r="C906" s="27"/>
      <c r="D906" s="114"/>
      <c r="E906" s="114"/>
      <c r="F906" s="27"/>
      <c r="G906" s="27"/>
      <c r="H906" s="332"/>
      <c r="I906" s="332"/>
      <c r="J906" s="332"/>
      <c r="K906" s="332"/>
      <c r="L906" s="332"/>
      <c r="M906" s="332"/>
      <c r="N906" s="332"/>
      <c r="O906" s="332"/>
      <c r="P906" s="332"/>
      <c r="Q906" s="332"/>
      <c r="R906" s="332"/>
      <c r="S906" s="332"/>
      <c r="T906" s="332"/>
      <c r="U906" s="332"/>
      <c r="V906" s="332"/>
      <c r="W906" s="332"/>
      <c r="X906" s="332"/>
      <c r="Y906" s="332"/>
      <c r="Z906" s="332"/>
    </row>
    <row r="907" ht="15.75" customHeight="1">
      <c r="A907" s="27"/>
      <c r="B907" s="27"/>
      <c r="C907" s="27"/>
      <c r="D907" s="114"/>
      <c r="E907" s="114"/>
      <c r="F907" s="27"/>
      <c r="G907" s="27"/>
      <c r="H907" s="332"/>
      <c r="I907" s="332"/>
      <c r="J907" s="332"/>
      <c r="K907" s="332"/>
      <c r="L907" s="332"/>
      <c r="M907" s="332"/>
      <c r="N907" s="332"/>
      <c r="O907" s="332"/>
      <c r="P907" s="332"/>
      <c r="Q907" s="332"/>
      <c r="R907" s="332"/>
      <c r="S907" s="332"/>
      <c r="T907" s="332"/>
      <c r="U907" s="332"/>
      <c r="V907" s="332"/>
      <c r="W907" s="332"/>
      <c r="X907" s="332"/>
      <c r="Y907" s="332"/>
      <c r="Z907" s="332"/>
    </row>
    <row r="908" ht="15.75" customHeight="1">
      <c r="A908" s="27"/>
      <c r="B908" s="27"/>
      <c r="C908" s="27"/>
      <c r="D908" s="114"/>
      <c r="E908" s="114"/>
      <c r="F908" s="27"/>
      <c r="G908" s="27"/>
      <c r="H908" s="332"/>
      <c r="I908" s="332"/>
      <c r="J908" s="332"/>
      <c r="K908" s="332"/>
      <c r="L908" s="332"/>
      <c r="M908" s="332"/>
      <c r="N908" s="332"/>
      <c r="O908" s="332"/>
      <c r="P908" s="332"/>
      <c r="Q908" s="332"/>
      <c r="R908" s="332"/>
      <c r="S908" s="332"/>
      <c r="T908" s="332"/>
      <c r="U908" s="332"/>
      <c r="V908" s="332"/>
      <c r="W908" s="332"/>
      <c r="X908" s="332"/>
      <c r="Y908" s="332"/>
      <c r="Z908" s="332"/>
    </row>
    <row r="909" ht="15.75" customHeight="1">
      <c r="A909" s="27"/>
      <c r="B909" s="27"/>
      <c r="C909" s="27"/>
      <c r="D909" s="114"/>
      <c r="E909" s="114"/>
      <c r="F909" s="27"/>
      <c r="G909" s="27"/>
      <c r="H909" s="332"/>
      <c r="I909" s="332"/>
      <c r="J909" s="332"/>
      <c r="K909" s="332"/>
      <c r="L909" s="332"/>
      <c r="M909" s="332"/>
      <c r="N909" s="332"/>
      <c r="O909" s="332"/>
      <c r="P909" s="332"/>
      <c r="Q909" s="332"/>
      <c r="R909" s="332"/>
      <c r="S909" s="332"/>
      <c r="T909" s="332"/>
      <c r="U909" s="332"/>
      <c r="V909" s="332"/>
      <c r="W909" s="332"/>
      <c r="X909" s="332"/>
      <c r="Y909" s="332"/>
      <c r="Z909" s="332"/>
    </row>
    <row r="910" ht="15.75" customHeight="1">
      <c r="A910" s="27"/>
      <c r="B910" s="27"/>
      <c r="C910" s="27"/>
      <c r="D910" s="114"/>
      <c r="E910" s="114"/>
      <c r="F910" s="27"/>
      <c r="G910" s="27"/>
      <c r="H910" s="332"/>
      <c r="I910" s="332"/>
      <c r="J910" s="332"/>
      <c r="K910" s="332"/>
      <c r="L910" s="332"/>
      <c r="M910" s="332"/>
      <c r="N910" s="332"/>
      <c r="O910" s="332"/>
      <c r="P910" s="332"/>
      <c r="Q910" s="332"/>
      <c r="R910" s="332"/>
      <c r="S910" s="332"/>
      <c r="T910" s="332"/>
      <c r="U910" s="332"/>
      <c r="V910" s="332"/>
      <c r="W910" s="332"/>
      <c r="X910" s="332"/>
      <c r="Y910" s="332"/>
      <c r="Z910" s="332"/>
    </row>
    <row r="911" ht="15.75" customHeight="1">
      <c r="A911" s="27"/>
      <c r="B911" s="27"/>
      <c r="C911" s="27"/>
      <c r="D911" s="114"/>
      <c r="E911" s="114"/>
      <c r="F911" s="27"/>
      <c r="G911" s="27"/>
      <c r="H911" s="332"/>
      <c r="I911" s="332"/>
      <c r="J911" s="332"/>
      <c r="K911" s="332"/>
      <c r="L911" s="332"/>
      <c r="M911" s="332"/>
      <c r="N911" s="332"/>
      <c r="O911" s="332"/>
      <c r="P911" s="332"/>
      <c r="Q911" s="332"/>
      <c r="R911" s="332"/>
      <c r="S911" s="332"/>
      <c r="T911" s="332"/>
      <c r="U911" s="332"/>
      <c r="V911" s="332"/>
      <c r="W911" s="332"/>
      <c r="X911" s="332"/>
      <c r="Y911" s="332"/>
      <c r="Z911" s="332"/>
    </row>
    <row r="912" ht="15.75" customHeight="1">
      <c r="A912" s="27"/>
      <c r="B912" s="27"/>
      <c r="C912" s="27"/>
      <c r="D912" s="114"/>
      <c r="E912" s="114"/>
      <c r="F912" s="27"/>
      <c r="G912" s="27"/>
      <c r="H912" s="332"/>
      <c r="I912" s="332"/>
      <c r="J912" s="332"/>
      <c r="K912" s="332"/>
      <c r="L912" s="332"/>
      <c r="M912" s="332"/>
      <c r="N912" s="332"/>
      <c r="O912" s="332"/>
      <c r="P912" s="332"/>
      <c r="Q912" s="332"/>
      <c r="R912" s="332"/>
      <c r="S912" s="332"/>
      <c r="T912" s="332"/>
      <c r="U912" s="332"/>
      <c r="V912" s="332"/>
      <c r="W912" s="332"/>
      <c r="X912" s="332"/>
      <c r="Y912" s="332"/>
      <c r="Z912" s="332"/>
    </row>
    <row r="913" ht="15.75" customHeight="1">
      <c r="A913" s="27"/>
      <c r="B913" s="27"/>
      <c r="C913" s="27"/>
      <c r="D913" s="114"/>
      <c r="E913" s="114"/>
      <c r="F913" s="27"/>
      <c r="G913" s="27"/>
      <c r="H913" s="332"/>
      <c r="I913" s="332"/>
      <c r="J913" s="332"/>
      <c r="K913" s="332"/>
      <c r="L913" s="332"/>
      <c r="M913" s="332"/>
      <c r="N913" s="332"/>
      <c r="O913" s="332"/>
      <c r="P913" s="332"/>
      <c r="Q913" s="332"/>
      <c r="R913" s="332"/>
      <c r="S913" s="332"/>
      <c r="T913" s="332"/>
      <c r="U913" s="332"/>
      <c r="V913" s="332"/>
      <c r="W913" s="332"/>
      <c r="X913" s="332"/>
      <c r="Y913" s="332"/>
      <c r="Z913" s="332"/>
    </row>
    <row r="914" ht="15.75" customHeight="1">
      <c r="A914" s="27"/>
      <c r="B914" s="27"/>
      <c r="C914" s="27"/>
      <c r="D914" s="114"/>
      <c r="E914" s="114"/>
      <c r="F914" s="27"/>
      <c r="G914" s="27"/>
      <c r="H914" s="332"/>
      <c r="I914" s="332"/>
      <c r="J914" s="332"/>
      <c r="K914" s="332"/>
      <c r="L914" s="332"/>
      <c r="M914" s="332"/>
      <c r="N914" s="332"/>
      <c r="O914" s="332"/>
      <c r="P914" s="332"/>
      <c r="Q914" s="332"/>
      <c r="R914" s="332"/>
      <c r="S914" s="332"/>
      <c r="T914" s="332"/>
      <c r="U914" s="332"/>
      <c r="V914" s="332"/>
      <c r="W914" s="332"/>
      <c r="X914" s="332"/>
      <c r="Y914" s="332"/>
      <c r="Z914" s="332"/>
    </row>
    <row r="915" ht="15.75" customHeight="1">
      <c r="A915" s="27"/>
      <c r="B915" s="27"/>
      <c r="C915" s="27"/>
      <c r="D915" s="114"/>
      <c r="E915" s="114"/>
      <c r="F915" s="27"/>
      <c r="G915" s="27"/>
      <c r="H915" s="332"/>
      <c r="I915" s="332"/>
      <c r="J915" s="332"/>
      <c r="K915" s="332"/>
      <c r="L915" s="332"/>
      <c r="M915" s="332"/>
      <c r="N915" s="332"/>
      <c r="O915" s="332"/>
      <c r="P915" s="332"/>
      <c r="Q915" s="332"/>
      <c r="R915" s="332"/>
      <c r="S915" s="332"/>
      <c r="T915" s="332"/>
      <c r="U915" s="332"/>
      <c r="V915" s="332"/>
      <c r="W915" s="332"/>
      <c r="X915" s="332"/>
      <c r="Y915" s="332"/>
      <c r="Z915" s="332"/>
    </row>
    <row r="916" ht="15.75" customHeight="1">
      <c r="A916" s="27"/>
      <c r="B916" s="27"/>
      <c r="C916" s="27"/>
      <c r="D916" s="114"/>
      <c r="E916" s="114"/>
      <c r="F916" s="27"/>
      <c r="G916" s="27"/>
      <c r="H916" s="332"/>
      <c r="I916" s="332"/>
      <c r="J916" s="332"/>
      <c r="K916" s="332"/>
      <c r="L916" s="332"/>
      <c r="M916" s="332"/>
      <c r="N916" s="332"/>
      <c r="O916" s="332"/>
      <c r="P916" s="332"/>
      <c r="Q916" s="332"/>
      <c r="R916" s="332"/>
      <c r="S916" s="332"/>
      <c r="T916" s="332"/>
      <c r="U916" s="332"/>
      <c r="V916" s="332"/>
      <c r="W916" s="332"/>
      <c r="X916" s="332"/>
      <c r="Y916" s="332"/>
      <c r="Z916" s="332"/>
    </row>
    <row r="917" ht="15.75" customHeight="1">
      <c r="A917" s="27"/>
      <c r="B917" s="27"/>
      <c r="C917" s="27"/>
      <c r="D917" s="114"/>
      <c r="E917" s="114"/>
      <c r="F917" s="27"/>
      <c r="G917" s="27"/>
      <c r="H917" s="332"/>
      <c r="I917" s="332"/>
      <c r="J917" s="332"/>
      <c r="K917" s="332"/>
      <c r="L917" s="332"/>
      <c r="M917" s="332"/>
      <c r="N917" s="332"/>
      <c r="O917" s="332"/>
      <c r="P917" s="332"/>
      <c r="Q917" s="332"/>
      <c r="R917" s="332"/>
      <c r="S917" s="332"/>
      <c r="T917" s="332"/>
      <c r="U917" s="332"/>
      <c r="V917" s="332"/>
      <c r="W917" s="332"/>
      <c r="X917" s="332"/>
      <c r="Y917" s="332"/>
      <c r="Z917" s="332"/>
    </row>
    <row r="918" ht="15.75" customHeight="1">
      <c r="A918" s="27"/>
      <c r="B918" s="27"/>
      <c r="C918" s="27"/>
      <c r="D918" s="114"/>
      <c r="E918" s="114"/>
      <c r="F918" s="27"/>
      <c r="G918" s="27"/>
      <c r="H918" s="332"/>
      <c r="I918" s="332"/>
      <c r="J918" s="332"/>
      <c r="K918" s="332"/>
      <c r="L918" s="332"/>
      <c r="M918" s="332"/>
      <c r="N918" s="332"/>
      <c r="O918" s="332"/>
      <c r="P918" s="332"/>
      <c r="Q918" s="332"/>
      <c r="R918" s="332"/>
      <c r="S918" s="332"/>
      <c r="T918" s="332"/>
      <c r="U918" s="332"/>
      <c r="V918" s="332"/>
      <c r="W918" s="332"/>
      <c r="X918" s="332"/>
      <c r="Y918" s="332"/>
      <c r="Z918" s="332"/>
    </row>
    <row r="919" ht="15.75" customHeight="1">
      <c r="A919" s="27"/>
      <c r="B919" s="27"/>
      <c r="C919" s="27"/>
      <c r="D919" s="114"/>
      <c r="E919" s="114"/>
      <c r="F919" s="27"/>
      <c r="G919" s="27"/>
      <c r="H919" s="332"/>
      <c r="I919" s="332"/>
      <c r="J919" s="332"/>
      <c r="K919" s="332"/>
      <c r="L919" s="332"/>
      <c r="M919" s="332"/>
      <c r="N919" s="332"/>
      <c r="O919" s="332"/>
      <c r="P919" s="332"/>
      <c r="Q919" s="332"/>
      <c r="R919" s="332"/>
      <c r="S919" s="332"/>
      <c r="T919" s="332"/>
      <c r="U919" s="332"/>
      <c r="V919" s="332"/>
      <c r="W919" s="332"/>
      <c r="X919" s="332"/>
      <c r="Y919" s="332"/>
      <c r="Z919" s="332"/>
    </row>
    <row r="920" ht="15.75" customHeight="1">
      <c r="A920" s="27"/>
      <c r="B920" s="27"/>
      <c r="C920" s="27"/>
      <c r="D920" s="114"/>
      <c r="E920" s="114"/>
      <c r="F920" s="27"/>
      <c r="G920" s="27"/>
      <c r="H920" s="332"/>
      <c r="I920" s="332"/>
      <c r="J920" s="332"/>
      <c r="K920" s="332"/>
      <c r="L920" s="332"/>
      <c r="M920" s="332"/>
      <c r="N920" s="332"/>
      <c r="O920" s="332"/>
      <c r="P920" s="332"/>
      <c r="Q920" s="332"/>
      <c r="R920" s="332"/>
      <c r="S920" s="332"/>
      <c r="T920" s="332"/>
      <c r="U920" s="332"/>
      <c r="V920" s="332"/>
      <c r="W920" s="332"/>
      <c r="X920" s="332"/>
      <c r="Y920" s="332"/>
      <c r="Z920" s="332"/>
    </row>
    <row r="921" ht="15.75" customHeight="1">
      <c r="A921" s="27"/>
      <c r="B921" s="27"/>
      <c r="C921" s="27"/>
      <c r="D921" s="114"/>
      <c r="E921" s="114"/>
      <c r="F921" s="27"/>
      <c r="G921" s="27"/>
      <c r="H921" s="332"/>
      <c r="I921" s="332"/>
      <c r="J921" s="332"/>
      <c r="K921" s="332"/>
      <c r="L921" s="332"/>
      <c r="M921" s="332"/>
      <c r="N921" s="332"/>
      <c r="O921" s="332"/>
      <c r="P921" s="332"/>
      <c r="Q921" s="332"/>
      <c r="R921" s="332"/>
      <c r="S921" s="332"/>
      <c r="T921" s="332"/>
      <c r="U921" s="332"/>
      <c r="V921" s="332"/>
      <c r="W921" s="332"/>
      <c r="X921" s="332"/>
      <c r="Y921" s="332"/>
      <c r="Z921" s="332"/>
    </row>
    <row r="922" ht="15.75" customHeight="1">
      <c r="A922" s="27"/>
      <c r="B922" s="27"/>
      <c r="C922" s="27"/>
      <c r="D922" s="114"/>
      <c r="E922" s="114"/>
      <c r="F922" s="27"/>
      <c r="G922" s="27"/>
      <c r="H922" s="332"/>
      <c r="I922" s="332"/>
      <c r="J922" s="332"/>
      <c r="K922" s="332"/>
      <c r="L922" s="332"/>
      <c r="M922" s="332"/>
      <c r="N922" s="332"/>
      <c r="O922" s="332"/>
      <c r="P922" s="332"/>
      <c r="Q922" s="332"/>
      <c r="R922" s="332"/>
      <c r="S922" s="332"/>
      <c r="T922" s="332"/>
      <c r="U922" s="332"/>
      <c r="V922" s="332"/>
      <c r="W922" s="332"/>
      <c r="X922" s="332"/>
      <c r="Y922" s="332"/>
      <c r="Z922" s="332"/>
    </row>
    <row r="923" ht="15.75" customHeight="1">
      <c r="A923" s="27"/>
      <c r="B923" s="27"/>
      <c r="C923" s="27"/>
      <c r="D923" s="114"/>
      <c r="E923" s="114"/>
      <c r="F923" s="27"/>
      <c r="G923" s="27"/>
      <c r="H923" s="332"/>
      <c r="I923" s="332"/>
      <c r="J923" s="332"/>
      <c r="K923" s="332"/>
      <c r="L923" s="332"/>
      <c r="M923" s="332"/>
      <c r="N923" s="332"/>
      <c r="O923" s="332"/>
      <c r="P923" s="332"/>
      <c r="Q923" s="332"/>
      <c r="R923" s="332"/>
      <c r="S923" s="332"/>
      <c r="T923" s="332"/>
      <c r="U923" s="332"/>
      <c r="V923" s="332"/>
      <c r="W923" s="332"/>
      <c r="X923" s="332"/>
      <c r="Y923" s="332"/>
      <c r="Z923" s="332"/>
    </row>
    <row r="924" ht="15.75" customHeight="1">
      <c r="A924" s="27"/>
      <c r="B924" s="27"/>
      <c r="C924" s="27"/>
      <c r="D924" s="114"/>
      <c r="E924" s="114"/>
      <c r="F924" s="27"/>
      <c r="G924" s="27"/>
      <c r="H924" s="332"/>
      <c r="I924" s="332"/>
      <c r="J924" s="332"/>
      <c r="K924" s="332"/>
      <c r="L924" s="332"/>
      <c r="M924" s="332"/>
      <c r="N924" s="332"/>
      <c r="O924" s="332"/>
      <c r="P924" s="332"/>
      <c r="Q924" s="332"/>
      <c r="R924" s="332"/>
      <c r="S924" s="332"/>
      <c r="T924" s="332"/>
      <c r="U924" s="332"/>
      <c r="V924" s="332"/>
      <c r="W924" s="332"/>
      <c r="X924" s="332"/>
      <c r="Y924" s="332"/>
      <c r="Z924" s="332"/>
    </row>
    <row r="925" ht="15.75" customHeight="1">
      <c r="A925" s="27"/>
      <c r="B925" s="27"/>
      <c r="C925" s="27"/>
      <c r="D925" s="114"/>
      <c r="E925" s="114"/>
      <c r="F925" s="27"/>
      <c r="G925" s="27"/>
      <c r="H925" s="332"/>
      <c r="I925" s="332"/>
      <c r="J925" s="332"/>
      <c r="K925" s="332"/>
      <c r="L925" s="332"/>
      <c r="M925" s="332"/>
      <c r="N925" s="332"/>
      <c r="O925" s="332"/>
      <c r="P925" s="332"/>
      <c r="Q925" s="332"/>
      <c r="R925" s="332"/>
      <c r="S925" s="332"/>
      <c r="T925" s="332"/>
      <c r="U925" s="332"/>
      <c r="V925" s="332"/>
      <c r="W925" s="332"/>
      <c r="X925" s="332"/>
      <c r="Y925" s="332"/>
      <c r="Z925" s="332"/>
    </row>
    <row r="926" ht="15.75" customHeight="1">
      <c r="A926" s="27"/>
      <c r="B926" s="27"/>
      <c r="C926" s="27"/>
      <c r="D926" s="114"/>
      <c r="E926" s="114"/>
      <c r="F926" s="27"/>
      <c r="G926" s="27"/>
      <c r="H926" s="332"/>
      <c r="I926" s="332"/>
      <c r="J926" s="332"/>
      <c r="K926" s="332"/>
      <c r="L926" s="332"/>
      <c r="M926" s="332"/>
      <c r="N926" s="332"/>
      <c r="O926" s="332"/>
      <c r="P926" s="332"/>
      <c r="Q926" s="332"/>
      <c r="R926" s="332"/>
      <c r="S926" s="332"/>
      <c r="T926" s="332"/>
      <c r="U926" s="332"/>
      <c r="V926" s="332"/>
      <c r="W926" s="332"/>
      <c r="X926" s="332"/>
      <c r="Y926" s="332"/>
      <c r="Z926" s="332"/>
    </row>
    <row r="927" ht="15.75" customHeight="1">
      <c r="A927" s="27"/>
      <c r="B927" s="27"/>
      <c r="C927" s="27"/>
      <c r="D927" s="114"/>
      <c r="E927" s="114"/>
      <c r="F927" s="27"/>
      <c r="G927" s="27"/>
      <c r="H927" s="332"/>
      <c r="I927" s="332"/>
      <c r="J927" s="332"/>
      <c r="K927" s="332"/>
      <c r="L927" s="332"/>
      <c r="M927" s="332"/>
      <c r="N927" s="332"/>
      <c r="O927" s="332"/>
      <c r="P927" s="332"/>
      <c r="Q927" s="332"/>
      <c r="R927" s="332"/>
      <c r="S927" s="332"/>
      <c r="T927" s="332"/>
      <c r="U927" s="332"/>
      <c r="V927" s="332"/>
      <c r="W927" s="332"/>
      <c r="X927" s="332"/>
      <c r="Y927" s="332"/>
      <c r="Z927" s="332"/>
    </row>
    <row r="928" ht="15.75" customHeight="1">
      <c r="A928" s="27"/>
      <c r="B928" s="27"/>
      <c r="C928" s="27"/>
      <c r="D928" s="114"/>
      <c r="E928" s="114"/>
      <c r="F928" s="27"/>
      <c r="G928" s="27"/>
      <c r="H928" s="332"/>
      <c r="I928" s="332"/>
      <c r="J928" s="332"/>
      <c r="K928" s="332"/>
      <c r="L928" s="332"/>
      <c r="M928" s="332"/>
      <c r="N928" s="332"/>
      <c r="O928" s="332"/>
      <c r="P928" s="332"/>
      <c r="Q928" s="332"/>
      <c r="R928" s="332"/>
      <c r="S928" s="332"/>
      <c r="T928" s="332"/>
      <c r="U928" s="332"/>
      <c r="V928" s="332"/>
      <c r="W928" s="332"/>
      <c r="X928" s="332"/>
      <c r="Y928" s="332"/>
      <c r="Z928" s="332"/>
    </row>
    <row r="929" ht="15.75" customHeight="1">
      <c r="A929" s="27"/>
      <c r="B929" s="27"/>
      <c r="C929" s="27"/>
      <c r="D929" s="114"/>
      <c r="E929" s="114"/>
      <c r="F929" s="27"/>
      <c r="G929" s="27"/>
      <c r="H929" s="332"/>
      <c r="I929" s="332"/>
      <c r="J929" s="332"/>
      <c r="K929" s="332"/>
      <c r="L929" s="332"/>
      <c r="M929" s="332"/>
      <c r="N929" s="332"/>
      <c r="O929" s="332"/>
      <c r="P929" s="332"/>
      <c r="Q929" s="332"/>
      <c r="R929" s="332"/>
      <c r="S929" s="332"/>
      <c r="T929" s="332"/>
      <c r="U929" s="332"/>
      <c r="V929" s="332"/>
      <c r="W929" s="332"/>
      <c r="X929" s="332"/>
      <c r="Y929" s="332"/>
      <c r="Z929" s="332"/>
    </row>
    <row r="930" ht="15.75" customHeight="1">
      <c r="A930" s="27"/>
      <c r="B930" s="27"/>
      <c r="C930" s="27"/>
      <c r="D930" s="114"/>
      <c r="E930" s="114"/>
      <c r="F930" s="27"/>
      <c r="G930" s="27"/>
      <c r="H930" s="332"/>
      <c r="I930" s="332"/>
      <c r="J930" s="332"/>
      <c r="K930" s="332"/>
      <c r="L930" s="332"/>
      <c r="M930" s="332"/>
      <c r="N930" s="332"/>
      <c r="O930" s="332"/>
      <c r="P930" s="332"/>
      <c r="Q930" s="332"/>
      <c r="R930" s="332"/>
      <c r="S930" s="332"/>
      <c r="T930" s="332"/>
      <c r="U930" s="332"/>
      <c r="V930" s="332"/>
      <c r="W930" s="332"/>
      <c r="X930" s="332"/>
      <c r="Y930" s="332"/>
      <c r="Z930" s="332"/>
    </row>
    <row r="931" ht="15.75" customHeight="1">
      <c r="A931" s="27"/>
      <c r="B931" s="27"/>
      <c r="C931" s="27"/>
      <c r="D931" s="114"/>
      <c r="E931" s="114"/>
      <c r="F931" s="27"/>
      <c r="G931" s="27"/>
      <c r="H931" s="332"/>
      <c r="I931" s="332"/>
      <c r="J931" s="332"/>
      <c r="K931" s="332"/>
      <c r="L931" s="332"/>
      <c r="M931" s="332"/>
      <c r="N931" s="332"/>
      <c r="O931" s="332"/>
      <c r="P931" s="332"/>
      <c r="Q931" s="332"/>
      <c r="R931" s="332"/>
      <c r="S931" s="332"/>
      <c r="T931" s="332"/>
      <c r="U931" s="332"/>
      <c r="V931" s="332"/>
      <c r="W931" s="332"/>
      <c r="X931" s="332"/>
      <c r="Y931" s="332"/>
      <c r="Z931" s="332"/>
    </row>
    <row r="932" ht="15.75" customHeight="1">
      <c r="A932" s="27"/>
      <c r="B932" s="27"/>
      <c r="C932" s="27"/>
      <c r="D932" s="114"/>
      <c r="E932" s="114"/>
      <c r="F932" s="27"/>
      <c r="G932" s="27"/>
      <c r="H932" s="332"/>
      <c r="I932" s="332"/>
      <c r="J932" s="332"/>
      <c r="K932" s="332"/>
      <c r="L932" s="332"/>
      <c r="M932" s="332"/>
      <c r="N932" s="332"/>
      <c r="O932" s="332"/>
      <c r="P932" s="332"/>
      <c r="Q932" s="332"/>
      <c r="R932" s="332"/>
      <c r="S932" s="332"/>
      <c r="T932" s="332"/>
      <c r="U932" s="332"/>
      <c r="V932" s="332"/>
      <c r="W932" s="332"/>
      <c r="X932" s="332"/>
      <c r="Y932" s="332"/>
      <c r="Z932" s="332"/>
    </row>
    <row r="933" ht="15.75" customHeight="1">
      <c r="A933" s="27"/>
      <c r="B933" s="27"/>
      <c r="C933" s="27"/>
      <c r="D933" s="114"/>
      <c r="E933" s="114"/>
      <c r="F933" s="27"/>
      <c r="G933" s="27"/>
      <c r="H933" s="332"/>
      <c r="I933" s="332"/>
      <c r="J933" s="332"/>
      <c r="K933" s="332"/>
      <c r="L933" s="332"/>
      <c r="M933" s="332"/>
      <c r="N933" s="332"/>
      <c r="O933" s="332"/>
      <c r="P933" s="332"/>
      <c r="Q933" s="332"/>
      <c r="R933" s="332"/>
      <c r="S933" s="332"/>
      <c r="T933" s="332"/>
      <c r="U933" s="332"/>
      <c r="V933" s="332"/>
      <c r="W933" s="332"/>
      <c r="X933" s="332"/>
      <c r="Y933" s="332"/>
      <c r="Z933" s="332"/>
    </row>
    <row r="934" ht="15.75" customHeight="1">
      <c r="A934" s="27"/>
      <c r="B934" s="27"/>
      <c r="C934" s="27"/>
      <c r="D934" s="114"/>
      <c r="E934" s="114"/>
      <c r="F934" s="27"/>
      <c r="G934" s="27"/>
      <c r="H934" s="332"/>
      <c r="I934" s="332"/>
      <c r="J934" s="332"/>
      <c r="K934" s="332"/>
      <c r="L934" s="332"/>
      <c r="M934" s="332"/>
      <c r="N934" s="332"/>
      <c r="O934" s="332"/>
      <c r="P934" s="332"/>
      <c r="Q934" s="332"/>
      <c r="R934" s="332"/>
      <c r="S934" s="332"/>
      <c r="T934" s="332"/>
      <c r="U934" s="332"/>
      <c r="V934" s="332"/>
      <c r="W934" s="332"/>
      <c r="X934" s="332"/>
      <c r="Y934" s="332"/>
      <c r="Z934" s="332"/>
    </row>
    <row r="935" ht="15.75" customHeight="1">
      <c r="A935" s="27"/>
      <c r="B935" s="27"/>
      <c r="C935" s="27"/>
      <c r="D935" s="114"/>
      <c r="E935" s="114"/>
      <c r="F935" s="27"/>
      <c r="G935" s="27"/>
      <c r="H935" s="332"/>
      <c r="I935" s="332"/>
      <c r="J935" s="332"/>
      <c r="K935" s="332"/>
      <c r="L935" s="332"/>
      <c r="M935" s="332"/>
      <c r="N935" s="332"/>
      <c r="O935" s="332"/>
      <c r="P935" s="332"/>
      <c r="Q935" s="332"/>
      <c r="R935" s="332"/>
      <c r="S935" s="332"/>
      <c r="T935" s="332"/>
      <c r="U935" s="332"/>
      <c r="V935" s="332"/>
      <c r="W935" s="332"/>
      <c r="X935" s="332"/>
      <c r="Y935" s="332"/>
      <c r="Z935" s="332"/>
    </row>
    <row r="936" ht="15.75" customHeight="1">
      <c r="A936" s="27"/>
      <c r="B936" s="27"/>
      <c r="C936" s="27"/>
      <c r="D936" s="114"/>
      <c r="E936" s="114"/>
      <c r="F936" s="27"/>
      <c r="G936" s="27"/>
      <c r="H936" s="332"/>
      <c r="I936" s="332"/>
      <c r="J936" s="332"/>
      <c r="K936" s="332"/>
      <c r="L936" s="332"/>
      <c r="M936" s="332"/>
      <c r="N936" s="332"/>
      <c r="O936" s="332"/>
      <c r="P936" s="332"/>
      <c r="Q936" s="332"/>
      <c r="R936" s="332"/>
      <c r="S936" s="332"/>
      <c r="T936" s="332"/>
      <c r="U936" s="332"/>
      <c r="V936" s="332"/>
      <c r="W936" s="332"/>
      <c r="X936" s="332"/>
      <c r="Y936" s="332"/>
      <c r="Z936" s="332"/>
    </row>
    <row r="937" ht="15.75" customHeight="1">
      <c r="A937" s="27"/>
      <c r="B937" s="27"/>
      <c r="C937" s="27"/>
      <c r="D937" s="114"/>
      <c r="E937" s="114"/>
      <c r="F937" s="27"/>
      <c r="G937" s="27"/>
      <c r="H937" s="332"/>
      <c r="I937" s="332"/>
      <c r="J937" s="332"/>
      <c r="K937" s="332"/>
      <c r="L937" s="332"/>
      <c r="M937" s="332"/>
      <c r="N937" s="332"/>
      <c r="O937" s="332"/>
      <c r="P937" s="332"/>
      <c r="Q937" s="332"/>
      <c r="R937" s="332"/>
      <c r="S937" s="332"/>
      <c r="T937" s="332"/>
      <c r="U937" s="332"/>
      <c r="V937" s="332"/>
      <c r="W937" s="332"/>
      <c r="X937" s="332"/>
      <c r="Y937" s="332"/>
      <c r="Z937" s="332"/>
    </row>
    <row r="938" ht="15.75" customHeight="1">
      <c r="A938" s="27"/>
      <c r="B938" s="27"/>
      <c r="C938" s="27"/>
      <c r="D938" s="114"/>
      <c r="E938" s="114"/>
      <c r="F938" s="27"/>
      <c r="G938" s="27"/>
      <c r="H938" s="332"/>
      <c r="I938" s="332"/>
      <c r="J938" s="332"/>
      <c r="K938" s="332"/>
      <c r="L938" s="332"/>
      <c r="M938" s="332"/>
      <c r="N938" s="332"/>
      <c r="O938" s="332"/>
      <c r="P938" s="332"/>
      <c r="Q938" s="332"/>
      <c r="R938" s="332"/>
      <c r="S938" s="332"/>
      <c r="T938" s="332"/>
      <c r="U938" s="332"/>
      <c r="V938" s="332"/>
      <c r="W938" s="332"/>
      <c r="X938" s="332"/>
      <c r="Y938" s="332"/>
      <c r="Z938" s="332"/>
    </row>
    <row r="939" ht="15.75" customHeight="1">
      <c r="A939" s="27"/>
      <c r="B939" s="27"/>
      <c r="C939" s="27"/>
      <c r="D939" s="114"/>
      <c r="E939" s="114"/>
      <c r="F939" s="27"/>
      <c r="G939" s="27"/>
      <c r="H939" s="332"/>
      <c r="I939" s="332"/>
      <c r="J939" s="332"/>
      <c r="K939" s="332"/>
      <c r="L939" s="332"/>
      <c r="M939" s="332"/>
      <c r="N939" s="332"/>
      <c r="O939" s="332"/>
      <c r="P939" s="332"/>
      <c r="Q939" s="332"/>
      <c r="R939" s="332"/>
      <c r="S939" s="332"/>
      <c r="T939" s="332"/>
      <c r="U939" s="332"/>
      <c r="V939" s="332"/>
      <c r="W939" s="332"/>
      <c r="X939" s="332"/>
      <c r="Y939" s="332"/>
      <c r="Z939" s="332"/>
    </row>
    <row r="940" ht="15.75" customHeight="1">
      <c r="A940" s="27"/>
      <c r="B940" s="27"/>
      <c r="C940" s="27"/>
      <c r="D940" s="114"/>
      <c r="E940" s="114"/>
      <c r="F940" s="27"/>
      <c r="G940" s="27"/>
      <c r="H940" s="332"/>
      <c r="I940" s="332"/>
      <c r="J940" s="332"/>
      <c r="K940" s="332"/>
      <c r="L940" s="332"/>
      <c r="M940" s="332"/>
      <c r="N940" s="332"/>
      <c r="O940" s="332"/>
      <c r="P940" s="332"/>
      <c r="Q940" s="332"/>
      <c r="R940" s="332"/>
      <c r="S940" s="332"/>
      <c r="T940" s="332"/>
      <c r="U940" s="332"/>
      <c r="V940" s="332"/>
      <c r="W940" s="332"/>
      <c r="X940" s="332"/>
      <c r="Y940" s="332"/>
      <c r="Z940" s="332"/>
    </row>
    <row r="941" ht="15.75" customHeight="1">
      <c r="A941" s="27"/>
      <c r="B941" s="27"/>
      <c r="C941" s="27"/>
      <c r="D941" s="114"/>
      <c r="E941" s="114"/>
      <c r="F941" s="27"/>
      <c r="G941" s="27"/>
      <c r="H941" s="332"/>
      <c r="I941" s="332"/>
      <c r="J941" s="332"/>
      <c r="K941" s="332"/>
      <c r="L941" s="332"/>
      <c r="M941" s="332"/>
      <c r="N941" s="332"/>
      <c r="O941" s="332"/>
      <c r="P941" s="332"/>
      <c r="Q941" s="332"/>
      <c r="R941" s="332"/>
      <c r="S941" s="332"/>
      <c r="T941" s="332"/>
      <c r="U941" s="332"/>
      <c r="V941" s="332"/>
      <c r="W941" s="332"/>
      <c r="X941" s="332"/>
      <c r="Y941" s="332"/>
      <c r="Z941" s="332"/>
    </row>
    <row r="942" ht="15.75" customHeight="1">
      <c r="A942" s="27"/>
      <c r="B942" s="27"/>
      <c r="C942" s="27"/>
      <c r="D942" s="114"/>
      <c r="E942" s="114"/>
      <c r="F942" s="27"/>
      <c r="G942" s="27"/>
      <c r="H942" s="332"/>
      <c r="I942" s="332"/>
      <c r="J942" s="332"/>
      <c r="K942" s="332"/>
      <c r="L942" s="332"/>
      <c r="M942" s="332"/>
      <c r="N942" s="332"/>
      <c r="O942" s="332"/>
      <c r="P942" s="332"/>
      <c r="Q942" s="332"/>
      <c r="R942" s="332"/>
      <c r="S942" s="332"/>
      <c r="T942" s="332"/>
      <c r="U942" s="332"/>
      <c r="V942" s="332"/>
      <c r="W942" s="332"/>
      <c r="X942" s="332"/>
      <c r="Y942" s="332"/>
      <c r="Z942" s="332"/>
    </row>
    <row r="943" ht="15.75" customHeight="1">
      <c r="A943" s="27"/>
      <c r="B943" s="27"/>
      <c r="C943" s="27"/>
      <c r="D943" s="114"/>
      <c r="E943" s="114"/>
      <c r="F943" s="27"/>
      <c r="G943" s="27"/>
      <c r="H943" s="332"/>
      <c r="I943" s="332"/>
      <c r="J943" s="332"/>
      <c r="K943" s="332"/>
      <c r="L943" s="332"/>
      <c r="M943" s="332"/>
      <c r="N943" s="332"/>
      <c r="O943" s="332"/>
      <c r="P943" s="332"/>
      <c r="Q943" s="332"/>
      <c r="R943" s="332"/>
      <c r="S943" s="332"/>
      <c r="T943" s="332"/>
      <c r="U943" s="332"/>
      <c r="V943" s="332"/>
      <c r="W943" s="332"/>
      <c r="X943" s="332"/>
      <c r="Y943" s="332"/>
      <c r="Z943" s="332"/>
    </row>
    <row r="944" ht="15.75" customHeight="1">
      <c r="A944" s="27"/>
      <c r="B944" s="27"/>
      <c r="C944" s="27"/>
      <c r="D944" s="114"/>
      <c r="E944" s="114"/>
      <c r="F944" s="27"/>
      <c r="G944" s="27"/>
      <c r="H944" s="332"/>
      <c r="I944" s="332"/>
      <c r="J944" s="332"/>
      <c r="K944" s="332"/>
      <c r="L944" s="332"/>
      <c r="M944" s="332"/>
      <c r="N944" s="332"/>
      <c r="O944" s="332"/>
      <c r="P944" s="332"/>
      <c r="Q944" s="332"/>
      <c r="R944" s="332"/>
      <c r="S944" s="332"/>
      <c r="T944" s="332"/>
      <c r="U944" s="332"/>
      <c r="V944" s="332"/>
      <c r="W944" s="332"/>
      <c r="X944" s="332"/>
      <c r="Y944" s="332"/>
      <c r="Z944" s="332"/>
    </row>
    <row r="945" ht="15.75" customHeight="1">
      <c r="A945" s="27"/>
      <c r="B945" s="27"/>
      <c r="C945" s="27"/>
      <c r="D945" s="114"/>
      <c r="E945" s="114"/>
      <c r="F945" s="27"/>
      <c r="G945" s="27"/>
      <c r="H945" s="332"/>
      <c r="I945" s="332"/>
      <c r="J945" s="332"/>
      <c r="K945" s="332"/>
      <c r="L945" s="332"/>
      <c r="M945" s="332"/>
      <c r="N945" s="332"/>
      <c r="O945" s="332"/>
      <c r="P945" s="332"/>
      <c r="Q945" s="332"/>
      <c r="R945" s="332"/>
      <c r="S945" s="332"/>
      <c r="T945" s="332"/>
      <c r="U945" s="332"/>
      <c r="V945" s="332"/>
      <c r="W945" s="332"/>
      <c r="X945" s="332"/>
      <c r="Y945" s="332"/>
      <c r="Z945" s="332"/>
    </row>
    <row r="946" ht="15.75" customHeight="1">
      <c r="A946" s="27"/>
      <c r="B946" s="27"/>
      <c r="C946" s="27"/>
      <c r="D946" s="114"/>
      <c r="E946" s="114"/>
      <c r="F946" s="27"/>
      <c r="G946" s="27"/>
      <c r="H946" s="332"/>
      <c r="I946" s="332"/>
      <c r="J946" s="332"/>
      <c r="K946" s="332"/>
      <c r="L946" s="332"/>
      <c r="M946" s="332"/>
      <c r="N946" s="332"/>
      <c r="O946" s="332"/>
      <c r="P946" s="332"/>
      <c r="Q946" s="332"/>
      <c r="R946" s="332"/>
      <c r="S946" s="332"/>
      <c r="T946" s="332"/>
      <c r="U946" s="332"/>
      <c r="V946" s="332"/>
      <c r="W946" s="332"/>
      <c r="X946" s="332"/>
      <c r="Y946" s="332"/>
      <c r="Z946" s="332"/>
    </row>
    <row r="947" ht="15.75" customHeight="1">
      <c r="A947" s="27"/>
      <c r="B947" s="27"/>
      <c r="C947" s="27"/>
      <c r="D947" s="114"/>
      <c r="E947" s="114"/>
      <c r="F947" s="27"/>
      <c r="G947" s="27"/>
      <c r="H947" s="332"/>
      <c r="I947" s="332"/>
      <c r="J947" s="332"/>
      <c r="K947" s="332"/>
      <c r="L947" s="332"/>
      <c r="M947" s="332"/>
      <c r="N947" s="332"/>
      <c r="O947" s="332"/>
      <c r="P947" s="332"/>
      <c r="Q947" s="332"/>
      <c r="R947" s="332"/>
      <c r="S947" s="332"/>
      <c r="T947" s="332"/>
      <c r="U947" s="332"/>
      <c r="V947" s="332"/>
      <c r="W947" s="332"/>
      <c r="X947" s="332"/>
      <c r="Y947" s="332"/>
      <c r="Z947" s="332"/>
    </row>
    <row r="948" ht="15.75" customHeight="1">
      <c r="A948" s="27"/>
      <c r="B948" s="27"/>
      <c r="C948" s="27"/>
      <c r="D948" s="114"/>
      <c r="E948" s="114"/>
      <c r="F948" s="27"/>
      <c r="G948" s="27"/>
      <c r="H948" s="332"/>
      <c r="I948" s="332"/>
      <c r="J948" s="332"/>
      <c r="K948" s="332"/>
      <c r="L948" s="332"/>
      <c r="M948" s="332"/>
      <c r="N948" s="332"/>
      <c r="O948" s="332"/>
      <c r="P948" s="332"/>
      <c r="Q948" s="332"/>
      <c r="R948" s="332"/>
      <c r="S948" s="332"/>
      <c r="T948" s="332"/>
      <c r="U948" s="332"/>
      <c r="V948" s="332"/>
      <c r="W948" s="332"/>
      <c r="X948" s="332"/>
      <c r="Y948" s="332"/>
      <c r="Z948" s="332"/>
    </row>
    <row r="949" ht="15.75" customHeight="1">
      <c r="A949" s="27"/>
      <c r="B949" s="27"/>
      <c r="C949" s="27"/>
      <c r="D949" s="114"/>
      <c r="E949" s="114"/>
      <c r="F949" s="27"/>
      <c r="G949" s="27"/>
      <c r="H949" s="332"/>
      <c r="I949" s="332"/>
      <c r="J949" s="332"/>
      <c r="K949" s="332"/>
      <c r="L949" s="332"/>
      <c r="M949" s="332"/>
      <c r="N949" s="332"/>
      <c r="O949" s="332"/>
      <c r="P949" s="332"/>
      <c r="Q949" s="332"/>
      <c r="R949" s="332"/>
      <c r="S949" s="332"/>
      <c r="T949" s="332"/>
      <c r="U949" s="332"/>
      <c r="V949" s="332"/>
      <c r="W949" s="332"/>
      <c r="X949" s="332"/>
      <c r="Y949" s="332"/>
      <c r="Z949" s="332"/>
    </row>
    <row r="950" ht="15.75" customHeight="1">
      <c r="A950" s="27"/>
      <c r="B950" s="27"/>
      <c r="C950" s="27"/>
      <c r="D950" s="114"/>
      <c r="E950" s="114"/>
      <c r="F950" s="27"/>
      <c r="G950" s="27"/>
      <c r="H950" s="332"/>
      <c r="I950" s="332"/>
      <c r="J950" s="332"/>
      <c r="K950" s="332"/>
      <c r="L950" s="332"/>
      <c r="M950" s="332"/>
      <c r="N950" s="332"/>
      <c r="O950" s="332"/>
      <c r="P950" s="332"/>
      <c r="Q950" s="332"/>
      <c r="R950" s="332"/>
      <c r="S950" s="332"/>
      <c r="T950" s="332"/>
      <c r="U950" s="332"/>
      <c r="V950" s="332"/>
      <c r="W950" s="332"/>
      <c r="X950" s="332"/>
      <c r="Y950" s="332"/>
      <c r="Z950" s="332"/>
    </row>
    <row r="951" ht="15.75" customHeight="1">
      <c r="A951" s="27"/>
      <c r="B951" s="27"/>
      <c r="C951" s="27"/>
      <c r="D951" s="114"/>
      <c r="E951" s="114"/>
      <c r="F951" s="27"/>
      <c r="G951" s="27"/>
      <c r="H951" s="332"/>
      <c r="I951" s="332"/>
      <c r="J951" s="332"/>
      <c r="K951" s="332"/>
      <c r="L951" s="332"/>
      <c r="M951" s="332"/>
      <c r="N951" s="332"/>
      <c r="O951" s="332"/>
      <c r="P951" s="332"/>
      <c r="Q951" s="332"/>
      <c r="R951" s="332"/>
      <c r="S951" s="332"/>
      <c r="T951" s="332"/>
      <c r="U951" s="332"/>
      <c r="V951" s="332"/>
      <c r="W951" s="332"/>
      <c r="X951" s="332"/>
      <c r="Y951" s="332"/>
      <c r="Z951" s="332"/>
    </row>
    <row r="952" ht="15.75" customHeight="1">
      <c r="A952" s="27"/>
      <c r="B952" s="27"/>
      <c r="C952" s="27"/>
      <c r="D952" s="114"/>
      <c r="E952" s="114"/>
      <c r="F952" s="27"/>
      <c r="G952" s="27"/>
      <c r="H952" s="332"/>
      <c r="I952" s="332"/>
      <c r="J952" s="332"/>
      <c r="K952" s="332"/>
      <c r="L952" s="332"/>
      <c r="M952" s="332"/>
      <c r="N952" s="332"/>
      <c r="O952" s="332"/>
      <c r="P952" s="332"/>
      <c r="Q952" s="332"/>
      <c r="R952" s="332"/>
      <c r="S952" s="332"/>
      <c r="T952" s="332"/>
      <c r="U952" s="332"/>
      <c r="V952" s="332"/>
      <c r="W952" s="332"/>
      <c r="X952" s="332"/>
      <c r="Y952" s="332"/>
      <c r="Z952" s="332"/>
    </row>
  </sheetData>
  <conditionalFormatting sqref="D4:Z5 D10:Z16 D18:Z21 D24:Z26 D29:Z952">
    <cfRule type="containsText" dxfId="1" priority="1" operator="containsText" text="Mayor a 5">
      <formula>NOT(ISERROR(SEARCH(("Mayor a 5"),(D4))))</formula>
    </cfRule>
  </conditionalFormatting>
  <conditionalFormatting sqref="D4:Z5 D10:Z16 D18:Z21 D24:Z26 D29:Z952">
    <cfRule type="containsText" dxfId="2" priority="2" operator="containsText" text="Menor a 5">
      <formula>NOT(ISERROR(SEARCH(("Menor a 5"),(D4))))</formula>
    </cfRule>
  </conditionalFormatting>
  <conditionalFormatting sqref="D4:Z5 D10:Z16 D18:Z21 D24:Z26 D29:Z952">
    <cfRule type="containsText" dxfId="3" priority="3" operator="containsText" text="Sin stock">
      <formula>NOT(ISERROR(SEARCH(("Sin stock"),(D4))))</formula>
    </cfRule>
  </conditionalFormatting>
  <hyperlinks>
    <hyperlink r:id="rId1" ref="B4"/>
    <hyperlink r:id="rId2" ref="B5"/>
    <hyperlink r:id="rId3" ref="B6"/>
    <hyperlink r:id="rId4" ref="B7"/>
    <hyperlink r:id="rId5" ref="B10"/>
    <hyperlink r:id="rId6" ref="B11"/>
    <hyperlink r:id="rId7" ref="B12"/>
    <hyperlink r:id="rId8" ref="B13"/>
    <hyperlink r:id="rId9" ref="B14"/>
    <hyperlink r:id="rId10" ref="B15"/>
    <hyperlink r:id="rId11" ref="B16"/>
    <hyperlink r:id="rId12" ref="B18"/>
    <hyperlink r:id="rId13" ref="B19"/>
    <hyperlink r:id="rId14" ref="B20"/>
    <hyperlink r:id="rId15" ref="B21"/>
    <hyperlink r:id="rId16" ref="B22"/>
    <hyperlink r:id="rId17" ref="B23"/>
    <hyperlink r:id="rId18" ref="B24"/>
    <hyperlink r:id="rId19" ref="B25"/>
    <hyperlink r:id="rId20" ref="B26"/>
    <hyperlink r:id="rId21" ref="B29"/>
    <hyperlink r:id="rId22" ref="B30"/>
    <hyperlink r:id="rId23" ref="B31"/>
    <hyperlink r:id="rId24" ref="B34"/>
    <hyperlink r:id="rId25" ref="B35"/>
    <hyperlink r:id="rId26" ref="B36"/>
    <hyperlink r:id="rId27" ref="B37"/>
  </hyperlinks>
  <printOptions/>
  <pageMargins bottom="0.75" footer="0.0" header="0.0" left="0.7" right="0.7" top="0.75"/>
  <pageSetup orientation="landscape"/>
  <drawing r:id="rId28"/>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0"/>
  <cols>
    <col customWidth="1" min="3" max="3" width="94.75"/>
    <col customWidth="1" min="4" max="4" width="14.25"/>
    <col customWidth="1" min="6" max="6" width="11.0"/>
    <col customWidth="1" min="7" max="7" width="6.0"/>
  </cols>
  <sheetData>
    <row r="1">
      <c r="A1" s="334" t="s">
        <v>7164</v>
      </c>
      <c r="B1" s="335"/>
      <c r="C1" s="335"/>
      <c r="D1" s="335"/>
      <c r="E1" s="335"/>
      <c r="F1" s="335"/>
      <c r="G1" s="335"/>
      <c r="H1" s="336"/>
    </row>
    <row r="2">
      <c r="A2" s="191" t="s">
        <v>23</v>
      </c>
      <c r="B2" s="72" t="s">
        <v>24</v>
      </c>
      <c r="C2" s="72" t="s">
        <v>25</v>
      </c>
      <c r="D2" s="73" t="s">
        <v>26</v>
      </c>
      <c r="E2" s="73" t="s">
        <v>27</v>
      </c>
      <c r="F2" s="337" t="s">
        <v>7165</v>
      </c>
      <c r="G2" s="72" t="s">
        <v>28</v>
      </c>
      <c r="H2" s="72" t="s">
        <v>29</v>
      </c>
    </row>
    <row r="3">
      <c r="A3" s="338" t="s">
        <v>7166</v>
      </c>
      <c r="B3" s="339"/>
      <c r="C3" s="340"/>
      <c r="D3" s="340"/>
      <c r="E3" s="340"/>
      <c r="F3" s="340"/>
      <c r="G3" s="340"/>
      <c r="H3" s="341"/>
    </row>
    <row r="4">
      <c r="A4" s="139" t="s">
        <v>31</v>
      </c>
      <c r="B4" s="240" t="s">
        <v>86</v>
      </c>
      <c r="C4" s="141" t="s">
        <v>87</v>
      </c>
      <c r="D4" s="342">
        <v>1350124.3888</v>
      </c>
      <c r="E4" s="342">
        <v>1115805.28</v>
      </c>
      <c r="F4" s="343">
        <v>10.0</v>
      </c>
      <c r="G4" s="142">
        <v>0.21</v>
      </c>
      <c r="H4" s="344" t="str">
        <f>IFERROR(VLOOKUP("XS 1",STOCK!$B$1:$Q$5629,3,FALSE),"SIN STOCK")</f>
        <v>Mayor a 5</v>
      </c>
    </row>
    <row r="5">
      <c r="A5" s="143" t="s">
        <v>31</v>
      </c>
      <c r="B5" s="143" t="s">
        <v>7167</v>
      </c>
      <c r="C5" s="145" t="s">
        <v>7168</v>
      </c>
      <c r="D5" s="345">
        <v>1001157.0976</v>
      </c>
      <c r="E5" s="345">
        <v>827402.5599999999</v>
      </c>
      <c r="F5" s="346">
        <v>40.0</v>
      </c>
      <c r="G5" s="102">
        <v>0.21</v>
      </c>
      <c r="H5" s="344" t="str">
        <f>IFERROR(VLOOKUP("MX80",STOCK!$B$1:$Q$5629,3,FALSE),"SIN STOCK")</f>
        <v>Mayor a 5</v>
      </c>
    </row>
    <row r="6">
      <c r="A6" s="139" t="s">
        <v>31</v>
      </c>
      <c r="B6" s="139" t="s">
        <v>7169</v>
      </c>
      <c r="C6" s="141" t="s">
        <v>7170</v>
      </c>
      <c r="D6" s="342">
        <v>580396.344</v>
      </c>
      <c r="E6" s="342">
        <v>479666.4</v>
      </c>
      <c r="F6" s="343">
        <v>10.0</v>
      </c>
      <c r="G6" s="142">
        <v>0.21</v>
      </c>
      <c r="H6" s="344" t="str">
        <f>IFERROR(VLOOKUP("HD407",STOCK!$B$1:$Q$5629,3,FALSE),"SIN STOCK")</f>
        <v>Mayor a 5</v>
      </c>
    </row>
    <row r="7">
      <c r="A7" s="143" t="s">
        <v>31</v>
      </c>
      <c r="B7" s="143" t="s">
        <v>7171</v>
      </c>
      <c r="C7" s="145" t="s">
        <v>33</v>
      </c>
      <c r="D7" s="345">
        <v>952275.5369600002</v>
      </c>
      <c r="E7" s="345">
        <v>787004.5760000001</v>
      </c>
      <c r="F7" s="346">
        <v>10.0</v>
      </c>
      <c r="G7" s="102">
        <v>0.21</v>
      </c>
      <c r="H7" s="344" t="str">
        <f>IFERROR(VLOOKUP("HD206",STOCK!$B$1:$Q$5629,3,FALSE),"SIN STOCK")</f>
        <v>Menor a 5</v>
      </c>
    </row>
    <row r="8" hidden="1">
      <c r="A8" s="139" t="s">
        <v>31</v>
      </c>
      <c r="B8" s="240" t="s">
        <v>36</v>
      </c>
      <c r="C8" s="141" t="s">
        <v>33</v>
      </c>
      <c r="D8" s="342">
        <v>1809195.2524799998</v>
      </c>
      <c r="E8" s="342">
        <v>1495202.6879999998</v>
      </c>
      <c r="F8" s="343">
        <v>10.0</v>
      </c>
      <c r="G8" s="142">
        <v>0.21</v>
      </c>
      <c r="H8" s="344" t="str">
        <f>IFERROR(VLOOKUP("HD 200 PRO",STOCK!$B$1:$Q$5629,3,FALSE),"SIN STOCK")</f>
        <v>Mayor a 5</v>
      </c>
    </row>
    <row r="9">
      <c r="A9" s="143" t="s">
        <v>31</v>
      </c>
      <c r="B9" s="143" t="s">
        <v>382</v>
      </c>
      <c r="C9" s="145" t="s">
        <v>383</v>
      </c>
      <c r="D9" s="345">
        <v>1.073635059904E7</v>
      </c>
      <c r="E9" s="345">
        <v>8873017.024</v>
      </c>
      <c r="F9" s="346">
        <v>4.0</v>
      </c>
      <c r="G9" s="102">
        <v>0.21</v>
      </c>
      <c r="H9" s="344" t="str">
        <f>IFERROR(VLOOKUP("EW 100 ENG G4-A1",STOCK!$B$1:$Q$5632,3,FALSE),"SIN STOCK")</f>
        <v>Menor a 5</v>
      </c>
    </row>
    <row r="10">
      <c r="A10" s="139" t="s">
        <v>31</v>
      </c>
      <c r="B10" s="139" t="s">
        <v>385</v>
      </c>
      <c r="C10" s="141" t="s">
        <v>386</v>
      </c>
      <c r="D10" s="342">
        <v>6260888.402559999</v>
      </c>
      <c r="E10" s="342">
        <v>5174287.936</v>
      </c>
      <c r="F10" s="343">
        <v>4.0</v>
      </c>
      <c r="G10" s="142">
        <v>0.21</v>
      </c>
      <c r="H10" s="344" t="str">
        <f>IFERROR(VLOOKUP("EW 112P G4-A1",STOCK!$B$1:$Q$5632,3,FALSE),"SIN STOCK")</f>
        <v>Menor a 5</v>
      </c>
    </row>
    <row r="11">
      <c r="A11" s="347" t="s">
        <v>7172</v>
      </c>
      <c r="B11" s="348"/>
      <c r="C11" s="349"/>
      <c r="D11" s="349"/>
      <c r="E11" s="349"/>
      <c r="F11" s="349"/>
      <c r="G11" s="349"/>
      <c r="H11" s="350"/>
    </row>
    <row r="12">
      <c r="A12" s="143" t="s">
        <v>4477</v>
      </c>
      <c r="B12" s="143" t="s">
        <v>4478</v>
      </c>
      <c r="C12" s="143" t="s">
        <v>4479</v>
      </c>
      <c r="D12" s="345">
        <v>835934.8694399999</v>
      </c>
      <c r="E12" s="345">
        <v>690855.264</v>
      </c>
      <c r="F12" s="351">
        <v>3.0</v>
      </c>
      <c r="G12" s="102">
        <v>0.21</v>
      </c>
      <c r="H12" s="352" t="str">
        <f>VLOOKUP("C44-USB",STOCK!$B$2:$Q$3674,3,FALSE)</f>
        <v>Mayor a 5</v>
      </c>
    </row>
    <row r="13">
      <c r="A13" s="139" t="s">
        <v>4477</v>
      </c>
      <c r="B13" s="139" t="s">
        <v>4482</v>
      </c>
      <c r="C13" s="139" t="s">
        <v>4483</v>
      </c>
      <c r="D13" s="342">
        <v>341157.85246399994</v>
      </c>
      <c r="E13" s="342">
        <v>281948.63839999994</v>
      </c>
      <c r="F13" s="353">
        <v>1.0</v>
      </c>
      <c r="G13" s="97">
        <v>0.21</v>
      </c>
      <c r="H13" s="352" t="str">
        <f>VLOOKUP("p220",STOCK!$B$2:$Q$3674,3,FALSE)</f>
        <v>Menor a 5</v>
      </c>
    </row>
    <row r="14">
      <c r="A14" s="143" t="s">
        <v>4477</v>
      </c>
      <c r="B14" s="143" t="s">
        <v>4486</v>
      </c>
      <c r="C14" s="143" t="s">
        <v>4487</v>
      </c>
      <c r="D14" s="345">
        <v>1319641.6506240002</v>
      </c>
      <c r="E14" s="345">
        <v>1090612.9344000001</v>
      </c>
      <c r="F14" s="351">
        <v>3.0</v>
      </c>
      <c r="G14" s="102">
        <v>0.21</v>
      </c>
      <c r="H14" s="352" t="str">
        <f>VLOOKUP("p420",STOCK!$B$2:$Q$3674,3,FALSE)</f>
        <v>Mayor a 5</v>
      </c>
    </row>
    <row r="15">
      <c r="A15" s="354" t="s">
        <v>6044</v>
      </c>
      <c r="B15" s="355"/>
      <c r="C15" s="356"/>
      <c r="D15" s="356"/>
      <c r="E15" s="356"/>
      <c r="F15" s="356"/>
      <c r="G15" s="356"/>
      <c r="H15" s="357"/>
    </row>
    <row r="16">
      <c r="A16" s="139" t="s">
        <v>6044</v>
      </c>
      <c r="B16" s="139" t="s">
        <v>6280</v>
      </c>
      <c r="C16" s="141" t="s">
        <v>6281</v>
      </c>
      <c r="D16" s="342">
        <v>217800.0</v>
      </c>
      <c r="E16" s="342">
        <v>180000.0</v>
      </c>
      <c r="F16" s="353">
        <v>1.0</v>
      </c>
      <c r="G16" s="44">
        <v>0.21</v>
      </c>
      <c r="H16" s="344" t="str">
        <f>IFERROR(VLOOKUP("VLOGVMML",STOCK!B55:Q3730,3,FALSE),"SIN STOCK")</f>
        <v>Mayor a 5</v>
      </c>
    </row>
    <row r="17">
      <c r="A17" s="143" t="s">
        <v>6044</v>
      </c>
      <c r="B17" s="143" t="s">
        <v>6282</v>
      </c>
      <c r="C17" s="145" t="s">
        <v>6283</v>
      </c>
      <c r="D17" s="345">
        <v>217800.0</v>
      </c>
      <c r="E17" s="345">
        <v>180000.0</v>
      </c>
      <c r="F17" s="351">
        <v>1.0</v>
      </c>
      <c r="G17" s="291">
        <v>0.21</v>
      </c>
      <c r="H17" s="344" t="str">
        <f>IFERROR(VLOOKUP("VLOGVMMC",STOCK!B56:Q3731,3,FALSE),"SIN STOCK")</f>
        <v>Menor a 5</v>
      </c>
    </row>
    <row r="18">
      <c r="A18" s="139" t="s">
        <v>6044</v>
      </c>
      <c r="B18" s="139" t="s">
        <v>7173</v>
      </c>
      <c r="C18" s="358" t="s">
        <v>7174</v>
      </c>
      <c r="D18" s="342">
        <v>43214.2857091</v>
      </c>
      <c r="E18" s="342">
        <v>35714.28571</v>
      </c>
      <c r="F18" s="353">
        <v>1.0</v>
      </c>
      <c r="G18" s="44">
        <v>0.21</v>
      </c>
      <c r="H18" s="344" t="str">
        <f>IFERROR(VLOOKUP("iXY",STOCK!B57:Q3732,3,FALSE),"SIN STOCK")</f>
        <v>Mayor a 5</v>
      </c>
    </row>
    <row r="19">
      <c r="A19" s="143" t="s">
        <v>6044</v>
      </c>
      <c r="B19" s="143" t="s">
        <v>6759</v>
      </c>
      <c r="C19" s="359" t="s">
        <v>7175</v>
      </c>
      <c r="D19" s="345">
        <v>77785.71429090001</v>
      </c>
      <c r="E19" s="345">
        <v>64285.71429</v>
      </c>
      <c r="F19" s="351">
        <v>1.0</v>
      </c>
      <c r="G19" s="291">
        <v>0.21</v>
      </c>
      <c r="H19" s="344" t="str">
        <f>IFERROR(VLOOKUP("I-XLR",STOCK!B58:Q3733,3,FALSE),"SIN STOCK")</f>
        <v>Mayor a 5</v>
      </c>
    </row>
    <row r="20">
      <c r="A20" s="139" t="s">
        <v>6044</v>
      </c>
      <c r="B20" s="139" t="s">
        <v>6228</v>
      </c>
      <c r="C20" s="141" t="s">
        <v>6229</v>
      </c>
      <c r="D20" s="342">
        <v>331367.142909</v>
      </c>
      <c r="E20" s="342">
        <v>273857.1429</v>
      </c>
      <c r="F20" s="353">
        <v>1.0</v>
      </c>
      <c r="G20" s="44">
        <v>0.21</v>
      </c>
      <c r="H20" s="344" t="str">
        <f>IFERROR(VLOOKUP("SVMPR",STOCK!B59:Q3734,3,FALSE),"SIN STOCK")</f>
        <v>Mayor a 5</v>
      </c>
    </row>
    <row r="21">
      <c r="A21" s="143" t="s">
        <v>6044</v>
      </c>
      <c r="B21" s="143" t="s">
        <v>6249</v>
      </c>
      <c r="C21" s="145" t="s">
        <v>6250</v>
      </c>
      <c r="D21" s="345">
        <v>379570.08569700003</v>
      </c>
      <c r="E21" s="345">
        <v>313694.2857</v>
      </c>
      <c r="F21" s="351">
        <v>1.0</v>
      </c>
      <c r="G21" s="291">
        <v>0.21</v>
      </c>
      <c r="H21" s="344" t="str">
        <f>IFERROR(VLOOKUP("VMNTG",STOCK!B60:Q3735,3,FALSE),"SIN STOCK")</f>
        <v>Menor a 5</v>
      </c>
    </row>
    <row r="22">
      <c r="A22" s="139" t="s">
        <v>6044</v>
      </c>
      <c r="B22" s="139" t="s">
        <v>6115</v>
      </c>
      <c r="C22" s="141" t="s">
        <v>6116</v>
      </c>
      <c r="D22" s="342">
        <v>527767.428606</v>
      </c>
      <c r="E22" s="342">
        <v>436171.4286</v>
      </c>
      <c r="F22" s="353">
        <v>1.0</v>
      </c>
      <c r="G22" s="44">
        <v>0.21</v>
      </c>
      <c r="H22" s="344" t="str">
        <f>IFERROR(VLOOKUP("NT55",STOCK!B61:Q3736,3,FALSE),"SIN STOCK")</f>
        <v>Menor a 5</v>
      </c>
    </row>
    <row r="23">
      <c r="A23" s="143" t="s">
        <v>6044</v>
      </c>
      <c r="B23" s="143" t="s">
        <v>7176</v>
      </c>
      <c r="C23" s="145" t="s">
        <v>7177</v>
      </c>
      <c r="D23" s="345">
        <v>548932.057091</v>
      </c>
      <c r="E23" s="345">
        <v>453662.8571</v>
      </c>
      <c r="F23" s="351">
        <v>1.0</v>
      </c>
      <c r="G23" s="291">
        <v>0.21</v>
      </c>
      <c r="H23" s="136" t="str">
        <f>IFERROR(VLOOKUP("S1",STOCK!B62:Q3737,3,FALSE),"SIN STOCK")</f>
        <v>Menor a 5</v>
      </c>
    </row>
    <row r="24">
      <c r="A24" s="139" t="s">
        <v>6044</v>
      </c>
      <c r="B24" s="139" t="s">
        <v>6213</v>
      </c>
      <c r="C24" s="141" t="s">
        <v>6214</v>
      </c>
      <c r="D24" s="342">
        <v>329552.142909</v>
      </c>
      <c r="E24" s="342">
        <v>272357.1429</v>
      </c>
      <c r="F24" s="353">
        <v>1.0</v>
      </c>
      <c r="G24" s="44">
        <v>0.21</v>
      </c>
      <c r="H24" s="344" t="str">
        <f>IFERROR(VLOOKUP("LAVALIER",STOCK!B63:Q3738,3,FALSE),"SIN STOCK")</f>
        <v>Mayor a 5</v>
      </c>
    </row>
    <row r="25">
      <c r="A25" s="143" t="s">
        <v>6044</v>
      </c>
      <c r="B25" s="143" t="s">
        <v>7178</v>
      </c>
      <c r="C25" s="145" t="s">
        <v>6188</v>
      </c>
      <c r="D25" s="345">
        <v>402962.842909</v>
      </c>
      <c r="E25" s="345">
        <v>333027.1429</v>
      </c>
      <c r="F25" s="351">
        <v>1.0</v>
      </c>
      <c r="G25" s="291">
        <v>0.21</v>
      </c>
      <c r="H25" s="344" t="str">
        <f>IFERROR(VLOOKUP("PODCASTER MKII",STOCK!B64:Q3739,3,FALSE),"SIN STOCK")</f>
        <v>Mayor a 5</v>
      </c>
    </row>
    <row r="26">
      <c r="A26" s="139" t="s">
        <v>6044</v>
      </c>
      <c r="B26" s="139" t="s">
        <v>6072</v>
      </c>
      <c r="C26" s="141" t="s">
        <v>6073</v>
      </c>
      <c r="D26" s="342">
        <v>633320.914303</v>
      </c>
      <c r="E26" s="342">
        <v>523405.7143</v>
      </c>
      <c r="F26" s="353">
        <v>1.0</v>
      </c>
      <c r="G26" s="44">
        <v>0.21</v>
      </c>
      <c r="H26" s="344" t="str">
        <f>IFERROR(VLOOKUP("NT1000",STOCK!B65:Q3740,3,FALSE),"SIN STOCK")</f>
        <v>Mayor a 5</v>
      </c>
    </row>
    <row r="27">
      <c r="A27" s="143" t="s">
        <v>6044</v>
      </c>
      <c r="B27" s="143" t="s">
        <v>6097</v>
      </c>
      <c r="C27" s="145" t="s">
        <v>6098</v>
      </c>
      <c r="D27" s="345">
        <v>1031739.342909</v>
      </c>
      <c r="E27" s="345">
        <v>852677.1429</v>
      </c>
      <c r="F27" s="351">
        <v>1.0</v>
      </c>
      <c r="G27" s="291">
        <v>0.21</v>
      </c>
      <c r="H27" s="344" t="str">
        <f>IFERROR(VLOOKUP("NT2000",STOCK!B66:Q3741,3,FALSE),"SIN STOCK")</f>
        <v>Mayor a 5</v>
      </c>
    </row>
    <row r="28">
      <c r="A28" s="139" t="s">
        <v>6044</v>
      </c>
      <c r="B28" s="139" t="s">
        <v>6342</v>
      </c>
      <c r="C28" s="141" t="s">
        <v>6343</v>
      </c>
      <c r="D28" s="342">
        <v>257617.64290900002</v>
      </c>
      <c r="E28" s="342">
        <v>212907.1429</v>
      </c>
      <c r="F28" s="353">
        <v>1.0</v>
      </c>
      <c r="G28" s="44">
        <v>0.21</v>
      </c>
      <c r="H28" s="344" t="str">
        <f>IFERROR(VLOOKUP("NTH100",STOCK!B67:Q3742,3,FALSE),"SIN STOCK")</f>
        <v>Menor a 5</v>
      </c>
    </row>
    <row r="29">
      <c r="A29" s="360" t="s">
        <v>7179</v>
      </c>
      <c r="B29" s="361"/>
      <c r="C29" s="362"/>
      <c r="D29" s="362"/>
      <c r="E29" s="362"/>
      <c r="F29" s="362"/>
      <c r="G29" s="362"/>
      <c r="H29" s="363"/>
    </row>
    <row r="30">
      <c r="A30" s="76" t="s">
        <v>3527</v>
      </c>
      <c r="B30" s="240" t="s">
        <v>3726</v>
      </c>
      <c r="C30" s="77" t="s">
        <v>7180</v>
      </c>
      <c r="D30" s="364">
        <v>492409.83879999997</v>
      </c>
      <c r="E30" s="364">
        <v>406950.27999999997</v>
      </c>
      <c r="F30" s="353">
        <v>5.0</v>
      </c>
      <c r="G30" s="44">
        <v>0.21</v>
      </c>
      <c r="H30" s="344" t="str">
        <f>IFERROR(VLOOKUP("26010-500-55",STOCK!$B$6:$Q$3678,3,FALSE),"SIN STOCK")</f>
        <v>Mayor a 5</v>
      </c>
    </row>
    <row r="31">
      <c r="A31" s="143" t="s">
        <v>3527</v>
      </c>
      <c r="B31" s="144" t="s">
        <v>3776</v>
      </c>
      <c r="C31" s="143" t="s">
        <v>3777</v>
      </c>
      <c r="D31" s="345">
        <v>402488.67912000004</v>
      </c>
      <c r="E31" s="345">
        <v>332635.27200000006</v>
      </c>
      <c r="F31" s="351">
        <v>5.0</v>
      </c>
      <c r="G31" s="291">
        <v>0.21</v>
      </c>
      <c r="H31" s="344" t="str">
        <f>IFERROR(VLOOKUP("26010-500-55",STOCK!$B$6:$Q$3678,3,FALSE),"SIN STOCK")</f>
        <v>Mayor a 5</v>
      </c>
    </row>
    <row r="32">
      <c r="A32" s="365" t="s">
        <v>5612</v>
      </c>
      <c r="B32" s="366"/>
      <c r="C32" s="367"/>
      <c r="D32" s="368"/>
      <c r="E32" s="368"/>
      <c r="F32" s="367"/>
      <c r="G32" s="367"/>
      <c r="H32" s="369"/>
    </row>
    <row r="33">
      <c r="A33" s="143" t="s">
        <v>5612</v>
      </c>
      <c r="B33" s="143" t="s">
        <v>5947</v>
      </c>
      <c r="C33" s="359" t="s">
        <v>5948</v>
      </c>
      <c r="D33" s="101" t="s">
        <v>7181</v>
      </c>
      <c r="E33" s="101" t="s">
        <v>7182</v>
      </c>
      <c r="F33" s="351">
        <v>2.0</v>
      </c>
      <c r="G33" s="291">
        <v>0.21</v>
      </c>
      <c r="H33" s="344" t="str">
        <f>IFERROR(VLOOKUP("C1",STOCK!B35:Q3707,3,FALSE),"SIN STOCK")</f>
        <v>Mayor a 5</v>
      </c>
    </row>
    <row r="34">
      <c r="A34" s="139" t="s">
        <v>5612</v>
      </c>
      <c r="B34" s="139" t="s">
        <v>5949</v>
      </c>
      <c r="C34" s="358" t="s">
        <v>5950</v>
      </c>
      <c r="D34" s="96" t="s">
        <v>7183</v>
      </c>
      <c r="E34" s="96" t="s">
        <v>7184</v>
      </c>
      <c r="F34" s="353">
        <v>2.0</v>
      </c>
      <c r="G34" s="44">
        <v>0.21</v>
      </c>
      <c r="H34" s="344" t="str">
        <f>IFERROR(VLOOKUP("C1USB",STOCK!B36:Q3708,3,FALSE),"SIN STOCK")</f>
        <v>Mayor a 5</v>
      </c>
    </row>
    <row r="35">
      <c r="A35" s="143" t="s">
        <v>5612</v>
      </c>
      <c r="B35" s="143" t="s">
        <v>5952</v>
      </c>
      <c r="C35" s="359" t="s">
        <v>5953</v>
      </c>
      <c r="D35" s="101" t="s">
        <v>7185</v>
      </c>
      <c r="E35" s="101" t="s">
        <v>7186</v>
      </c>
      <c r="F35" s="351">
        <v>2.0</v>
      </c>
      <c r="G35" s="291">
        <v>0.21</v>
      </c>
      <c r="H35" s="344" t="str">
        <f>IFERROR(VLOOKUP("C2",STOCK!B37:Q3709,3,FALSE),"SIN STOCK")</f>
        <v>Mayor a 5</v>
      </c>
    </row>
    <row r="36">
      <c r="A36" s="139" t="s">
        <v>5612</v>
      </c>
      <c r="B36" s="139" t="s">
        <v>5956</v>
      </c>
      <c r="C36" s="358" t="s">
        <v>5957</v>
      </c>
      <c r="D36" s="96" t="s">
        <v>7187</v>
      </c>
      <c r="E36" s="96" t="s">
        <v>7188</v>
      </c>
      <c r="F36" s="353">
        <v>2.0</v>
      </c>
      <c r="G36" s="44">
        <v>0.21</v>
      </c>
      <c r="H36" s="344" t="str">
        <f>IFERROR(VLOOKUP("C3",STOCK!B38:Q3710,3,FALSE),"SIN STOCK")</f>
        <v>Menor a 5</v>
      </c>
    </row>
    <row r="37">
      <c r="A37" s="143" t="s">
        <v>5612</v>
      </c>
      <c r="B37" s="143" t="s">
        <v>5958</v>
      </c>
      <c r="C37" s="359" t="s">
        <v>5959</v>
      </c>
      <c r="D37" s="101" t="s">
        <v>7189</v>
      </c>
      <c r="E37" s="101" t="s">
        <v>7190</v>
      </c>
      <c r="F37" s="351">
        <v>2.0</v>
      </c>
      <c r="G37" s="291">
        <v>0.21</v>
      </c>
      <c r="H37" s="136" t="str">
        <f>IFERROR(VLOOKUP("D7",STOCK!B39:Q3711,3,FALSE),"SIN STOCK")</f>
        <v>Menor a 5</v>
      </c>
    </row>
    <row r="38">
      <c r="A38" s="139" t="s">
        <v>5612</v>
      </c>
      <c r="B38" s="139" t="s">
        <v>5961</v>
      </c>
      <c r="C38" s="358" t="s">
        <v>5962</v>
      </c>
      <c r="D38" s="96" t="s">
        <v>7191</v>
      </c>
      <c r="E38" s="96" t="s">
        <v>7192</v>
      </c>
      <c r="F38" s="353">
        <v>2.0</v>
      </c>
      <c r="G38" s="44">
        <v>0.21</v>
      </c>
      <c r="H38" s="344" t="str">
        <f>IFERROR(VLOOKUP("M-ONEU",STOCK!B40:Q3712,3,FALSE),"SIN STOCK")</f>
        <v>Mayor a 5</v>
      </c>
    </row>
  </sheetData>
  <mergeCells count="1">
    <mergeCell ref="A1:H1"/>
  </mergeCells>
  <conditionalFormatting sqref="E30">
    <cfRule type="containsText" dxfId="1" priority="1" operator="containsText" text="Mayor a 5">
      <formula>NOT(ISERROR(SEARCH(("Mayor a 5"),(E30))))</formula>
    </cfRule>
  </conditionalFormatting>
  <conditionalFormatting sqref="E30">
    <cfRule type="containsText" dxfId="3" priority="2" operator="containsText" text="SIN STOCK">
      <formula>NOT(ISERROR(SEARCH(("SIN STOCK"),(E30))))</formula>
    </cfRule>
  </conditionalFormatting>
  <conditionalFormatting sqref="E30">
    <cfRule type="containsText" dxfId="2" priority="3" operator="containsText" text="Menor a 5">
      <formula>NOT(ISERROR(SEARCH(("Menor a 5"),(E30))))</formula>
    </cfRule>
  </conditionalFormatting>
  <hyperlinks>
    <hyperlink r:id="rId1" ref="B4"/>
    <hyperlink r:id="rId2" ref="B8"/>
    <hyperlink r:id="rId3" ref="B30"/>
    <hyperlink r:id="rId4" ref="B31"/>
  </hyperlinks>
  <drawing r:id="rId5"/>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8.25"/>
    <col customWidth="1" min="3" max="3" width="74.25"/>
    <col customWidth="1" min="4" max="4" width="8.5"/>
    <col customWidth="1" min="5" max="6" width="12.63"/>
  </cols>
  <sheetData>
    <row r="1" ht="15.75" customHeight="1">
      <c r="B1" s="370"/>
      <c r="C1" s="371" t="s">
        <v>7193</v>
      </c>
      <c r="D1" s="372"/>
    </row>
    <row r="2" ht="15.75" customHeight="1">
      <c r="B2" s="371" t="s">
        <v>466</v>
      </c>
      <c r="C2" s="371" t="s">
        <v>7194</v>
      </c>
      <c r="D2" s="371" t="s">
        <v>2139</v>
      </c>
    </row>
    <row r="3" ht="15.75" customHeight="1">
      <c r="B3" s="371" t="s">
        <v>472</v>
      </c>
      <c r="C3" s="371" t="s">
        <v>7194</v>
      </c>
      <c r="D3" s="371" t="s">
        <v>2139</v>
      </c>
    </row>
    <row r="4" ht="15.75" customHeight="1">
      <c r="B4" s="371" t="s">
        <v>478</v>
      </c>
      <c r="C4" s="371" t="s">
        <v>7195</v>
      </c>
      <c r="D4" s="371" t="s">
        <v>2205</v>
      </c>
    </row>
    <row r="5" ht="15.75" customHeight="1">
      <c r="B5" s="371" t="s">
        <v>487</v>
      </c>
      <c r="C5" s="371" t="s">
        <v>7196</v>
      </c>
      <c r="D5" s="371" t="s">
        <v>2205</v>
      </c>
    </row>
    <row r="6" ht="15.75" customHeight="1">
      <c r="B6" s="371" t="s">
        <v>484</v>
      </c>
      <c r="C6" s="371" t="s">
        <v>7197</v>
      </c>
      <c r="D6" s="371" t="s">
        <v>2205</v>
      </c>
    </row>
    <row r="7" ht="15.75" customHeight="1">
      <c r="B7" s="371" t="s">
        <v>486</v>
      </c>
      <c r="C7" s="371" t="s">
        <v>7198</v>
      </c>
      <c r="D7" s="371" t="s">
        <v>2205</v>
      </c>
    </row>
    <row r="8" ht="15.75" customHeight="1">
      <c r="B8" s="371" t="s">
        <v>3071</v>
      </c>
      <c r="C8" s="371" t="s">
        <v>7199</v>
      </c>
      <c r="D8" s="371" t="s">
        <v>2205</v>
      </c>
    </row>
    <row r="9" ht="15.75" customHeight="1">
      <c r="B9" s="371" t="s">
        <v>7200</v>
      </c>
      <c r="C9" s="371" t="s">
        <v>7201</v>
      </c>
      <c r="D9" s="371" t="s">
        <v>2205</v>
      </c>
    </row>
    <row r="10" ht="15.75" customHeight="1">
      <c r="B10" s="371" t="s">
        <v>7202</v>
      </c>
      <c r="C10" s="371" t="s">
        <v>7196</v>
      </c>
      <c r="D10" s="371" t="s">
        <v>2205</v>
      </c>
    </row>
    <row r="11" ht="15.75" customHeight="1">
      <c r="B11" s="371" t="s">
        <v>7203</v>
      </c>
      <c r="C11" s="371" t="s">
        <v>7196</v>
      </c>
      <c r="D11" s="371" t="s">
        <v>2205</v>
      </c>
    </row>
    <row r="12" ht="15.75" customHeight="1">
      <c r="B12" s="371" t="s">
        <v>7204</v>
      </c>
      <c r="C12" s="371" t="s">
        <v>7196</v>
      </c>
      <c r="D12" s="371" t="s">
        <v>2205</v>
      </c>
    </row>
    <row r="13" ht="15.75" customHeight="1">
      <c r="B13" s="371" t="s">
        <v>7205</v>
      </c>
      <c r="C13" s="371" t="s">
        <v>7196</v>
      </c>
      <c r="D13" s="371" t="s">
        <v>2205</v>
      </c>
    </row>
    <row r="14" ht="15.75" customHeight="1">
      <c r="B14" s="371" t="s">
        <v>7206</v>
      </c>
      <c r="C14" s="371" t="s">
        <v>7196</v>
      </c>
      <c r="D14" s="371" t="s">
        <v>2205</v>
      </c>
    </row>
    <row r="15" ht="15.75" customHeight="1">
      <c r="B15" s="371" t="s">
        <v>7207</v>
      </c>
      <c r="C15" s="371" t="s">
        <v>7208</v>
      </c>
      <c r="D15" s="371" t="s">
        <v>2205</v>
      </c>
    </row>
    <row r="16" ht="15.75" customHeight="1">
      <c r="B16" s="371" t="s">
        <v>489</v>
      </c>
      <c r="C16" s="371" t="s">
        <v>7209</v>
      </c>
      <c r="D16" s="371" t="s">
        <v>2205</v>
      </c>
    </row>
    <row r="17" ht="15.75" customHeight="1">
      <c r="B17" s="371" t="s">
        <v>501</v>
      </c>
      <c r="C17" s="371" t="s">
        <v>7209</v>
      </c>
      <c r="D17" s="371" t="s">
        <v>2139</v>
      </c>
      <c r="F17" s="146" t="s">
        <v>3557</v>
      </c>
    </row>
    <row r="18" ht="15.75" customHeight="1">
      <c r="B18" s="371" t="s">
        <v>493</v>
      </c>
      <c r="C18" s="371" t="s">
        <v>7209</v>
      </c>
      <c r="D18" s="371" t="s">
        <v>2205</v>
      </c>
    </row>
    <row r="19" ht="15.75" customHeight="1">
      <c r="B19" s="371" t="s">
        <v>7210</v>
      </c>
      <c r="C19" s="371" t="s">
        <v>7211</v>
      </c>
      <c r="D19" s="371" t="s">
        <v>2205</v>
      </c>
    </row>
    <row r="20" ht="15.75" customHeight="1">
      <c r="B20" s="371" t="s">
        <v>7212</v>
      </c>
      <c r="C20" s="371" t="s">
        <v>7213</v>
      </c>
      <c r="D20" s="371" t="s">
        <v>2205</v>
      </c>
    </row>
    <row r="21" ht="15.75" customHeight="1">
      <c r="B21" s="371" t="s">
        <v>4496</v>
      </c>
      <c r="C21" s="371" t="s">
        <v>7214</v>
      </c>
      <c r="D21" s="371" t="s">
        <v>2139</v>
      </c>
    </row>
    <row r="22" ht="15.75" customHeight="1">
      <c r="B22" s="371" t="s">
        <v>7215</v>
      </c>
      <c r="C22" s="371" t="s">
        <v>7216</v>
      </c>
      <c r="D22" s="371" t="s">
        <v>2205</v>
      </c>
    </row>
    <row r="23" ht="15.75" customHeight="1">
      <c r="B23" s="371" t="s">
        <v>7217</v>
      </c>
      <c r="C23" s="371" t="s">
        <v>7216</v>
      </c>
      <c r="D23" s="371" t="s">
        <v>2205</v>
      </c>
    </row>
    <row r="24" ht="15.75" customHeight="1">
      <c r="B24" s="371" t="s">
        <v>7218</v>
      </c>
      <c r="C24" s="371" t="s">
        <v>7209</v>
      </c>
      <c r="D24" s="371" t="s">
        <v>2205</v>
      </c>
    </row>
    <row r="25" ht="15.75" customHeight="1">
      <c r="B25" s="371" t="s">
        <v>7219</v>
      </c>
      <c r="C25" s="371" t="s">
        <v>7209</v>
      </c>
      <c r="D25" s="371" t="s">
        <v>2205</v>
      </c>
    </row>
    <row r="26" ht="15.75" customHeight="1">
      <c r="B26" s="371" t="s">
        <v>476</v>
      </c>
      <c r="C26" s="371" t="s">
        <v>7220</v>
      </c>
      <c r="D26" s="371" t="s">
        <v>2139</v>
      </c>
    </row>
    <row r="27" ht="15.75" customHeight="1">
      <c r="B27" s="371" t="s">
        <v>7221</v>
      </c>
      <c r="C27" s="371" t="s">
        <v>7222</v>
      </c>
      <c r="D27" s="371" t="s">
        <v>2205</v>
      </c>
    </row>
    <row r="28" ht="15.75" customHeight="1">
      <c r="B28" s="371" t="s">
        <v>4569</v>
      </c>
      <c r="C28" s="371" t="s">
        <v>7223</v>
      </c>
      <c r="D28" s="371" t="s">
        <v>2205</v>
      </c>
    </row>
    <row r="29" ht="15.75" customHeight="1">
      <c r="B29" s="371" t="s">
        <v>7224</v>
      </c>
      <c r="C29" s="371" t="s">
        <v>7223</v>
      </c>
      <c r="D29" s="371" t="s">
        <v>2139</v>
      </c>
    </row>
    <row r="30" ht="15.75" customHeight="1">
      <c r="B30" s="371" t="s">
        <v>7225</v>
      </c>
      <c r="C30" s="371" t="s">
        <v>7223</v>
      </c>
      <c r="D30" s="371" t="s">
        <v>2205</v>
      </c>
    </row>
    <row r="31" ht="15.75" customHeight="1">
      <c r="B31" s="371" t="s">
        <v>7226</v>
      </c>
      <c r="C31" s="371" t="s">
        <v>7223</v>
      </c>
      <c r="D31" s="371" t="s">
        <v>2139</v>
      </c>
    </row>
    <row r="32" ht="15.75" customHeight="1">
      <c r="B32" s="371" t="s">
        <v>7227</v>
      </c>
      <c r="C32" s="371" t="s">
        <v>7223</v>
      </c>
      <c r="D32" s="371" t="s">
        <v>2139</v>
      </c>
    </row>
    <row r="33" ht="15.75" customHeight="1">
      <c r="B33" s="371" t="s">
        <v>4581</v>
      </c>
      <c r="C33" s="371" t="s">
        <v>7228</v>
      </c>
      <c r="D33" s="371" t="s">
        <v>2205</v>
      </c>
    </row>
    <row r="34" ht="15.75" customHeight="1">
      <c r="B34" s="371" t="s">
        <v>2517</v>
      </c>
      <c r="C34" s="371" t="s">
        <v>7229</v>
      </c>
      <c r="D34" s="371" t="s">
        <v>2205</v>
      </c>
    </row>
    <row r="35" ht="15.75" customHeight="1">
      <c r="B35" s="371" t="s">
        <v>7230</v>
      </c>
      <c r="C35" s="371" t="s">
        <v>7231</v>
      </c>
      <c r="D35" s="371" t="s">
        <v>2205</v>
      </c>
    </row>
    <row r="36" ht="15.75" customHeight="1">
      <c r="B36" s="371" t="s">
        <v>7232</v>
      </c>
      <c r="C36" s="371" t="s">
        <v>7233</v>
      </c>
      <c r="D36" s="371" t="s">
        <v>2205</v>
      </c>
    </row>
    <row r="37" ht="15.75" customHeight="1">
      <c r="B37" s="371" t="s">
        <v>7234</v>
      </c>
      <c r="C37" s="371" t="s">
        <v>7235</v>
      </c>
      <c r="D37" s="371" t="s">
        <v>2205</v>
      </c>
    </row>
    <row r="38" ht="15.75" customHeight="1">
      <c r="B38" s="371" t="s">
        <v>7236</v>
      </c>
      <c r="C38" s="371" t="s">
        <v>7235</v>
      </c>
      <c r="D38" s="371" t="s">
        <v>2205</v>
      </c>
    </row>
    <row r="39" ht="15.75" customHeight="1">
      <c r="B39" s="371" t="s">
        <v>7237</v>
      </c>
      <c r="C39" s="371" t="s">
        <v>7233</v>
      </c>
      <c r="D39" s="371" t="s">
        <v>2205</v>
      </c>
    </row>
    <row r="40" ht="15.75" customHeight="1">
      <c r="B40" s="371" t="s">
        <v>470</v>
      </c>
      <c r="C40" s="371" t="s">
        <v>7238</v>
      </c>
      <c r="D40" s="371" t="s">
        <v>2139</v>
      </c>
    </row>
    <row r="41" ht="15.75" customHeight="1">
      <c r="B41" s="371" t="s">
        <v>7239</v>
      </c>
      <c r="C41" s="371" t="s">
        <v>7220</v>
      </c>
      <c r="D41" s="371" t="s">
        <v>2205</v>
      </c>
    </row>
    <row r="42" ht="15.75" customHeight="1">
      <c r="B42" s="371" t="s">
        <v>7240</v>
      </c>
      <c r="C42" s="371" t="s">
        <v>7241</v>
      </c>
      <c r="D42" s="371" t="s">
        <v>2205</v>
      </c>
    </row>
    <row r="43" ht="15.75" customHeight="1">
      <c r="B43" s="371" t="s">
        <v>7242</v>
      </c>
      <c r="C43" s="371" t="s">
        <v>7243</v>
      </c>
      <c r="D43" s="371" t="s">
        <v>2205</v>
      </c>
    </row>
    <row r="44" ht="15.75" customHeight="1">
      <c r="B44" s="371" t="s">
        <v>2995</v>
      </c>
      <c r="C44" s="371" t="s">
        <v>7244</v>
      </c>
      <c r="D44" s="371" t="s">
        <v>2205</v>
      </c>
    </row>
    <row r="45" ht="15.75" customHeight="1">
      <c r="B45" s="371" t="s">
        <v>2999</v>
      </c>
      <c r="C45" s="371" t="s">
        <v>7244</v>
      </c>
      <c r="D45" s="371" t="s">
        <v>2205</v>
      </c>
    </row>
    <row r="46" ht="15.75" customHeight="1">
      <c r="B46" s="371" t="s">
        <v>3003</v>
      </c>
      <c r="C46" s="371" t="s">
        <v>7244</v>
      </c>
      <c r="D46" s="371" t="s">
        <v>2139</v>
      </c>
    </row>
    <row r="47" ht="15.75" customHeight="1">
      <c r="B47" s="371" t="s">
        <v>6262</v>
      </c>
      <c r="C47" s="371" t="s">
        <v>7245</v>
      </c>
      <c r="D47" s="371" t="s">
        <v>2205</v>
      </c>
    </row>
    <row r="48" ht="15.75" customHeight="1">
      <c r="B48" s="371" t="s">
        <v>4136</v>
      </c>
      <c r="C48" s="371" t="s">
        <v>7246</v>
      </c>
      <c r="D48" s="371" t="s">
        <v>2205</v>
      </c>
    </row>
    <row r="49" ht="15.75" customHeight="1">
      <c r="B49" s="371" t="s">
        <v>7247</v>
      </c>
      <c r="C49" s="371" t="s">
        <v>7248</v>
      </c>
      <c r="D49" s="371" t="s">
        <v>2205</v>
      </c>
    </row>
    <row r="50" ht="15.75" customHeight="1">
      <c r="B50" s="371" t="s">
        <v>7249</v>
      </c>
      <c r="C50" s="371" t="s">
        <v>7250</v>
      </c>
      <c r="D50" s="371" t="s">
        <v>2205</v>
      </c>
    </row>
    <row r="51" ht="15.75" customHeight="1">
      <c r="B51" s="371" t="s">
        <v>7251</v>
      </c>
      <c r="C51" s="373"/>
      <c r="D51" s="371" t="s">
        <v>2205</v>
      </c>
    </row>
    <row r="52" ht="15.75" customHeight="1">
      <c r="B52" s="371" t="s">
        <v>7252</v>
      </c>
      <c r="C52" s="371" t="s">
        <v>7253</v>
      </c>
      <c r="D52" s="371" t="s">
        <v>2205</v>
      </c>
    </row>
    <row r="53" ht="15.75" customHeight="1">
      <c r="B53" s="371" t="s">
        <v>7254</v>
      </c>
      <c r="C53" s="373"/>
      <c r="D53" s="371" t="s">
        <v>2205</v>
      </c>
    </row>
    <row r="54" ht="15.75" customHeight="1">
      <c r="B54" s="371" t="s">
        <v>7255</v>
      </c>
      <c r="C54" s="371" t="s">
        <v>7256</v>
      </c>
      <c r="D54" s="371" t="s">
        <v>2205</v>
      </c>
    </row>
    <row r="55" ht="15.75" customHeight="1">
      <c r="B55" s="371" t="s">
        <v>7257</v>
      </c>
      <c r="C55" s="371" t="s">
        <v>7258</v>
      </c>
      <c r="D55" s="371" t="s">
        <v>2205</v>
      </c>
    </row>
    <row r="56" ht="15.75" customHeight="1">
      <c r="B56" s="371" t="s">
        <v>510</v>
      </c>
      <c r="C56" s="371" t="s">
        <v>7259</v>
      </c>
      <c r="D56" s="371" t="s">
        <v>2139</v>
      </c>
    </row>
    <row r="57" ht="15.75" customHeight="1">
      <c r="B57" s="371" t="s">
        <v>1125</v>
      </c>
      <c r="C57" s="371" t="s">
        <v>7260</v>
      </c>
      <c r="D57" s="371" t="s">
        <v>2205</v>
      </c>
    </row>
    <row r="58" ht="15.75" customHeight="1">
      <c r="B58" s="371" t="s">
        <v>3523</v>
      </c>
      <c r="C58" s="371" t="s">
        <v>7261</v>
      </c>
      <c r="D58" s="371" t="s">
        <v>2139</v>
      </c>
    </row>
    <row r="59" ht="15.75" customHeight="1">
      <c r="B59" s="371" t="s">
        <v>7262</v>
      </c>
      <c r="C59" s="371" t="s">
        <v>7263</v>
      </c>
      <c r="D59" s="371" t="s">
        <v>2205</v>
      </c>
    </row>
    <row r="60" ht="15.75" customHeight="1">
      <c r="B60" s="371" t="s">
        <v>7264</v>
      </c>
      <c r="C60" s="373"/>
      <c r="D60" s="371" t="s">
        <v>2205</v>
      </c>
    </row>
    <row r="61" ht="15.75" customHeight="1">
      <c r="B61" s="371" t="s">
        <v>7265</v>
      </c>
      <c r="C61" s="371" t="s">
        <v>7266</v>
      </c>
      <c r="D61" s="371" t="s">
        <v>2205</v>
      </c>
    </row>
    <row r="62" ht="15.75" customHeight="1">
      <c r="B62" s="371" t="s">
        <v>7267</v>
      </c>
      <c r="C62" s="371" t="s">
        <v>7268</v>
      </c>
      <c r="D62" s="371" t="s">
        <v>2205</v>
      </c>
    </row>
    <row r="63" ht="15.75" customHeight="1">
      <c r="B63" s="371" t="s">
        <v>7269</v>
      </c>
      <c r="C63" s="371" t="s">
        <v>7270</v>
      </c>
      <c r="D63" s="371" t="s">
        <v>2205</v>
      </c>
    </row>
    <row r="64" ht="15.75" customHeight="1">
      <c r="B64" s="371" t="s">
        <v>3362</v>
      </c>
      <c r="C64" s="371" t="s">
        <v>7271</v>
      </c>
      <c r="D64" s="371" t="s">
        <v>2205</v>
      </c>
    </row>
    <row r="65" ht="15.75" customHeight="1">
      <c r="B65" s="371" t="s">
        <v>3364</v>
      </c>
      <c r="C65" s="371" t="s">
        <v>7271</v>
      </c>
      <c r="D65" s="371" t="s">
        <v>2205</v>
      </c>
    </row>
    <row r="66" ht="15.75" customHeight="1">
      <c r="B66" s="371" t="s">
        <v>7272</v>
      </c>
      <c r="C66" s="371" t="s">
        <v>7273</v>
      </c>
      <c r="D66" s="371" t="s">
        <v>2205</v>
      </c>
    </row>
    <row r="67" ht="15.75" customHeight="1">
      <c r="B67" s="371" t="s">
        <v>3430</v>
      </c>
      <c r="C67" s="371" t="s">
        <v>7273</v>
      </c>
      <c r="D67" s="371" t="s">
        <v>2205</v>
      </c>
    </row>
    <row r="68" ht="15.75" customHeight="1">
      <c r="B68" s="371" t="s">
        <v>7274</v>
      </c>
      <c r="C68" s="371" t="s">
        <v>7275</v>
      </c>
      <c r="D68" s="371" t="s">
        <v>2205</v>
      </c>
    </row>
    <row r="69" ht="15.75" customHeight="1">
      <c r="B69" s="371" t="s">
        <v>3441</v>
      </c>
      <c r="C69" s="371" t="s">
        <v>7275</v>
      </c>
      <c r="D69" s="371" t="s">
        <v>2205</v>
      </c>
    </row>
    <row r="70" ht="15.75" customHeight="1">
      <c r="B70" s="371" t="s">
        <v>3392</v>
      </c>
      <c r="C70" s="371" t="s">
        <v>7276</v>
      </c>
      <c r="D70" s="371" t="s">
        <v>2205</v>
      </c>
    </row>
    <row r="71" ht="15.75" customHeight="1">
      <c r="B71" s="371" t="s">
        <v>3439</v>
      </c>
      <c r="C71" s="371" t="s">
        <v>7276</v>
      </c>
      <c r="D71" s="371" t="s">
        <v>2205</v>
      </c>
    </row>
    <row r="72" ht="15.75" customHeight="1">
      <c r="B72" s="371" t="s">
        <v>7277</v>
      </c>
      <c r="C72" s="371" t="s">
        <v>7278</v>
      </c>
      <c r="D72" s="371" t="s">
        <v>2205</v>
      </c>
    </row>
    <row r="73" ht="15.75" customHeight="1">
      <c r="B73" s="371" t="s">
        <v>3396</v>
      </c>
      <c r="C73" s="371" t="s">
        <v>7278</v>
      </c>
      <c r="D73" s="371" t="s">
        <v>2205</v>
      </c>
    </row>
    <row r="74" ht="15.75" customHeight="1">
      <c r="B74" s="371" t="s">
        <v>3437</v>
      </c>
      <c r="C74" s="371" t="s">
        <v>7278</v>
      </c>
      <c r="D74" s="371" t="s">
        <v>2205</v>
      </c>
    </row>
    <row r="75" ht="15.75" customHeight="1">
      <c r="B75" s="371" t="s">
        <v>7279</v>
      </c>
      <c r="C75" s="371" t="s">
        <v>7280</v>
      </c>
      <c r="D75" s="371" t="s">
        <v>2205</v>
      </c>
    </row>
    <row r="76" ht="15.75" customHeight="1">
      <c r="B76" s="371" t="s">
        <v>3398</v>
      </c>
      <c r="C76" s="371" t="s">
        <v>7280</v>
      </c>
      <c r="D76" s="371" t="s">
        <v>2205</v>
      </c>
    </row>
    <row r="77" ht="15.75" customHeight="1">
      <c r="B77" s="371" t="s">
        <v>7281</v>
      </c>
      <c r="C77" s="371" t="s">
        <v>7276</v>
      </c>
      <c r="D77" s="371" t="s">
        <v>2205</v>
      </c>
    </row>
    <row r="78" ht="15.75" customHeight="1">
      <c r="B78" s="371" t="s">
        <v>7282</v>
      </c>
      <c r="C78" s="371" t="s">
        <v>7271</v>
      </c>
      <c r="D78" s="371" t="s">
        <v>2205</v>
      </c>
    </row>
    <row r="79" ht="15.75" customHeight="1">
      <c r="B79" s="371" t="s">
        <v>7283</v>
      </c>
      <c r="C79" s="371" t="s">
        <v>7271</v>
      </c>
      <c r="D79" s="371" t="s">
        <v>2205</v>
      </c>
    </row>
    <row r="80" ht="15.75" customHeight="1">
      <c r="B80" s="371" t="s">
        <v>7284</v>
      </c>
      <c r="C80" s="371" t="s">
        <v>7271</v>
      </c>
      <c r="D80" s="371" t="s">
        <v>2205</v>
      </c>
    </row>
    <row r="81" ht="15.75" customHeight="1">
      <c r="B81" s="371" t="s">
        <v>7285</v>
      </c>
      <c r="C81" s="371" t="s">
        <v>7271</v>
      </c>
      <c r="D81" s="371" t="s">
        <v>2205</v>
      </c>
    </row>
    <row r="82" ht="15.75" customHeight="1">
      <c r="B82" s="371" t="s">
        <v>7286</v>
      </c>
      <c r="C82" s="371" t="s">
        <v>7271</v>
      </c>
      <c r="D82" s="371" t="s">
        <v>2205</v>
      </c>
    </row>
    <row r="83" ht="15.75" customHeight="1">
      <c r="B83" s="371" t="s">
        <v>7287</v>
      </c>
      <c r="C83" s="371" t="s">
        <v>7271</v>
      </c>
      <c r="D83" s="371" t="s">
        <v>2205</v>
      </c>
    </row>
    <row r="84" ht="15.75" customHeight="1">
      <c r="B84" s="371" t="s">
        <v>7288</v>
      </c>
      <c r="C84" s="371" t="s">
        <v>7276</v>
      </c>
      <c r="D84" s="371" t="s">
        <v>2205</v>
      </c>
    </row>
    <row r="85" ht="15.75" customHeight="1">
      <c r="B85" s="371" t="s">
        <v>7289</v>
      </c>
      <c r="C85" s="371" t="s">
        <v>7276</v>
      </c>
      <c r="D85" s="371" t="s">
        <v>2205</v>
      </c>
    </row>
    <row r="86" ht="15.75" customHeight="1">
      <c r="B86" s="371" t="s">
        <v>7290</v>
      </c>
      <c r="C86" s="371" t="s">
        <v>7276</v>
      </c>
      <c r="D86" s="371" t="s">
        <v>2205</v>
      </c>
    </row>
    <row r="87" ht="15.75" customHeight="1">
      <c r="B87" s="371" t="s">
        <v>7291</v>
      </c>
      <c r="C87" s="371" t="s">
        <v>7276</v>
      </c>
      <c r="D87" s="371" t="s">
        <v>2205</v>
      </c>
    </row>
    <row r="88" ht="15.75" customHeight="1">
      <c r="B88" s="371" t="s">
        <v>7292</v>
      </c>
      <c r="C88" s="371" t="s">
        <v>7276</v>
      </c>
      <c r="D88" s="371" t="s">
        <v>2205</v>
      </c>
    </row>
    <row r="89" ht="15.75" customHeight="1">
      <c r="B89" s="371" t="s">
        <v>3369</v>
      </c>
      <c r="C89" s="371" t="s">
        <v>7271</v>
      </c>
      <c r="D89" s="371" t="s">
        <v>2205</v>
      </c>
    </row>
    <row r="90" ht="15.75" customHeight="1">
      <c r="B90" s="371" t="s">
        <v>3373</v>
      </c>
      <c r="C90" s="371" t="s">
        <v>7271</v>
      </c>
      <c r="D90" s="371" t="s">
        <v>2205</v>
      </c>
    </row>
    <row r="91" ht="15.75" customHeight="1">
      <c r="B91" s="371" t="s">
        <v>3356</v>
      </c>
      <c r="C91" s="371" t="s">
        <v>7271</v>
      </c>
      <c r="D91" s="371" t="s">
        <v>2205</v>
      </c>
    </row>
    <row r="92" ht="15.75" customHeight="1">
      <c r="B92" s="371" t="s">
        <v>3358</v>
      </c>
      <c r="C92" s="371" t="s">
        <v>7271</v>
      </c>
      <c r="D92" s="371" t="s">
        <v>2205</v>
      </c>
    </row>
    <row r="93" ht="15.75" customHeight="1">
      <c r="B93" s="371" t="s">
        <v>3387</v>
      </c>
      <c r="C93" s="371" t="s">
        <v>7271</v>
      </c>
      <c r="D93" s="371" t="s">
        <v>2205</v>
      </c>
    </row>
    <row r="94" ht="15.75" customHeight="1">
      <c r="B94" s="371" t="s">
        <v>3428</v>
      </c>
      <c r="C94" s="371" t="s">
        <v>7271</v>
      </c>
      <c r="D94" s="371" t="s">
        <v>2205</v>
      </c>
    </row>
    <row r="95" ht="15.75" customHeight="1">
      <c r="B95" s="371" t="s">
        <v>3400</v>
      </c>
      <c r="C95" s="371" t="s">
        <v>7271</v>
      </c>
      <c r="D95" s="371" t="s">
        <v>2205</v>
      </c>
    </row>
    <row r="96" ht="15.75" customHeight="1">
      <c r="B96" s="371" t="s">
        <v>3404</v>
      </c>
      <c r="C96" s="371" t="s">
        <v>7271</v>
      </c>
      <c r="D96" s="371" t="s">
        <v>2205</v>
      </c>
    </row>
    <row r="97" ht="15.75" customHeight="1">
      <c r="B97" s="371" t="s">
        <v>3375</v>
      </c>
      <c r="C97" s="371" t="s">
        <v>7271</v>
      </c>
      <c r="D97" s="371" t="s">
        <v>2205</v>
      </c>
    </row>
    <row r="98" ht="15.75" customHeight="1">
      <c r="B98" s="371" t="s">
        <v>3408</v>
      </c>
      <c r="C98" s="371" t="s">
        <v>7271</v>
      </c>
      <c r="D98" s="371" t="s">
        <v>2205</v>
      </c>
    </row>
    <row r="99" ht="15.75" customHeight="1">
      <c r="B99" s="371" t="s">
        <v>3412</v>
      </c>
      <c r="C99" s="371" t="s">
        <v>7271</v>
      </c>
      <c r="D99" s="371" t="s">
        <v>2205</v>
      </c>
    </row>
    <row r="100" ht="15.75" customHeight="1">
      <c r="B100" s="371" t="s">
        <v>3379</v>
      </c>
      <c r="C100" s="371" t="s">
        <v>7271</v>
      </c>
      <c r="D100" s="371" t="s">
        <v>2205</v>
      </c>
    </row>
    <row r="101" ht="15.75" customHeight="1">
      <c r="B101" s="371" t="s">
        <v>3416</v>
      </c>
      <c r="C101" s="371" t="s">
        <v>7271</v>
      </c>
      <c r="D101" s="371" t="s">
        <v>2205</v>
      </c>
    </row>
    <row r="102" ht="15.75" customHeight="1">
      <c r="B102" s="371" t="s">
        <v>3420</v>
      </c>
      <c r="C102" s="371" t="s">
        <v>7271</v>
      </c>
      <c r="D102" s="371" t="s">
        <v>2205</v>
      </c>
    </row>
    <row r="103" ht="15.75" customHeight="1">
      <c r="B103" s="371" t="s">
        <v>3383</v>
      </c>
      <c r="C103" s="371" t="s">
        <v>7271</v>
      </c>
      <c r="D103" s="371" t="s">
        <v>2205</v>
      </c>
    </row>
    <row r="104" ht="15.75" customHeight="1">
      <c r="B104" s="371" t="s">
        <v>3424</v>
      </c>
      <c r="C104" s="371" t="s">
        <v>7271</v>
      </c>
      <c r="D104" s="371" t="s">
        <v>2205</v>
      </c>
    </row>
    <row r="105" ht="15.75" customHeight="1">
      <c r="B105" s="371" t="s">
        <v>4128</v>
      </c>
      <c r="C105" s="371" t="s">
        <v>7293</v>
      </c>
      <c r="D105" s="371" t="s">
        <v>2205</v>
      </c>
    </row>
    <row r="106" ht="15.75" customHeight="1">
      <c r="B106" s="371" t="s">
        <v>7294</v>
      </c>
      <c r="C106" s="371" t="s">
        <v>7271</v>
      </c>
      <c r="D106" s="371" t="s">
        <v>2205</v>
      </c>
    </row>
    <row r="107" ht="15.75" customHeight="1">
      <c r="B107" s="371" t="s">
        <v>7295</v>
      </c>
      <c r="C107" s="371" t="s">
        <v>7296</v>
      </c>
      <c r="D107" s="371" t="s">
        <v>2205</v>
      </c>
    </row>
    <row r="108" ht="15.75" customHeight="1">
      <c r="B108" s="371" t="s">
        <v>7297</v>
      </c>
      <c r="C108" s="371" t="s">
        <v>7298</v>
      </c>
      <c r="D108" s="371" t="s">
        <v>2205</v>
      </c>
    </row>
    <row r="109" ht="15.75" customHeight="1">
      <c r="B109" s="371" t="s">
        <v>7299</v>
      </c>
      <c r="C109" s="371" t="s">
        <v>7300</v>
      </c>
      <c r="D109" s="371" t="s">
        <v>2205</v>
      </c>
    </row>
    <row r="110" ht="15.75" customHeight="1">
      <c r="B110" s="371" t="s">
        <v>7301</v>
      </c>
      <c r="C110" s="371" t="s">
        <v>7302</v>
      </c>
      <c r="D110" s="371" t="s">
        <v>2205</v>
      </c>
    </row>
    <row r="111" ht="15.75" customHeight="1">
      <c r="B111" s="371" t="s">
        <v>7303</v>
      </c>
      <c r="C111" s="371" t="s">
        <v>7304</v>
      </c>
      <c r="D111" s="371" t="s">
        <v>2205</v>
      </c>
    </row>
    <row r="112" ht="15.75" customHeight="1">
      <c r="B112" s="371" t="s">
        <v>7305</v>
      </c>
      <c r="C112" s="371" t="s">
        <v>7306</v>
      </c>
      <c r="D112" s="371" t="s">
        <v>2205</v>
      </c>
    </row>
    <row r="113" ht="15.75" customHeight="1">
      <c r="B113" s="371" t="s">
        <v>7307</v>
      </c>
      <c r="C113" s="371" t="s">
        <v>7308</v>
      </c>
      <c r="D113" s="371" t="s">
        <v>2205</v>
      </c>
    </row>
    <row r="114" ht="15.75" customHeight="1">
      <c r="B114" s="371" t="s">
        <v>7309</v>
      </c>
      <c r="C114" s="371" t="s">
        <v>7310</v>
      </c>
      <c r="D114" s="371" t="s">
        <v>2205</v>
      </c>
    </row>
    <row r="115" ht="15.75" customHeight="1">
      <c r="B115" s="371" t="s">
        <v>5900</v>
      </c>
      <c r="C115" s="371" t="s">
        <v>7311</v>
      </c>
      <c r="D115" s="371" t="s">
        <v>2139</v>
      </c>
    </row>
    <row r="116" ht="15.75" customHeight="1">
      <c r="B116" s="371" t="s">
        <v>7312</v>
      </c>
      <c r="C116" s="371" t="s">
        <v>7313</v>
      </c>
      <c r="D116" s="371" t="s">
        <v>2205</v>
      </c>
    </row>
    <row r="117" ht="15.75" customHeight="1">
      <c r="B117" s="371" t="s">
        <v>3063</v>
      </c>
      <c r="C117" s="371" t="s">
        <v>7199</v>
      </c>
      <c r="D117" s="371" t="s">
        <v>2139</v>
      </c>
    </row>
    <row r="118" ht="15.75" customHeight="1">
      <c r="B118" s="371" t="s">
        <v>7314</v>
      </c>
      <c r="C118" s="371" t="s">
        <v>7199</v>
      </c>
      <c r="D118" s="371" t="s">
        <v>2205</v>
      </c>
    </row>
    <row r="119" ht="15.75" customHeight="1">
      <c r="B119" s="371" t="s">
        <v>3067</v>
      </c>
      <c r="C119" s="371" t="s">
        <v>7199</v>
      </c>
      <c r="D119" s="371" t="s">
        <v>2205</v>
      </c>
    </row>
    <row r="120" ht="15.75" customHeight="1">
      <c r="B120" s="371" t="s">
        <v>5943</v>
      </c>
      <c r="C120" s="371" t="s">
        <v>7315</v>
      </c>
      <c r="D120" s="371" t="s">
        <v>2205</v>
      </c>
    </row>
    <row r="121" ht="15.75" customHeight="1">
      <c r="B121" s="371" t="s">
        <v>503</v>
      </c>
      <c r="C121" s="371" t="s">
        <v>7316</v>
      </c>
      <c r="D121" s="371" t="s">
        <v>2205</v>
      </c>
    </row>
    <row r="122" ht="15.75" customHeight="1">
      <c r="B122" s="371" t="s">
        <v>7317</v>
      </c>
      <c r="C122" s="371" t="s">
        <v>7318</v>
      </c>
      <c r="D122" s="371" t="s">
        <v>2205</v>
      </c>
    </row>
    <row r="123" ht="15.75" customHeight="1">
      <c r="B123" s="371" t="s">
        <v>7319</v>
      </c>
      <c r="C123" s="371" t="s">
        <v>7320</v>
      </c>
      <c r="D123" s="371" t="s">
        <v>2205</v>
      </c>
    </row>
    <row r="124" ht="15.75" customHeight="1">
      <c r="B124" s="371" t="s">
        <v>495</v>
      </c>
      <c r="C124" s="371" t="s">
        <v>7321</v>
      </c>
      <c r="D124" s="371" t="s">
        <v>2205</v>
      </c>
    </row>
    <row r="125" ht="15.75" customHeight="1">
      <c r="B125" s="371" t="s">
        <v>497</v>
      </c>
      <c r="C125" s="371" t="s">
        <v>7321</v>
      </c>
      <c r="D125" s="371" t="s">
        <v>2139</v>
      </c>
    </row>
    <row r="126" ht="15.75" customHeight="1">
      <c r="B126" s="371" t="s">
        <v>499</v>
      </c>
      <c r="C126" s="371" t="s">
        <v>7321</v>
      </c>
      <c r="D126" s="371" t="s">
        <v>2139</v>
      </c>
    </row>
    <row r="127" ht="15.75" customHeight="1">
      <c r="B127" s="371" t="s">
        <v>1875</v>
      </c>
      <c r="C127" s="371" t="s">
        <v>7322</v>
      </c>
      <c r="D127" s="371" t="s">
        <v>2139</v>
      </c>
    </row>
    <row r="128" ht="15.75" customHeight="1">
      <c r="B128" s="371" t="s">
        <v>7323</v>
      </c>
      <c r="C128" s="371" t="s">
        <v>7324</v>
      </c>
      <c r="D128" s="371" t="s">
        <v>2205</v>
      </c>
    </row>
    <row r="129" ht="15.75" customHeight="1">
      <c r="B129" s="371" t="s">
        <v>2803</v>
      </c>
      <c r="C129" s="371" t="s">
        <v>7324</v>
      </c>
      <c r="D129" s="371" t="s">
        <v>2205</v>
      </c>
    </row>
    <row r="130" ht="15.75" customHeight="1">
      <c r="B130" s="371" t="s">
        <v>7325</v>
      </c>
      <c r="C130" s="371" t="s">
        <v>7324</v>
      </c>
      <c r="D130" s="371" t="s">
        <v>2205</v>
      </c>
    </row>
    <row r="131" ht="15.75" customHeight="1">
      <c r="B131" s="371" t="s">
        <v>7326</v>
      </c>
      <c r="C131" s="371" t="s">
        <v>7327</v>
      </c>
      <c r="D131" s="371" t="s">
        <v>2205</v>
      </c>
    </row>
    <row r="132" ht="15.75" customHeight="1">
      <c r="B132" s="371" t="s">
        <v>1449</v>
      </c>
      <c r="C132" s="371" t="s">
        <v>7328</v>
      </c>
      <c r="D132" s="371" t="s">
        <v>2205</v>
      </c>
    </row>
    <row r="133" ht="15.75" customHeight="1">
      <c r="B133" s="371" t="s">
        <v>7329</v>
      </c>
      <c r="C133" s="371" t="s">
        <v>7328</v>
      </c>
      <c r="D133" s="371" t="s">
        <v>2205</v>
      </c>
    </row>
    <row r="134" ht="15.75" customHeight="1">
      <c r="B134" s="371" t="s">
        <v>1447</v>
      </c>
      <c r="C134" s="371" t="s">
        <v>7330</v>
      </c>
      <c r="D134" s="371" t="s">
        <v>2205</v>
      </c>
    </row>
    <row r="135" ht="15.75" customHeight="1">
      <c r="B135" s="371" t="s">
        <v>1445</v>
      </c>
      <c r="C135" s="371" t="s">
        <v>7328</v>
      </c>
      <c r="D135" s="371" t="s">
        <v>2205</v>
      </c>
    </row>
    <row r="136" ht="15.75" customHeight="1">
      <c r="B136" s="371" t="s">
        <v>7331</v>
      </c>
      <c r="C136" s="371" t="s">
        <v>7330</v>
      </c>
      <c r="D136" s="371" t="s">
        <v>2205</v>
      </c>
    </row>
    <row r="137" ht="15.75" customHeight="1">
      <c r="B137" s="371" t="s">
        <v>923</v>
      </c>
      <c r="C137" s="371" t="s">
        <v>7220</v>
      </c>
      <c r="D137" s="371" t="s">
        <v>2205</v>
      </c>
    </row>
    <row r="138" ht="15.75" customHeight="1">
      <c r="B138" s="371" t="s">
        <v>925</v>
      </c>
      <c r="C138" s="371" t="s">
        <v>7220</v>
      </c>
      <c r="D138" s="371" t="s">
        <v>2205</v>
      </c>
    </row>
    <row r="139" ht="15.75" customHeight="1">
      <c r="B139" s="371" t="s">
        <v>7332</v>
      </c>
      <c r="C139" s="371" t="s">
        <v>7220</v>
      </c>
      <c r="D139" s="371" t="s">
        <v>2205</v>
      </c>
    </row>
    <row r="140" ht="15.75" customHeight="1">
      <c r="B140" s="371" t="s">
        <v>7333</v>
      </c>
      <c r="C140" s="371" t="s">
        <v>7334</v>
      </c>
      <c r="D140" s="371" t="s">
        <v>2205</v>
      </c>
    </row>
    <row r="141" ht="15.75" customHeight="1">
      <c r="B141" s="371" t="s">
        <v>7335</v>
      </c>
      <c r="C141" s="371" t="s">
        <v>7336</v>
      </c>
      <c r="D141" s="371" t="s">
        <v>2205</v>
      </c>
    </row>
    <row r="142" ht="15.75" customHeight="1">
      <c r="B142" s="371" t="s">
        <v>7337</v>
      </c>
      <c r="C142" s="371" t="s">
        <v>7338</v>
      </c>
      <c r="D142" s="371" t="s">
        <v>2205</v>
      </c>
    </row>
    <row r="143" ht="15.75" customHeight="1">
      <c r="B143" s="371" t="s">
        <v>1653</v>
      </c>
      <c r="C143" s="371" t="s">
        <v>7339</v>
      </c>
      <c r="D143" s="371" t="s">
        <v>2139</v>
      </c>
    </row>
    <row r="144" ht="15.75" customHeight="1">
      <c r="B144" s="371" t="s">
        <v>7340</v>
      </c>
      <c r="C144" s="371" t="s">
        <v>7341</v>
      </c>
      <c r="D144" s="371" t="s">
        <v>2139</v>
      </c>
    </row>
    <row r="145" ht="15.75" customHeight="1">
      <c r="B145" s="371" t="s">
        <v>7342</v>
      </c>
      <c r="C145" s="371" t="s">
        <v>7341</v>
      </c>
      <c r="D145" s="371" t="s">
        <v>2205</v>
      </c>
    </row>
    <row r="146" ht="15.75" customHeight="1">
      <c r="B146" s="371" t="s">
        <v>1324</v>
      </c>
      <c r="C146" s="371" t="s">
        <v>7341</v>
      </c>
      <c r="D146" s="371" t="s">
        <v>2205</v>
      </c>
    </row>
    <row r="147" ht="15.75" customHeight="1">
      <c r="B147" s="371" t="s">
        <v>7343</v>
      </c>
      <c r="C147" s="371" t="s">
        <v>7344</v>
      </c>
      <c r="D147" s="371" t="s">
        <v>2139</v>
      </c>
    </row>
    <row r="148" ht="15.75" customHeight="1">
      <c r="B148" s="371" t="s">
        <v>1657</v>
      </c>
      <c r="C148" s="371" t="s">
        <v>7344</v>
      </c>
      <c r="D148" s="371" t="s">
        <v>2139</v>
      </c>
    </row>
    <row r="149" ht="15.75" customHeight="1">
      <c r="B149" s="371" t="s">
        <v>1659</v>
      </c>
      <c r="C149" s="371" t="s">
        <v>7344</v>
      </c>
      <c r="D149" s="371" t="s">
        <v>2139</v>
      </c>
    </row>
    <row r="150" ht="15.75" customHeight="1">
      <c r="B150" s="371" t="s">
        <v>290</v>
      </c>
      <c r="C150" s="371" t="s">
        <v>7341</v>
      </c>
      <c r="D150" s="371" t="s">
        <v>2139</v>
      </c>
    </row>
    <row r="151" ht="15.75" customHeight="1">
      <c r="B151" s="371" t="s">
        <v>7345</v>
      </c>
      <c r="C151" s="371" t="s">
        <v>7346</v>
      </c>
      <c r="D151" s="371" t="s">
        <v>2139</v>
      </c>
    </row>
    <row r="152" ht="15.75" customHeight="1">
      <c r="B152" s="371" t="s">
        <v>7347</v>
      </c>
      <c r="C152" s="371" t="s">
        <v>7341</v>
      </c>
      <c r="D152" s="371" t="s">
        <v>2205</v>
      </c>
    </row>
    <row r="153" ht="15.75" customHeight="1">
      <c r="B153" s="371" t="s">
        <v>517</v>
      </c>
      <c r="C153" s="371" t="s">
        <v>7348</v>
      </c>
      <c r="D153" s="371" t="s">
        <v>2139</v>
      </c>
    </row>
    <row r="154" ht="15.75" customHeight="1">
      <c r="B154" s="371" t="s">
        <v>521</v>
      </c>
      <c r="C154" s="371" t="s">
        <v>7348</v>
      </c>
      <c r="D154" s="371" t="s">
        <v>2139</v>
      </c>
    </row>
    <row r="155" ht="15.75" customHeight="1">
      <c r="B155" s="371" t="s">
        <v>525</v>
      </c>
      <c r="C155" s="371" t="s">
        <v>7349</v>
      </c>
      <c r="D155" s="371" t="s">
        <v>2139</v>
      </c>
    </row>
    <row r="156" ht="15.75" customHeight="1">
      <c r="B156" s="371" t="s">
        <v>533</v>
      </c>
      <c r="C156" s="371" t="s">
        <v>7348</v>
      </c>
      <c r="D156" s="371" t="s">
        <v>2139</v>
      </c>
    </row>
    <row r="157" ht="15.75" customHeight="1">
      <c r="B157" s="371" t="s">
        <v>541</v>
      </c>
      <c r="C157" s="371" t="s">
        <v>7349</v>
      </c>
      <c r="D157" s="371" t="s">
        <v>2139</v>
      </c>
    </row>
    <row r="158" ht="15.75" customHeight="1">
      <c r="B158" s="371" t="s">
        <v>6672</v>
      </c>
      <c r="C158" s="371" t="s">
        <v>7350</v>
      </c>
      <c r="D158" s="371" t="s">
        <v>2205</v>
      </c>
    </row>
    <row r="159" ht="15.75" customHeight="1">
      <c r="B159" s="371" t="s">
        <v>6676</v>
      </c>
      <c r="C159" s="371" t="s">
        <v>7351</v>
      </c>
      <c r="D159" s="371" t="s">
        <v>2139</v>
      </c>
    </row>
    <row r="160" ht="15.75" customHeight="1">
      <c r="B160" s="371" t="s">
        <v>7352</v>
      </c>
      <c r="C160" s="371" t="s">
        <v>7353</v>
      </c>
      <c r="D160" s="371" t="s">
        <v>2205</v>
      </c>
    </row>
    <row r="161" ht="15.75" customHeight="1">
      <c r="B161" s="371" t="s">
        <v>6818</v>
      </c>
      <c r="C161" s="371" t="s">
        <v>7354</v>
      </c>
      <c r="D161" s="371" t="s">
        <v>2205</v>
      </c>
    </row>
    <row r="162" ht="15.75" customHeight="1">
      <c r="B162" s="371" t="s">
        <v>6814</v>
      </c>
      <c r="C162" s="371" t="s">
        <v>7355</v>
      </c>
      <c r="D162" s="371" t="s">
        <v>2205</v>
      </c>
    </row>
    <row r="163" ht="15.75" customHeight="1">
      <c r="B163" s="371" t="s">
        <v>7356</v>
      </c>
      <c r="C163" s="371" t="s">
        <v>7357</v>
      </c>
      <c r="D163" s="371" t="s">
        <v>2205</v>
      </c>
    </row>
    <row r="164" ht="15.75" customHeight="1">
      <c r="B164" s="371" t="s">
        <v>6431</v>
      </c>
      <c r="C164" s="371" t="s">
        <v>7358</v>
      </c>
      <c r="D164" s="371" t="s">
        <v>2139</v>
      </c>
    </row>
    <row r="165" ht="15.75" customHeight="1">
      <c r="B165" s="371" t="s">
        <v>7359</v>
      </c>
      <c r="C165" s="371" t="s">
        <v>7360</v>
      </c>
      <c r="D165" s="371" t="s">
        <v>2205</v>
      </c>
    </row>
    <row r="166" ht="15.75" customHeight="1">
      <c r="B166" s="371" t="s">
        <v>6447</v>
      </c>
      <c r="C166" s="371" t="s">
        <v>7361</v>
      </c>
      <c r="D166" s="371" t="s">
        <v>2139</v>
      </c>
    </row>
    <row r="167" ht="15.75" customHeight="1">
      <c r="B167" s="371" t="s">
        <v>7362</v>
      </c>
      <c r="C167" s="371" t="s">
        <v>7363</v>
      </c>
      <c r="D167" s="371" t="s">
        <v>2205</v>
      </c>
    </row>
    <row r="168" ht="15.75" customHeight="1">
      <c r="B168" s="371" t="s">
        <v>4191</v>
      </c>
      <c r="C168" s="371" t="s">
        <v>7363</v>
      </c>
      <c r="D168" s="371" t="s">
        <v>2139</v>
      </c>
    </row>
    <row r="169" ht="15.75" customHeight="1">
      <c r="B169" s="371" t="s">
        <v>4195</v>
      </c>
      <c r="C169" s="371" t="s">
        <v>7363</v>
      </c>
      <c r="D169" s="371" t="s">
        <v>2139</v>
      </c>
    </row>
    <row r="170" ht="15.75" customHeight="1">
      <c r="B170" s="371" t="s">
        <v>4180</v>
      </c>
      <c r="C170" s="371" t="s">
        <v>7364</v>
      </c>
      <c r="D170" s="371" t="s">
        <v>2139</v>
      </c>
    </row>
    <row r="171" ht="15.75" customHeight="1">
      <c r="B171" s="371" t="s">
        <v>7365</v>
      </c>
      <c r="C171" s="371" t="s">
        <v>7366</v>
      </c>
      <c r="D171" s="371" t="s">
        <v>2205</v>
      </c>
    </row>
    <row r="172" ht="15.75" customHeight="1">
      <c r="B172" s="371" t="s">
        <v>4176</v>
      </c>
      <c r="C172" s="371" t="s">
        <v>7367</v>
      </c>
      <c r="D172" s="371" t="s">
        <v>2205</v>
      </c>
    </row>
    <row r="173" ht="15.75" customHeight="1">
      <c r="B173" s="371" t="s">
        <v>7368</v>
      </c>
      <c r="C173" s="371" t="s">
        <v>7369</v>
      </c>
      <c r="D173" s="371" t="s">
        <v>2205</v>
      </c>
    </row>
    <row r="174" ht="15.75" customHeight="1">
      <c r="B174" s="371" t="s">
        <v>6185</v>
      </c>
      <c r="C174" s="371" t="s">
        <v>7370</v>
      </c>
      <c r="D174" s="371" t="s">
        <v>2139</v>
      </c>
    </row>
    <row r="175" ht="15.75" customHeight="1">
      <c r="B175" s="371" t="s">
        <v>7371</v>
      </c>
      <c r="C175" s="371" t="s">
        <v>7372</v>
      </c>
      <c r="D175" s="371" t="s">
        <v>2205</v>
      </c>
    </row>
    <row r="176" ht="15.75" customHeight="1">
      <c r="B176" s="371" t="s">
        <v>7373</v>
      </c>
      <c r="C176" s="371" t="s">
        <v>7372</v>
      </c>
      <c r="D176" s="371" t="s">
        <v>2205</v>
      </c>
    </row>
    <row r="177" ht="15.75" customHeight="1">
      <c r="B177" s="371" t="s">
        <v>7374</v>
      </c>
      <c r="C177" s="371" t="s">
        <v>7375</v>
      </c>
      <c r="D177" s="371" t="s">
        <v>2205</v>
      </c>
    </row>
    <row r="178" ht="15.75" customHeight="1">
      <c r="B178" s="371" t="s">
        <v>4741</v>
      </c>
      <c r="C178" s="371" t="s">
        <v>7376</v>
      </c>
      <c r="D178" s="371" t="s">
        <v>2139</v>
      </c>
    </row>
    <row r="179" ht="15.75" customHeight="1">
      <c r="B179" s="371" t="s">
        <v>4745</v>
      </c>
      <c r="C179" s="371" t="s">
        <v>7377</v>
      </c>
      <c r="D179" s="371" t="s">
        <v>2139</v>
      </c>
    </row>
    <row r="180" ht="15.75" customHeight="1">
      <c r="B180" s="371" t="s">
        <v>4747</v>
      </c>
      <c r="C180" s="371" t="s">
        <v>7378</v>
      </c>
      <c r="D180" s="371" t="s">
        <v>2139</v>
      </c>
    </row>
    <row r="181" ht="15.75" customHeight="1">
      <c r="B181" s="371" t="s">
        <v>7379</v>
      </c>
      <c r="C181" s="371" t="s">
        <v>7380</v>
      </c>
      <c r="D181" s="371" t="s">
        <v>2205</v>
      </c>
    </row>
    <row r="182" ht="15.75" customHeight="1">
      <c r="B182" s="371" t="s">
        <v>7381</v>
      </c>
      <c r="C182" s="371" t="s">
        <v>7382</v>
      </c>
      <c r="D182" s="371" t="s">
        <v>2205</v>
      </c>
    </row>
    <row r="183" ht="15.75" customHeight="1">
      <c r="B183" s="371" t="s">
        <v>7383</v>
      </c>
      <c r="C183" s="371" t="s">
        <v>7382</v>
      </c>
      <c r="D183" s="371" t="s">
        <v>2205</v>
      </c>
    </row>
    <row r="184" ht="15.75" customHeight="1">
      <c r="B184" s="371" t="s">
        <v>4104</v>
      </c>
      <c r="C184" s="371" t="s">
        <v>7384</v>
      </c>
      <c r="D184" s="371" t="s">
        <v>2139</v>
      </c>
    </row>
    <row r="185" ht="15.75" customHeight="1">
      <c r="B185" s="371" t="s">
        <v>7385</v>
      </c>
      <c r="C185" s="371" t="s">
        <v>7386</v>
      </c>
      <c r="D185" s="371" t="s">
        <v>2139</v>
      </c>
    </row>
    <row r="186" ht="15.75" customHeight="1">
      <c r="B186" s="371" t="s">
        <v>7387</v>
      </c>
      <c r="C186" s="371" t="s">
        <v>7388</v>
      </c>
      <c r="D186" s="371" t="s">
        <v>2205</v>
      </c>
    </row>
    <row r="187" ht="15.75" customHeight="1">
      <c r="B187" s="371" t="s">
        <v>7389</v>
      </c>
      <c r="C187" s="371" t="s">
        <v>7386</v>
      </c>
      <c r="D187" s="371" t="s">
        <v>2139</v>
      </c>
    </row>
    <row r="188" ht="15.75" customHeight="1">
      <c r="B188" s="371" t="s">
        <v>7390</v>
      </c>
      <c r="C188" s="371" t="s">
        <v>7390</v>
      </c>
      <c r="D188" s="371" t="s">
        <v>2139</v>
      </c>
    </row>
    <row r="189" ht="15.75" customHeight="1">
      <c r="B189" s="371" t="s">
        <v>7391</v>
      </c>
      <c r="C189" s="371" t="s">
        <v>7392</v>
      </c>
      <c r="D189" s="371" t="s">
        <v>2139</v>
      </c>
    </row>
    <row r="190" ht="15.75" customHeight="1">
      <c r="B190" s="371" t="s">
        <v>7393</v>
      </c>
      <c r="C190" s="373"/>
      <c r="D190" s="371" t="s">
        <v>2205</v>
      </c>
    </row>
    <row r="191" ht="15.75" customHeight="1">
      <c r="B191" s="371" t="s">
        <v>7394</v>
      </c>
      <c r="C191" s="371" t="s">
        <v>7395</v>
      </c>
      <c r="D191" s="371" t="s">
        <v>2205</v>
      </c>
    </row>
    <row r="192" ht="15.75" customHeight="1">
      <c r="B192" s="371" t="s">
        <v>7396</v>
      </c>
      <c r="C192" s="371" t="s">
        <v>7397</v>
      </c>
      <c r="D192" s="371" t="s">
        <v>2139</v>
      </c>
    </row>
    <row r="193" ht="15.75" customHeight="1">
      <c r="B193" s="371" t="s">
        <v>7398</v>
      </c>
      <c r="C193" s="371" t="s">
        <v>7399</v>
      </c>
      <c r="D193" s="371" t="s">
        <v>2205</v>
      </c>
    </row>
    <row r="194" ht="15.75" customHeight="1">
      <c r="B194" s="371" t="s">
        <v>7400</v>
      </c>
      <c r="C194" s="371" t="s">
        <v>7401</v>
      </c>
      <c r="D194" s="371" t="s">
        <v>2205</v>
      </c>
    </row>
    <row r="195" ht="15.75" customHeight="1">
      <c r="B195" s="371" t="s">
        <v>7402</v>
      </c>
      <c r="C195" s="371" t="s">
        <v>7403</v>
      </c>
      <c r="D195" s="371" t="s">
        <v>2205</v>
      </c>
    </row>
    <row r="196" ht="15.75" customHeight="1">
      <c r="B196" s="371" t="s">
        <v>7404</v>
      </c>
      <c r="C196" s="371" t="s">
        <v>7405</v>
      </c>
      <c r="D196" s="371" t="s">
        <v>2205</v>
      </c>
    </row>
    <row r="197" ht="15.75" customHeight="1">
      <c r="B197" s="371" t="s">
        <v>7406</v>
      </c>
      <c r="C197" s="371" t="s">
        <v>7407</v>
      </c>
      <c r="D197" s="371" t="s">
        <v>2205</v>
      </c>
    </row>
    <row r="198" ht="15.75" customHeight="1">
      <c r="B198" s="371" t="s">
        <v>7408</v>
      </c>
      <c r="C198" s="371" t="s">
        <v>7409</v>
      </c>
      <c r="D198" s="371" t="s">
        <v>2205</v>
      </c>
    </row>
    <row r="199" ht="15.75" customHeight="1">
      <c r="B199" s="371" t="s">
        <v>7410</v>
      </c>
      <c r="C199" s="371" t="s">
        <v>7411</v>
      </c>
      <c r="D199" s="371" t="s">
        <v>2205</v>
      </c>
    </row>
    <row r="200" ht="15.75" customHeight="1">
      <c r="B200" s="371" t="s">
        <v>7412</v>
      </c>
      <c r="C200" s="371" t="s">
        <v>7413</v>
      </c>
      <c r="D200" s="371" t="s">
        <v>2205</v>
      </c>
    </row>
    <row r="201" ht="15.75" customHeight="1">
      <c r="B201" s="371" t="s">
        <v>7414</v>
      </c>
      <c r="C201" s="371" t="s">
        <v>7349</v>
      </c>
      <c r="D201" s="371" t="s">
        <v>2205</v>
      </c>
    </row>
    <row r="202" ht="15.75" customHeight="1">
      <c r="B202" s="371" t="s">
        <v>4396</v>
      </c>
      <c r="C202" s="371" t="s">
        <v>7415</v>
      </c>
      <c r="D202" s="371" t="s">
        <v>2205</v>
      </c>
    </row>
    <row r="203" ht="15.75" customHeight="1">
      <c r="B203" s="371" t="s">
        <v>4400</v>
      </c>
      <c r="C203" s="371" t="s">
        <v>7416</v>
      </c>
      <c r="D203" s="371" t="s">
        <v>2205</v>
      </c>
    </row>
    <row r="204" ht="15.75" customHeight="1">
      <c r="B204" s="371" t="s">
        <v>4405</v>
      </c>
      <c r="C204" s="371" t="s">
        <v>7417</v>
      </c>
      <c r="D204" s="371" t="s">
        <v>2205</v>
      </c>
    </row>
    <row r="205" ht="15.75" customHeight="1">
      <c r="B205" s="371" t="s">
        <v>4401</v>
      </c>
      <c r="C205" s="371" t="s">
        <v>7416</v>
      </c>
      <c r="D205" s="371" t="s">
        <v>2205</v>
      </c>
    </row>
    <row r="206" ht="15.75" customHeight="1">
      <c r="B206" s="371" t="s">
        <v>3030</v>
      </c>
      <c r="C206" s="371" t="s">
        <v>7418</v>
      </c>
      <c r="D206" s="371" t="s">
        <v>2205</v>
      </c>
    </row>
    <row r="207" ht="15.75" customHeight="1">
      <c r="B207" s="371" t="s">
        <v>7419</v>
      </c>
      <c r="C207" s="371" t="s">
        <v>7420</v>
      </c>
      <c r="D207" s="371" t="s">
        <v>2205</v>
      </c>
    </row>
    <row r="208" ht="15.75" customHeight="1">
      <c r="B208" s="371" t="s">
        <v>7421</v>
      </c>
      <c r="C208" s="371" t="s">
        <v>7422</v>
      </c>
      <c r="D208" s="371" t="s">
        <v>2205</v>
      </c>
    </row>
    <row r="209" ht="15.75" customHeight="1">
      <c r="B209" s="371" t="s">
        <v>7423</v>
      </c>
      <c r="C209" s="371" t="s">
        <v>7422</v>
      </c>
      <c r="D209" s="371" t="s">
        <v>2205</v>
      </c>
    </row>
    <row r="210" ht="15.75" customHeight="1">
      <c r="B210" s="371" t="s">
        <v>3026</v>
      </c>
      <c r="C210" s="371" t="s">
        <v>7424</v>
      </c>
      <c r="D210" s="371" t="s">
        <v>2205</v>
      </c>
    </row>
    <row r="211" ht="15.75" customHeight="1">
      <c r="B211" s="371" t="s">
        <v>7425</v>
      </c>
      <c r="C211" s="371" t="s">
        <v>7426</v>
      </c>
      <c r="D211" s="371" t="s">
        <v>2205</v>
      </c>
    </row>
    <row r="212" ht="15.75" customHeight="1">
      <c r="B212" s="371" t="s">
        <v>3022</v>
      </c>
      <c r="C212" s="371" t="s">
        <v>7427</v>
      </c>
      <c r="D212" s="371" t="s">
        <v>2205</v>
      </c>
    </row>
    <row r="213" ht="15.75" customHeight="1">
      <c r="B213" s="371" t="s">
        <v>7428</v>
      </c>
      <c r="C213" s="371" t="s">
        <v>7429</v>
      </c>
      <c r="D213" s="371" t="s">
        <v>2205</v>
      </c>
    </row>
    <row r="214" ht="15.75" customHeight="1">
      <c r="B214" s="371" t="s">
        <v>3018</v>
      </c>
      <c r="C214" s="371" t="s">
        <v>7430</v>
      </c>
      <c r="D214" s="371" t="s">
        <v>2205</v>
      </c>
    </row>
    <row r="215" ht="15.75" customHeight="1">
      <c r="B215" s="371" t="s">
        <v>7431</v>
      </c>
      <c r="C215" s="371" t="s">
        <v>7432</v>
      </c>
      <c r="D215" s="371" t="s">
        <v>2205</v>
      </c>
    </row>
    <row r="216" ht="15.75" customHeight="1">
      <c r="B216" s="371" t="s">
        <v>4270</v>
      </c>
      <c r="C216" s="371" t="s">
        <v>7432</v>
      </c>
      <c r="D216" s="371" t="s">
        <v>2205</v>
      </c>
    </row>
    <row r="217" ht="15.75" customHeight="1">
      <c r="B217" s="371" t="s">
        <v>7433</v>
      </c>
      <c r="C217" s="371" t="s">
        <v>7434</v>
      </c>
      <c r="D217" s="371" t="s">
        <v>2205</v>
      </c>
    </row>
    <row r="218" ht="15.75" customHeight="1">
      <c r="B218" s="371" t="s">
        <v>7435</v>
      </c>
      <c r="C218" s="371" t="s">
        <v>7436</v>
      </c>
      <c r="D218" s="371" t="s">
        <v>2205</v>
      </c>
    </row>
    <row r="219" ht="15.75" customHeight="1">
      <c r="B219" s="371" t="s">
        <v>4087</v>
      </c>
      <c r="C219" s="371" t="s">
        <v>7437</v>
      </c>
      <c r="D219" s="371" t="s">
        <v>2139</v>
      </c>
    </row>
    <row r="220" ht="15.75" customHeight="1">
      <c r="B220" s="371" t="s">
        <v>7438</v>
      </c>
      <c r="C220" s="373"/>
      <c r="D220" s="371" t="s">
        <v>2205</v>
      </c>
    </row>
    <row r="221" ht="15.75" customHeight="1">
      <c r="B221" s="371" t="s">
        <v>945</v>
      </c>
      <c r="C221" s="371" t="s">
        <v>7439</v>
      </c>
      <c r="D221" s="371" t="s">
        <v>2205</v>
      </c>
    </row>
    <row r="222" ht="15.75" customHeight="1">
      <c r="B222" s="371" t="s">
        <v>949</v>
      </c>
      <c r="C222" s="371" t="s">
        <v>7440</v>
      </c>
      <c r="D222" s="371" t="s">
        <v>2205</v>
      </c>
    </row>
    <row r="223" ht="15.75" customHeight="1">
      <c r="B223" s="371" t="s">
        <v>951</v>
      </c>
      <c r="C223" s="371" t="s">
        <v>7439</v>
      </c>
      <c r="D223" s="371" t="s">
        <v>2205</v>
      </c>
    </row>
    <row r="224" ht="15.75" customHeight="1">
      <c r="B224" s="371" t="s">
        <v>283</v>
      </c>
      <c r="C224" s="371" t="s">
        <v>7439</v>
      </c>
      <c r="D224" s="371" t="s">
        <v>2139</v>
      </c>
    </row>
    <row r="225" ht="15.75" customHeight="1">
      <c r="B225" s="371" t="s">
        <v>285</v>
      </c>
      <c r="C225" s="371" t="s">
        <v>7439</v>
      </c>
      <c r="D225" s="371" t="s">
        <v>2139</v>
      </c>
    </row>
    <row r="226" ht="15.75" customHeight="1">
      <c r="B226" s="371" t="s">
        <v>7441</v>
      </c>
      <c r="C226" s="371" t="s">
        <v>7442</v>
      </c>
      <c r="D226" s="371" t="s">
        <v>2205</v>
      </c>
    </row>
    <row r="227" ht="15.75" customHeight="1">
      <c r="B227" s="371" t="s">
        <v>7443</v>
      </c>
      <c r="C227" s="371" t="s">
        <v>7444</v>
      </c>
      <c r="D227" s="371" t="s">
        <v>2205</v>
      </c>
    </row>
    <row r="228" ht="15.75" customHeight="1">
      <c r="B228" s="371" t="s">
        <v>587</v>
      </c>
      <c r="C228" s="371" t="s">
        <v>7445</v>
      </c>
      <c r="D228" s="371" t="s">
        <v>2139</v>
      </c>
    </row>
    <row r="229" ht="15.75" customHeight="1">
      <c r="B229" s="371" t="s">
        <v>938</v>
      </c>
      <c r="C229" s="371" t="s">
        <v>7446</v>
      </c>
      <c r="D229" s="371" t="s">
        <v>2205</v>
      </c>
    </row>
    <row r="230" ht="15.75" customHeight="1">
      <c r="B230" s="371" t="s">
        <v>7447</v>
      </c>
      <c r="C230" s="371" t="s">
        <v>7448</v>
      </c>
      <c r="D230" s="371" t="s">
        <v>2205</v>
      </c>
    </row>
    <row r="231" ht="15.75" customHeight="1">
      <c r="B231" s="371" t="s">
        <v>7449</v>
      </c>
      <c r="C231" s="371" t="s">
        <v>7448</v>
      </c>
      <c r="D231" s="371" t="s">
        <v>2205</v>
      </c>
    </row>
    <row r="232" ht="15.75" customHeight="1">
      <c r="B232" s="371" t="s">
        <v>7450</v>
      </c>
      <c r="C232" s="371" t="s">
        <v>7448</v>
      </c>
      <c r="D232" s="371" t="s">
        <v>2205</v>
      </c>
    </row>
    <row r="233" ht="15.75" customHeight="1">
      <c r="B233" s="371" t="s">
        <v>7451</v>
      </c>
      <c r="C233" s="371" t="s">
        <v>7448</v>
      </c>
      <c r="D233" s="371" t="s">
        <v>2205</v>
      </c>
    </row>
    <row r="234" ht="15.75" customHeight="1">
      <c r="B234" s="371" t="s">
        <v>7452</v>
      </c>
      <c r="C234" s="371" t="s">
        <v>7448</v>
      </c>
      <c r="D234" s="371" t="s">
        <v>2205</v>
      </c>
    </row>
    <row r="235" ht="15.75" customHeight="1">
      <c r="B235" s="371" t="s">
        <v>7453</v>
      </c>
      <c r="C235" s="371" t="s">
        <v>7454</v>
      </c>
      <c r="D235" s="371" t="s">
        <v>2139</v>
      </c>
    </row>
    <row r="236" ht="15.75" customHeight="1">
      <c r="B236" s="371" t="s">
        <v>5932</v>
      </c>
      <c r="C236" s="371" t="s">
        <v>7454</v>
      </c>
      <c r="D236" s="371" t="s">
        <v>2205</v>
      </c>
    </row>
    <row r="237" ht="15.75" customHeight="1">
      <c r="B237" s="371" t="s">
        <v>7455</v>
      </c>
      <c r="C237" s="371" t="s">
        <v>7456</v>
      </c>
      <c r="D237" s="371" t="s">
        <v>2205</v>
      </c>
    </row>
    <row r="238" ht="15.75" customHeight="1">
      <c r="B238" s="371" t="s">
        <v>7457</v>
      </c>
      <c r="C238" s="371" t="s">
        <v>7458</v>
      </c>
      <c r="D238" s="371" t="s">
        <v>2139</v>
      </c>
    </row>
    <row r="239" ht="15.75" customHeight="1">
      <c r="B239" s="371" t="s">
        <v>7459</v>
      </c>
      <c r="C239" s="371" t="s">
        <v>7460</v>
      </c>
      <c r="D239" s="371" t="s">
        <v>2205</v>
      </c>
    </row>
    <row r="240" ht="15.75" customHeight="1">
      <c r="B240" s="371" t="s">
        <v>7461</v>
      </c>
      <c r="C240" s="371" t="s">
        <v>7462</v>
      </c>
      <c r="D240" s="371" t="s">
        <v>2205</v>
      </c>
    </row>
    <row r="241" ht="15.75" customHeight="1">
      <c r="B241" s="371" t="s">
        <v>7463</v>
      </c>
      <c r="C241" s="371" t="s">
        <v>7436</v>
      </c>
      <c r="D241" s="371" t="s">
        <v>2205</v>
      </c>
    </row>
    <row r="242" ht="15.75" customHeight="1">
      <c r="B242" s="371" t="s">
        <v>7464</v>
      </c>
      <c r="C242" s="371" t="s">
        <v>7436</v>
      </c>
      <c r="D242" s="371" t="s">
        <v>2205</v>
      </c>
    </row>
    <row r="243" ht="15.75" customHeight="1">
      <c r="B243" s="371" t="s">
        <v>7465</v>
      </c>
      <c r="C243" s="371" t="s">
        <v>7392</v>
      </c>
      <c r="D243" s="371" t="s">
        <v>2205</v>
      </c>
    </row>
    <row r="244" ht="15.75" customHeight="1">
      <c r="B244" s="371" t="s">
        <v>6035</v>
      </c>
      <c r="C244" s="371" t="s">
        <v>7466</v>
      </c>
      <c r="D244" s="371" t="s">
        <v>2139</v>
      </c>
    </row>
    <row r="245" ht="15.75" customHeight="1">
      <c r="B245" s="371" t="s">
        <v>6039</v>
      </c>
      <c r="C245" s="371" t="s">
        <v>7467</v>
      </c>
      <c r="D245" s="371" t="s">
        <v>2139</v>
      </c>
    </row>
    <row r="246" ht="15.75" customHeight="1">
      <c r="B246" s="371" t="s">
        <v>7468</v>
      </c>
      <c r="C246" s="371" t="s">
        <v>7469</v>
      </c>
      <c r="D246" s="371" t="s">
        <v>2205</v>
      </c>
    </row>
    <row r="247" ht="15.75" customHeight="1">
      <c r="B247" s="371" t="s">
        <v>6482</v>
      </c>
      <c r="C247" s="371" t="s">
        <v>7470</v>
      </c>
      <c r="D247" s="371" t="s">
        <v>2139</v>
      </c>
    </row>
    <row r="248" ht="15.75" customHeight="1">
      <c r="B248" s="371" t="s">
        <v>7471</v>
      </c>
      <c r="C248" s="371" t="s">
        <v>7472</v>
      </c>
      <c r="D248" s="371" t="s">
        <v>2205</v>
      </c>
    </row>
    <row r="249" ht="15.75" customHeight="1">
      <c r="B249" s="371" t="s">
        <v>7473</v>
      </c>
      <c r="C249" s="371" t="s">
        <v>7472</v>
      </c>
      <c r="D249" s="371" t="s">
        <v>2205</v>
      </c>
    </row>
    <row r="250" ht="15.75" customHeight="1">
      <c r="B250" s="371" t="s">
        <v>7474</v>
      </c>
      <c r="C250" s="373"/>
      <c r="D250" s="371" t="s">
        <v>2205</v>
      </c>
    </row>
    <row r="251" ht="15.75" customHeight="1">
      <c r="B251" s="371" t="s">
        <v>6774</v>
      </c>
      <c r="C251" s="371" t="s">
        <v>7475</v>
      </c>
      <c r="D251" s="371" t="s">
        <v>2205</v>
      </c>
    </row>
    <row r="252" ht="15.75" customHeight="1">
      <c r="B252" s="371" t="s">
        <v>6770</v>
      </c>
      <c r="C252" s="371" t="s">
        <v>7476</v>
      </c>
      <c r="D252" s="371" t="s">
        <v>2205</v>
      </c>
    </row>
    <row r="253" ht="15.75" customHeight="1">
      <c r="B253" s="371" t="s">
        <v>6778</v>
      </c>
      <c r="C253" s="371" t="s">
        <v>7477</v>
      </c>
      <c r="D253" s="371" t="s">
        <v>2205</v>
      </c>
    </row>
    <row r="254" ht="15.75" customHeight="1">
      <c r="B254" s="371" t="s">
        <v>4377</v>
      </c>
      <c r="C254" s="371" t="s">
        <v>7416</v>
      </c>
      <c r="D254" s="371" t="s">
        <v>2205</v>
      </c>
    </row>
    <row r="255" ht="15.75" customHeight="1">
      <c r="B255" s="371" t="s">
        <v>7478</v>
      </c>
      <c r="C255" s="371" t="s">
        <v>7416</v>
      </c>
      <c r="D255" s="371" t="s">
        <v>2205</v>
      </c>
    </row>
    <row r="256" ht="15.75" customHeight="1">
      <c r="B256" s="371" t="s">
        <v>7479</v>
      </c>
      <c r="C256" s="371" t="s">
        <v>7480</v>
      </c>
      <c r="D256" s="371" t="s">
        <v>2205</v>
      </c>
    </row>
    <row r="257" ht="15.75" customHeight="1">
      <c r="B257" s="371" t="s">
        <v>7481</v>
      </c>
      <c r="C257" s="371" t="s">
        <v>7480</v>
      </c>
      <c r="D257" s="371" t="s">
        <v>2205</v>
      </c>
    </row>
    <row r="258" ht="15.75" customHeight="1">
      <c r="B258" s="371" t="s">
        <v>7482</v>
      </c>
      <c r="C258" s="371" t="s">
        <v>7480</v>
      </c>
      <c r="D258" s="371" t="s">
        <v>2139</v>
      </c>
    </row>
    <row r="259" ht="15.75" customHeight="1">
      <c r="B259" s="371" t="s">
        <v>7483</v>
      </c>
      <c r="C259" s="371" t="s">
        <v>7480</v>
      </c>
      <c r="D259" s="371" t="s">
        <v>2139</v>
      </c>
    </row>
    <row r="260" ht="15.75" customHeight="1">
      <c r="B260" s="371" t="s">
        <v>7484</v>
      </c>
      <c r="C260" s="371" t="s">
        <v>7480</v>
      </c>
      <c r="D260" s="371" t="s">
        <v>2139</v>
      </c>
    </row>
    <row r="261" ht="15.75" customHeight="1">
      <c r="B261" s="371" t="s">
        <v>7485</v>
      </c>
      <c r="C261" s="371" t="s">
        <v>7480</v>
      </c>
      <c r="D261" s="371" t="s">
        <v>2139</v>
      </c>
    </row>
    <row r="262" ht="15.75" customHeight="1">
      <c r="B262" s="371" t="s">
        <v>4369</v>
      </c>
      <c r="C262" s="371" t="s">
        <v>7480</v>
      </c>
      <c r="D262" s="371" t="s">
        <v>2139</v>
      </c>
    </row>
    <row r="263" ht="15.75" customHeight="1">
      <c r="B263" s="371" t="s">
        <v>7486</v>
      </c>
      <c r="C263" s="371" t="s">
        <v>7480</v>
      </c>
      <c r="D263" s="371" t="s">
        <v>2139</v>
      </c>
    </row>
    <row r="264" ht="15.75" customHeight="1">
      <c r="B264" s="371" t="s">
        <v>7487</v>
      </c>
      <c r="C264" s="371" t="s">
        <v>7480</v>
      </c>
      <c r="D264" s="371" t="s">
        <v>2139</v>
      </c>
    </row>
    <row r="265" ht="15.75" customHeight="1">
      <c r="B265" s="371" t="s">
        <v>7488</v>
      </c>
      <c r="C265" s="371" t="s">
        <v>7480</v>
      </c>
      <c r="D265" s="371" t="s">
        <v>2139</v>
      </c>
    </row>
    <row r="266" ht="15.75" customHeight="1">
      <c r="B266" s="371" t="s">
        <v>4373</v>
      </c>
      <c r="C266" s="371" t="s">
        <v>7480</v>
      </c>
      <c r="D266" s="371" t="s">
        <v>2205</v>
      </c>
    </row>
    <row r="267" ht="15.75" customHeight="1">
      <c r="B267" s="371" t="s">
        <v>7489</v>
      </c>
      <c r="C267" s="371" t="s">
        <v>7416</v>
      </c>
      <c r="D267" s="371" t="s">
        <v>2205</v>
      </c>
    </row>
    <row r="268" ht="15.75" customHeight="1">
      <c r="B268" s="371" t="s">
        <v>7490</v>
      </c>
      <c r="C268" s="371" t="s">
        <v>7416</v>
      </c>
      <c r="D268" s="371" t="s">
        <v>2205</v>
      </c>
    </row>
    <row r="269" ht="15.75" customHeight="1">
      <c r="B269" s="371" t="s">
        <v>7491</v>
      </c>
      <c r="C269" s="371" t="s">
        <v>7492</v>
      </c>
      <c r="D269" s="371" t="s">
        <v>2205</v>
      </c>
    </row>
    <row r="270" ht="15.75" customHeight="1">
      <c r="B270" s="371" t="s">
        <v>7493</v>
      </c>
      <c r="C270" s="371" t="s">
        <v>7494</v>
      </c>
      <c r="D270" s="371" t="s">
        <v>2139</v>
      </c>
    </row>
    <row r="271" ht="15.75" customHeight="1">
      <c r="B271" s="371" t="s">
        <v>4441</v>
      </c>
      <c r="C271" s="371" t="s">
        <v>7495</v>
      </c>
      <c r="D271" s="371" t="s">
        <v>2205</v>
      </c>
    </row>
    <row r="272" ht="15.75" customHeight="1">
      <c r="B272" s="371" t="s">
        <v>4445</v>
      </c>
      <c r="C272" s="371" t="s">
        <v>7495</v>
      </c>
      <c r="D272" s="371" t="s">
        <v>2205</v>
      </c>
    </row>
    <row r="273" ht="15.75" customHeight="1">
      <c r="B273" s="371" t="s">
        <v>7496</v>
      </c>
      <c r="C273" s="371" t="s">
        <v>7492</v>
      </c>
      <c r="D273" s="371" t="s">
        <v>2205</v>
      </c>
    </row>
    <row r="274" ht="15.75" customHeight="1">
      <c r="B274" s="371" t="s">
        <v>4410</v>
      </c>
      <c r="C274" s="371" t="s">
        <v>7416</v>
      </c>
      <c r="D274" s="371" t="s">
        <v>2139</v>
      </c>
    </row>
    <row r="275" ht="15.75" customHeight="1">
      <c r="B275" s="371" t="s">
        <v>4414</v>
      </c>
      <c r="C275" s="371" t="s">
        <v>7480</v>
      </c>
      <c r="D275" s="371" t="s">
        <v>2139</v>
      </c>
    </row>
    <row r="276" ht="15.75" customHeight="1">
      <c r="B276" s="371" t="s">
        <v>4418</v>
      </c>
      <c r="C276" s="371" t="s">
        <v>7416</v>
      </c>
      <c r="D276" s="371" t="s">
        <v>2139</v>
      </c>
    </row>
    <row r="277" ht="15.75" customHeight="1">
      <c r="B277" s="371" t="s">
        <v>5919</v>
      </c>
      <c r="C277" s="371" t="s">
        <v>7497</v>
      </c>
      <c r="D277" s="371" t="s">
        <v>2139</v>
      </c>
    </row>
    <row r="278" ht="15.75" customHeight="1">
      <c r="B278" s="371" t="s">
        <v>7498</v>
      </c>
      <c r="C278" s="371" t="s">
        <v>7499</v>
      </c>
      <c r="D278" s="371" t="s">
        <v>2205</v>
      </c>
    </row>
    <row r="279" ht="15.75" customHeight="1">
      <c r="B279" s="371" t="s">
        <v>7500</v>
      </c>
      <c r="C279" s="371" t="s">
        <v>7501</v>
      </c>
      <c r="D279" s="371" t="s">
        <v>2205</v>
      </c>
    </row>
    <row r="280" ht="15.75" customHeight="1">
      <c r="B280" s="371" t="s">
        <v>7502</v>
      </c>
      <c r="C280" s="371" t="s">
        <v>7503</v>
      </c>
      <c r="D280" s="371" t="s">
        <v>2205</v>
      </c>
    </row>
    <row r="281" ht="15.75" customHeight="1">
      <c r="B281" s="371" t="s">
        <v>7504</v>
      </c>
      <c r="C281" s="371" t="s">
        <v>7505</v>
      </c>
      <c r="D281" s="371" t="s">
        <v>2205</v>
      </c>
    </row>
    <row r="282" ht="15.75" customHeight="1">
      <c r="B282" s="371" t="s">
        <v>2808</v>
      </c>
      <c r="C282" s="371" t="s">
        <v>7506</v>
      </c>
      <c r="D282" s="371" t="s">
        <v>2139</v>
      </c>
    </row>
    <row r="283" ht="15.75" customHeight="1">
      <c r="B283" s="371" t="s">
        <v>7507</v>
      </c>
      <c r="C283" s="371" t="s">
        <v>7508</v>
      </c>
      <c r="D283" s="371" t="s">
        <v>2205</v>
      </c>
    </row>
    <row r="284" ht="15.75" customHeight="1">
      <c r="B284" s="371" t="s">
        <v>2812</v>
      </c>
      <c r="C284" s="371" t="s">
        <v>7506</v>
      </c>
      <c r="D284" s="371" t="s">
        <v>2205</v>
      </c>
    </row>
    <row r="285" ht="15.75" customHeight="1">
      <c r="B285" s="371" t="s">
        <v>7509</v>
      </c>
      <c r="C285" s="371" t="s">
        <v>7508</v>
      </c>
      <c r="D285" s="371" t="s">
        <v>2139</v>
      </c>
    </row>
    <row r="286" ht="15.75" customHeight="1">
      <c r="B286" s="371" t="s">
        <v>2816</v>
      </c>
      <c r="C286" s="371" t="s">
        <v>7506</v>
      </c>
      <c r="D286" s="371" t="s">
        <v>2139</v>
      </c>
    </row>
    <row r="287" ht="15.75" customHeight="1">
      <c r="B287" s="371" t="s">
        <v>7510</v>
      </c>
      <c r="C287" s="371" t="s">
        <v>7508</v>
      </c>
      <c r="D287" s="371" t="s">
        <v>2205</v>
      </c>
    </row>
    <row r="288" ht="15.75" customHeight="1">
      <c r="B288" s="371" t="s">
        <v>7511</v>
      </c>
      <c r="C288" s="371" t="s">
        <v>7506</v>
      </c>
      <c r="D288" s="371" t="s">
        <v>2205</v>
      </c>
    </row>
    <row r="289" ht="15.75" customHeight="1">
      <c r="B289" s="371" t="s">
        <v>4310</v>
      </c>
      <c r="C289" s="371" t="s">
        <v>7512</v>
      </c>
      <c r="D289" s="371" t="s">
        <v>2205</v>
      </c>
    </row>
    <row r="290" ht="15.75" customHeight="1">
      <c r="B290" s="371" t="s">
        <v>4314</v>
      </c>
      <c r="C290" s="371" t="s">
        <v>7512</v>
      </c>
      <c r="D290" s="371" t="s">
        <v>2205</v>
      </c>
    </row>
    <row r="291" ht="15.75" customHeight="1">
      <c r="B291" s="371" t="s">
        <v>4318</v>
      </c>
      <c r="C291" s="371" t="s">
        <v>7513</v>
      </c>
      <c r="D291" s="371" t="s">
        <v>2139</v>
      </c>
    </row>
    <row r="292" ht="15.75" customHeight="1">
      <c r="B292" s="371" t="s">
        <v>4388</v>
      </c>
      <c r="C292" s="371" t="s">
        <v>7480</v>
      </c>
      <c r="D292" s="371" t="s">
        <v>2139</v>
      </c>
    </row>
    <row r="293" ht="15.75" customHeight="1">
      <c r="B293" s="371" t="s">
        <v>4391</v>
      </c>
      <c r="C293" s="371" t="s">
        <v>7480</v>
      </c>
      <c r="D293" s="371" t="s">
        <v>2139</v>
      </c>
    </row>
    <row r="294" ht="15.75" customHeight="1">
      <c r="B294" s="371" t="s">
        <v>7514</v>
      </c>
      <c r="C294" s="371" t="s">
        <v>7515</v>
      </c>
      <c r="D294" s="371" t="s">
        <v>2139</v>
      </c>
    </row>
    <row r="295" ht="15.75" customHeight="1">
      <c r="B295" s="371" t="s">
        <v>4455</v>
      </c>
      <c r="C295" s="371" t="s">
        <v>7516</v>
      </c>
      <c r="D295" s="371" t="s">
        <v>2139</v>
      </c>
    </row>
    <row r="296" ht="15.75" customHeight="1">
      <c r="B296" s="371" t="s">
        <v>4459</v>
      </c>
      <c r="C296" s="371" t="s">
        <v>7416</v>
      </c>
      <c r="D296" s="371" t="s">
        <v>2139</v>
      </c>
    </row>
    <row r="297" ht="15.75" customHeight="1">
      <c r="B297" s="371" t="s">
        <v>7517</v>
      </c>
      <c r="C297" s="371" t="s">
        <v>7380</v>
      </c>
      <c r="D297" s="371" t="s">
        <v>2205</v>
      </c>
    </row>
    <row r="298" ht="15.75" customHeight="1">
      <c r="B298" s="371" t="s">
        <v>7518</v>
      </c>
      <c r="C298" s="371" t="s">
        <v>7519</v>
      </c>
      <c r="D298" s="371" t="s">
        <v>2205</v>
      </c>
    </row>
    <row r="299" ht="15.75" customHeight="1">
      <c r="B299" s="371" t="s">
        <v>7520</v>
      </c>
      <c r="C299" s="371" t="s">
        <v>7519</v>
      </c>
      <c r="D299" s="371" t="s">
        <v>2205</v>
      </c>
    </row>
    <row r="300" ht="15.75" customHeight="1">
      <c r="B300" s="371" t="s">
        <v>7521</v>
      </c>
      <c r="C300" s="371" t="s">
        <v>7519</v>
      </c>
      <c r="D300" s="371" t="s">
        <v>2205</v>
      </c>
    </row>
    <row r="301" ht="15.75" customHeight="1">
      <c r="B301" s="371" t="s">
        <v>7522</v>
      </c>
      <c r="C301" s="371" t="s">
        <v>7523</v>
      </c>
      <c r="D301" s="371" t="s">
        <v>2205</v>
      </c>
    </row>
    <row r="302" ht="15.75" customHeight="1">
      <c r="B302" s="371" t="s">
        <v>7524</v>
      </c>
      <c r="C302" s="371" t="s">
        <v>7523</v>
      </c>
      <c r="D302" s="371" t="s">
        <v>2205</v>
      </c>
    </row>
    <row r="303" ht="15.75" customHeight="1">
      <c r="B303" s="371" t="s">
        <v>7525</v>
      </c>
      <c r="C303" s="371" t="s">
        <v>7526</v>
      </c>
      <c r="D303" s="371" t="s">
        <v>2205</v>
      </c>
    </row>
    <row r="304" ht="15.75" customHeight="1">
      <c r="B304" s="371" t="s">
        <v>7527</v>
      </c>
      <c r="C304" s="371" t="s">
        <v>7528</v>
      </c>
      <c r="D304" s="371" t="s">
        <v>2139</v>
      </c>
    </row>
    <row r="305" ht="15.75" customHeight="1">
      <c r="B305" s="371" t="s">
        <v>7529</v>
      </c>
      <c r="C305" s="371" t="s">
        <v>7528</v>
      </c>
      <c r="D305" s="371" t="s">
        <v>2139</v>
      </c>
    </row>
    <row r="306" ht="15.75" customHeight="1">
      <c r="B306" s="371" t="s">
        <v>7530</v>
      </c>
      <c r="C306" s="371" t="s">
        <v>7528</v>
      </c>
      <c r="D306" s="371" t="s">
        <v>2205</v>
      </c>
    </row>
    <row r="307" ht="15.75" customHeight="1">
      <c r="B307" s="371" t="s">
        <v>7531</v>
      </c>
      <c r="C307" s="371" t="s">
        <v>7532</v>
      </c>
      <c r="D307" s="371" t="s">
        <v>2205</v>
      </c>
    </row>
    <row r="308" ht="15.75" customHeight="1">
      <c r="B308" s="371" t="s">
        <v>7533</v>
      </c>
      <c r="C308" s="371" t="s">
        <v>7532</v>
      </c>
      <c r="D308" s="371" t="s">
        <v>2205</v>
      </c>
    </row>
    <row r="309" ht="15.75" customHeight="1">
      <c r="B309" s="371" t="s">
        <v>7534</v>
      </c>
      <c r="C309" s="371" t="s">
        <v>7532</v>
      </c>
      <c r="D309" s="371" t="s">
        <v>2205</v>
      </c>
    </row>
    <row r="310" ht="15.75" customHeight="1">
      <c r="B310" s="371" t="s">
        <v>7535</v>
      </c>
      <c r="C310" s="371" t="s">
        <v>7536</v>
      </c>
      <c r="D310" s="371" t="s">
        <v>2205</v>
      </c>
    </row>
    <row r="311" ht="15.75" customHeight="1">
      <c r="B311" s="371" t="s">
        <v>7537</v>
      </c>
      <c r="C311" s="371" t="s">
        <v>7532</v>
      </c>
      <c r="D311" s="371" t="s">
        <v>2205</v>
      </c>
    </row>
    <row r="312" ht="15.75" customHeight="1">
      <c r="B312" s="371" t="s">
        <v>7538</v>
      </c>
      <c r="C312" s="371" t="s">
        <v>7528</v>
      </c>
      <c r="D312" s="371" t="s">
        <v>2205</v>
      </c>
    </row>
    <row r="313" ht="15.75" customHeight="1">
      <c r="B313" s="371" t="s">
        <v>7539</v>
      </c>
      <c r="C313" s="371" t="s">
        <v>7528</v>
      </c>
      <c r="D313" s="371" t="s">
        <v>2205</v>
      </c>
    </row>
    <row r="314" ht="15.75" customHeight="1">
      <c r="B314" s="371" t="s">
        <v>7540</v>
      </c>
      <c r="C314" s="371" t="s">
        <v>7528</v>
      </c>
      <c r="D314" s="371" t="s">
        <v>2205</v>
      </c>
    </row>
    <row r="315" ht="15.75" customHeight="1">
      <c r="B315" s="371" t="s">
        <v>7541</v>
      </c>
      <c r="C315" s="371" t="s">
        <v>7528</v>
      </c>
      <c r="D315" s="371" t="s">
        <v>2205</v>
      </c>
    </row>
    <row r="316" ht="15.75" customHeight="1">
      <c r="B316" s="371" t="s">
        <v>7542</v>
      </c>
      <c r="C316" s="371" t="s">
        <v>7543</v>
      </c>
      <c r="D316" s="371" t="s">
        <v>2205</v>
      </c>
    </row>
    <row r="317" ht="15.75" customHeight="1">
      <c r="B317" s="371" t="s">
        <v>7544</v>
      </c>
      <c r="C317" s="371" t="s">
        <v>7545</v>
      </c>
      <c r="D317" s="371" t="s">
        <v>2205</v>
      </c>
    </row>
    <row r="318" ht="15.75" customHeight="1">
      <c r="B318" s="371" t="s">
        <v>7546</v>
      </c>
      <c r="C318" s="371" t="s">
        <v>7523</v>
      </c>
      <c r="D318" s="371" t="s">
        <v>2205</v>
      </c>
    </row>
    <row r="319" ht="15.75" customHeight="1">
      <c r="B319" s="371" t="s">
        <v>7547</v>
      </c>
      <c r="C319" s="371" t="s">
        <v>7532</v>
      </c>
      <c r="D319" s="371" t="s">
        <v>2205</v>
      </c>
    </row>
    <row r="320" ht="15.75" customHeight="1">
      <c r="B320" s="371" t="s">
        <v>5947</v>
      </c>
      <c r="C320" s="371" t="s">
        <v>7315</v>
      </c>
      <c r="D320" s="371" t="s">
        <v>2139</v>
      </c>
    </row>
    <row r="321" ht="15.75" customHeight="1">
      <c r="B321" s="371" t="s">
        <v>5949</v>
      </c>
      <c r="C321" s="371" t="s">
        <v>7315</v>
      </c>
      <c r="D321" s="371" t="s">
        <v>2139</v>
      </c>
    </row>
    <row r="322" ht="15.75" customHeight="1">
      <c r="B322" s="371" t="s">
        <v>7548</v>
      </c>
      <c r="C322" s="371" t="s">
        <v>7261</v>
      </c>
      <c r="D322" s="371" t="s">
        <v>2139</v>
      </c>
    </row>
    <row r="323" ht="15.75" customHeight="1">
      <c r="B323" s="371" t="s">
        <v>7549</v>
      </c>
      <c r="C323" s="371" t="s">
        <v>7261</v>
      </c>
      <c r="D323" s="371" t="s">
        <v>2139</v>
      </c>
    </row>
    <row r="324" ht="15.75" customHeight="1">
      <c r="B324" s="371" t="s">
        <v>5952</v>
      </c>
      <c r="C324" s="371" t="s">
        <v>7315</v>
      </c>
      <c r="D324" s="371" t="s">
        <v>2139</v>
      </c>
    </row>
    <row r="325" ht="15.75" customHeight="1">
      <c r="B325" s="371" t="s">
        <v>7550</v>
      </c>
      <c r="C325" s="371" t="s">
        <v>7551</v>
      </c>
      <c r="D325" s="371" t="s">
        <v>2205</v>
      </c>
    </row>
    <row r="326" ht="15.75" customHeight="1">
      <c r="B326" s="371" t="s">
        <v>7552</v>
      </c>
      <c r="C326" s="371" t="s">
        <v>7553</v>
      </c>
      <c r="D326" s="371" t="s">
        <v>2139</v>
      </c>
    </row>
    <row r="327" ht="15.75" customHeight="1">
      <c r="B327" s="371" t="s">
        <v>5956</v>
      </c>
      <c r="C327" s="371" t="s">
        <v>7315</v>
      </c>
      <c r="D327" s="371" t="s">
        <v>2205</v>
      </c>
    </row>
    <row r="328" ht="15.75" customHeight="1">
      <c r="B328" s="371" t="s">
        <v>7554</v>
      </c>
      <c r="C328" s="371" t="s">
        <v>7553</v>
      </c>
      <c r="D328" s="371" t="s">
        <v>2205</v>
      </c>
    </row>
    <row r="329" ht="15.75" customHeight="1">
      <c r="B329" s="371" t="s">
        <v>7555</v>
      </c>
      <c r="C329" s="371" t="s">
        <v>7551</v>
      </c>
      <c r="D329" s="371" t="s">
        <v>2205</v>
      </c>
    </row>
    <row r="330" ht="15.75" customHeight="1">
      <c r="B330" s="371" t="s">
        <v>4478</v>
      </c>
      <c r="C330" s="371" t="s">
        <v>7556</v>
      </c>
      <c r="D330" s="371" t="s">
        <v>2139</v>
      </c>
    </row>
    <row r="331" ht="15.75" customHeight="1">
      <c r="B331" s="371" t="s">
        <v>4463</v>
      </c>
      <c r="C331" s="371" t="s">
        <v>7480</v>
      </c>
      <c r="D331" s="371" t="s">
        <v>2139</v>
      </c>
    </row>
    <row r="332" ht="15.75" customHeight="1">
      <c r="B332" s="371" t="s">
        <v>4467</v>
      </c>
      <c r="C332" s="371" t="s">
        <v>7480</v>
      </c>
      <c r="D332" s="371" t="s">
        <v>2139</v>
      </c>
    </row>
    <row r="333" ht="15.75" customHeight="1">
      <c r="B333" s="371" t="s">
        <v>4469</v>
      </c>
      <c r="C333" s="371" t="s">
        <v>7416</v>
      </c>
      <c r="D333" s="371" t="s">
        <v>2205</v>
      </c>
    </row>
    <row r="334" ht="15.75" customHeight="1">
      <c r="B334" s="371" t="s">
        <v>7557</v>
      </c>
      <c r="C334" s="371" t="s">
        <v>7416</v>
      </c>
      <c r="D334" s="371" t="s">
        <v>2205</v>
      </c>
    </row>
    <row r="335" ht="15.75" customHeight="1">
      <c r="B335" s="371" t="s">
        <v>4092</v>
      </c>
      <c r="C335" s="371" t="s">
        <v>7558</v>
      </c>
      <c r="D335" s="371" t="s">
        <v>2139</v>
      </c>
    </row>
    <row r="336" ht="15.75" customHeight="1">
      <c r="B336" s="371" t="s">
        <v>7559</v>
      </c>
      <c r="C336" s="371" t="s">
        <v>7213</v>
      </c>
      <c r="D336" s="371" t="s">
        <v>2205</v>
      </c>
    </row>
    <row r="337" ht="15.75" customHeight="1">
      <c r="B337" s="371" t="s">
        <v>7560</v>
      </c>
      <c r="C337" s="371" t="s">
        <v>7561</v>
      </c>
      <c r="D337" s="371" t="s">
        <v>2205</v>
      </c>
    </row>
    <row r="338" ht="15.75" customHeight="1">
      <c r="B338" s="371" t="s">
        <v>4500</v>
      </c>
      <c r="C338" s="371" t="s">
        <v>4501</v>
      </c>
      <c r="D338" s="371" t="s">
        <v>2139</v>
      </c>
    </row>
    <row r="339" ht="15.75" customHeight="1">
      <c r="B339" s="371" t="s">
        <v>7562</v>
      </c>
      <c r="C339" s="371" t="s">
        <v>4501</v>
      </c>
      <c r="D339" s="371" t="s">
        <v>2139</v>
      </c>
    </row>
    <row r="340" ht="15.75" customHeight="1">
      <c r="B340" s="371" t="s">
        <v>4512</v>
      </c>
      <c r="C340" s="371" t="s">
        <v>7563</v>
      </c>
      <c r="D340" s="371" t="s">
        <v>2139</v>
      </c>
    </row>
    <row r="341" ht="15.75" customHeight="1">
      <c r="B341" s="371" t="s">
        <v>4504</v>
      </c>
      <c r="C341" s="371" t="s">
        <v>4505</v>
      </c>
      <c r="D341" s="371" t="s">
        <v>2139</v>
      </c>
    </row>
    <row r="342" ht="15.75" customHeight="1">
      <c r="B342" s="371" t="s">
        <v>7564</v>
      </c>
      <c r="C342" s="371" t="s">
        <v>7565</v>
      </c>
      <c r="D342" s="371" t="s">
        <v>2205</v>
      </c>
    </row>
    <row r="343" ht="15.75" customHeight="1">
      <c r="B343" s="371" t="s">
        <v>7566</v>
      </c>
      <c r="C343" s="371" t="s">
        <v>7567</v>
      </c>
      <c r="D343" s="371" t="s">
        <v>2205</v>
      </c>
    </row>
    <row r="344" ht="15.75" customHeight="1">
      <c r="B344" s="371" t="s">
        <v>4508</v>
      </c>
      <c r="C344" s="371" t="s">
        <v>4509</v>
      </c>
      <c r="D344" s="371" t="s">
        <v>2205</v>
      </c>
    </row>
    <row r="345" ht="15.75" customHeight="1">
      <c r="B345" s="371" t="s">
        <v>7568</v>
      </c>
      <c r="C345" s="371" t="s">
        <v>7569</v>
      </c>
      <c r="D345" s="371" t="s">
        <v>2205</v>
      </c>
    </row>
    <row r="346" ht="15.75" customHeight="1">
      <c r="B346" s="371" t="s">
        <v>7570</v>
      </c>
      <c r="C346" s="371" t="s">
        <v>7571</v>
      </c>
      <c r="D346" s="371" t="s">
        <v>2205</v>
      </c>
    </row>
    <row r="347" ht="15.75" customHeight="1">
      <c r="B347" s="371" t="s">
        <v>7572</v>
      </c>
      <c r="C347" s="371" t="s">
        <v>7569</v>
      </c>
      <c r="D347" s="371" t="s">
        <v>2205</v>
      </c>
    </row>
    <row r="348" ht="15.75" customHeight="1">
      <c r="B348" s="371" t="s">
        <v>6025</v>
      </c>
      <c r="C348" s="371" t="s">
        <v>7573</v>
      </c>
      <c r="D348" s="371" t="s">
        <v>2205</v>
      </c>
    </row>
    <row r="349" ht="15.75" customHeight="1">
      <c r="B349" s="371" t="s">
        <v>6029</v>
      </c>
      <c r="C349" s="371" t="s">
        <v>7573</v>
      </c>
      <c r="D349" s="371" t="s">
        <v>2139</v>
      </c>
    </row>
    <row r="350" ht="15.75" customHeight="1">
      <c r="B350" s="371" t="s">
        <v>7574</v>
      </c>
      <c r="C350" s="371" t="s">
        <v>7573</v>
      </c>
      <c r="D350" s="371" t="s">
        <v>2205</v>
      </c>
    </row>
    <row r="351" ht="15.75" customHeight="1">
      <c r="B351" s="371" t="s">
        <v>7575</v>
      </c>
      <c r="C351" s="371" t="s">
        <v>7576</v>
      </c>
      <c r="D351" s="371" t="s">
        <v>2205</v>
      </c>
    </row>
    <row r="352" ht="15.75" customHeight="1">
      <c r="B352" s="371" t="s">
        <v>4279</v>
      </c>
      <c r="C352" s="371" t="s">
        <v>7519</v>
      </c>
      <c r="D352" s="371" t="s">
        <v>2205</v>
      </c>
    </row>
    <row r="353" ht="15.75" customHeight="1">
      <c r="B353" s="371" t="s">
        <v>7577</v>
      </c>
      <c r="C353" s="371" t="s">
        <v>7576</v>
      </c>
      <c r="D353" s="371" t="s">
        <v>2205</v>
      </c>
    </row>
    <row r="354" ht="15.75" customHeight="1">
      <c r="B354" s="371" t="s">
        <v>4283</v>
      </c>
      <c r="C354" s="371" t="s">
        <v>7519</v>
      </c>
      <c r="D354" s="371" t="s">
        <v>2205</v>
      </c>
    </row>
    <row r="355" ht="15.75" customHeight="1">
      <c r="B355" s="371" t="s">
        <v>7578</v>
      </c>
      <c r="C355" s="371" t="s">
        <v>7579</v>
      </c>
      <c r="D355" s="371" t="s">
        <v>2205</v>
      </c>
    </row>
    <row r="356" ht="15.75" customHeight="1">
      <c r="B356" s="371" t="s">
        <v>7580</v>
      </c>
      <c r="C356" s="371" t="s">
        <v>7581</v>
      </c>
      <c r="D356" s="371" t="s">
        <v>2205</v>
      </c>
    </row>
    <row r="357" ht="15.75" customHeight="1">
      <c r="B357" s="371" t="s">
        <v>7582</v>
      </c>
      <c r="C357" s="371" t="s">
        <v>7583</v>
      </c>
      <c r="D357" s="371" t="s">
        <v>2205</v>
      </c>
    </row>
    <row r="358" ht="15.75" customHeight="1">
      <c r="B358" s="371" t="s">
        <v>7584</v>
      </c>
      <c r="C358" s="371" t="s">
        <v>7585</v>
      </c>
      <c r="D358" s="371" t="s">
        <v>2205</v>
      </c>
    </row>
    <row r="359" ht="15.75" customHeight="1">
      <c r="B359" s="371" t="s">
        <v>7586</v>
      </c>
      <c r="C359" s="371" t="s">
        <v>7587</v>
      </c>
      <c r="D359" s="371" t="s">
        <v>2205</v>
      </c>
    </row>
    <row r="360" ht="15.75" customHeight="1">
      <c r="B360" s="371" t="s">
        <v>7588</v>
      </c>
      <c r="C360" s="371" t="s">
        <v>7589</v>
      </c>
      <c r="D360" s="371" t="s">
        <v>2205</v>
      </c>
    </row>
    <row r="361" ht="15.75" customHeight="1">
      <c r="B361" s="371" t="s">
        <v>7590</v>
      </c>
      <c r="C361" s="371" t="s">
        <v>7591</v>
      </c>
      <c r="D361" s="371" t="s">
        <v>2205</v>
      </c>
    </row>
    <row r="362" ht="15.75" customHeight="1">
      <c r="B362" s="371" t="s">
        <v>7592</v>
      </c>
      <c r="C362" s="371" t="s">
        <v>7593</v>
      </c>
      <c r="D362" s="371" t="s">
        <v>2205</v>
      </c>
    </row>
    <row r="363" ht="15.75" customHeight="1">
      <c r="B363" s="371" t="s">
        <v>7594</v>
      </c>
      <c r="C363" s="371" t="s">
        <v>7595</v>
      </c>
      <c r="D363" s="371" t="s">
        <v>2205</v>
      </c>
    </row>
    <row r="364" ht="15.75" customHeight="1">
      <c r="B364" s="371" t="s">
        <v>7596</v>
      </c>
      <c r="C364" s="371" t="s">
        <v>7597</v>
      </c>
      <c r="D364" s="371" t="s">
        <v>2205</v>
      </c>
    </row>
    <row r="365" ht="15.75" customHeight="1">
      <c r="B365" s="371" t="s">
        <v>7598</v>
      </c>
      <c r="C365" s="371" t="s">
        <v>7599</v>
      </c>
      <c r="D365" s="371" t="s">
        <v>2205</v>
      </c>
    </row>
    <row r="366" ht="15.75" customHeight="1">
      <c r="B366" s="371" t="s">
        <v>7600</v>
      </c>
      <c r="C366" s="371" t="s">
        <v>7601</v>
      </c>
      <c r="D366" s="371" t="s">
        <v>2205</v>
      </c>
    </row>
    <row r="367" ht="15.75" customHeight="1">
      <c r="B367" s="371" t="s">
        <v>7602</v>
      </c>
      <c r="C367" s="371" t="s">
        <v>7603</v>
      </c>
      <c r="D367" s="371" t="s">
        <v>2205</v>
      </c>
    </row>
    <row r="368" ht="15.75" customHeight="1">
      <c r="B368" s="371" t="s">
        <v>7604</v>
      </c>
      <c r="C368" s="371" t="s">
        <v>7605</v>
      </c>
      <c r="D368" s="371" t="s">
        <v>2205</v>
      </c>
    </row>
    <row r="369" ht="15.75" customHeight="1">
      <c r="B369" s="371" t="s">
        <v>7606</v>
      </c>
      <c r="C369" s="371" t="s">
        <v>7607</v>
      </c>
      <c r="D369" s="371" t="s">
        <v>2205</v>
      </c>
    </row>
    <row r="370" ht="15.75" customHeight="1">
      <c r="B370" s="371" t="s">
        <v>7608</v>
      </c>
      <c r="C370" s="371" t="s">
        <v>7609</v>
      </c>
      <c r="D370" s="371" t="s">
        <v>2205</v>
      </c>
    </row>
    <row r="371" ht="15.75" customHeight="1">
      <c r="B371" s="371" t="s">
        <v>7610</v>
      </c>
      <c r="C371" s="371" t="s">
        <v>7611</v>
      </c>
      <c r="D371" s="371" t="s">
        <v>2139</v>
      </c>
    </row>
    <row r="372" ht="15.75" customHeight="1">
      <c r="B372" s="371" t="s">
        <v>7612</v>
      </c>
      <c r="C372" s="371" t="s">
        <v>7613</v>
      </c>
      <c r="D372" s="371" t="s">
        <v>2205</v>
      </c>
    </row>
    <row r="373" ht="15.75" customHeight="1">
      <c r="B373" s="371" t="s">
        <v>7614</v>
      </c>
      <c r="C373" s="371" t="s">
        <v>7585</v>
      </c>
      <c r="D373" s="371" t="s">
        <v>2205</v>
      </c>
    </row>
    <row r="374" ht="15.75" customHeight="1">
      <c r="B374" s="371" t="s">
        <v>7615</v>
      </c>
      <c r="C374" s="371" t="s">
        <v>7611</v>
      </c>
      <c r="D374" s="371" t="s">
        <v>2205</v>
      </c>
    </row>
    <row r="375" ht="15.75" customHeight="1">
      <c r="B375" s="371" t="s">
        <v>7616</v>
      </c>
      <c r="C375" s="371" t="s">
        <v>7617</v>
      </c>
      <c r="D375" s="371" t="s">
        <v>2205</v>
      </c>
    </row>
    <row r="376" ht="15.75" customHeight="1">
      <c r="B376" s="371" t="s">
        <v>7618</v>
      </c>
      <c r="C376" s="371" t="s">
        <v>7619</v>
      </c>
      <c r="D376" s="371" t="s">
        <v>2205</v>
      </c>
    </row>
    <row r="377" ht="15.75" customHeight="1">
      <c r="B377" s="371" t="s">
        <v>7620</v>
      </c>
      <c r="C377" s="371" t="s">
        <v>7621</v>
      </c>
      <c r="D377" s="371" t="s">
        <v>2205</v>
      </c>
    </row>
    <row r="378" ht="15.75" customHeight="1">
      <c r="B378" s="371" t="s">
        <v>7622</v>
      </c>
      <c r="C378" s="371" t="s">
        <v>7623</v>
      </c>
      <c r="D378" s="371" t="s">
        <v>2205</v>
      </c>
    </row>
    <row r="379" ht="15.75" customHeight="1">
      <c r="B379" s="371" t="s">
        <v>7624</v>
      </c>
      <c r="C379" s="371" t="s">
        <v>7599</v>
      </c>
      <c r="D379" s="371" t="s">
        <v>2205</v>
      </c>
    </row>
    <row r="380" ht="15.75" customHeight="1">
      <c r="B380" s="371" t="s">
        <v>7625</v>
      </c>
      <c r="C380" s="371" t="s">
        <v>7422</v>
      </c>
      <c r="D380" s="371" t="s">
        <v>2205</v>
      </c>
    </row>
    <row r="381" ht="15.75" customHeight="1">
      <c r="B381" s="371" t="s">
        <v>7626</v>
      </c>
      <c r="C381" s="371" t="s">
        <v>7627</v>
      </c>
      <c r="D381" s="371" t="s">
        <v>2205</v>
      </c>
    </row>
    <row r="382" ht="15.75" customHeight="1">
      <c r="B382" s="371" t="s">
        <v>7628</v>
      </c>
      <c r="C382" s="371" t="s">
        <v>7629</v>
      </c>
      <c r="D382" s="371" t="s">
        <v>2205</v>
      </c>
    </row>
    <row r="383" ht="15.75" customHeight="1">
      <c r="B383" s="371" t="s">
        <v>7630</v>
      </c>
      <c r="C383" s="371" t="s">
        <v>7631</v>
      </c>
      <c r="D383" s="371" t="s">
        <v>2205</v>
      </c>
    </row>
    <row r="384" ht="15.75" customHeight="1">
      <c r="B384" s="371" t="s">
        <v>7632</v>
      </c>
      <c r="C384" s="371" t="s">
        <v>7633</v>
      </c>
      <c r="D384" s="371" t="s">
        <v>2205</v>
      </c>
    </row>
    <row r="385" ht="15.75" customHeight="1">
      <c r="B385" s="371" t="s">
        <v>7634</v>
      </c>
      <c r="C385" s="371" t="s">
        <v>7633</v>
      </c>
      <c r="D385" s="371" t="s">
        <v>2205</v>
      </c>
    </row>
    <row r="386" ht="15.75" customHeight="1">
      <c r="B386" s="371" t="s">
        <v>7635</v>
      </c>
      <c r="C386" s="371" t="s">
        <v>7633</v>
      </c>
      <c r="D386" s="371" t="s">
        <v>2205</v>
      </c>
    </row>
    <row r="387" ht="15.75" customHeight="1">
      <c r="B387" s="371" t="s">
        <v>7636</v>
      </c>
      <c r="C387" s="371" t="s">
        <v>7633</v>
      </c>
      <c r="D387" s="371" t="s">
        <v>2205</v>
      </c>
    </row>
    <row r="388" ht="15.75" customHeight="1">
      <c r="B388" s="371" t="s">
        <v>7637</v>
      </c>
      <c r="C388" s="371" t="s">
        <v>7631</v>
      </c>
      <c r="D388" s="371" t="s">
        <v>2205</v>
      </c>
    </row>
    <row r="389" ht="15.75" customHeight="1">
      <c r="B389" s="371" t="s">
        <v>7638</v>
      </c>
      <c r="C389" s="371" t="s">
        <v>7639</v>
      </c>
      <c r="D389" s="371" t="s">
        <v>2205</v>
      </c>
    </row>
    <row r="390" ht="15.75" customHeight="1">
      <c r="B390" s="371" t="s">
        <v>7640</v>
      </c>
      <c r="C390" s="371" t="s">
        <v>7641</v>
      </c>
      <c r="D390" s="371" t="s">
        <v>2205</v>
      </c>
    </row>
    <row r="391" ht="15.75" customHeight="1">
      <c r="B391" s="371" t="s">
        <v>7642</v>
      </c>
      <c r="C391" s="371" t="s">
        <v>7643</v>
      </c>
      <c r="D391" s="371" t="s">
        <v>2205</v>
      </c>
    </row>
    <row r="392" ht="15.75" customHeight="1">
      <c r="B392" s="371" t="s">
        <v>6590</v>
      </c>
      <c r="C392" s="371" t="s">
        <v>7470</v>
      </c>
      <c r="D392" s="371" t="s">
        <v>2205</v>
      </c>
    </row>
    <row r="393" ht="15.75" customHeight="1">
      <c r="B393" s="371" t="s">
        <v>6492</v>
      </c>
      <c r="C393" s="371" t="s">
        <v>7470</v>
      </c>
      <c r="D393" s="371" t="s">
        <v>2139</v>
      </c>
    </row>
    <row r="394" ht="15.75" customHeight="1">
      <c r="B394" s="371" t="s">
        <v>6678</v>
      </c>
      <c r="C394" s="371" t="s">
        <v>7644</v>
      </c>
      <c r="D394" s="371" t="s">
        <v>2139</v>
      </c>
    </row>
    <row r="395" ht="15.75" customHeight="1">
      <c r="B395" s="371" t="s">
        <v>6682</v>
      </c>
      <c r="C395" s="371" t="s">
        <v>7645</v>
      </c>
      <c r="D395" s="371" t="s">
        <v>2205</v>
      </c>
    </row>
    <row r="396" ht="15.75" customHeight="1">
      <c r="B396" s="371" t="s">
        <v>6684</v>
      </c>
      <c r="C396" s="371" t="s">
        <v>7645</v>
      </c>
      <c r="D396" s="371" t="s">
        <v>2139</v>
      </c>
    </row>
    <row r="397" ht="15.75" customHeight="1">
      <c r="B397" s="371" t="s">
        <v>6690</v>
      </c>
      <c r="C397" s="371" t="s">
        <v>7645</v>
      </c>
      <c r="D397" s="371" t="s">
        <v>2139</v>
      </c>
    </row>
    <row r="398" ht="15.75" customHeight="1">
      <c r="B398" s="371" t="s">
        <v>6691</v>
      </c>
      <c r="C398" s="371" t="s">
        <v>7644</v>
      </c>
      <c r="D398" s="371" t="s">
        <v>2139</v>
      </c>
    </row>
    <row r="399" ht="15.75" customHeight="1">
      <c r="B399" s="371" t="s">
        <v>6695</v>
      </c>
      <c r="C399" s="371" t="s">
        <v>7646</v>
      </c>
      <c r="D399" s="371" t="s">
        <v>2139</v>
      </c>
    </row>
    <row r="400" ht="15.75" customHeight="1">
      <c r="B400" s="371" t="s">
        <v>7647</v>
      </c>
      <c r="C400" s="373"/>
      <c r="D400" s="371" t="s">
        <v>2205</v>
      </c>
    </row>
    <row r="401" ht="15.75" customHeight="1">
      <c r="B401" s="371" t="s">
        <v>7648</v>
      </c>
      <c r="C401" s="371" t="s">
        <v>7649</v>
      </c>
      <c r="D401" s="371" t="s">
        <v>2205</v>
      </c>
    </row>
    <row r="402" ht="15.75" customHeight="1">
      <c r="B402" s="371" t="s">
        <v>7650</v>
      </c>
      <c r="C402" s="371" t="s">
        <v>7651</v>
      </c>
      <c r="D402" s="371" t="s">
        <v>2205</v>
      </c>
    </row>
    <row r="403" ht="15.75" customHeight="1">
      <c r="B403" s="371" t="s">
        <v>7652</v>
      </c>
      <c r="C403" s="371" t="s">
        <v>7653</v>
      </c>
      <c r="D403" s="371" t="s">
        <v>2205</v>
      </c>
    </row>
    <row r="404" ht="15.75" customHeight="1">
      <c r="B404" s="371" t="s">
        <v>7654</v>
      </c>
      <c r="C404" s="371" t="s">
        <v>7655</v>
      </c>
      <c r="D404" s="371" t="s">
        <v>2205</v>
      </c>
    </row>
    <row r="405" ht="15.75" customHeight="1">
      <c r="B405" s="371" t="s">
        <v>7656</v>
      </c>
      <c r="C405" s="371" t="s">
        <v>7657</v>
      </c>
      <c r="D405" s="371" t="s">
        <v>2139</v>
      </c>
    </row>
    <row r="406" ht="15.75" customHeight="1">
      <c r="B406" s="371" t="s">
        <v>7658</v>
      </c>
      <c r="C406" s="371" t="s">
        <v>7659</v>
      </c>
      <c r="D406" s="371" t="s">
        <v>2205</v>
      </c>
    </row>
    <row r="407" ht="15.75" customHeight="1">
      <c r="B407" s="371" t="s">
        <v>7660</v>
      </c>
      <c r="C407" s="371" t="s">
        <v>7661</v>
      </c>
      <c r="D407" s="371" t="s">
        <v>2205</v>
      </c>
    </row>
    <row r="408" ht="15.75" customHeight="1">
      <c r="B408" s="371" t="s">
        <v>7662</v>
      </c>
      <c r="C408" s="371" t="s">
        <v>7663</v>
      </c>
      <c r="D408" s="371" t="s">
        <v>2205</v>
      </c>
    </row>
    <row r="409" ht="15.75" customHeight="1">
      <c r="B409" s="371" t="s">
        <v>7664</v>
      </c>
      <c r="C409" s="371" t="s">
        <v>7661</v>
      </c>
      <c r="D409" s="371" t="s">
        <v>2205</v>
      </c>
    </row>
    <row r="410" ht="15.75" customHeight="1">
      <c r="B410" s="371" t="s">
        <v>7665</v>
      </c>
      <c r="C410" s="371" t="s">
        <v>7663</v>
      </c>
      <c r="D410" s="371" t="s">
        <v>2205</v>
      </c>
    </row>
    <row r="411" ht="15.75" customHeight="1">
      <c r="B411" s="371" t="s">
        <v>7666</v>
      </c>
      <c r="C411" s="371" t="s">
        <v>7661</v>
      </c>
      <c r="D411" s="371" t="s">
        <v>2205</v>
      </c>
    </row>
    <row r="412" ht="15.75" customHeight="1">
      <c r="B412" s="371" t="s">
        <v>7667</v>
      </c>
      <c r="C412" s="371" t="s">
        <v>7668</v>
      </c>
      <c r="D412" s="371" t="s">
        <v>2205</v>
      </c>
    </row>
    <row r="413" ht="15.75" customHeight="1">
      <c r="B413" s="371" t="s">
        <v>2841</v>
      </c>
      <c r="C413" s="371" t="s">
        <v>7661</v>
      </c>
      <c r="D413" s="371" t="s">
        <v>2205</v>
      </c>
    </row>
    <row r="414" ht="15.75" customHeight="1">
      <c r="B414" s="371" t="s">
        <v>2845</v>
      </c>
      <c r="C414" s="371" t="s">
        <v>7661</v>
      </c>
      <c r="D414" s="371" t="s">
        <v>2205</v>
      </c>
    </row>
    <row r="415" ht="15.75" customHeight="1">
      <c r="B415" s="371" t="s">
        <v>2849</v>
      </c>
      <c r="C415" s="371" t="s">
        <v>7661</v>
      </c>
      <c r="D415" s="371" t="s">
        <v>2205</v>
      </c>
    </row>
    <row r="416" ht="15.75" customHeight="1">
      <c r="B416" s="371" t="s">
        <v>2853</v>
      </c>
      <c r="C416" s="371" t="s">
        <v>7661</v>
      </c>
      <c r="D416" s="371" t="s">
        <v>2205</v>
      </c>
    </row>
    <row r="417" ht="15.75" customHeight="1">
      <c r="B417" s="371" t="s">
        <v>7669</v>
      </c>
      <c r="C417" s="371" t="s">
        <v>7661</v>
      </c>
      <c r="D417" s="371" t="s">
        <v>2205</v>
      </c>
    </row>
    <row r="418" ht="15.75" customHeight="1">
      <c r="B418" s="371" t="s">
        <v>7670</v>
      </c>
      <c r="C418" s="371" t="s">
        <v>7671</v>
      </c>
      <c r="D418" s="371" t="s">
        <v>2205</v>
      </c>
    </row>
    <row r="419" ht="15.75" customHeight="1">
      <c r="B419" s="371" t="s">
        <v>7672</v>
      </c>
      <c r="C419" s="371" t="s">
        <v>7661</v>
      </c>
      <c r="D419" s="371" t="s">
        <v>2205</v>
      </c>
    </row>
    <row r="420" ht="15.75" customHeight="1">
      <c r="B420" s="371" t="s">
        <v>7673</v>
      </c>
      <c r="C420" s="371" t="s">
        <v>7661</v>
      </c>
      <c r="D420" s="371" t="s">
        <v>2205</v>
      </c>
    </row>
    <row r="421" ht="15.75" customHeight="1">
      <c r="B421" s="371" t="s">
        <v>7674</v>
      </c>
      <c r="C421" s="371" t="s">
        <v>7663</v>
      </c>
      <c r="D421" s="371" t="s">
        <v>2205</v>
      </c>
    </row>
    <row r="422" ht="15.75" customHeight="1">
      <c r="B422" s="371" t="s">
        <v>7675</v>
      </c>
      <c r="C422" s="371" t="s">
        <v>7668</v>
      </c>
      <c r="D422" s="371" t="s">
        <v>2205</v>
      </c>
    </row>
    <row r="423" ht="15.75" customHeight="1">
      <c r="B423" s="371" t="s">
        <v>2898</v>
      </c>
      <c r="C423" s="371" t="s">
        <v>7661</v>
      </c>
      <c r="D423" s="371" t="s">
        <v>2205</v>
      </c>
    </row>
    <row r="424" ht="15.75" customHeight="1">
      <c r="B424" s="371" t="s">
        <v>2874</v>
      </c>
      <c r="C424" s="371" t="s">
        <v>7661</v>
      </c>
      <c r="D424" s="371" t="s">
        <v>2205</v>
      </c>
    </row>
    <row r="425" ht="15.75" customHeight="1">
      <c r="B425" s="371" t="s">
        <v>7676</v>
      </c>
      <c r="C425" s="371" t="s">
        <v>7661</v>
      </c>
      <c r="D425" s="371" t="s">
        <v>2205</v>
      </c>
    </row>
    <row r="426" ht="15.75" customHeight="1">
      <c r="B426" s="371" t="s">
        <v>7677</v>
      </c>
      <c r="C426" s="371" t="s">
        <v>7475</v>
      </c>
      <c r="D426" s="371" t="s">
        <v>2205</v>
      </c>
    </row>
    <row r="427" ht="15.75" customHeight="1">
      <c r="B427" s="371" t="s">
        <v>7678</v>
      </c>
      <c r="C427" s="371" t="s">
        <v>7679</v>
      </c>
      <c r="D427" s="371" t="s">
        <v>2205</v>
      </c>
    </row>
    <row r="428" ht="15.75" customHeight="1">
      <c r="B428" s="371" t="s">
        <v>7680</v>
      </c>
      <c r="C428" s="371" t="s">
        <v>7681</v>
      </c>
      <c r="D428" s="371" t="s">
        <v>2205</v>
      </c>
    </row>
    <row r="429" ht="15.75" customHeight="1">
      <c r="B429" s="371" t="s">
        <v>6799</v>
      </c>
      <c r="C429" s="371" t="s">
        <v>7477</v>
      </c>
      <c r="D429" s="371" t="s">
        <v>2205</v>
      </c>
    </row>
    <row r="430" ht="15.75" customHeight="1">
      <c r="B430" s="371" t="s">
        <v>7682</v>
      </c>
      <c r="C430" s="371" t="s">
        <v>7683</v>
      </c>
      <c r="D430" s="371" t="s">
        <v>2205</v>
      </c>
    </row>
    <row r="431" ht="15.75" customHeight="1">
      <c r="B431" s="371" t="s">
        <v>7684</v>
      </c>
      <c r="C431" s="371" t="s">
        <v>7685</v>
      </c>
      <c r="D431" s="371" t="s">
        <v>2205</v>
      </c>
    </row>
    <row r="432" ht="15.75" customHeight="1">
      <c r="B432" s="371" t="s">
        <v>7686</v>
      </c>
      <c r="C432" s="371" t="s">
        <v>7687</v>
      </c>
      <c r="D432" s="371" t="s">
        <v>2205</v>
      </c>
    </row>
    <row r="433" ht="15.75" customHeight="1">
      <c r="B433" s="371" t="s">
        <v>5697</v>
      </c>
      <c r="C433" s="371" t="s">
        <v>7657</v>
      </c>
      <c r="D433" s="371" t="s">
        <v>2139</v>
      </c>
    </row>
    <row r="434" ht="15.75" customHeight="1">
      <c r="B434" s="371" t="s">
        <v>6649</v>
      </c>
      <c r="C434" s="371" t="s">
        <v>7688</v>
      </c>
      <c r="D434" s="371" t="s">
        <v>2205</v>
      </c>
    </row>
    <row r="435" ht="15.75" customHeight="1">
      <c r="B435" s="371" t="s">
        <v>6651</v>
      </c>
      <c r="C435" s="371" t="s">
        <v>7688</v>
      </c>
      <c r="D435" s="371" t="s">
        <v>2205</v>
      </c>
    </row>
    <row r="436" ht="15.75" customHeight="1">
      <c r="B436" s="371" t="s">
        <v>7689</v>
      </c>
      <c r="C436" s="371" t="s">
        <v>7690</v>
      </c>
      <c r="D436" s="371" t="s">
        <v>2205</v>
      </c>
    </row>
    <row r="437" ht="15.75" customHeight="1">
      <c r="B437" s="371" t="s">
        <v>7691</v>
      </c>
      <c r="C437" s="371" t="s">
        <v>7692</v>
      </c>
      <c r="D437" s="371" t="s">
        <v>2205</v>
      </c>
    </row>
    <row r="438" ht="15.75" customHeight="1">
      <c r="B438" s="371" t="s">
        <v>1712</v>
      </c>
      <c r="C438" s="371" t="s">
        <v>7693</v>
      </c>
      <c r="D438" s="371" t="s">
        <v>2139</v>
      </c>
    </row>
    <row r="439" ht="15.75" customHeight="1">
      <c r="B439" s="371" t="s">
        <v>1706</v>
      </c>
      <c r="C439" s="371" t="s">
        <v>7693</v>
      </c>
      <c r="D439" s="371" t="s">
        <v>2139</v>
      </c>
    </row>
    <row r="440" ht="15.75" customHeight="1">
      <c r="B440" s="371" t="s">
        <v>1710</v>
      </c>
      <c r="C440" s="371" t="s">
        <v>7693</v>
      </c>
      <c r="D440" s="371" t="s">
        <v>2139</v>
      </c>
    </row>
    <row r="441" ht="15.75" customHeight="1">
      <c r="B441" s="371" t="s">
        <v>7694</v>
      </c>
      <c r="C441" s="371" t="s">
        <v>7695</v>
      </c>
      <c r="D441" s="371" t="s">
        <v>2205</v>
      </c>
    </row>
    <row r="442" ht="15.75" customHeight="1">
      <c r="B442" s="371" t="s">
        <v>1716</v>
      </c>
      <c r="C442" s="371" t="s">
        <v>7695</v>
      </c>
      <c r="D442" s="371" t="s">
        <v>2139</v>
      </c>
    </row>
    <row r="443" ht="15.75" customHeight="1">
      <c r="B443" s="371" t="s">
        <v>1714</v>
      </c>
      <c r="C443" s="371" t="s">
        <v>7695</v>
      </c>
      <c r="D443" s="371" t="s">
        <v>2139</v>
      </c>
    </row>
    <row r="444" ht="15.75" customHeight="1">
      <c r="B444" s="371" t="s">
        <v>5936</v>
      </c>
      <c r="C444" s="371" t="s">
        <v>7696</v>
      </c>
      <c r="D444" s="371" t="s">
        <v>2205</v>
      </c>
    </row>
    <row r="445" ht="15.75" customHeight="1">
      <c r="B445" s="371" t="s">
        <v>7697</v>
      </c>
      <c r="C445" s="373"/>
      <c r="D445" s="371" t="s">
        <v>2205</v>
      </c>
    </row>
    <row r="446" ht="15.75" customHeight="1">
      <c r="B446" s="371" t="s">
        <v>7698</v>
      </c>
      <c r="C446" s="371" t="s">
        <v>7699</v>
      </c>
      <c r="D446" s="371" t="s">
        <v>2139</v>
      </c>
    </row>
    <row r="447" ht="15.75" customHeight="1">
      <c r="B447" s="371" t="s">
        <v>7700</v>
      </c>
      <c r="C447" s="371" t="s">
        <v>7701</v>
      </c>
      <c r="D447" s="371" t="s">
        <v>2205</v>
      </c>
    </row>
    <row r="448" ht="15.75" customHeight="1">
      <c r="B448" s="371" t="s">
        <v>7702</v>
      </c>
      <c r="C448" s="371" t="s">
        <v>7703</v>
      </c>
      <c r="D448" s="371" t="s">
        <v>2205</v>
      </c>
    </row>
    <row r="449" ht="15.75" customHeight="1">
      <c r="B449" s="371" t="s">
        <v>3059</v>
      </c>
      <c r="C449" s="371" t="s">
        <v>7704</v>
      </c>
      <c r="D449" s="371" t="s">
        <v>2205</v>
      </c>
    </row>
    <row r="450" ht="15.75" customHeight="1">
      <c r="B450" s="371" t="s">
        <v>3055</v>
      </c>
      <c r="C450" s="371" t="s">
        <v>7199</v>
      </c>
      <c r="D450" s="371" t="s">
        <v>2205</v>
      </c>
    </row>
    <row r="451" ht="15.75" customHeight="1">
      <c r="B451" s="371" t="s">
        <v>7705</v>
      </c>
      <c r="C451" s="371" t="s">
        <v>7706</v>
      </c>
      <c r="D451" s="371" t="s">
        <v>2205</v>
      </c>
    </row>
    <row r="452" ht="15.75" customHeight="1">
      <c r="B452" s="371" t="s">
        <v>7707</v>
      </c>
      <c r="C452" s="371" t="s">
        <v>7708</v>
      </c>
      <c r="D452" s="371" t="s">
        <v>2139</v>
      </c>
    </row>
    <row r="453" ht="15.75" customHeight="1">
      <c r="B453" s="371" t="s">
        <v>7709</v>
      </c>
      <c r="C453" s="371" t="s">
        <v>7710</v>
      </c>
      <c r="D453" s="371" t="s">
        <v>2205</v>
      </c>
    </row>
    <row r="454" ht="15.75" customHeight="1">
      <c r="B454" s="371" t="s">
        <v>5883</v>
      </c>
      <c r="C454" s="371" t="s">
        <v>7711</v>
      </c>
      <c r="D454" s="371" t="s">
        <v>2139</v>
      </c>
    </row>
    <row r="455" ht="15.75" customHeight="1">
      <c r="B455" s="371" t="s">
        <v>5885</v>
      </c>
      <c r="C455" s="371" t="s">
        <v>7711</v>
      </c>
      <c r="D455" s="371" t="s">
        <v>2205</v>
      </c>
    </row>
    <row r="456" ht="15.75" customHeight="1">
      <c r="B456" s="371" t="s">
        <v>7712</v>
      </c>
      <c r="C456" s="371" t="s">
        <v>7713</v>
      </c>
      <c r="D456" s="371" t="s">
        <v>2139</v>
      </c>
    </row>
    <row r="457" ht="15.75" customHeight="1">
      <c r="B457" s="371" t="s">
        <v>7714</v>
      </c>
      <c r="C457" s="371" t="s">
        <v>7713</v>
      </c>
      <c r="D457" s="371" t="s">
        <v>2205</v>
      </c>
    </row>
    <row r="458" ht="15.75" customHeight="1">
      <c r="B458" s="371" t="s">
        <v>7715</v>
      </c>
      <c r="C458" s="371" t="s">
        <v>7716</v>
      </c>
      <c r="D458" s="371" t="s">
        <v>2205</v>
      </c>
    </row>
    <row r="459" ht="15.75" customHeight="1">
      <c r="B459" s="371" t="s">
        <v>2925</v>
      </c>
      <c r="C459" s="371" t="s">
        <v>7717</v>
      </c>
      <c r="D459" s="371" t="s">
        <v>2205</v>
      </c>
    </row>
    <row r="460" ht="15.75" customHeight="1">
      <c r="B460" s="371" t="s">
        <v>3039</v>
      </c>
      <c r="C460" s="371" t="s">
        <v>7244</v>
      </c>
      <c r="D460" s="371" t="s">
        <v>2205</v>
      </c>
    </row>
    <row r="461" ht="15.75" customHeight="1">
      <c r="B461" s="371" t="s">
        <v>7718</v>
      </c>
      <c r="C461" s="371" t="s">
        <v>7719</v>
      </c>
      <c r="D461" s="371" t="s">
        <v>2205</v>
      </c>
    </row>
    <row r="462" ht="15.75" customHeight="1">
      <c r="B462" s="371" t="s">
        <v>3047</v>
      </c>
      <c r="C462" s="371" t="s">
        <v>7704</v>
      </c>
      <c r="D462" s="371" t="s">
        <v>2205</v>
      </c>
    </row>
    <row r="463" ht="15.75" customHeight="1">
      <c r="B463" s="371" t="s">
        <v>3043</v>
      </c>
      <c r="C463" s="371" t="s">
        <v>7199</v>
      </c>
      <c r="D463" s="371" t="s">
        <v>2205</v>
      </c>
    </row>
    <row r="464" ht="15.75" customHeight="1">
      <c r="B464" s="371" t="s">
        <v>7720</v>
      </c>
      <c r="C464" s="371" t="s">
        <v>7641</v>
      </c>
      <c r="D464" s="371" t="s">
        <v>2205</v>
      </c>
    </row>
    <row r="465" ht="15.75" customHeight="1">
      <c r="B465" s="371" t="s">
        <v>3051</v>
      </c>
      <c r="C465" s="371" t="s">
        <v>7721</v>
      </c>
      <c r="D465" s="371" t="s">
        <v>2205</v>
      </c>
    </row>
    <row r="466" ht="15.75" customHeight="1">
      <c r="B466" s="371" t="s">
        <v>7722</v>
      </c>
      <c r="C466" s="371" t="s">
        <v>7723</v>
      </c>
      <c r="D466" s="371" t="s">
        <v>2205</v>
      </c>
    </row>
    <row r="467" ht="15.75" customHeight="1">
      <c r="B467" s="371" t="s">
        <v>7724</v>
      </c>
      <c r="C467" s="371" t="s">
        <v>7725</v>
      </c>
      <c r="D467" s="371" t="s">
        <v>2205</v>
      </c>
    </row>
    <row r="468" ht="15.75" customHeight="1">
      <c r="B468" s="371" t="s">
        <v>7726</v>
      </c>
      <c r="C468" s="371" t="s">
        <v>7725</v>
      </c>
      <c r="D468" s="371" t="s">
        <v>2205</v>
      </c>
    </row>
    <row r="469" ht="15.75" customHeight="1">
      <c r="B469" s="371" t="s">
        <v>5958</v>
      </c>
      <c r="C469" s="371" t="s">
        <v>7315</v>
      </c>
      <c r="D469" s="371" t="s">
        <v>2205</v>
      </c>
    </row>
    <row r="470" ht="15.75" customHeight="1">
      <c r="B470" s="371" t="s">
        <v>7727</v>
      </c>
      <c r="C470" s="371" t="s">
        <v>7728</v>
      </c>
      <c r="D470" s="371" t="s">
        <v>2139</v>
      </c>
    </row>
    <row r="471" ht="15.75" customHeight="1">
      <c r="B471" s="371" t="s">
        <v>90</v>
      </c>
      <c r="C471" s="371" t="s">
        <v>7729</v>
      </c>
      <c r="D471" s="371" t="s">
        <v>2205</v>
      </c>
    </row>
    <row r="472" ht="15.75" customHeight="1">
      <c r="B472" s="371" t="s">
        <v>94</v>
      </c>
      <c r="C472" s="371" t="s">
        <v>7730</v>
      </c>
      <c r="D472" s="371" t="s">
        <v>2139</v>
      </c>
    </row>
    <row r="473" ht="15.75" customHeight="1">
      <c r="B473" s="371" t="s">
        <v>96</v>
      </c>
      <c r="C473" s="371" t="s">
        <v>7730</v>
      </c>
      <c r="D473" s="371" t="s">
        <v>2139</v>
      </c>
    </row>
    <row r="474" ht="15.75" customHeight="1">
      <c r="B474" s="371" t="s">
        <v>98</v>
      </c>
      <c r="C474" s="371" t="s">
        <v>7731</v>
      </c>
      <c r="D474" s="371" t="s">
        <v>2139</v>
      </c>
    </row>
    <row r="475" ht="15.75" customHeight="1">
      <c r="B475" s="371" t="s">
        <v>102</v>
      </c>
      <c r="C475" s="371" t="s">
        <v>7731</v>
      </c>
      <c r="D475" s="371" t="s">
        <v>2139</v>
      </c>
    </row>
    <row r="476" ht="15.75" customHeight="1">
      <c r="B476" s="371" t="s">
        <v>104</v>
      </c>
      <c r="C476" s="371" t="s">
        <v>7732</v>
      </c>
      <c r="D476" s="371" t="s">
        <v>2139</v>
      </c>
    </row>
    <row r="477" ht="15.75" customHeight="1">
      <c r="B477" s="371" t="s">
        <v>106</v>
      </c>
      <c r="C477" s="371" t="s">
        <v>7733</v>
      </c>
      <c r="D477" s="371" t="s">
        <v>2139</v>
      </c>
    </row>
    <row r="478" ht="15.75" customHeight="1">
      <c r="B478" s="371" t="s">
        <v>107</v>
      </c>
      <c r="C478" s="371" t="s">
        <v>7733</v>
      </c>
      <c r="D478" s="371" t="s">
        <v>2139</v>
      </c>
    </row>
    <row r="479" ht="15.75" customHeight="1">
      <c r="B479" s="371" t="s">
        <v>109</v>
      </c>
      <c r="C479" s="371" t="s">
        <v>7733</v>
      </c>
      <c r="D479" s="371" t="s">
        <v>2139</v>
      </c>
    </row>
    <row r="480" ht="15.75" customHeight="1">
      <c r="B480" s="371" t="s">
        <v>111</v>
      </c>
      <c r="C480" s="371" t="s">
        <v>7734</v>
      </c>
      <c r="D480" s="371" t="s">
        <v>2205</v>
      </c>
    </row>
    <row r="481" ht="15.75" customHeight="1">
      <c r="B481" s="371" t="s">
        <v>113</v>
      </c>
      <c r="C481" s="371" t="s">
        <v>7733</v>
      </c>
      <c r="D481" s="371" t="s">
        <v>2205</v>
      </c>
    </row>
    <row r="482" ht="15.75" customHeight="1">
      <c r="B482" s="371" t="s">
        <v>115</v>
      </c>
      <c r="C482" s="371" t="s">
        <v>7735</v>
      </c>
      <c r="D482" s="371" t="s">
        <v>2139</v>
      </c>
    </row>
    <row r="483" ht="15.75" customHeight="1">
      <c r="B483" s="371" t="s">
        <v>121</v>
      </c>
      <c r="C483" s="371" t="s">
        <v>7736</v>
      </c>
      <c r="D483" s="371" t="s">
        <v>2139</v>
      </c>
    </row>
    <row r="484" ht="15.75" customHeight="1">
      <c r="B484" s="371" t="s">
        <v>123</v>
      </c>
      <c r="C484" s="371" t="s">
        <v>7730</v>
      </c>
      <c r="D484" s="371" t="s">
        <v>2139</v>
      </c>
    </row>
    <row r="485" ht="15.75" customHeight="1">
      <c r="B485" s="371" t="s">
        <v>125</v>
      </c>
      <c r="C485" s="371" t="s">
        <v>7730</v>
      </c>
      <c r="D485" s="371" t="s">
        <v>2139</v>
      </c>
    </row>
    <row r="486" ht="15.75" customHeight="1">
      <c r="B486" s="371" t="s">
        <v>7737</v>
      </c>
      <c r="C486" s="371" t="s">
        <v>7730</v>
      </c>
      <c r="D486" s="371" t="s">
        <v>2205</v>
      </c>
    </row>
    <row r="487" ht="15.75" customHeight="1">
      <c r="B487" s="371" t="s">
        <v>127</v>
      </c>
      <c r="C487" s="371" t="s">
        <v>7731</v>
      </c>
      <c r="D487" s="371" t="s">
        <v>2139</v>
      </c>
    </row>
    <row r="488" ht="15.75" customHeight="1">
      <c r="B488" s="371" t="s">
        <v>129</v>
      </c>
      <c r="C488" s="371" t="s">
        <v>7738</v>
      </c>
      <c r="D488" s="371" t="s">
        <v>2205</v>
      </c>
    </row>
    <row r="489" ht="15.75" customHeight="1">
      <c r="B489" s="371" t="s">
        <v>133</v>
      </c>
      <c r="C489" s="371" t="s">
        <v>7738</v>
      </c>
      <c r="D489" s="371" t="s">
        <v>2205</v>
      </c>
    </row>
    <row r="490" ht="15.75" customHeight="1">
      <c r="B490" s="371" t="s">
        <v>135</v>
      </c>
      <c r="C490" s="371" t="s">
        <v>7736</v>
      </c>
      <c r="D490" s="371" t="s">
        <v>2205</v>
      </c>
    </row>
    <row r="491" ht="15.75" customHeight="1">
      <c r="B491" s="371" t="s">
        <v>137</v>
      </c>
      <c r="C491" s="371" t="s">
        <v>7736</v>
      </c>
      <c r="D491" s="371" t="s">
        <v>2139</v>
      </c>
    </row>
    <row r="492" ht="15.75" customHeight="1">
      <c r="B492" s="371" t="s">
        <v>138</v>
      </c>
      <c r="C492" s="371" t="s">
        <v>7739</v>
      </c>
      <c r="D492" s="371" t="s">
        <v>2205</v>
      </c>
    </row>
    <row r="493" ht="15.75" customHeight="1">
      <c r="B493" s="371" t="s">
        <v>140</v>
      </c>
      <c r="C493" s="371" t="s">
        <v>7736</v>
      </c>
      <c r="D493" s="371" t="s">
        <v>2205</v>
      </c>
    </row>
    <row r="494" ht="15.75" customHeight="1">
      <c r="B494" s="371" t="s">
        <v>7740</v>
      </c>
      <c r="C494" s="371" t="s">
        <v>7741</v>
      </c>
      <c r="D494" s="371" t="s">
        <v>2205</v>
      </c>
    </row>
    <row r="495" ht="15.75" customHeight="1">
      <c r="B495" s="371" t="s">
        <v>7742</v>
      </c>
      <c r="C495" s="371" t="s">
        <v>7743</v>
      </c>
      <c r="D495" s="371" t="s">
        <v>2205</v>
      </c>
    </row>
    <row r="496" ht="15.75" customHeight="1">
      <c r="B496" s="371" t="s">
        <v>7744</v>
      </c>
      <c r="C496" s="371" t="s">
        <v>7743</v>
      </c>
      <c r="D496" s="371" t="s">
        <v>2205</v>
      </c>
    </row>
    <row r="497" ht="15.75" customHeight="1">
      <c r="B497" s="371" t="s">
        <v>7745</v>
      </c>
      <c r="C497" s="371" t="s">
        <v>7743</v>
      </c>
      <c r="D497" s="371" t="s">
        <v>2139</v>
      </c>
    </row>
    <row r="498" ht="15.75" customHeight="1">
      <c r="B498" s="371" t="s">
        <v>7746</v>
      </c>
      <c r="C498" s="371" t="s">
        <v>7322</v>
      </c>
      <c r="D498" s="371" t="s">
        <v>2139</v>
      </c>
    </row>
    <row r="499" ht="15.75" customHeight="1">
      <c r="B499" s="371" t="s">
        <v>4610</v>
      </c>
      <c r="C499" s="371" t="s">
        <v>7747</v>
      </c>
      <c r="D499" s="371" t="s">
        <v>2139</v>
      </c>
    </row>
    <row r="500" ht="15.75" customHeight="1">
      <c r="B500" s="371" t="s">
        <v>4614</v>
      </c>
      <c r="C500" s="371" t="s">
        <v>7747</v>
      </c>
      <c r="D500" s="371" t="s">
        <v>2139</v>
      </c>
    </row>
    <row r="501" ht="15.75" customHeight="1">
      <c r="B501" s="371" t="s">
        <v>4618</v>
      </c>
      <c r="C501" s="371" t="s">
        <v>7747</v>
      </c>
      <c r="D501" s="371" t="s">
        <v>2139</v>
      </c>
    </row>
    <row r="502" ht="15.75" customHeight="1">
      <c r="B502" s="371" t="s">
        <v>7748</v>
      </c>
      <c r="C502" s="371" t="s">
        <v>7749</v>
      </c>
      <c r="D502" s="371" t="s">
        <v>2139</v>
      </c>
    </row>
    <row r="503" ht="15.75" customHeight="1">
      <c r="B503" s="371" t="s">
        <v>459</v>
      </c>
      <c r="C503" s="371" t="s">
        <v>7750</v>
      </c>
      <c r="D503" s="371" t="s">
        <v>2205</v>
      </c>
    </row>
    <row r="504" ht="15.75" customHeight="1">
      <c r="B504" s="371" t="s">
        <v>461</v>
      </c>
      <c r="C504" s="371" t="s">
        <v>7751</v>
      </c>
      <c r="D504" s="371" t="s">
        <v>2205</v>
      </c>
    </row>
    <row r="505" ht="15.75" customHeight="1">
      <c r="B505" s="371" t="s">
        <v>7752</v>
      </c>
      <c r="C505" s="371" t="s">
        <v>7753</v>
      </c>
      <c r="D505" s="371" t="s">
        <v>2205</v>
      </c>
    </row>
    <row r="506" ht="15.75" customHeight="1">
      <c r="B506" s="371" t="s">
        <v>7754</v>
      </c>
      <c r="C506" s="371" t="s">
        <v>7755</v>
      </c>
      <c r="D506" s="371" t="s">
        <v>2205</v>
      </c>
    </row>
    <row r="507" ht="15.75" customHeight="1">
      <c r="B507" s="371" t="s">
        <v>7756</v>
      </c>
      <c r="C507" s="371" t="s">
        <v>7757</v>
      </c>
      <c r="D507" s="371" t="s">
        <v>2205</v>
      </c>
    </row>
    <row r="508" ht="15.75" customHeight="1">
      <c r="B508" s="371" t="s">
        <v>7758</v>
      </c>
      <c r="C508" s="371" t="s">
        <v>7759</v>
      </c>
      <c r="D508" s="371" t="s">
        <v>2205</v>
      </c>
    </row>
    <row r="509" ht="15.75" customHeight="1">
      <c r="B509" s="371" t="s">
        <v>7760</v>
      </c>
      <c r="C509" s="371" t="s">
        <v>7761</v>
      </c>
      <c r="D509" s="371" t="s">
        <v>2205</v>
      </c>
    </row>
    <row r="510" ht="15.75" customHeight="1">
      <c r="B510" s="371" t="s">
        <v>7762</v>
      </c>
      <c r="C510" s="371" t="s">
        <v>7757</v>
      </c>
      <c r="D510" s="371" t="s">
        <v>2139</v>
      </c>
    </row>
    <row r="511" ht="15.75" customHeight="1">
      <c r="B511" s="371" t="s">
        <v>431</v>
      </c>
      <c r="C511" s="371" t="s">
        <v>7763</v>
      </c>
      <c r="D511" s="371" t="s">
        <v>2139</v>
      </c>
    </row>
    <row r="512" ht="15.75" customHeight="1">
      <c r="B512" s="371" t="s">
        <v>772</v>
      </c>
      <c r="C512" s="371" t="s">
        <v>7764</v>
      </c>
      <c r="D512" s="371" t="s">
        <v>2205</v>
      </c>
    </row>
    <row r="513" ht="15.75" customHeight="1">
      <c r="B513" s="371" t="s">
        <v>7765</v>
      </c>
      <c r="C513" s="371" t="s">
        <v>7766</v>
      </c>
      <c r="D513" s="371" t="s">
        <v>2205</v>
      </c>
    </row>
    <row r="514" ht="15.75" customHeight="1">
      <c r="B514" s="371" t="s">
        <v>7767</v>
      </c>
      <c r="C514" s="371" t="s">
        <v>7768</v>
      </c>
      <c r="D514" s="371" t="s">
        <v>2139</v>
      </c>
    </row>
    <row r="515" ht="15.75" customHeight="1">
      <c r="B515" s="371" t="s">
        <v>7769</v>
      </c>
      <c r="C515" s="371" t="s">
        <v>7770</v>
      </c>
      <c r="D515" s="371" t="s">
        <v>2205</v>
      </c>
    </row>
    <row r="516" ht="15.75" customHeight="1">
      <c r="B516" s="371" t="s">
        <v>1891</v>
      </c>
      <c r="C516" s="371" t="s">
        <v>7771</v>
      </c>
      <c r="D516" s="371" t="s">
        <v>2205</v>
      </c>
    </row>
    <row r="517" ht="15.75" customHeight="1">
      <c r="B517" s="371" t="s">
        <v>1800</v>
      </c>
      <c r="C517" s="371" t="s">
        <v>7772</v>
      </c>
      <c r="D517" s="371" t="s">
        <v>2139</v>
      </c>
    </row>
    <row r="518" ht="15.75" customHeight="1">
      <c r="B518" s="371" t="s">
        <v>1803</v>
      </c>
      <c r="C518" s="371" t="s">
        <v>7772</v>
      </c>
      <c r="D518" s="371" t="s">
        <v>2139</v>
      </c>
    </row>
    <row r="519" ht="15.75" customHeight="1">
      <c r="B519" s="371" t="s">
        <v>1806</v>
      </c>
      <c r="C519" s="371" t="s">
        <v>7772</v>
      </c>
      <c r="D519" s="371" t="s">
        <v>2139</v>
      </c>
    </row>
    <row r="520" ht="15.75" customHeight="1">
      <c r="B520" s="371" t="s">
        <v>1810</v>
      </c>
      <c r="C520" s="371" t="s">
        <v>7772</v>
      </c>
      <c r="D520" s="371" t="s">
        <v>2139</v>
      </c>
    </row>
    <row r="521" ht="15.75" customHeight="1">
      <c r="B521" s="371" t="s">
        <v>7773</v>
      </c>
      <c r="C521" s="371" t="s">
        <v>7757</v>
      </c>
      <c r="D521" s="371" t="s">
        <v>2205</v>
      </c>
    </row>
    <row r="522" ht="15.75" customHeight="1">
      <c r="B522" s="371" t="s">
        <v>7774</v>
      </c>
      <c r="C522" s="371" t="s">
        <v>7764</v>
      </c>
      <c r="D522" s="371" t="s">
        <v>2205</v>
      </c>
    </row>
    <row r="523" ht="15.75" customHeight="1">
      <c r="B523" s="371" t="s">
        <v>7775</v>
      </c>
      <c r="C523" s="371" t="s">
        <v>7764</v>
      </c>
      <c r="D523" s="371" t="s">
        <v>2205</v>
      </c>
    </row>
    <row r="524" ht="15.75" customHeight="1">
      <c r="B524" s="371" t="s">
        <v>7776</v>
      </c>
      <c r="C524" s="371" t="s">
        <v>7764</v>
      </c>
      <c r="D524" s="371" t="s">
        <v>2205</v>
      </c>
    </row>
    <row r="525" ht="15.75" customHeight="1">
      <c r="B525" s="371" t="s">
        <v>7777</v>
      </c>
      <c r="C525" s="371" t="s">
        <v>7764</v>
      </c>
      <c r="D525" s="371" t="s">
        <v>2205</v>
      </c>
    </row>
    <row r="526" ht="15.75" customHeight="1">
      <c r="B526" s="371" t="s">
        <v>7778</v>
      </c>
      <c r="C526" s="371" t="s">
        <v>7764</v>
      </c>
      <c r="D526" s="371" t="s">
        <v>2139</v>
      </c>
    </row>
    <row r="527" ht="15.75" customHeight="1">
      <c r="B527" s="371" t="s">
        <v>7779</v>
      </c>
      <c r="C527" s="371" t="s">
        <v>7764</v>
      </c>
      <c r="D527" s="371" t="s">
        <v>2139</v>
      </c>
    </row>
    <row r="528" ht="15.75" customHeight="1">
      <c r="B528" s="371" t="s">
        <v>7780</v>
      </c>
      <c r="C528" s="371" t="s">
        <v>7781</v>
      </c>
      <c r="D528" s="371" t="s">
        <v>2205</v>
      </c>
    </row>
    <row r="529" ht="15.75" customHeight="1">
      <c r="B529" s="371" t="s">
        <v>7782</v>
      </c>
      <c r="C529" s="371" t="s">
        <v>7781</v>
      </c>
      <c r="D529" s="371" t="s">
        <v>2205</v>
      </c>
    </row>
    <row r="530" ht="15.75" customHeight="1">
      <c r="B530" s="371" t="s">
        <v>7783</v>
      </c>
      <c r="C530" s="371" t="s">
        <v>7781</v>
      </c>
      <c r="D530" s="371" t="s">
        <v>2205</v>
      </c>
    </row>
    <row r="531" ht="15.75" customHeight="1">
      <c r="B531" s="371" t="s">
        <v>7784</v>
      </c>
      <c r="C531" s="371" t="s">
        <v>7781</v>
      </c>
      <c r="D531" s="371" t="s">
        <v>2205</v>
      </c>
    </row>
    <row r="532" ht="15.75" customHeight="1">
      <c r="B532" s="371" t="s">
        <v>7785</v>
      </c>
      <c r="C532" s="371" t="s">
        <v>7781</v>
      </c>
      <c r="D532" s="371" t="s">
        <v>2205</v>
      </c>
    </row>
    <row r="533" ht="15.75" customHeight="1">
      <c r="B533" s="371" t="s">
        <v>7786</v>
      </c>
      <c r="C533" s="371" t="s">
        <v>7781</v>
      </c>
      <c r="D533" s="371" t="s">
        <v>2205</v>
      </c>
    </row>
    <row r="534" ht="15.75" customHeight="1">
      <c r="B534" s="371" t="s">
        <v>7787</v>
      </c>
      <c r="C534" s="371" t="s">
        <v>7781</v>
      </c>
      <c r="D534" s="371" t="s">
        <v>2205</v>
      </c>
    </row>
    <row r="535" ht="15.75" customHeight="1">
      <c r="B535" s="371" t="s">
        <v>7788</v>
      </c>
      <c r="C535" s="371" t="s">
        <v>7757</v>
      </c>
      <c r="D535" s="371" t="s">
        <v>2205</v>
      </c>
    </row>
    <row r="536" ht="15.75" customHeight="1">
      <c r="B536" s="371" t="s">
        <v>7789</v>
      </c>
      <c r="C536" s="371" t="s">
        <v>7764</v>
      </c>
      <c r="D536" s="371" t="s">
        <v>2205</v>
      </c>
    </row>
    <row r="537" ht="15.75" customHeight="1">
      <c r="B537" s="371" t="s">
        <v>7790</v>
      </c>
      <c r="C537" s="371" t="s">
        <v>7772</v>
      </c>
      <c r="D537" s="371" t="s">
        <v>2205</v>
      </c>
    </row>
    <row r="538" ht="15.75" customHeight="1">
      <c r="B538" s="371" t="s">
        <v>7791</v>
      </c>
      <c r="C538" s="371" t="s">
        <v>7792</v>
      </c>
      <c r="D538" s="371" t="s">
        <v>2205</v>
      </c>
    </row>
    <row r="539" ht="15.75" customHeight="1">
      <c r="B539" s="371" t="s">
        <v>1783</v>
      </c>
      <c r="C539" s="371" t="s">
        <v>7793</v>
      </c>
      <c r="D539" s="371" t="s">
        <v>2205</v>
      </c>
    </row>
    <row r="540" ht="15.75" customHeight="1">
      <c r="B540" s="371" t="s">
        <v>1762</v>
      </c>
      <c r="C540" s="371" t="s">
        <v>7772</v>
      </c>
      <c r="D540" s="371" t="s">
        <v>2139</v>
      </c>
    </row>
    <row r="541" ht="15.75" customHeight="1">
      <c r="B541" s="371" t="s">
        <v>1787</v>
      </c>
      <c r="C541" s="371" t="s">
        <v>7793</v>
      </c>
      <c r="D541" s="371" t="s">
        <v>2139</v>
      </c>
    </row>
    <row r="542" ht="15.75" customHeight="1">
      <c r="B542" s="371" t="s">
        <v>1766</v>
      </c>
      <c r="C542" s="371" t="s">
        <v>7772</v>
      </c>
      <c r="D542" s="371" t="s">
        <v>2139</v>
      </c>
    </row>
    <row r="543" ht="15.75" customHeight="1">
      <c r="B543" s="371" t="s">
        <v>1795</v>
      </c>
      <c r="C543" s="371" t="s">
        <v>7793</v>
      </c>
      <c r="D543" s="371" t="s">
        <v>2205</v>
      </c>
    </row>
    <row r="544" ht="15.75" customHeight="1">
      <c r="B544" s="371" t="s">
        <v>1774</v>
      </c>
      <c r="C544" s="371" t="s">
        <v>7772</v>
      </c>
      <c r="D544" s="371" t="s">
        <v>2139</v>
      </c>
    </row>
    <row r="545" ht="15.75" customHeight="1">
      <c r="B545" s="371" t="s">
        <v>1791</v>
      </c>
      <c r="C545" s="371" t="s">
        <v>7793</v>
      </c>
      <c r="D545" s="371" t="s">
        <v>2139</v>
      </c>
    </row>
    <row r="546" ht="15.75" customHeight="1">
      <c r="B546" s="371" t="s">
        <v>1770</v>
      </c>
      <c r="C546" s="371" t="s">
        <v>7772</v>
      </c>
      <c r="D546" s="371" t="s">
        <v>2139</v>
      </c>
    </row>
    <row r="547" ht="15.75" customHeight="1">
      <c r="B547" s="371" t="s">
        <v>7794</v>
      </c>
      <c r="C547" s="371" t="s">
        <v>7795</v>
      </c>
      <c r="D547" s="371" t="s">
        <v>2205</v>
      </c>
    </row>
    <row r="548" ht="15.75" customHeight="1">
      <c r="B548" s="371" t="s">
        <v>1778</v>
      </c>
      <c r="C548" s="371" t="s">
        <v>7772</v>
      </c>
      <c r="D548" s="371" t="s">
        <v>2139</v>
      </c>
    </row>
    <row r="549" ht="15.75" customHeight="1">
      <c r="B549" s="371" t="s">
        <v>7796</v>
      </c>
      <c r="C549" s="371" t="s">
        <v>7797</v>
      </c>
      <c r="D549" s="371" t="s">
        <v>2205</v>
      </c>
    </row>
    <row r="550" ht="15.75" customHeight="1">
      <c r="B550" s="371" t="s">
        <v>443</v>
      </c>
      <c r="C550" s="371" t="s">
        <v>7798</v>
      </c>
      <c r="D550" s="371" t="s">
        <v>2139</v>
      </c>
    </row>
    <row r="551" ht="15.75" customHeight="1">
      <c r="B551" s="371" t="s">
        <v>7799</v>
      </c>
      <c r="C551" s="371" t="s">
        <v>7797</v>
      </c>
      <c r="D551" s="371" t="s">
        <v>2205</v>
      </c>
    </row>
    <row r="552" ht="15.75" customHeight="1">
      <c r="B552" s="371" t="s">
        <v>444</v>
      </c>
      <c r="C552" s="371" t="s">
        <v>7797</v>
      </c>
      <c r="D552" s="371" t="s">
        <v>2139</v>
      </c>
    </row>
    <row r="553" ht="15.75" customHeight="1">
      <c r="B553" s="371" t="s">
        <v>446</v>
      </c>
      <c r="C553" s="371" t="s">
        <v>7800</v>
      </c>
      <c r="D553" s="371" t="s">
        <v>2205</v>
      </c>
    </row>
    <row r="554" ht="15.75" customHeight="1">
      <c r="B554" s="371" t="s">
        <v>7801</v>
      </c>
      <c r="C554" s="371" t="s">
        <v>7797</v>
      </c>
      <c r="D554" s="371" t="s">
        <v>2205</v>
      </c>
    </row>
    <row r="555" ht="15.75" customHeight="1">
      <c r="B555" s="371" t="s">
        <v>1608</v>
      </c>
      <c r="C555" s="371" t="s">
        <v>7764</v>
      </c>
      <c r="D555" s="371" t="s">
        <v>2139</v>
      </c>
    </row>
    <row r="556" ht="15.75" customHeight="1">
      <c r="B556" s="371" t="s">
        <v>1612</v>
      </c>
      <c r="C556" s="371" t="s">
        <v>7764</v>
      </c>
      <c r="D556" s="371" t="s">
        <v>2139</v>
      </c>
    </row>
    <row r="557" ht="15.75" customHeight="1">
      <c r="B557" s="371" t="s">
        <v>6783</v>
      </c>
      <c r="C557" s="371" t="s">
        <v>7802</v>
      </c>
      <c r="D557" s="371" t="s">
        <v>2205</v>
      </c>
    </row>
    <row r="558" ht="15.75" customHeight="1">
      <c r="B558" s="371" t="s">
        <v>7803</v>
      </c>
      <c r="C558" s="371" t="s">
        <v>7802</v>
      </c>
      <c r="D558" s="371" t="s">
        <v>2205</v>
      </c>
    </row>
    <row r="559" ht="15.75" customHeight="1">
      <c r="B559" s="371" t="s">
        <v>6787</v>
      </c>
      <c r="C559" s="371" t="s">
        <v>7477</v>
      </c>
      <c r="D559" s="371" t="s">
        <v>2205</v>
      </c>
    </row>
    <row r="560" ht="15.75" customHeight="1">
      <c r="B560" s="371" t="s">
        <v>7804</v>
      </c>
      <c r="C560" s="371" t="s">
        <v>7805</v>
      </c>
      <c r="D560" s="371" t="s">
        <v>2205</v>
      </c>
    </row>
    <row r="561" ht="15.75" customHeight="1">
      <c r="B561" s="371" t="s">
        <v>7806</v>
      </c>
      <c r="C561" s="371" t="s">
        <v>7797</v>
      </c>
      <c r="D561" s="371" t="s">
        <v>2205</v>
      </c>
    </row>
    <row r="562" ht="15.75" customHeight="1">
      <c r="B562" s="371" t="s">
        <v>7807</v>
      </c>
      <c r="C562" s="371" t="s">
        <v>7764</v>
      </c>
      <c r="D562" s="371" t="s">
        <v>2205</v>
      </c>
    </row>
    <row r="563" ht="15.75" customHeight="1">
      <c r="B563" s="371" t="s">
        <v>7808</v>
      </c>
      <c r="C563" s="371" t="s">
        <v>7764</v>
      </c>
      <c r="D563" s="371" t="s">
        <v>2205</v>
      </c>
    </row>
    <row r="564" ht="15.75" customHeight="1">
      <c r="B564" s="371" t="s">
        <v>7809</v>
      </c>
      <c r="C564" s="371" t="s">
        <v>7764</v>
      </c>
      <c r="D564" s="371" t="s">
        <v>2205</v>
      </c>
    </row>
    <row r="565" ht="15.75" customHeight="1">
      <c r="B565" s="371" t="s">
        <v>7810</v>
      </c>
      <c r="C565" s="371" t="s">
        <v>7764</v>
      </c>
      <c r="D565" s="371" t="s">
        <v>2205</v>
      </c>
    </row>
    <row r="566" ht="15.75" customHeight="1">
      <c r="B566" s="371" t="s">
        <v>7811</v>
      </c>
      <c r="C566" s="371" t="s">
        <v>7764</v>
      </c>
      <c r="D566" s="371" t="s">
        <v>2205</v>
      </c>
    </row>
    <row r="567" ht="15.75" customHeight="1">
      <c r="B567" s="371" t="s">
        <v>7812</v>
      </c>
      <c r="C567" s="371" t="s">
        <v>7349</v>
      </c>
      <c r="D567" s="371" t="s">
        <v>2139</v>
      </c>
    </row>
    <row r="568" ht="15.75" customHeight="1">
      <c r="B568" s="371" t="s">
        <v>7813</v>
      </c>
      <c r="C568" s="371" t="s">
        <v>7328</v>
      </c>
      <c r="D568" s="371" t="s">
        <v>2205</v>
      </c>
    </row>
    <row r="569" ht="15.75" customHeight="1">
      <c r="B569" s="371" t="s">
        <v>7814</v>
      </c>
      <c r="C569" s="371" t="s">
        <v>7815</v>
      </c>
      <c r="D569" s="371" t="s">
        <v>2205</v>
      </c>
    </row>
    <row r="570" ht="15.75" customHeight="1">
      <c r="B570" s="371" t="s">
        <v>7816</v>
      </c>
      <c r="C570" s="371" t="s">
        <v>7815</v>
      </c>
      <c r="D570" s="371" t="s">
        <v>2205</v>
      </c>
    </row>
    <row r="571" ht="15.75" customHeight="1">
      <c r="B571" s="371" t="s">
        <v>7817</v>
      </c>
      <c r="C571" s="371" t="s">
        <v>7815</v>
      </c>
      <c r="D571" s="371" t="s">
        <v>2205</v>
      </c>
    </row>
    <row r="572" ht="15.75" customHeight="1">
      <c r="B572" s="371" t="s">
        <v>7818</v>
      </c>
      <c r="C572" s="371" t="s">
        <v>7819</v>
      </c>
      <c r="D572" s="371" t="s">
        <v>2205</v>
      </c>
    </row>
    <row r="573" ht="15.75" customHeight="1">
      <c r="B573" s="371" t="s">
        <v>7820</v>
      </c>
      <c r="C573" s="373"/>
      <c r="D573" s="371" t="s">
        <v>2205</v>
      </c>
    </row>
    <row r="574" ht="15.75" customHeight="1">
      <c r="B574" s="371" t="s">
        <v>7821</v>
      </c>
      <c r="C574" s="371" t="s">
        <v>7821</v>
      </c>
      <c r="D574" s="371" t="s">
        <v>2139</v>
      </c>
    </row>
    <row r="575" ht="15.75" customHeight="1">
      <c r="B575" s="371" t="s">
        <v>7822</v>
      </c>
      <c r="C575" s="371" t="s">
        <v>7823</v>
      </c>
      <c r="D575" s="371" t="s">
        <v>2139</v>
      </c>
    </row>
    <row r="576" ht="15.75" customHeight="1">
      <c r="B576" s="371" t="s">
        <v>993</v>
      </c>
      <c r="C576" s="371" t="s">
        <v>7824</v>
      </c>
      <c r="D576" s="371" t="s">
        <v>2205</v>
      </c>
    </row>
    <row r="577" ht="15.75" customHeight="1">
      <c r="B577" s="371" t="s">
        <v>7825</v>
      </c>
      <c r="C577" s="371" t="s">
        <v>7772</v>
      </c>
      <c r="D577" s="371" t="s">
        <v>2205</v>
      </c>
    </row>
    <row r="578" ht="15.75" customHeight="1">
      <c r="B578" s="371" t="s">
        <v>7826</v>
      </c>
      <c r="C578" s="371" t="s">
        <v>7772</v>
      </c>
      <c r="D578" s="371" t="s">
        <v>2139</v>
      </c>
    </row>
    <row r="579" ht="15.75" customHeight="1">
      <c r="B579" s="371" t="s">
        <v>7827</v>
      </c>
      <c r="C579" s="371" t="s">
        <v>7772</v>
      </c>
      <c r="D579" s="371" t="s">
        <v>2205</v>
      </c>
    </row>
    <row r="580" ht="15.75" customHeight="1">
      <c r="B580" s="371" t="s">
        <v>7828</v>
      </c>
      <c r="C580" s="371" t="s">
        <v>7829</v>
      </c>
      <c r="D580" s="371" t="s">
        <v>2205</v>
      </c>
    </row>
    <row r="581" ht="15.75" customHeight="1">
      <c r="B581" s="371" t="s">
        <v>7830</v>
      </c>
      <c r="C581" s="371" t="s">
        <v>7772</v>
      </c>
      <c r="D581" s="371" t="s">
        <v>2205</v>
      </c>
    </row>
    <row r="582" ht="15.75" customHeight="1">
      <c r="B582" s="371" t="s">
        <v>4108</v>
      </c>
      <c r="C582" s="371" t="s">
        <v>7831</v>
      </c>
      <c r="D582" s="371" t="s">
        <v>2205</v>
      </c>
    </row>
    <row r="583" ht="15.75" customHeight="1">
      <c r="B583" s="371" t="s">
        <v>4100</v>
      </c>
      <c r="C583" s="371" t="s">
        <v>7832</v>
      </c>
      <c r="D583" s="371" t="s">
        <v>2139</v>
      </c>
    </row>
    <row r="584" ht="15.75" customHeight="1">
      <c r="B584" s="371" t="s">
        <v>7833</v>
      </c>
      <c r="C584" s="371" t="s">
        <v>7834</v>
      </c>
      <c r="D584" s="371" t="s">
        <v>2205</v>
      </c>
    </row>
    <row r="585" ht="15.75" customHeight="1">
      <c r="B585" s="371" t="s">
        <v>7835</v>
      </c>
      <c r="C585" s="371" t="s">
        <v>7836</v>
      </c>
      <c r="D585" s="371" t="s">
        <v>2205</v>
      </c>
    </row>
    <row r="586" ht="15.75" customHeight="1">
      <c r="B586" s="371" t="s">
        <v>7837</v>
      </c>
      <c r="C586" s="371" t="s">
        <v>7838</v>
      </c>
      <c r="D586" s="371" t="s">
        <v>2205</v>
      </c>
    </row>
    <row r="587" ht="15.75" customHeight="1">
      <c r="B587" s="371" t="s">
        <v>7839</v>
      </c>
      <c r="C587" s="371" t="s">
        <v>7840</v>
      </c>
      <c r="D587" s="371" t="s">
        <v>2205</v>
      </c>
    </row>
    <row r="588" ht="15.75" customHeight="1">
      <c r="B588" s="371" t="s">
        <v>7841</v>
      </c>
      <c r="C588" s="371" t="s">
        <v>7842</v>
      </c>
      <c r="D588" s="371" t="s">
        <v>2139</v>
      </c>
    </row>
    <row r="589" ht="15.75" customHeight="1">
      <c r="B589" s="374" t="s">
        <v>7843</v>
      </c>
      <c r="C589" s="371" t="s">
        <v>7844</v>
      </c>
      <c r="D589" s="371" t="s">
        <v>2205</v>
      </c>
    </row>
    <row r="590" ht="15.75" customHeight="1">
      <c r="B590" s="374" t="s">
        <v>7845</v>
      </c>
      <c r="C590" s="371" t="s">
        <v>7844</v>
      </c>
      <c r="D590" s="371" t="s">
        <v>2205</v>
      </c>
    </row>
    <row r="591" ht="15.75" customHeight="1">
      <c r="B591" s="371" t="s">
        <v>7846</v>
      </c>
      <c r="C591" s="371" t="s">
        <v>7772</v>
      </c>
      <c r="D591" s="371" t="s">
        <v>2139</v>
      </c>
    </row>
    <row r="592" ht="15.75" customHeight="1">
      <c r="B592" s="371" t="s">
        <v>7847</v>
      </c>
      <c r="C592" s="371" t="s">
        <v>7772</v>
      </c>
      <c r="D592" s="371" t="s">
        <v>2205</v>
      </c>
    </row>
    <row r="593" ht="15.75" customHeight="1">
      <c r="B593" s="371" t="s">
        <v>7848</v>
      </c>
      <c r="C593" s="371" t="s">
        <v>7772</v>
      </c>
      <c r="D593" s="371" t="s">
        <v>2139</v>
      </c>
    </row>
    <row r="594" ht="15.75" customHeight="1">
      <c r="B594" s="371" t="s">
        <v>7849</v>
      </c>
      <c r="C594" s="371" t="s">
        <v>7850</v>
      </c>
      <c r="D594" s="371" t="s">
        <v>2205</v>
      </c>
    </row>
    <row r="595" ht="15.75" customHeight="1">
      <c r="B595" s="371" t="s">
        <v>7851</v>
      </c>
      <c r="C595" s="371" t="s">
        <v>7850</v>
      </c>
      <c r="D595" s="371" t="s">
        <v>2205</v>
      </c>
    </row>
    <row r="596" ht="15.75" customHeight="1">
      <c r="B596" s="371" t="s">
        <v>7852</v>
      </c>
      <c r="C596" s="371" t="s">
        <v>7853</v>
      </c>
      <c r="D596" s="371" t="s">
        <v>2205</v>
      </c>
    </row>
    <row r="597" ht="15.75" customHeight="1">
      <c r="B597" s="371" t="s">
        <v>7854</v>
      </c>
      <c r="C597" s="371" t="s">
        <v>7853</v>
      </c>
      <c r="D597" s="371" t="s">
        <v>2205</v>
      </c>
    </row>
    <row r="598" ht="15.75" customHeight="1">
      <c r="B598" s="371" t="s">
        <v>7855</v>
      </c>
      <c r="C598" s="371" t="s">
        <v>7856</v>
      </c>
      <c r="D598" s="371" t="s">
        <v>2205</v>
      </c>
    </row>
    <row r="599" ht="15.75" customHeight="1">
      <c r="B599" s="371" t="s">
        <v>7857</v>
      </c>
      <c r="C599" s="371" t="s">
        <v>7858</v>
      </c>
      <c r="D599" s="371" t="s">
        <v>2205</v>
      </c>
    </row>
    <row r="600" ht="15.75" customHeight="1">
      <c r="B600" s="371" t="s">
        <v>7859</v>
      </c>
      <c r="C600" s="371" t="s">
        <v>7860</v>
      </c>
      <c r="D600" s="371" t="s">
        <v>2205</v>
      </c>
    </row>
    <row r="601" ht="15.75" customHeight="1">
      <c r="B601" s="371" t="s">
        <v>7861</v>
      </c>
      <c r="C601" s="371" t="s">
        <v>7862</v>
      </c>
      <c r="D601" s="371" t="s">
        <v>2139</v>
      </c>
    </row>
    <row r="602" ht="15.75" customHeight="1">
      <c r="B602" s="371" t="s">
        <v>7863</v>
      </c>
      <c r="C602" s="371" t="s">
        <v>7864</v>
      </c>
      <c r="D602" s="371" t="s">
        <v>2139</v>
      </c>
    </row>
    <row r="603" ht="15.75" customHeight="1">
      <c r="B603" s="371" t="s">
        <v>7865</v>
      </c>
      <c r="C603" s="371" t="s">
        <v>7866</v>
      </c>
      <c r="D603" s="371" t="s">
        <v>2205</v>
      </c>
    </row>
    <row r="604" ht="15.75" customHeight="1">
      <c r="B604" s="371" t="s">
        <v>7867</v>
      </c>
      <c r="C604" s="371" t="s">
        <v>7868</v>
      </c>
      <c r="D604" s="371" t="s">
        <v>2205</v>
      </c>
    </row>
    <row r="605" ht="15.75" customHeight="1">
      <c r="B605" s="371" t="s">
        <v>7869</v>
      </c>
      <c r="C605" s="371" t="s">
        <v>7864</v>
      </c>
      <c r="D605" s="371" t="s">
        <v>2139</v>
      </c>
    </row>
    <row r="606" ht="15.75" customHeight="1">
      <c r="B606" s="371" t="s">
        <v>7870</v>
      </c>
      <c r="C606" s="371" t="s">
        <v>7871</v>
      </c>
      <c r="D606" s="371" t="s">
        <v>2205</v>
      </c>
    </row>
    <row r="607" ht="15.75" customHeight="1">
      <c r="B607" s="371" t="s">
        <v>7872</v>
      </c>
      <c r="C607" s="371" t="s">
        <v>7871</v>
      </c>
      <c r="D607" s="371" t="s">
        <v>2205</v>
      </c>
    </row>
    <row r="608" ht="15.75" customHeight="1">
      <c r="B608" s="371" t="s">
        <v>7873</v>
      </c>
      <c r="C608" s="371" t="s">
        <v>7793</v>
      </c>
      <c r="D608" s="371" t="s">
        <v>2139</v>
      </c>
    </row>
    <row r="609" ht="15.75" customHeight="1">
      <c r="B609" s="371" t="s">
        <v>7874</v>
      </c>
      <c r="C609" s="371" t="s">
        <v>7875</v>
      </c>
      <c r="D609" s="371" t="s">
        <v>2139</v>
      </c>
    </row>
    <row r="610" ht="15.75" customHeight="1">
      <c r="B610" s="371" t="s">
        <v>7876</v>
      </c>
      <c r="C610" s="371" t="s">
        <v>7877</v>
      </c>
      <c r="D610" s="371" t="s">
        <v>2139</v>
      </c>
    </row>
    <row r="611" ht="15.75" customHeight="1">
      <c r="B611" s="371" t="s">
        <v>7878</v>
      </c>
      <c r="C611" s="371" t="s">
        <v>7877</v>
      </c>
      <c r="D611" s="371" t="s">
        <v>2139</v>
      </c>
    </row>
    <row r="612" ht="15.75" customHeight="1">
      <c r="B612" s="371" t="s">
        <v>7879</v>
      </c>
      <c r="C612" s="371" t="s">
        <v>7877</v>
      </c>
      <c r="D612" s="371" t="s">
        <v>2139</v>
      </c>
    </row>
    <row r="613" ht="15.75" customHeight="1">
      <c r="B613" s="371" t="s">
        <v>7880</v>
      </c>
      <c r="C613" s="371" t="s">
        <v>7877</v>
      </c>
      <c r="D613" s="371" t="s">
        <v>2205</v>
      </c>
    </row>
    <row r="614" ht="15.75" customHeight="1">
      <c r="B614" s="371" t="s">
        <v>7881</v>
      </c>
      <c r="C614" s="371" t="s">
        <v>7882</v>
      </c>
      <c r="D614" s="371" t="s">
        <v>2205</v>
      </c>
    </row>
    <row r="615" ht="15.75" customHeight="1">
      <c r="B615" s="371" t="s">
        <v>7883</v>
      </c>
      <c r="C615" s="371" t="s">
        <v>7884</v>
      </c>
      <c r="D615" s="371" t="s">
        <v>2139</v>
      </c>
    </row>
    <row r="616" ht="15.75" customHeight="1">
      <c r="B616" s="371" t="s">
        <v>7885</v>
      </c>
      <c r="C616" s="371" t="s">
        <v>7877</v>
      </c>
      <c r="D616" s="371" t="s">
        <v>2139</v>
      </c>
    </row>
    <row r="617" ht="15.75" customHeight="1">
      <c r="B617" s="371" t="s">
        <v>7886</v>
      </c>
      <c r="C617" s="371" t="s">
        <v>7877</v>
      </c>
      <c r="D617" s="371" t="s">
        <v>2139</v>
      </c>
    </row>
    <row r="618" ht="15.75" customHeight="1">
      <c r="B618" s="371" t="s">
        <v>7887</v>
      </c>
      <c r="C618" s="371" t="s">
        <v>7877</v>
      </c>
      <c r="D618" s="371" t="s">
        <v>2139</v>
      </c>
    </row>
    <row r="619" ht="15.75" customHeight="1">
      <c r="B619" s="371" t="s">
        <v>7888</v>
      </c>
      <c r="C619" s="371" t="s">
        <v>7877</v>
      </c>
      <c r="D619" s="371" t="s">
        <v>2205</v>
      </c>
    </row>
    <row r="620" ht="15.75" customHeight="1">
      <c r="B620" s="371" t="s">
        <v>7889</v>
      </c>
      <c r="C620" s="371" t="s">
        <v>7890</v>
      </c>
      <c r="D620" s="371" t="s">
        <v>2139</v>
      </c>
    </row>
    <row r="621" ht="15.75" customHeight="1">
      <c r="B621" s="371" t="s">
        <v>7891</v>
      </c>
      <c r="C621" s="371" t="s">
        <v>7877</v>
      </c>
      <c r="D621" s="371" t="s">
        <v>2139</v>
      </c>
    </row>
    <row r="622" ht="15.75" customHeight="1">
      <c r="B622" s="371" t="s">
        <v>7892</v>
      </c>
      <c r="C622" s="371" t="s">
        <v>7877</v>
      </c>
      <c r="D622" s="371" t="s">
        <v>2139</v>
      </c>
    </row>
    <row r="623" ht="15.75" customHeight="1">
      <c r="B623" s="371" t="s">
        <v>7893</v>
      </c>
      <c r="C623" s="371" t="s">
        <v>7877</v>
      </c>
      <c r="D623" s="371" t="s">
        <v>2205</v>
      </c>
    </row>
    <row r="624" ht="15.75" customHeight="1">
      <c r="B624" s="371" t="s">
        <v>7894</v>
      </c>
      <c r="C624" s="371" t="s">
        <v>7877</v>
      </c>
      <c r="D624" s="371" t="s">
        <v>2205</v>
      </c>
    </row>
    <row r="625" ht="15.75" customHeight="1">
      <c r="B625" s="371" t="s">
        <v>7895</v>
      </c>
      <c r="C625" s="371" t="s">
        <v>7877</v>
      </c>
      <c r="D625" s="371" t="s">
        <v>2139</v>
      </c>
    </row>
    <row r="626" ht="15.75" customHeight="1">
      <c r="B626" s="371" t="s">
        <v>7896</v>
      </c>
      <c r="C626" s="371" t="s">
        <v>7877</v>
      </c>
      <c r="D626" s="371" t="s">
        <v>2139</v>
      </c>
    </row>
    <row r="627" ht="15.75" customHeight="1">
      <c r="B627" s="371" t="s">
        <v>7897</v>
      </c>
      <c r="C627" s="371" t="s">
        <v>7877</v>
      </c>
      <c r="D627" s="371" t="s">
        <v>2205</v>
      </c>
    </row>
    <row r="628" ht="15.75" customHeight="1">
      <c r="B628" s="371" t="s">
        <v>7898</v>
      </c>
      <c r="C628" s="371" t="s">
        <v>7899</v>
      </c>
      <c r="D628" s="371" t="s">
        <v>2139</v>
      </c>
    </row>
    <row r="629" ht="15.75" customHeight="1">
      <c r="B629" s="371" t="s">
        <v>7900</v>
      </c>
      <c r="C629" s="371" t="s">
        <v>7877</v>
      </c>
      <c r="D629" s="371" t="s">
        <v>2205</v>
      </c>
    </row>
    <row r="630" ht="15.75" customHeight="1">
      <c r="B630" s="371" t="s">
        <v>7901</v>
      </c>
      <c r="C630" s="371" t="s">
        <v>7877</v>
      </c>
      <c r="D630" s="371" t="s">
        <v>2139</v>
      </c>
    </row>
    <row r="631" ht="15.75" customHeight="1">
      <c r="B631" s="371" t="s">
        <v>7902</v>
      </c>
      <c r="C631" s="371" t="s">
        <v>7877</v>
      </c>
      <c r="D631" s="371" t="s">
        <v>2139</v>
      </c>
    </row>
    <row r="632" ht="15.75" customHeight="1">
      <c r="B632" s="371" t="s">
        <v>7903</v>
      </c>
      <c r="C632" s="371" t="s">
        <v>7877</v>
      </c>
      <c r="D632" s="371" t="s">
        <v>2139</v>
      </c>
    </row>
    <row r="633" ht="15.75" customHeight="1">
      <c r="B633" s="371" t="s">
        <v>7904</v>
      </c>
      <c r="C633" s="371" t="s">
        <v>7877</v>
      </c>
      <c r="D633" s="371" t="s">
        <v>2139</v>
      </c>
    </row>
    <row r="634" ht="15.75" customHeight="1">
      <c r="B634" s="371" t="s">
        <v>7905</v>
      </c>
      <c r="C634" s="371" t="s">
        <v>7877</v>
      </c>
      <c r="D634" s="371" t="s">
        <v>2139</v>
      </c>
    </row>
    <row r="635" ht="15.75" customHeight="1">
      <c r="B635" s="371" t="s">
        <v>7906</v>
      </c>
      <c r="C635" s="371" t="s">
        <v>7877</v>
      </c>
      <c r="D635" s="371" t="s">
        <v>2139</v>
      </c>
    </row>
    <row r="636" ht="15.75" customHeight="1">
      <c r="B636" s="371" t="s">
        <v>7907</v>
      </c>
      <c r="C636" s="371" t="s">
        <v>7877</v>
      </c>
      <c r="D636" s="371" t="s">
        <v>2139</v>
      </c>
    </row>
    <row r="637" ht="15.75" customHeight="1">
      <c r="B637" s="371" t="s">
        <v>7908</v>
      </c>
      <c r="C637" s="371" t="s">
        <v>7877</v>
      </c>
      <c r="D637" s="371" t="s">
        <v>2139</v>
      </c>
    </row>
    <row r="638" ht="15.75" customHeight="1">
      <c r="B638" s="371" t="s">
        <v>7909</v>
      </c>
      <c r="C638" s="371" t="s">
        <v>7877</v>
      </c>
      <c r="D638" s="371" t="s">
        <v>2139</v>
      </c>
    </row>
    <row r="639" ht="15.75" customHeight="1">
      <c r="B639" s="371" t="s">
        <v>7910</v>
      </c>
      <c r="C639" s="371" t="s">
        <v>7877</v>
      </c>
      <c r="D639" s="371" t="s">
        <v>2139</v>
      </c>
    </row>
    <row r="640" ht="15.75" customHeight="1">
      <c r="B640" s="371" t="s">
        <v>7911</v>
      </c>
      <c r="C640" s="371" t="s">
        <v>7877</v>
      </c>
      <c r="D640" s="371" t="s">
        <v>2139</v>
      </c>
    </row>
    <row r="641" ht="15.75" customHeight="1">
      <c r="B641" s="371" t="s">
        <v>7912</v>
      </c>
      <c r="C641" s="371" t="s">
        <v>7913</v>
      </c>
      <c r="D641" s="371" t="s">
        <v>2205</v>
      </c>
    </row>
    <row r="642" ht="15.75" customHeight="1">
      <c r="B642" s="371" t="s">
        <v>7914</v>
      </c>
      <c r="C642" s="371" t="s">
        <v>7913</v>
      </c>
      <c r="D642" s="371" t="s">
        <v>2205</v>
      </c>
    </row>
    <row r="643" ht="15.75" customHeight="1">
      <c r="B643" s="371" t="s">
        <v>7915</v>
      </c>
      <c r="C643" s="371" t="s">
        <v>7916</v>
      </c>
      <c r="D643" s="371" t="s">
        <v>2205</v>
      </c>
    </row>
    <row r="644" ht="15.75" customHeight="1">
      <c r="B644" s="371" t="s">
        <v>7917</v>
      </c>
      <c r="C644" s="371" t="s">
        <v>7918</v>
      </c>
      <c r="D644" s="371" t="s">
        <v>2205</v>
      </c>
    </row>
    <row r="645" ht="15.75" customHeight="1">
      <c r="B645" s="371" t="s">
        <v>7919</v>
      </c>
      <c r="C645" s="371" t="s">
        <v>7918</v>
      </c>
      <c r="D645" s="371" t="s">
        <v>2205</v>
      </c>
    </row>
    <row r="646" ht="15.75" customHeight="1">
      <c r="B646" s="371" t="s">
        <v>1850</v>
      </c>
      <c r="C646" s="371" t="s">
        <v>7772</v>
      </c>
      <c r="D646" s="371" t="s">
        <v>2205</v>
      </c>
    </row>
    <row r="647" ht="15.75" customHeight="1">
      <c r="B647" s="371" t="s">
        <v>7920</v>
      </c>
      <c r="C647" s="371" t="s">
        <v>7772</v>
      </c>
      <c r="D647" s="371" t="s">
        <v>2205</v>
      </c>
    </row>
    <row r="648" ht="15.75" customHeight="1">
      <c r="B648" s="371" t="s">
        <v>1846</v>
      </c>
      <c r="C648" s="371" t="s">
        <v>7921</v>
      </c>
      <c r="D648" s="371" t="s">
        <v>2205</v>
      </c>
    </row>
    <row r="649" ht="15.75" customHeight="1">
      <c r="B649" s="371" t="s">
        <v>7922</v>
      </c>
      <c r="C649" s="371" t="s">
        <v>7772</v>
      </c>
      <c r="D649" s="371" t="s">
        <v>2205</v>
      </c>
    </row>
    <row r="650" ht="15.75" customHeight="1">
      <c r="B650" s="371" t="s">
        <v>7923</v>
      </c>
      <c r="C650" s="371" t="s">
        <v>7322</v>
      </c>
      <c r="D650" s="371" t="s">
        <v>2205</v>
      </c>
    </row>
    <row r="651" ht="15.75" customHeight="1">
      <c r="B651" s="371" t="s">
        <v>7924</v>
      </c>
      <c r="C651" s="371" t="s">
        <v>7772</v>
      </c>
      <c r="D651" s="371" t="s">
        <v>2205</v>
      </c>
    </row>
    <row r="652" ht="15.75" customHeight="1">
      <c r="B652" s="371" t="s">
        <v>7925</v>
      </c>
      <c r="C652" s="371" t="s">
        <v>7926</v>
      </c>
      <c r="D652" s="371" t="s">
        <v>2205</v>
      </c>
    </row>
    <row r="653" ht="15.75" customHeight="1">
      <c r="B653" s="371" t="s">
        <v>450</v>
      </c>
      <c r="C653" s="371" t="s">
        <v>7927</v>
      </c>
      <c r="D653" s="371" t="s">
        <v>2139</v>
      </c>
    </row>
    <row r="654" ht="15.75" customHeight="1">
      <c r="B654" s="371" t="s">
        <v>452</v>
      </c>
      <c r="C654" s="371" t="s">
        <v>7928</v>
      </c>
      <c r="D654" s="371" t="s">
        <v>2205</v>
      </c>
    </row>
    <row r="655" ht="15.75" customHeight="1">
      <c r="B655" s="371" t="s">
        <v>7929</v>
      </c>
      <c r="C655" s="371" t="s">
        <v>7930</v>
      </c>
      <c r="D655" s="371" t="s">
        <v>2205</v>
      </c>
    </row>
    <row r="656" ht="15.75" customHeight="1">
      <c r="B656" s="371" t="s">
        <v>7931</v>
      </c>
      <c r="C656" s="371" t="s">
        <v>7932</v>
      </c>
      <c r="D656" s="371" t="s">
        <v>2205</v>
      </c>
    </row>
    <row r="657" ht="15.75" customHeight="1">
      <c r="B657" s="371" t="s">
        <v>453</v>
      </c>
      <c r="C657" s="371" t="s">
        <v>7933</v>
      </c>
      <c r="D657" s="371" t="s">
        <v>2139</v>
      </c>
    </row>
    <row r="658" ht="15.75" customHeight="1">
      <c r="B658" s="371" t="s">
        <v>457</v>
      </c>
      <c r="C658" s="371" t="s">
        <v>7934</v>
      </c>
      <c r="D658" s="371" t="s">
        <v>2205</v>
      </c>
    </row>
    <row r="659" ht="15.75" customHeight="1">
      <c r="B659" s="371" t="s">
        <v>382</v>
      </c>
      <c r="C659" s="371" t="s">
        <v>7935</v>
      </c>
      <c r="D659" s="371" t="s">
        <v>2205</v>
      </c>
    </row>
    <row r="660" ht="15.75" customHeight="1">
      <c r="B660" s="371" t="s">
        <v>384</v>
      </c>
      <c r="C660" s="371" t="s">
        <v>7936</v>
      </c>
      <c r="D660" s="371" t="s">
        <v>2205</v>
      </c>
    </row>
    <row r="661" ht="15.75" customHeight="1">
      <c r="B661" s="371" t="s">
        <v>352</v>
      </c>
      <c r="C661" s="371" t="s">
        <v>7937</v>
      </c>
      <c r="D661" s="371" t="s">
        <v>2205</v>
      </c>
    </row>
    <row r="662" ht="15.75" customHeight="1">
      <c r="B662" s="371" t="s">
        <v>354</v>
      </c>
      <c r="C662" s="371" t="s">
        <v>7328</v>
      </c>
      <c r="D662" s="371" t="s">
        <v>2205</v>
      </c>
    </row>
    <row r="663" ht="15.75" customHeight="1">
      <c r="B663" s="371" t="s">
        <v>349</v>
      </c>
      <c r="C663" s="371" t="s">
        <v>7938</v>
      </c>
      <c r="D663" s="371" t="s">
        <v>2205</v>
      </c>
    </row>
    <row r="664" ht="15.75" customHeight="1">
      <c r="B664" s="371" t="s">
        <v>351</v>
      </c>
      <c r="C664" s="371" t="s">
        <v>7939</v>
      </c>
      <c r="D664" s="371" t="s">
        <v>2205</v>
      </c>
    </row>
    <row r="665" ht="15.75" customHeight="1">
      <c r="B665" s="371" t="s">
        <v>355</v>
      </c>
      <c r="C665" s="371" t="s">
        <v>7328</v>
      </c>
      <c r="D665" s="371" t="s">
        <v>2205</v>
      </c>
    </row>
    <row r="666" ht="15.75" customHeight="1">
      <c r="B666" s="371" t="s">
        <v>359</v>
      </c>
      <c r="C666" s="371" t="s">
        <v>7328</v>
      </c>
      <c r="D666" s="371" t="s">
        <v>2205</v>
      </c>
    </row>
    <row r="667" ht="15.75" customHeight="1">
      <c r="B667" s="371" t="s">
        <v>7940</v>
      </c>
      <c r="C667" s="371" t="s">
        <v>7328</v>
      </c>
      <c r="D667" s="371" t="s">
        <v>2205</v>
      </c>
    </row>
    <row r="668" ht="15.75" customHeight="1">
      <c r="B668" s="371" t="s">
        <v>7941</v>
      </c>
      <c r="C668" s="371" t="s">
        <v>7328</v>
      </c>
      <c r="D668" s="371" t="s">
        <v>2205</v>
      </c>
    </row>
    <row r="669" ht="15.75" customHeight="1">
      <c r="B669" s="371" t="s">
        <v>7942</v>
      </c>
      <c r="C669" s="371" t="s">
        <v>7328</v>
      </c>
      <c r="D669" s="371" t="s">
        <v>2205</v>
      </c>
    </row>
    <row r="670" ht="15.75" customHeight="1">
      <c r="B670" s="371" t="s">
        <v>7943</v>
      </c>
      <c r="C670" s="371" t="s">
        <v>7328</v>
      </c>
      <c r="D670" s="371" t="s">
        <v>2205</v>
      </c>
    </row>
    <row r="671" ht="15.75" customHeight="1">
      <c r="B671" s="371" t="s">
        <v>324</v>
      </c>
      <c r="C671" s="371" t="s">
        <v>7328</v>
      </c>
      <c r="D671" s="371" t="s">
        <v>2205</v>
      </c>
    </row>
    <row r="672" ht="15.75" customHeight="1">
      <c r="B672" s="371" t="s">
        <v>326</v>
      </c>
      <c r="C672" s="371" t="s">
        <v>7944</v>
      </c>
      <c r="D672" s="371" t="s">
        <v>2205</v>
      </c>
    </row>
    <row r="673" ht="15.75" customHeight="1">
      <c r="B673" s="371" t="s">
        <v>7945</v>
      </c>
      <c r="C673" s="371" t="s">
        <v>7328</v>
      </c>
      <c r="D673" s="371" t="s">
        <v>2205</v>
      </c>
    </row>
    <row r="674" ht="15.75" customHeight="1">
      <c r="B674" s="371" t="s">
        <v>7946</v>
      </c>
      <c r="C674" s="371" t="s">
        <v>7947</v>
      </c>
      <c r="D674" s="371" t="s">
        <v>2205</v>
      </c>
    </row>
    <row r="675" ht="15.75" customHeight="1">
      <c r="B675" s="371" t="s">
        <v>385</v>
      </c>
      <c r="C675" s="371" t="s">
        <v>7948</v>
      </c>
      <c r="D675" s="371" t="s">
        <v>2205</v>
      </c>
    </row>
    <row r="676" ht="15.75" customHeight="1">
      <c r="B676" s="371" t="s">
        <v>389</v>
      </c>
      <c r="C676" s="371" t="s">
        <v>7949</v>
      </c>
      <c r="D676" s="371" t="s">
        <v>2139</v>
      </c>
    </row>
    <row r="677" ht="15.75" customHeight="1">
      <c r="B677" s="371" t="s">
        <v>393</v>
      </c>
      <c r="C677" s="371" t="s">
        <v>7950</v>
      </c>
      <c r="D677" s="371" t="s">
        <v>2139</v>
      </c>
    </row>
    <row r="678" ht="15.75" customHeight="1">
      <c r="B678" s="371" t="s">
        <v>395</v>
      </c>
      <c r="C678" s="371" t="s">
        <v>7951</v>
      </c>
      <c r="D678" s="371" t="s">
        <v>2205</v>
      </c>
    </row>
    <row r="679" ht="15.75" customHeight="1">
      <c r="B679" s="371" t="s">
        <v>7952</v>
      </c>
      <c r="C679" s="371" t="s">
        <v>7953</v>
      </c>
      <c r="D679" s="371" t="s">
        <v>2205</v>
      </c>
    </row>
    <row r="680" ht="15.75" customHeight="1">
      <c r="B680" s="371" t="s">
        <v>375</v>
      </c>
      <c r="C680" s="371" t="s">
        <v>7954</v>
      </c>
      <c r="D680" s="371" t="s">
        <v>2139</v>
      </c>
    </row>
    <row r="681" ht="15.75" customHeight="1">
      <c r="B681" s="371" t="s">
        <v>7955</v>
      </c>
      <c r="C681" s="371" t="s">
        <v>7956</v>
      </c>
      <c r="D681" s="371" t="s">
        <v>2205</v>
      </c>
    </row>
    <row r="682" ht="15.75" customHeight="1">
      <c r="B682" s="371" t="s">
        <v>7957</v>
      </c>
      <c r="C682" s="371" t="s">
        <v>7956</v>
      </c>
      <c r="D682" s="371" t="s">
        <v>2205</v>
      </c>
    </row>
    <row r="683" ht="15.75" customHeight="1">
      <c r="B683" s="371" t="s">
        <v>7958</v>
      </c>
      <c r="C683" s="371" t="s">
        <v>7956</v>
      </c>
      <c r="D683" s="371" t="s">
        <v>2205</v>
      </c>
    </row>
    <row r="684" ht="15.75" customHeight="1">
      <c r="B684" s="371" t="s">
        <v>7959</v>
      </c>
      <c r="C684" s="371" t="s">
        <v>7956</v>
      </c>
      <c r="D684" s="371" t="s">
        <v>2205</v>
      </c>
    </row>
    <row r="685" ht="15.75" customHeight="1">
      <c r="B685" s="371" t="s">
        <v>7960</v>
      </c>
      <c r="C685" s="371" t="s">
        <v>7961</v>
      </c>
      <c r="D685" s="371" t="s">
        <v>2205</v>
      </c>
    </row>
    <row r="686" ht="15.75" customHeight="1">
      <c r="B686" s="371" t="s">
        <v>7962</v>
      </c>
      <c r="C686" s="371" t="s">
        <v>7961</v>
      </c>
      <c r="D686" s="371" t="s">
        <v>2205</v>
      </c>
    </row>
    <row r="687" ht="15.75" customHeight="1">
      <c r="B687" s="371" t="s">
        <v>7963</v>
      </c>
      <c r="C687" s="371" t="s">
        <v>7961</v>
      </c>
      <c r="D687" s="371" t="s">
        <v>2205</v>
      </c>
    </row>
    <row r="688" ht="15.75" customHeight="1">
      <c r="B688" s="371" t="s">
        <v>7964</v>
      </c>
      <c r="C688" s="371" t="s">
        <v>7961</v>
      </c>
      <c r="D688" s="371" t="s">
        <v>2205</v>
      </c>
    </row>
    <row r="689" ht="15.75" customHeight="1">
      <c r="B689" s="371" t="s">
        <v>7965</v>
      </c>
      <c r="C689" s="371" t="s">
        <v>7966</v>
      </c>
      <c r="D689" s="371" t="s">
        <v>2205</v>
      </c>
    </row>
    <row r="690" ht="15.75" customHeight="1">
      <c r="B690" s="371" t="s">
        <v>379</v>
      </c>
      <c r="C690" s="371" t="s">
        <v>7967</v>
      </c>
      <c r="D690" s="371" t="s">
        <v>2205</v>
      </c>
    </row>
    <row r="691" ht="15.75" customHeight="1">
      <c r="B691" s="371" t="s">
        <v>7968</v>
      </c>
      <c r="C691" s="371" t="s">
        <v>7969</v>
      </c>
      <c r="D691" s="371" t="s">
        <v>2205</v>
      </c>
    </row>
    <row r="692" ht="15.75" customHeight="1">
      <c r="B692" s="371" t="s">
        <v>7970</v>
      </c>
      <c r="C692" s="371" t="s">
        <v>7971</v>
      </c>
      <c r="D692" s="371" t="s">
        <v>2205</v>
      </c>
    </row>
    <row r="693" ht="15.75" customHeight="1">
      <c r="B693" s="371" t="s">
        <v>7972</v>
      </c>
      <c r="C693" s="371" t="s">
        <v>7971</v>
      </c>
      <c r="D693" s="371" t="s">
        <v>2205</v>
      </c>
    </row>
    <row r="694" ht="15.75" customHeight="1">
      <c r="B694" s="371" t="s">
        <v>7973</v>
      </c>
      <c r="C694" s="371" t="s">
        <v>7971</v>
      </c>
      <c r="D694" s="371" t="s">
        <v>2205</v>
      </c>
    </row>
    <row r="695" ht="15.75" customHeight="1">
      <c r="B695" s="371" t="s">
        <v>7974</v>
      </c>
      <c r="C695" s="371" t="s">
        <v>7971</v>
      </c>
      <c r="D695" s="371" t="s">
        <v>2205</v>
      </c>
    </row>
    <row r="696" ht="15.75" customHeight="1">
      <c r="B696" s="371" t="s">
        <v>7975</v>
      </c>
      <c r="C696" s="371" t="s">
        <v>7971</v>
      </c>
      <c r="D696" s="371" t="s">
        <v>2205</v>
      </c>
    </row>
    <row r="697" ht="15.75" customHeight="1">
      <c r="B697" s="371" t="s">
        <v>7976</v>
      </c>
      <c r="C697" s="371" t="s">
        <v>7971</v>
      </c>
      <c r="D697" s="371" t="s">
        <v>2205</v>
      </c>
    </row>
    <row r="698" ht="15.75" customHeight="1">
      <c r="B698" s="371" t="s">
        <v>7977</v>
      </c>
      <c r="C698" s="371" t="s">
        <v>7971</v>
      </c>
      <c r="D698" s="371" t="s">
        <v>2205</v>
      </c>
    </row>
    <row r="699" ht="15.75" customHeight="1">
      <c r="B699" s="371" t="s">
        <v>7978</v>
      </c>
      <c r="C699" s="371" t="s">
        <v>7971</v>
      </c>
      <c r="D699" s="371" t="s">
        <v>2205</v>
      </c>
    </row>
    <row r="700" ht="15.75" customHeight="1">
      <c r="B700" s="371" t="s">
        <v>364</v>
      </c>
      <c r="C700" s="371" t="s">
        <v>7979</v>
      </c>
      <c r="D700" s="371" t="s">
        <v>2205</v>
      </c>
    </row>
    <row r="701" ht="15.75" customHeight="1">
      <c r="B701" s="371" t="s">
        <v>366</v>
      </c>
      <c r="C701" s="371" t="s">
        <v>7953</v>
      </c>
      <c r="D701" s="371" t="s">
        <v>2205</v>
      </c>
    </row>
    <row r="702" ht="15.75" customHeight="1">
      <c r="B702" s="371" t="s">
        <v>7980</v>
      </c>
      <c r="C702" s="371" t="s">
        <v>7953</v>
      </c>
      <c r="D702" s="371" t="s">
        <v>2205</v>
      </c>
    </row>
    <row r="703" ht="15.75" customHeight="1">
      <c r="B703" s="371" t="s">
        <v>7981</v>
      </c>
      <c r="C703" s="371" t="s">
        <v>7971</v>
      </c>
      <c r="D703" s="371" t="s">
        <v>2205</v>
      </c>
    </row>
    <row r="704" ht="15.75" customHeight="1">
      <c r="B704" s="371" t="s">
        <v>370</v>
      </c>
      <c r="C704" s="371" t="s">
        <v>7953</v>
      </c>
      <c r="D704" s="371" t="s">
        <v>2205</v>
      </c>
    </row>
    <row r="705" ht="15.75" customHeight="1">
      <c r="B705" s="371" t="s">
        <v>401</v>
      </c>
      <c r="C705" s="371" t="s">
        <v>7982</v>
      </c>
      <c r="D705" s="371" t="s">
        <v>2139</v>
      </c>
    </row>
    <row r="706" ht="15.75" customHeight="1">
      <c r="B706" s="371" t="s">
        <v>403</v>
      </c>
      <c r="C706" s="371" t="s">
        <v>7983</v>
      </c>
      <c r="D706" s="371" t="s">
        <v>2139</v>
      </c>
    </row>
    <row r="707" ht="15.75" customHeight="1">
      <c r="B707" s="371" t="s">
        <v>480</v>
      </c>
      <c r="C707" s="371" t="s">
        <v>7984</v>
      </c>
      <c r="D707" s="371" t="s">
        <v>2139</v>
      </c>
    </row>
    <row r="708" ht="15.75" customHeight="1">
      <c r="B708" s="371" t="s">
        <v>506</v>
      </c>
      <c r="C708" s="371" t="s">
        <v>7985</v>
      </c>
      <c r="D708" s="371" t="s">
        <v>2139</v>
      </c>
    </row>
    <row r="709" ht="15.75" customHeight="1">
      <c r="B709" s="371" t="s">
        <v>286</v>
      </c>
      <c r="C709" s="371" t="s">
        <v>7986</v>
      </c>
      <c r="D709" s="371" t="s">
        <v>2139</v>
      </c>
    </row>
    <row r="710" ht="15.75" customHeight="1">
      <c r="B710" s="371" t="s">
        <v>216</v>
      </c>
      <c r="C710" s="371" t="s">
        <v>7987</v>
      </c>
      <c r="D710" s="371" t="s">
        <v>2205</v>
      </c>
    </row>
    <row r="711" ht="15.75" customHeight="1">
      <c r="B711" s="371" t="s">
        <v>237</v>
      </c>
      <c r="C711" s="371" t="s">
        <v>7988</v>
      </c>
      <c r="D711" s="371" t="s">
        <v>2205</v>
      </c>
    </row>
    <row r="712" ht="15.75" customHeight="1">
      <c r="B712" s="371" t="s">
        <v>210</v>
      </c>
      <c r="C712" s="371" t="s">
        <v>7989</v>
      </c>
      <c r="D712" s="371" t="s">
        <v>2139</v>
      </c>
    </row>
    <row r="713" ht="15.75" customHeight="1">
      <c r="B713" s="371" t="s">
        <v>7990</v>
      </c>
      <c r="C713" s="371" t="s">
        <v>7985</v>
      </c>
      <c r="D713" s="371" t="s">
        <v>2139</v>
      </c>
    </row>
    <row r="714" ht="15.75" customHeight="1">
      <c r="B714" s="371" t="s">
        <v>220</v>
      </c>
      <c r="C714" s="371" t="s">
        <v>7985</v>
      </c>
      <c r="D714" s="371" t="s">
        <v>2139</v>
      </c>
    </row>
    <row r="715" ht="15.75" customHeight="1">
      <c r="B715" s="371" t="s">
        <v>212</v>
      </c>
      <c r="C715" s="371" t="s">
        <v>7985</v>
      </c>
      <c r="D715" s="371" t="s">
        <v>2205</v>
      </c>
    </row>
    <row r="716" ht="15.75" customHeight="1">
      <c r="B716" s="371" t="s">
        <v>214</v>
      </c>
      <c r="C716" s="371" t="s">
        <v>7985</v>
      </c>
      <c r="D716" s="371" t="s">
        <v>2205</v>
      </c>
    </row>
    <row r="717" ht="15.75" customHeight="1">
      <c r="B717" s="371" t="s">
        <v>300</v>
      </c>
      <c r="C717" s="371" t="s">
        <v>7348</v>
      </c>
      <c r="D717" s="371" t="s">
        <v>2139</v>
      </c>
    </row>
    <row r="718" ht="15.75" customHeight="1">
      <c r="B718" s="371" t="s">
        <v>228</v>
      </c>
      <c r="C718" s="371" t="s">
        <v>7991</v>
      </c>
      <c r="D718" s="371" t="s">
        <v>2205</v>
      </c>
    </row>
    <row r="719" ht="15.75" customHeight="1">
      <c r="B719" s="371" t="s">
        <v>231</v>
      </c>
      <c r="C719" s="371" t="s">
        <v>7984</v>
      </c>
      <c r="D719" s="371" t="s">
        <v>2139</v>
      </c>
    </row>
    <row r="720" ht="15.75" customHeight="1">
      <c r="B720" s="371" t="s">
        <v>224</v>
      </c>
      <c r="C720" s="371" t="s">
        <v>7992</v>
      </c>
      <c r="D720" s="371" t="s">
        <v>2205</v>
      </c>
    </row>
    <row r="721" ht="15.75" customHeight="1">
      <c r="B721" s="371" t="s">
        <v>235</v>
      </c>
      <c r="C721" s="371" t="s">
        <v>7984</v>
      </c>
      <c r="D721" s="371" t="s">
        <v>2139</v>
      </c>
    </row>
    <row r="722" ht="15.75" customHeight="1">
      <c r="B722" s="371" t="s">
        <v>206</v>
      </c>
      <c r="C722" s="371" t="s">
        <v>7993</v>
      </c>
      <c r="D722" s="371" t="s">
        <v>2139</v>
      </c>
    </row>
    <row r="723" ht="15.75" customHeight="1">
      <c r="B723" s="371" t="s">
        <v>309</v>
      </c>
      <c r="C723" s="371" t="s">
        <v>7985</v>
      </c>
      <c r="D723" s="371" t="s">
        <v>2139</v>
      </c>
    </row>
    <row r="724" ht="15.75" customHeight="1">
      <c r="B724" s="371" t="s">
        <v>305</v>
      </c>
      <c r="C724" s="371" t="s">
        <v>7985</v>
      </c>
      <c r="D724" s="371" t="s">
        <v>2139</v>
      </c>
    </row>
    <row r="725" ht="15.75" customHeight="1">
      <c r="B725" s="371" t="s">
        <v>303</v>
      </c>
      <c r="C725" s="371" t="s">
        <v>7985</v>
      </c>
      <c r="D725" s="371" t="s">
        <v>2139</v>
      </c>
    </row>
    <row r="726" ht="15.75" customHeight="1">
      <c r="B726" s="371" t="s">
        <v>7994</v>
      </c>
      <c r="C726" s="371" t="s">
        <v>7961</v>
      </c>
      <c r="D726" s="371" t="s">
        <v>2139</v>
      </c>
    </row>
    <row r="727" ht="15.75" customHeight="1">
      <c r="B727" s="371" t="s">
        <v>7995</v>
      </c>
      <c r="C727" s="371" t="s">
        <v>7961</v>
      </c>
      <c r="D727" s="371" t="s">
        <v>2139</v>
      </c>
    </row>
    <row r="728" ht="15.75" customHeight="1">
      <c r="B728" s="371" t="s">
        <v>252</v>
      </c>
      <c r="C728" s="371" t="s">
        <v>7996</v>
      </c>
      <c r="D728" s="371" t="s">
        <v>2139</v>
      </c>
    </row>
    <row r="729" ht="15.75" customHeight="1">
      <c r="B729" s="371" t="s">
        <v>244</v>
      </c>
      <c r="C729" s="371" t="s">
        <v>7997</v>
      </c>
      <c r="D729" s="371" t="s">
        <v>2139</v>
      </c>
    </row>
    <row r="730" ht="15.75" customHeight="1">
      <c r="B730" s="371" t="s">
        <v>260</v>
      </c>
      <c r="C730" s="371" t="s">
        <v>7998</v>
      </c>
      <c r="D730" s="371" t="s">
        <v>2139</v>
      </c>
    </row>
    <row r="731" ht="15.75" customHeight="1">
      <c r="B731" s="371" t="s">
        <v>264</v>
      </c>
      <c r="C731" s="371" t="s">
        <v>7999</v>
      </c>
      <c r="D731" s="371" t="s">
        <v>2139</v>
      </c>
    </row>
    <row r="732" ht="15.75" customHeight="1">
      <c r="B732" s="371" t="s">
        <v>266</v>
      </c>
      <c r="C732" s="371" t="s">
        <v>8000</v>
      </c>
      <c r="D732" s="371" t="s">
        <v>2139</v>
      </c>
    </row>
    <row r="733" ht="15.75" customHeight="1">
      <c r="B733" s="371" t="s">
        <v>8001</v>
      </c>
      <c r="C733" s="371" t="s">
        <v>7961</v>
      </c>
      <c r="D733" s="371" t="s">
        <v>2139</v>
      </c>
    </row>
    <row r="734" ht="15.75" customHeight="1">
      <c r="B734" s="371" t="s">
        <v>8002</v>
      </c>
      <c r="C734" s="371" t="s">
        <v>8003</v>
      </c>
      <c r="D734" s="371" t="s">
        <v>2139</v>
      </c>
    </row>
    <row r="735" ht="15.75" customHeight="1">
      <c r="B735" s="371" t="s">
        <v>240</v>
      </c>
      <c r="C735" s="371" t="s">
        <v>8004</v>
      </c>
      <c r="D735" s="371" t="s">
        <v>2139</v>
      </c>
    </row>
    <row r="736" ht="15.75" customHeight="1">
      <c r="B736" s="371" t="s">
        <v>8005</v>
      </c>
      <c r="C736" s="371" t="s">
        <v>8006</v>
      </c>
      <c r="D736" s="371" t="s">
        <v>2205</v>
      </c>
    </row>
    <row r="737" ht="15.75" customHeight="1">
      <c r="B737" s="371" t="s">
        <v>8007</v>
      </c>
      <c r="C737" s="371" t="s">
        <v>8006</v>
      </c>
      <c r="D737" s="371" t="s">
        <v>2205</v>
      </c>
    </row>
    <row r="738" ht="15.75" customHeight="1">
      <c r="B738" s="371" t="s">
        <v>8008</v>
      </c>
      <c r="C738" s="371" t="s">
        <v>8009</v>
      </c>
      <c r="D738" s="371" t="s">
        <v>2205</v>
      </c>
    </row>
    <row r="739" ht="15.75" customHeight="1">
      <c r="B739" s="371" t="s">
        <v>8010</v>
      </c>
      <c r="C739" s="371" t="s">
        <v>8009</v>
      </c>
      <c r="D739" s="371" t="s">
        <v>2205</v>
      </c>
    </row>
    <row r="740" ht="15.75" customHeight="1">
      <c r="B740" s="371" t="s">
        <v>8011</v>
      </c>
      <c r="C740" s="371" t="s">
        <v>8012</v>
      </c>
      <c r="D740" s="371" t="s">
        <v>2205</v>
      </c>
    </row>
    <row r="741" ht="15.75" customHeight="1">
      <c r="B741" s="371" t="s">
        <v>8013</v>
      </c>
      <c r="C741" s="371" t="s">
        <v>7328</v>
      </c>
      <c r="D741" s="371" t="s">
        <v>2205</v>
      </c>
    </row>
    <row r="742" ht="15.75" customHeight="1">
      <c r="B742" s="371" t="s">
        <v>8014</v>
      </c>
      <c r="C742" s="371" t="s">
        <v>7328</v>
      </c>
      <c r="D742" s="371" t="s">
        <v>2205</v>
      </c>
    </row>
    <row r="743" ht="15.75" customHeight="1">
      <c r="B743" s="371" t="s">
        <v>8015</v>
      </c>
      <c r="C743" s="371" t="s">
        <v>8009</v>
      </c>
      <c r="D743" s="371" t="s">
        <v>2205</v>
      </c>
    </row>
    <row r="744" ht="15.75" customHeight="1">
      <c r="B744" s="371" t="s">
        <v>8016</v>
      </c>
      <c r="C744" s="371" t="s">
        <v>7328</v>
      </c>
      <c r="D744" s="371" t="s">
        <v>2205</v>
      </c>
    </row>
    <row r="745" ht="15.75" customHeight="1">
      <c r="B745" s="371" t="s">
        <v>8017</v>
      </c>
      <c r="C745" s="371" t="s">
        <v>7953</v>
      </c>
      <c r="D745" s="371" t="s">
        <v>2205</v>
      </c>
    </row>
    <row r="746" ht="15.75" customHeight="1">
      <c r="B746" s="371" t="s">
        <v>8018</v>
      </c>
      <c r="C746" s="371" t="s">
        <v>7953</v>
      </c>
      <c r="D746" s="371" t="s">
        <v>2205</v>
      </c>
    </row>
    <row r="747" ht="15.75" customHeight="1">
      <c r="B747" s="371" t="s">
        <v>8019</v>
      </c>
      <c r="C747" s="371" t="s">
        <v>7953</v>
      </c>
      <c r="D747" s="371" t="s">
        <v>2205</v>
      </c>
    </row>
    <row r="748" ht="15.75" customHeight="1">
      <c r="B748" s="371" t="s">
        <v>8020</v>
      </c>
      <c r="C748" s="371" t="s">
        <v>7953</v>
      </c>
      <c r="D748" s="371" t="s">
        <v>2205</v>
      </c>
    </row>
    <row r="749" ht="15.75" customHeight="1">
      <c r="B749" s="371" t="s">
        <v>8021</v>
      </c>
      <c r="C749" s="371" t="s">
        <v>7953</v>
      </c>
      <c r="D749" s="371" t="s">
        <v>2205</v>
      </c>
    </row>
    <row r="750" ht="15.75" customHeight="1">
      <c r="B750" s="371" t="s">
        <v>8022</v>
      </c>
      <c r="C750" s="371" t="s">
        <v>7953</v>
      </c>
      <c r="D750" s="371" t="s">
        <v>2205</v>
      </c>
    </row>
    <row r="751" ht="15.75" customHeight="1">
      <c r="B751" s="371" t="s">
        <v>8023</v>
      </c>
      <c r="C751" s="371" t="s">
        <v>7953</v>
      </c>
      <c r="D751" s="371" t="s">
        <v>2205</v>
      </c>
    </row>
    <row r="752" ht="15.75" customHeight="1">
      <c r="B752" s="371" t="s">
        <v>8024</v>
      </c>
      <c r="C752" s="371" t="s">
        <v>7953</v>
      </c>
      <c r="D752" s="371" t="s">
        <v>2205</v>
      </c>
    </row>
    <row r="753" ht="15.75" customHeight="1">
      <c r="B753" s="371" t="s">
        <v>8025</v>
      </c>
      <c r="C753" s="371" t="s">
        <v>7328</v>
      </c>
      <c r="D753" s="371" t="s">
        <v>2205</v>
      </c>
    </row>
    <row r="754" ht="15.75" customHeight="1">
      <c r="B754" s="371" t="s">
        <v>8026</v>
      </c>
      <c r="C754" s="371" t="s">
        <v>7328</v>
      </c>
      <c r="D754" s="371" t="s">
        <v>2205</v>
      </c>
    </row>
    <row r="755" ht="15.75" customHeight="1">
      <c r="B755" s="371" t="s">
        <v>8027</v>
      </c>
      <c r="C755" s="371" t="s">
        <v>8028</v>
      </c>
      <c r="D755" s="371" t="s">
        <v>2205</v>
      </c>
    </row>
    <row r="756" ht="15.75" customHeight="1">
      <c r="B756" s="371" t="s">
        <v>8029</v>
      </c>
      <c r="C756" s="371" t="s">
        <v>8028</v>
      </c>
      <c r="D756" s="371" t="s">
        <v>2205</v>
      </c>
    </row>
    <row r="757" ht="15.75" customHeight="1">
      <c r="B757" s="371" t="s">
        <v>8030</v>
      </c>
      <c r="C757" s="371" t="s">
        <v>8028</v>
      </c>
      <c r="D757" s="371" t="s">
        <v>2205</v>
      </c>
    </row>
    <row r="758" ht="15.75" customHeight="1">
      <c r="B758" s="371" t="s">
        <v>8031</v>
      </c>
      <c r="C758" s="371" t="s">
        <v>8028</v>
      </c>
      <c r="D758" s="371" t="s">
        <v>2205</v>
      </c>
    </row>
    <row r="759" ht="15.75" customHeight="1">
      <c r="B759" s="371" t="s">
        <v>8032</v>
      </c>
      <c r="C759" s="371" t="s">
        <v>8028</v>
      </c>
      <c r="D759" s="371" t="s">
        <v>2205</v>
      </c>
    </row>
    <row r="760" ht="15.75" customHeight="1">
      <c r="B760" s="371" t="s">
        <v>8033</v>
      </c>
      <c r="C760" s="371" t="s">
        <v>8028</v>
      </c>
      <c r="D760" s="371" t="s">
        <v>2205</v>
      </c>
    </row>
    <row r="761" ht="15.75" customHeight="1">
      <c r="B761" s="371" t="s">
        <v>8034</v>
      </c>
      <c r="C761" s="371" t="s">
        <v>8028</v>
      </c>
      <c r="D761" s="371" t="s">
        <v>2205</v>
      </c>
    </row>
    <row r="762" ht="15.75" customHeight="1">
      <c r="B762" s="371" t="s">
        <v>8035</v>
      </c>
      <c r="C762" s="371" t="s">
        <v>8028</v>
      </c>
      <c r="D762" s="371" t="s">
        <v>2205</v>
      </c>
    </row>
    <row r="763" ht="15.75" customHeight="1">
      <c r="B763" s="371" t="s">
        <v>8036</v>
      </c>
      <c r="C763" s="371" t="s">
        <v>7953</v>
      </c>
      <c r="D763" s="371" t="s">
        <v>2205</v>
      </c>
    </row>
    <row r="764" ht="15.75" customHeight="1">
      <c r="B764" s="371" t="s">
        <v>8037</v>
      </c>
      <c r="C764" s="371" t="s">
        <v>7475</v>
      </c>
      <c r="D764" s="371" t="s">
        <v>2205</v>
      </c>
    </row>
    <row r="765" ht="15.75" customHeight="1">
      <c r="B765" s="371" t="s">
        <v>4548</v>
      </c>
      <c r="C765" s="371" t="s">
        <v>8038</v>
      </c>
      <c r="D765" s="371" t="s">
        <v>2205</v>
      </c>
    </row>
    <row r="766" ht="15.75" customHeight="1">
      <c r="B766" s="371" t="s">
        <v>4544</v>
      </c>
      <c r="C766" s="371" t="s">
        <v>8039</v>
      </c>
      <c r="D766" s="371" t="s">
        <v>2205</v>
      </c>
    </row>
    <row r="767" ht="15.75" customHeight="1">
      <c r="B767" s="371" t="s">
        <v>4540</v>
      </c>
      <c r="C767" s="371" t="s">
        <v>8038</v>
      </c>
      <c r="D767" s="371" t="s">
        <v>2205</v>
      </c>
    </row>
    <row r="768" ht="15.75" customHeight="1">
      <c r="B768" s="371" t="s">
        <v>8040</v>
      </c>
      <c r="C768" s="371" t="s">
        <v>8038</v>
      </c>
      <c r="D768" s="371" t="s">
        <v>2205</v>
      </c>
    </row>
    <row r="769" ht="15.75" customHeight="1">
      <c r="B769" s="371" t="s">
        <v>8041</v>
      </c>
      <c r="C769" s="371" t="s">
        <v>7731</v>
      </c>
      <c r="D769" s="371" t="s">
        <v>2205</v>
      </c>
    </row>
    <row r="770" ht="15.75" customHeight="1">
      <c r="B770" s="371" t="s">
        <v>8042</v>
      </c>
      <c r="C770" s="371" t="s">
        <v>8043</v>
      </c>
      <c r="D770" s="371" t="s">
        <v>2205</v>
      </c>
    </row>
    <row r="771" ht="15.75" customHeight="1">
      <c r="B771" s="371" t="s">
        <v>8044</v>
      </c>
      <c r="C771" s="371" t="s">
        <v>8045</v>
      </c>
      <c r="D771" s="371" t="s">
        <v>2205</v>
      </c>
    </row>
    <row r="772" ht="15.75" customHeight="1">
      <c r="B772" s="371" t="s">
        <v>8046</v>
      </c>
      <c r="C772" s="371" t="s">
        <v>7213</v>
      </c>
      <c r="D772" s="371" t="s">
        <v>2205</v>
      </c>
    </row>
    <row r="773" ht="15.75" customHeight="1">
      <c r="B773" s="371" t="s">
        <v>8047</v>
      </c>
      <c r="C773" s="371" t="s">
        <v>8048</v>
      </c>
      <c r="D773" s="371" t="s">
        <v>2205</v>
      </c>
    </row>
    <row r="774" ht="15.75" customHeight="1">
      <c r="B774" s="371" t="s">
        <v>8049</v>
      </c>
      <c r="C774" s="371" t="s">
        <v>7877</v>
      </c>
      <c r="D774" s="371" t="s">
        <v>2205</v>
      </c>
    </row>
    <row r="775" ht="15.75" customHeight="1">
      <c r="B775" s="371" t="s">
        <v>8050</v>
      </c>
      <c r="C775" s="371" t="s">
        <v>7868</v>
      </c>
      <c r="D775" s="371" t="s">
        <v>2205</v>
      </c>
    </row>
    <row r="776" ht="15.75" customHeight="1">
      <c r="B776" s="371" t="s">
        <v>6791</v>
      </c>
      <c r="C776" s="371" t="s">
        <v>7475</v>
      </c>
      <c r="D776" s="371" t="s">
        <v>2205</v>
      </c>
    </row>
    <row r="777" ht="15.75" customHeight="1">
      <c r="B777" s="371" t="s">
        <v>6795</v>
      </c>
      <c r="C777" s="371" t="s">
        <v>7477</v>
      </c>
      <c r="D777" s="371" t="s">
        <v>2205</v>
      </c>
    </row>
    <row r="778" ht="15.75" customHeight="1">
      <c r="B778" s="371" t="s">
        <v>8051</v>
      </c>
      <c r="C778" s="371" t="s">
        <v>8052</v>
      </c>
      <c r="D778" s="371" t="s">
        <v>2205</v>
      </c>
    </row>
    <row r="779" ht="15.75" customHeight="1">
      <c r="B779" s="371" t="s">
        <v>8053</v>
      </c>
      <c r="C779" s="371" t="s">
        <v>8054</v>
      </c>
      <c r="D779" s="371" t="s">
        <v>2205</v>
      </c>
    </row>
    <row r="780" ht="15.75" customHeight="1">
      <c r="B780" s="371" t="s">
        <v>8055</v>
      </c>
      <c r="C780" s="371" t="s">
        <v>8056</v>
      </c>
      <c r="D780" s="371" t="s">
        <v>2205</v>
      </c>
    </row>
    <row r="781" ht="15.75" customHeight="1">
      <c r="B781" s="371" t="s">
        <v>8057</v>
      </c>
      <c r="C781" s="371" t="s">
        <v>8058</v>
      </c>
      <c r="D781" s="371" t="s">
        <v>2205</v>
      </c>
    </row>
    <row r="782" ht="15.75" customHeight="1">
      <c r="B782" s="371" t="s">
        <v>8059</v>
      </c>
      <c r="C782" s="371" t="s">
        <v>8060</v>
      </c>
      <c r="D782" s="371" t="s">
        <v>2205</v>
      </c>
    </row>
    <row r="783" ht="15.75" customHeight="1">
      <c r="B783" s="371" t="s">
        <v>8061</v>
      </c>
      <c r="C783" s="371" t="s">
        <v>8062</v>
      </c>
      <c r="D783" s="371" t="s">
        <v>2205</v>
      </c>
    </row>
    <row r="784" ht="15.75" customHeight="1">
      <c r="B784" s="371" t="s">
        <v>955</v>
      </c>
      <c r="C784" s="371" t="s">
        <v>8063</v>
      </c>
      <c r="D784" s="371" t="s">
        <v>2139</v>
      </c>
    </row>
    <row r="785" ht="15.75" customHeight="1">
      <c r="B785" s="371" t="s">
        <v>1630</v>
      </c>
      <c r="C785" s="371" t="s">
        <v>8064</v>
      </c>
      <c r="D785" s="371" t="s">
        <v>2205</v>
      </c>
    </row>
    <row r="786" ht="15.75" customHeight="1">
      <c r="B786" s="371" t="s">
        <v>1632</v>
      </c>
      <c r="C786" s="371" t="s">
        <v>8065</v>
      </c>
      <c r="D786" s="371" t="s">
        <v>2205</v>
      </c>
    </row>
    <row r="787" ht="15.75" customHeight="1">
      <c r="B787" s="371" t="s">
        <v>1639</v>
      </c>
      <c r="C787" s="371" t="s">
        <v>8064</v>
      </c>
      <c r="D787" s="371" t="s">
        <v>2205</v>
      </c>
    </row>
    <row r="788" ht="15.75" customHeight="1">
      <c r="B788" s="371" t="s">
        <v>8066</v>
      </c>
      <c r="C788" s="371" t="s">
        <v>7213</v>
      </c>
      <c r="D788" s="371" t="s">
        <v>2205</v>
      </c>
    </row>
    <row r="789" ht="15.75" customHeight="1">
      <c r="B789" s="371" t="s">
        <v>8067</v>
      </c>
      <c r="C789" s="371" t="s">
        <v>8068</v>
      </c>
      <c r="D789" s="371" t="s">
        <v>2139</v>
      </c>
    </row>
    <row r="790" ht="15.75" customHeight="1">
      <c r="B790" s="371" t="s">
        <v>8069</v>
      </c>
      <c r="C790" s="371" t="s">
        <v>8068</v>
      </c>
      <c r="D790" s="371" t="s">
        <v>2139</v>
      </c>
    </row>
    <row r="791" ht="15.75" customHeight="1">
      <c r="B791" s="371" t="s">
        <v>8070</v>
      </c>
      <c r="C791" s="371" t="s">
        <v>8068</v>
      </c>
      <c r="D791" s="371" t="s">
        <v>2139</v>
      </c>
    </row>
    <row r="792" ht="15.75" customHeight="1">
      <c r="B792" s="371" t="s">
        <v>8071</v>
      </c>
      <c r="C792" s="371" t="s">
        <v>8068</v>
      </c>
      <c r="D792" s="371" t="s">
        <v>2205</v>
      </c>
    </row>
    <row r="793" ht="15.75" customHeight="1">
      <c r="B793" s="371" t="s">
        <v>8072</v>
      </c>
      <c r="C793" s="371" t="s">
        <v>8063</v>
      </c>
      <c r="D793" s="371" t="s">
        <v>2205</v>
      </c>
    </row>
    <row r="794" ht="15.75" customHeight="1">
      <c r="B794" s="371" t="s">
        <v>8073</v>
      </c>
      <c r="C794" s="373"/>
      <c r="D794" s="371" t="s">
        <v>2205</v>
      </c>
    </row>
    <row r="795" ht="15.75" customHeight="1">
      <c r="B795" s="371" t="s">
        <v>8074</v>
      </c>
      <c r="C795" s="371" t="s">
        <v>8075</v>
      </c>
      <c r="D795" s="371" t="s">
        <v>2205</v>
      </c>
    </row>
    <row r="796" ht="15.75" customHeight="1">
      <c r="B796" s="371" t="s">
        <v>7126</v>
      </c>
      <c r="C796" s="371" t="s">
        <v>8076</v>
      </c>
      <c r="D796" s="371" t="s">
        <v>2205</v>
      </c>
    </row>
    <row r="797" ht="15.75" customHeight="1">
      <c r="B797" s="371" t="s">
        <v>8077</v>
      </c>
      <c r="C797" s="371" t="s">
        <v>8063</v>
      </c>
      <c r="D797" s="371" t="s">
        <v>2139</v>
      </c>
    </row>
    <row r="798" ht="15.75" customHeight="1">
      <c r="B798" s="371" t="s">
        <v>8078</v>
      </c>
      <c r="C798" s="371" t="s">
        <v>8079</v>
      </c>
      <c r="D798" s="371" t="s">
        <v>2205</v>
      </c>
    </row>
    <row r="799" ht="15.75" customHeight="1">
      <c r="B799" s="371" t="s">
        <v>8080</v>
      </c>
      <c r="C799" s="371" t="s">
        <v>8081</v>
      </c>
      <c r="D799" s="371" t="s">
        <v>2205</v>
      </c>
    </row>
    <row r="800" ht="15.75" customHeight="1">
      <c r="B800" s="371" t="s">
        <v>7130</v>
      </c>
      <c r="C800" s="371" t="s">
        <v>8081</v>
      </c>
      <c r="D800" s="371" t="s">
        <v>2205</v>
      </c>
    </row>
    <row r="801" ht="15.75" customHeight="1">
      <c r="B801" s="371" t="s">
        <v>7134</v>
      </c>
      <c r="C801" s="371" t="s">
        <v>8076</v>
      </c>
      <c r="D801" s="371" t="s">
        <v>2205</v>
      </c>
    </row>
    <row r="802" ht="15.75" customHeight="1">
      <c r="B802" s="371" t="s">
        <v>7138</v>
      </c>
      <c r="C802" s="371" t="s">
        <v>8081</v>
      </c>
      <c r="D802" s="371" t="s">
        <v>2139</v>
      </c>
    </row>
    <row r="803" ht="15.75" customHeight="1">
      <c r="B803" s="371" t="s">
        <v>8082</v>
      </c>
      <c r="C803" s="371" t="s">
        <v>8081</v>
      </c>
      <c r="D803" s="371" t="s">
        <v>2205</v>
      </c>
    </row>
    <row r="804" ht="15.75" customHeight="1">
      <c r="B804" s="371" t="s">
        <v>8083</v>
      </c>
      <c r="C804" s="371" t="s">
        <v>8084</v>
      </c>
      <c r="D804" s="371" t="s">
        <v>2205</v>
      </c>
    </row>
    <row r="805" ht="15.75" customHeight="1">
      <c r="B805" s="371" t="s">
        <v>8085</v>
      </c>
      <c r="C805" s="371" t="s">
        <v>8086</v>
      </c>
      <c r="D805" s="371" t="s">
        <v>2139</v>
      </c>
    </row>
    <row r="806" ht="15.75" customHeight="1">
      <c r="B806" s="371" t="s">
        <v>7144</v>
      </c>
      <c r="C806" s="371" t="s">
        <v>8086</v>
      </c>
      <c r="D806" s="371" t="s">
        <v>2205</v>
      </c>
    </row>
    <row r="807" ht="15.75" customHeight="1">
      <c r="B807" s="371" t="s">
        <v>8087</v>
      </c>
      <c r="C807" s="371" t="s">
        <v>8086</v>
      </c>
      <c r="D807" s="371" t="s">
        <v>2139</v>
      </c>
    </row>
    <row r="808" ht="15.75" customHeight="1">
      <c r="B808" s="371" t="s">
        <v>7147</v>
      </c>
      <c r="C808" s="371" t="s">
        <v>8086</v>
      </c>
      <c r="D808" s="371" t="s">
        <v>2139</v>
      </c>
    </row>
    <row r="809" ht="15.75" customHeight="1">
      <c r="B809" s="371" t="s">
        <v>7150</v>
      </c>
      <c r="C809" s="371" t="s">
        <v>8086</v>
      </c>
      <c r="D809" s="371" t="s">
        <v>2205</v>
      </c>
    </row>
    <row r="810" ht="15.75" customHeight="1">
      <c r="B810" s="371" t="s">
        <v>7153</v>
      </c>
      <c r="C810" s="371" t="s">
        <v>8086</v>
      </c>
      <c r="D810" s="371" t="s">
        <v>2139</v>
      </c>
    </row>
    <row r="811" ht="15.75" customHeight="1">
      <c r="B811" s="371" t="s">
        <v>7156</v>
      </c>
      <c r="C811" s="371" t="s">
        <v>8086</v>
      </c>
      <c r="D811" s="371" t="s">
        <v>2205</v>
      </c>
    </row>
    <row r="812" ht="15.75" customHeight="1">
      <c r="B812" s="371" t="s">
        <v>8088</v>
      </c>
      <c r="C812" s="371" t="s">
        <v>8089</v>
      </c>
      <c r="D812" s="371" t="s">
        <v>2139</v>
      </c>
    </row>
    <row r="813" ht="15.75" customHeight="1">
      <c r="B813" s="371" t="s">
        <v>7105</v>
      </c>
      <c r="C813" s="371" t="s">
        <v>8086</v>
      </c>
      <c r="D813" s="371" t="s">
        <v>2139</v>
      </c>
    </row>
    <row r="814" ht="15.75" customHeight="1">
      <c r="B814" s="371" t="s">
        <v>7109</v>
      </c>
      <c r="C814" s="371" t="s">
        <v>8086</v>
      </c>
      <c r="D814" s="371" t="s">
        <v>2139</v>
      </c>
    </row>
    <row r="815" ht="15.75" customHeight="1">
      <c r="B815" s="371" t="s">
        <v>7084</v>
      </c>
      <c r="C815" s="371" t="s">
        <v>8090</v>
      </c>
      <c r="D815" s="371" t="s">
        <v>2139</v>
      </c>
    </row>
    <row r="816" ht="15.75" customHeight="1">
      <c r="B816" s="371" t="s">
        <v>7088</v>
      </c>
      <c r="C816" s="371" t="s">
        <v>8086</v>
      </c>
      <c r="D816" s="371" t="s">
        <v>2139</v>
      </c>
    </row>
    <row r="817" ht="15.75" customHeight="1">
      <c r="B817" s="371" t="s">
        <v>8091</v>
      </c>
      <c r="C817" s="371" t="s">
        <v>8090</v>
      </c>
      <c r="D817" s="371" t="s">
        <v>2139</v>
      </c>
    </row>
    <row r="818" ht="15.75" customHeight="1">
      <c r="B818" s="371" t="s">
        <v>7094</v>
      </c>
      <c r="C818" s="371" t="s">
        <v>8090</v>
      </c>
      <c r="D818" s="371" t="s">
        <v>2139</v>
      </c>
    </row>
    <row r="819" ht="15.75" customHeight="1">
      <c r="B819" s="371" t="s">
        <v>7095</v>
      </c>
      <c r="C819" s="371" t="s">
        <v>8086</v>
      </c>
      <c r="D819" s="371" t="s">
        <v>2205</v>
      </c>
    </row>
    <row r="820" ht="15.75" customHeight="1">
      <c r="B820" s="371" t="s">
        <v>8092</v>
      </c>
      <c r="C820" s="371" t="s">
        <v>8086</v>
      </c>
      <c r="D820" s="371" t="s">
        <v>2139</v>
      </c>
    </row>
    <row r="821" ht="15.75" customHeight="1">
      <c r="B821" s="371" t="s">
        <v>7101</v>
      </c>
      <c r="C821" s="371" t="s">
        <v>8086</v>
      </c>
      <c r="D821" s="371" t="s">
        <v>2139</v>
      </c>
    </row>
    <row r="822" ht="15.75" customHeight="1">
      <c r="B822" s="371" t="s">
        <v>8093</v>
      </c>
      <c r="C822" s="371" t="s">
        <v>8086</v>
      </c>
      <c r="D822" s="371" t="s">
        <v>2139</v>
      </c>
    </row>
    <row r="823" ht="15.75" customHeight="1">
      <c r="B823" s="371" t="s">
        <v>7099</v>
      </c>
      <c r="C823" s="371" t="s">
        <v>8086</v>
      </c>
      <c r="D823" s="371" t="s">
        <v>2205</v>
      </c>
    </row>
    <row r="824" ht="15.75" customHeight="1">
      <c r="B824" s="371" t="s">
        <v>8094</v>
      </c>
      <c r="C824" s="371" t="s">
        <v>8086</v>
      </c>
      <c r="D824" s="371" t="s">
        <v>2139</v>
      </c>
    </row>
    <row r="825" ht="15.75" customHeight="1">
      <c r="B825" s="371" t="s">
        <v>7160</v>
      </c>
      <c r="C825" s="371" t="s">
        <v>8086</v>
      </c>
      <c r="D825" s="371" t="s">
        <v>2139</v>
      </c>
    </row>
    <row r="826" ht="15.75" customHeight="1">
      <c r="B826" s="371" t="s">
        <v>7163</v>
      </c>
      <c r="C826" s="371" t="s">
        <v>8086</v>
      </c>
      <c r="D826" s="371" t="s">
        <v>2139</v>
      </c>
    </row>
    <row r="827" ht="15.75" customHeight="1">
      <c r="B827" s="371" t="s">
        <v>7075</v>
      </c>
      <c r="C827" s="371" t="s">
        <v>8095</v>
      </c>
      <c r="D827" s="371" t="s">
        <v>2205</v>
      </c>
    </row>
    <row r="828" ht="15.75" customHeight="1">
      <c r="B828" s="371" t="s">
        <v>7079</v>
      </c>
      <c r="C828" s="371" t="s">
        <v>8095</v>
      </c>
      <c r="D828" s="371" t="s">
        <v>2139</v>
      </c>
    </row>
    <row r="829" ht="15.75" customHeight="1">
      <c r="B829" s="371" t="s">
        <v>7059</v>
      </c>
      <c r="C829" s="371" t="s">
        <v>8086</v>
      </c>
      <c r="D829" s="371" t="s">
        <v>2139</v>
      </c>
    </row>
    <row r="830" ht="15.75" customHeight="1">
      <c r="B830" s="371" t="s">
        <v>7055</v>
      </c>
      <c r="C830" s="371" t="s">
        <v>8086</v>
      </c>
      <c r="D830" s="371" t="s">
        <v>2139</v>
      </c>
    </row>
    <row r="831" ht="15.75" customHeight="1">
      <c r="B831" s="371" t="s">
        <v>8096</v>
      </c>
      <c r="C831" s="371" t="s">
        <v>8086</v>
      </c>
      <c r="D831" s="371" t="s">
        <v>2139</v>
      </c>
    </row>
    <row r="832" ht="15.75" customHeight="1">
      <c r="B832" s="371" t="s">
        <v>7063</v>
      </c>
      <c r="C832" s="371" t="s">
        <v>8095</v>
      </c>
      <c r="D832" s="371" t="s">
        <v>2205</v>
      </c>
    </row>
    <row r="833" ht="15.75" customHeight="1">
      <c r="B833" s="371" t="s">
        <v>7067</v>
      </c>
      <c r="C833" s="371" t="s">
        <v>8095</v>
      </c>
      <c r="D833" s="371" t="s">
        <v>2205</v>
      </c>
    </row>
    <row r="834" ht="15.75" customHeight="1">
      <c r="B834" s="371" t="s">
        <v>8097</v>
      </c>
      <c r="C834" s="371" t="s">
        <v>8086</v>
      </c>
      <c r="D834" s="371" t="s">
        <v>2139</v>
      </c>
    </row>
    <row r="835" ht="15.75" customHeight="1">
      <c r="B835" s="371" t="s">
        <v>7071</v>
      </c>
      <c r="C835" s="371" t="s">
        <v>8095</v>
      </c>
      <c r="D835" s="371" t="s">
        <v>2205</v>
      </c>
    </row>
    <row r="836" ht="15.75" customHeight="1">
      <c r="B836" s="371" t="s">
        <v>8098</v>
      </c>
      <c r="C836" s="371" t="s">
        <v>8086</v>
      </c>
      <c r="D836" s="371" t="s">
        <v>2139</v>
      </c>
    </row>
    <row r="837" ht="15.75" customHeight="1">
      <c r="B837" s="371" t="s">
        <v>2696</v>
      </c>
      <c r="C837" s="371" t="s">
        <v>8099</v>
      </c>
      <c r="D837" s="371" t="s">
        <v>2139</v>
      </c>
    </row>
    <row r="838" ht="15.75" customHeight="1">
      <c r="B838" s="371" t="s">
        <v>2692</v>
      </c>
      <c r="C838" s="371" t="s">
        <v>8099</v>
      </c>
      <c r="D838" s="371" t="s">
        <v>2139</v>
      </c>
    </row>
    <row r="839" ht="15.75" customHeight="1">
      <c r="B839" s="371" t="s">
        <v>2700</v>
      </c>
      <c r="C839" s="371" t="s">
        <v>8099</v>
      </c>
      <c r="D839" s="371" t="s">
        <v>2139</v>
      </c>
    </row>
    <row r="840" ht="15.75" customHeight="1">
      <c r="B840" s="371" t="s">
        <v>8100</v>
      </c>
      <c r="C840" s="371" t="s">
        <v>7199</v>
      </c>
      <c r="D840" s="371" t="s">
        <v>2205</v>
      </c>
    </row>
    <row r="841" ht="15.75" customHeight="1">
      <c r="B841" s="371" t="s">
        <v>8101</v>
      </c>
      <c r="C841" s="371" t="s">
        <v>7199</v>
      </c>
      <c r="D841" s="371" t="s">
        <v>2205</v>
      </c>
    </row>
    <row r="842" ht="15.75" customHeight="1">
      <c r="B842" s="371" t="s">
        <v>8102</v>
      </c>
      <c r="C842" s="371" t="s">
        <v>7199</v>
      </c>
      <c r="D842" s="371" t="s">
        <v>2205</v>
      </c>
    </row>
    <row r="843" ht="15.75" customHeight="1">
      <c r="B843" s="371" t="s">
        <v>8103</v>
      </c>
      <c r="C843" s="373"/>
      <c r="D843" s="371" t="s">
        <v>2205</v>
      </c>
    </row>
    <row r="844" ht="15.75" customHeight="1">
      <c r="B844" s="371" t="s">
        <v>8104</v>
      </c>
      <c r="C844" s="371" t="s">
        <v>8105</v>
      </c>
      <c r="D844" s="371" t="s">
        <v>2205</v>
      </c>
    </row>
    <row r="845" ht="15.75" customHeight="1">
      <c r="B845" s="371" t="s">
        <v>5342</v>
      </c>
      <c r="C845" s="371" t="s">
        <v>8106</v>
      </c>
      <c r="D845" s="371" t="s">
        <v>2139</v>
      </c>
    </row>
    <row r="846" ht="15.75" customHeight="1">
      <c r="B846" s="371" t="s">
        <v>8107</v>
      </c>
      <c r="C846" s="371" t="s">
        <v>7213</v>
      </c>
      <c r="D846" s="371" t="s">
        <v>2205</v>
      </c>
    </row>
    <row r="847" ht="15.75" customHeight="1">
      <c r="B847" s="371" t="s">
        <v>2929</v>
      </c>
      <c r="C847" s="371" t="s">
        <v>8108</v>
      </c>
      <c r="D847" s="371" t="s">
        <v>2205</v>
      </c>
    </row>
    <row r="848" ht="15.75" customHeight="1">
      <c r="B848" s="371" t="s">
        <v>8109</v>
      </c>
      <c r="C848" s="371" t="s">
        <v>8110</v>
      </c>
      <c r="D848" s="371" t="s">
        <v>2205</v>
      </c>
    </row>
    <row r="849" ht="15.75" customHeight="1">
      <c r="B849" s="371" t="s">
        <v>3315</v>
      </c>
      <c r="C849" s="371" t="s">
        <v>7271</v>
      </c>
      <c r="D849" s="371" t="s">
        <v>2205</v>
      </c>
    </row>
    <row r="850" ht="15.75" customHeight="1">
      <c r="B850" s="371" t="s">
        <v>3319</v>
      </c>
      <c r="C850" s="371" t="s">
        <v>7271</v>
      </c>
      <c r="D850" s="371" t="s">
        <v>2205</v>
      </c>
    </row>
    <row r="851" ht="15.75" customHeight="1">
      <c r="B851" s="371" t="s">
        <v>3323</v>
      </c>
      <c r="C851" s="371" t="s">
        <v>7271</v>
      </c>
      <c r="D851" s="371" t="s">
        <v>2205</v>
      </c>
    </row>
    <row r="852" ht="15.75" customHeight="1">
      <c r="B852" s="371" t="s">
        <v>3333</v>
      </c>
      <c r="C852" s="371" t="s">
        <v>7271</v>
      </c>
      <c r="D852" s="371" t="s">
        <v>2205</v>
      </c>
    </row>
    <row r="853" ht="15.75" customHeight="1">
      <c r="B853" s="371" t="s">
        <v>3325</v>
      </c>
      <c r="C853" s="371" t="s">
        <v>7271</v>
      </c>
      <c r="D853" s="371" t="s">
        <v>2205</v>
      </c>
    </row>
    <row r="854" ht="15.75" customHeight="1">
      <c r="B854" s="371" t="s">
        <v>3327</v>
      </c>
      <c r="C854" s="371" t="s">
        <v>7271</v>
      </c>
      <c r="D854" s="371" t="s">
        <v>2205</v>
      </c>
    </row>
    <row r="855" ht="15.75" customHeight="1">
      <c r="B855" s="371" t="s">
        <v>3329</v>
      </c>
      <c r="C855" s="371" t="s">
        <v>7271</v>
      </c>
      <c r="D855" s="371" t="s">
        <v>2205</v>
      </c>
    </row>
    <row r="856" ht="15.75" customHeight="1">
      <c r="B856" s="371" t="s">
        <v>3331</v>
      </c>
      <c r="C856" s="371" t="s">
        <v>7271</v>
      </c>
      <c r="D856" s="371" t="s">
        <v>2205</v>
      </c>
    </row>
    <row r="857" ht="15.75" customHeight="1">
      <c r="B857" s="371" t="s">
        <v>3335</v>
      </c>
      <c r="C857" s="371" t="s">
        <v>8111</v>
      </c>
      <c r="D857" s="371" t="s">
        <v>2205</v>
      </c>
    </row>
    <row r="858" ht="15.75" customHeight="1">
      <c r="B858" s="371" t="s">
        <v>3347</v>
      </c>
      <c r="C858" s="371" t="s">
        <v>8111</v>
      </c>
      <c r="D858" s="371" t="s">
        <v>2205</v>
      </c>
    </row>
    <row r="859" ht="15.75" customHeight="1">
      <c r="B859" s="371" t="s">
        <v>3339</v>
      </c>
      <c r="C859" s="371" t="s">
        <v>8111</v>
      </c>
      <c r="D859" s="371" t="s">
        <v>2205</v>
      </c>
    </row>
    <row r="860" ht="15.75" customHeight="1">
      <c r="B860" s="371" t="s">
        <v>3349</v>
      </c>
      <c r="C860" s="371" t="s">
        <v>8111</v>
      </c>
      <c r="D860" s="371" t="s">
        <v>2205</v>
      </c>
    </row>
    <row r="861" ht="15.75" customHeight="1">
      <c r="B861" s="371" t="s">
        <v>7046</v>
      </c>
      <c r="C861" s="371" t="s">
        <v>8086</v>
      </c>
      <c r="D861" s="371" t="s">
        <v>2205</v>
      </c>
    </row>
    <row r="862" ht="15.75" customHeight="1">
      <c r="B862" s="371" t="s">
        <v>7050</v>
      </c>
      <c r="C862" s="371" t="s">
        <v>8086</v>
      </c>
      <c r="D862" s="371" t="s">
        <v>2205</v>
      </c>
    </row>
    <row r="863" ht="15.75" customHeight="1">
      <c r="B863" s="371" t="s">
        <v>7040</v>
      </c>
      <c r="C863" s="371" t="s">
        <v>8086</v>
      </c>
      <c r="D863" s="371" t="s">
        <v>2205</v>
      </c>
    </row>
    <row r="864" ht="15.75" customHeight="1">
      <c r="B864" s="371" t="s">
        <v>7044</v>
      </c>
      <c r="C864" s="371" t="s">
        <v>8086</v>
      </c>
      <c r="D864" s="371" t="s">
        <v>2205</v>
      </c>
    </row>
    <row r="865" ht="15.75" customHeight="1">
      <c r="B865" s="371" t="s">
        <v>8112</v>
      </c>
      <c r="C865" s="371" t="s">
        <v>7324</v>
      </c>
      <c r="D865" s="371" t="s">
        <v>2205</v>
      </c>
    </row>
    <row r="866" ht="15.75" customHeight="1">
      <c r="B866" s="371" t="s">
        <v>8113</v>
      </c>
      <c r="C866" s="371" t="s">
        <v>7324</v>
      </c>
      <c r="D866" s="371" t="s">
        <v>2205</v>
      </c>
    </row>
    <row r="867" ht="15.75" customHeight="1">
      <c r="B867" s="371" t="s">
        <v>8114</v>
      </c>
      <c r="C867" s="371" t="s">
        <v>7324</v>
      </c>
      <c r="D867" s="371" t="s">
        <v>2205</v>
      </c>
    </row>
    <row r="868" ht="15.75" customHeight="1">
      <c r="B868" s="371" t="s">
        <v>8115</v>
      </c>
      <c r="C868" s="371" t="s">
        <v>7324</v>
      </c>
      <c r="D868" s="371" t="s">
        <v>2139</v>
      </c>
    </row>
    <row r="869" ht="15.75" customHeight="1">
      <c r="B869" s="371" t="s">
        <v>4427</v>
      </c>
      <c r="C869" s="371" t="s">
        <v>7416</v>
      </c>
      <c r="D869" s="371" t="s">
        <v>2139</v>
      </c>
    </row>
    <row r="870" ht="15.75" customHeight="1">
      <c r="B870" s="371" t="s">
        <v>4423</v>
      </c>
      <c r="C870" s="371" t="s">
        <v>7480</v>
      </c>
      <c r="D870" s="371" t="s">
        <v>2205</v>
      </c>
    </row>
    <row r="871" ht="15.75" customHeight="1">
      <c r="B871" s="371" t="s">
        <v>4432</v>
      </c>
      <c r="C871" s="371" t="s">
        <v>8116</v>
      </c>
      <c r="D871" s="371" t="s">
        <v>2139</v>
      </c>
    </row>
    <row r="872" ht="15.75" customHeight="1">
      <c r="B872" s="371" t="s">
        <v>4436</v>
      </c>
      <c r="C872" s="371" t="s">
        <v>8116</v>
      </c>
      <c r="D872" s="371" t="s">
        <v>2205</v>
      </c>
    </row>
    <row r="873" ht="15.75" customHeight="1">
      <c r="B873" s="371" t="s">
        <v>4640</v>
      </c>
      <c r="C873" s="371" t="s">
        <v>8117</v>
      </c>
      <c r="D873" s="371" t="s">
        <v>2139</v>
      </c>
    </row>
    <row r="874" ht="15.75" customHeight="1">
      <c r="B874" s="371" t="s">
        <v>4641</v>
      </c>
      <c r="C874" s="371" t="s">
        <v>8117</v>
      </c>
      <c r="D874" s="371" t="s">
        <v>2205</v>
      </c>
    </row>
    <row r="875" ht="15.75" customHeight="1">
      <c r="B875" s="371" t="s">
        <v>4642</v>
      </c>
      <c r="C875" s="371" t="s">
        <v>8117</v>
      </c>
      <c r="D875" s="371" t="s">
        <v>2205</v>
      </c>
    </row>
    <row r="876" ht="15.75" customHeight="1">
      <c r="B876" s="371" t="s">
        <v>4646</v>
      </c>
      <c r="C876" s="371" t="s">
        <v>8117</v>
      </c>
      <c r="D876" s="371" t="s">
        <v>2139</v>
      </c>
    </row>
    <row r="877" ht="15.75" customHeight="1">
      <c r="B877" s="371" t="s">
        <v>4649</v>
      </c>
      <c r="C877" s="371" t="s">
        <v>8117</v>
      </c>
      <c r="D877" s="371" t="s">
        <v>2139</v>
      </c>
    </row>
    <row r="878" ht="15.75" customHeight="1">
      <c r="B878" s="371" t="s">
        <v>4652</v>
      </c>
      <c r="C878" s="371" t="s">
        <v>8117</v>
      </c>
      <c r="D878" s="371" t="s">
        <v>2205</v>
      </c>
    </row>
    <row r="879" ht="15.75" customHeight="1">
      <c r="B879" s="371" t="s">
        <v>4655</v>
      </c>
      <c r="C879" s="371" t="s">
        <v>8118</v>
      </c>
      <c r="D879" s="371" t="s">
        <v>2205</v>
      </c>
    </row>
    <row r="880" ht="15.75" customHeight="1">
      <c r="B880" s="371" t="s">
        <v>8119</v>
      </c>
      <c r="C880" s="371" t="s">
        <v>7532</v>
      </c>
      <c r="D880" s="371" t="s">
        <v>2205</v>
      </c>
    </row>
    <row r="881" ht="15.75" customHeight="1">
      <c r="B881" s="371" t="s">
        <v>8120</v>
      </c>
      <c r="C881" s="371" t="s">
        <v>8118</v>
      </c>
      <c r="D881" s="371" t="s">
        <v>2205</v>
      </c>
    </row>
    <row r="882" ht="15.75" customHeight="1">
      <c r="B882" s="371" t="s">
        <v>7116</v>
      </c>
      <c r="C882" s="371" t="s">
        <v>8086</v>
      </c>
      <c r="D882" s="371" t="s">
        <v>2139</v>
      </c>
    </row>
    <row r="883" ht="15.75" customHeight="1">
      <c r="B883" s="371" t="s">
        <v>8121</v>
      </c>
      <c r="C883" s="371" t="s">
        <v>8086</v>
      </c>
      <c r="D883" s="371" t="s">
        <v>2205</v>
      </c>
    </row>
    <row r="884" ht="15.75" customHeight="1">
      <c r="B884" s="371" t="s">
        <v>7120</v>
      </c>
      <c r="C884" s="371" t="s">
        <v>8086</v>
      </c>
      <c r="D884" s="371" t="s">
        <v>2205</v>
      </c>
    </row>
    <row r="885" ht="15.75" customHeight="1">
      <c r="B885" s="371" t="s">
        <v>7112</v>
      </c>
      <c r="C885" s="371" t="s">
        <v>8086</v>
      </c>
      <c r="D885" s="371" t="s">
        <v>2205</v>
      </c>
    </row>
    <row r="886" ht="15.75" customHeight="1">
      <c r="B886" s="371" t="s">
        <v>8122</v>
      </c>
      <c r="C886" s="371" t="s">
        <v>8086</v>
      </c>
      <c r="D886" s="371" t="s">
        <v>2139</v>
      </c>
    </row>
    <row r="887" ht="15.75" customHeight="1">
      <c r="B887" s="371" t="s">
        <v>8123</v>
      </c>
      <c r="C887" s="371" t="s">
        <v>8086</v>
      </c>
      <c r="D887" s="371" t="s">
        <v>2205</v>
      </c>
    </row>
    <row r="888" ht="15.75" customHeight="1">
      <c r="B888" s="371" t="s">
        <v>3035</v>
      </c>
      <c r="C888" s="371" t="s">
        <v>7199</v>
      </c>
      <c r="D888" s="371" t="s">
        <v>2205</v>
      </c>
    </row>
    <row r="889" ht="15.75" customHeight="1">
      <c r="B889" s="371" t="s">
        <v>8124</v>
      </c>
      <c r="C889" s="371" t="s">
        <v>7348</v>
      </c>
      <c r="D889" s="371" t="s">
        <v>2205</v>
      </c>
    </row>
    <row r="890" ht="15.75" customHeight="1">
      <c r="B890" s="371" t="s">
        <v>8125</v>
      </c>
      <c r="C890" s="371" t="s">
        <v>7348</v>
      </c>
      <c r="D890" s="371" t="s">
        <v>2139</v>
      </c>
    </row>
    <row r="891" ht="15.75" customHeight="1">
      <c r="B891" s="371" t="s">
        <v>8126</v>
      </c>
      <c r="C891" s="371" t="s">
        <v>7348</v>
      </c>
      <c r="D891" s="371" t="s">
        <v>2205</v>
      </c>
    </row>
    <row r="892" ht="15.75" customHeight="1">
      <c r="B892" s="371" t="s">
        <v>8127</v>
      </c>
      <c r="C892" s="371" t="s">
        <v>7348</v>
      </c>
      <c r="D892" s="371" t="s">
        <v>2205</v>
      </c>
    </row>
    <row r="893" ht="15.75" customHeight="1">
      <c r="B893" s="371" t="s">
        <v>8128</v>
      </c>
      <c r="C893" s="371" t="s">
        <v>7348</v>
      </c>
      <c r="D893" s="371" t="s">
        <v>2205</v>
      </c>
    </row>
    <row r="894" ht="15.75" customHeight="1">
      <c r="B894" s="371" t="s">
        <v>8129</v>
      </c>
      <c r="C894" s="371" t="s">
        <v>7259</v>
      </c>
      <c r="D894" s="371" t="s">
        <v>2205</v>
      </c>
    </row>
    <row r="895" ht="15.75" customHeight="1">
      <c r="B895" s="371" t="s">
        <v>8130</v>
      </c>
      <c r="C895" s="371" t="s">
        <v>8131</v>
      </c>
      <c r="D895" s="371" t="s">
        <v>2205</v>
      </c>
    </row>
    <row r="896" ht="15.75" customHeight="1">
      <c r="B896" s="371" t="s">
        <v>8132</v>
      </c>
      <c r="C896" s="371" t="s">
        <v>8133</v>
      </c>
      <c r="D896" s="371" t="s">
        <v>2205</v>
      </c>
    </row>
    <row r="897" ht="15.75" customHeight="1">
      <c r="B897" s="371" t="s">
        <v>8134</v>
      </c>
      <c r="C897" s="371" t="s">
        <v>8135</v>
      </c>
      <c r="D897" s="371" t="s">
        <v>2205</v>
      </c>
    </row>
    <row r="898" ht="15.75" customHeight="1">
      <c r="B898" s="371" t="s">
        <v>4209</v>
      </c>
      <c r="C898" s="371" t="s">
        <v>8136</v>
      </c>
      <c r="D898" s="371" t="s">
        <v>2139</v>
      </c>
    </row>
    <row r="899" ht="15.75" customHeight="1">
      <c r="B899" s="371" t="s">
        <v>8137</v>
      </c>
      <c r="C899" s="371" t="s">
        <v>8138</v>
      </c>
      <c r="D899" s="371" t="s">
        <v>2205</v>
      </c>
    </row>
    <row r="900" ht="15.75" customHeight="1">
      <c r="B900" s="371" t="s">
        <v>8139</v>
      </c>
      <c r="C900" s="371" t="s">
        <v>8140</v>
      </c>
      <c r="D900" s="371" t="s">
        <v>2205</v>
      </c>
    </row>
    <row r="901" ht="15.75" customHeight="1">
      <c r="B901" s="371" t="s">
        <v>2543</v>
      </c>
      <c r="C901" s="371" t="s">
        <v>8141</v>
      </c>
      <c r="D901" s="371" t="s">
        <v>2205</v>
      </c>
    </row>
    <row r="902" ht="15.75" customHeight="1">
      <c r="B902" s="371" t="s">
        <v>36</v>
      </c>
      <c r="C902" s="371" t="s">
        <v>7523</v>
      </c>
      <c r="D902" s="371" t="s">
        <v>2139</v>
      </c>
    </row>
    <row r="903" ht="15.75" customHeight="1">
      <c r="B903" s="371" t="s">
        <v>39</v>
      </c>
      <c r="C903" s="371" t="s">
        <v>8142</v>
      </c>
      <c r="D903" s="371" t="s">
        <v>2139</v>
      </c>
    </row>
    <row r="904" ht="15.75" customHeight="1">
      <c r="B904" s="371" t="s">
        <v>8143</v>
      </c>
      <c r="C904" s="371" t="s">
        <v>8144</v>
      </c>
      <c r="D904" s="371" t="s">
        <v>2139</v>
      </c>
    </row>
    <row r="905" ht="15.75" customHeight="1">
      <c r="B905" s="371" t="s">
        <v>8145</v>
      </c>
      <c r="C905" s="371" t="s">
        <v>8146</v>
      </c>
      <c r="D905" s="371" t="s">
        <v>2139</v>
      </c>
    </row>
    <row r="906" ht="15.75" customHeight="1">
      <c r="B906" s="371" t="s">
        <v>8147</v>
      </c>
      <c r="C906" s="371" t="s">
        <v>8148</v>
      </c>
      <c r="D906" s="371" t="s">
        <v>2139</v>
      </c>
    </row>
    <row r="907" ht="15.75" customHeight="1">
      <c r="B907" s="371" t="s">
        <v>47</v>
      </c>
      <c r="C907" s="371" t="s">
        <v>8142</v>
      </c>
      <c r="D907" s="371" t="s">
        <v>2139</v>
      </c>
    </row>
    <row r="908" ht="15.75" customHeight="1">
      <c r="B908" s="371" t="s">
        <v>51</v>
      </c>
      <c r="C908" s="371" t="s">
        <v>8142</v>
      </c>
      <c r="D908" s="371" t="s">
        <v>2139</v>
      </c>
    </row>
    <row r="909" ht="15.75" customHeight="1">
      <c r="B909" s="371" t="s">
        <v>55</v>
      </c>
      <c r="C909" s="371" t="s">
        <v>7523</v>
      </c>
      <c r="D909" s="371" t="s">
        <v>2139</v>
      </c>
    </row>
    <row r="910" ht="15.75" customHeight="1">
      <c r="B910" s="371" t="s">
        <v>8149</v>
      </c>
      <c r="C910" s="371" t="s">
        <v>8142</v>
      </c>
      <c r="D910" s="371" t="s">
        <v>2205</v>
      </c>
    </row>
    <row r="911" ht="15.75" customHeight="1">
      <c r="B911" s="371" t="s">
        <v>8150</v>
      </c>
      <c r="C911" s="371" t="s">
        <v>8151</v>
      </c>
      <c r="D911" s="371" t="s">
        <v>2205</v>
      </c>
    </row>
    <row r="912" ht="15.75" customHeight="1">
      <c r="B912" s="371" t="s">
        <v>762</v>
      </c>
      <c r="C912" s="371" t="s">
        <v>7764</v>
      </c>
      <c r="D912" s="371" t="s">
        <v>2205</v>
      </c>
    </row>
    <row r="913" ht="15.75" customHeight="1">
      <c r="B913" s="371" t="s">
        <v>8152</v>
      </c>
      <c r="C913" s="371" t="s">
        <v>8153</v>
      </c>
      <c r="D913" s="371" t="s">
        <v>2205</v>
      </c>
    </row>
    <row r="914" ht="15.75" customHeight="1">
      <c r="B914" s="371" t="s">
        <v>8154</v>
      </c>
      <c r="C914" s="371" t="s">
        <v>8155</v>
      </c>
      <c r="D914" s="371" t="s">
        <v>2205</v>
      </c>
    </row>
    <row r="915" ht="15.75" customHeight="1">
      <c r="B915" s="371" t="s">
        <v>8156</v>
      </c>
      <c r="C915" s="371" t="s">
        <v>8157</v>
      </c>
      <c r="D915" s="371" t="s">
        <v>2205</v>
      </c>
    </row>
    <row r="916" ht="15.75" customHeight="1">
      <c r="B916" s="371" t="s">
        <v>8158</v>
      </c>
      <c r="C916" s="371" t="s">
        <v>8159</v>
      </c>
      <c r="D916" s="371" t="s">
        <v>2205</v>
      </c>
    </row>
    <row r="917" ht="15.75" customHeight="1">
      <c r="B917" s="371" t="s">
        <v>8160</v>
      </c>
      <c r="C917" s="371" t="s">
        <v>8161</v>
      </c>
      <c r="D917" s="371" t="s">
        <v>2205</v>
      </c>
    </row>
    <row r="918" ht="15.75" customHeight="1">
      <c r="B918" s="371" t="s">
        <v>8162</v>
      </c>
      <c r="C918" s="371" t="s">
        <v>8163</v>
      </c>
      <c r="D918" s="371" t="s">
        <v>2205</v>
      </c>
    </row>
    <row r="919" ht="15.75" customHeight="1">
      <c r="B919" s="371" t="s">
        <v>8164</v>
      </c>
      <c r="C919" s="371" t="s">
        <v>7523</v>
      </c>
      <c r="D919" s="371" t="s">
        <v>2205</v>
      </c>
    </row>
    <row r="920" ht="15.75" customHeight="1">
      <c r="B920" s="371" t="s">
        <v>8165</v>
      </c>
      <c r="C920" s="371" t="s">
        <v>8166</v>
      </c>
      <c r="D920" s="371" t="s">
        <v>2205</v>
      </c>
    </row>
    <row r="921" ht="15.75" customHeight="1">
      <c r="B921" s="371" t="s">
        <v>8167</v>
      </c>
      <c r="C921" s="371" t="s">
        <v>8166</v>
      </c>
      <c r="D921" s="371" t="s">
        <v>2205</v>
      </c>
    </row>
    <row r="922" ht="15.75" customHeight="1">
      <c r="B922" s="371" t="s">
        <v>7171</v>
      </c>
      <c r="C922" s="371" t="s">
        <v>8166</v>
      </c>
      <c r="D922" s="371" t="s">
        <v>2205</v>
      </c>
    </row>
    <row r="923" ht="15.75" customHeight="1">
      <c r="B923" s="371" t="s">
        <v>8168</v>
      </c>
      <c r="C923" s="371" t="s">
        <v>8169</v>
      </c>
      <c r="D923" s="371" t="s">
        <v>2205</v>
      </c>
    </row>
    <row r="924" ht="15.75" customHeight="1">
      <c r="B924" s="371" t="s">
        <v>8170</v>
      </c>
      <c r="C924" s="371" t="s">
        <v>7543</v>
      </c>
      <c r="D924" s="371" t="s">
        <v>2205</v>
      </c>
    </row>
    <row r="925" ht="15.75" customHeight="1">
      <c r="B925" s="371" t="s">
        <v>8171</v>
      </c>
      <c r="C925" s="371" t="s">
        <v>8166</v>
      </c>
      <c r="D925" s="371" t="s">
        <v>2205</v>
      </c>
    </row>
    <row r="926" ht="15.75" customHeight="1">
      <c r="B926" s="371" t="s">
        <v>8172</v>
      </c>
      <c r="C926" s="371" t="s">
        <v>8142</v>
      </c>
      <c r="D926" s="371" t="s">
        <v>2205</v>
      </c>
    </row>
    <row r="927" ht="15.75" customHeight="1">
      <c r="B927" s="371" t="s">
        <v>8173</v>
      </c>
      <c r="C927" s="371" t="s">
        <v>7523</v>
      </c>
      <c r="D927" s="371" t="s">
        <v>2205</v>
      </c>
    </row>
    <row r="928" ht="15.75" customHeight="1">
      <c r="B928" s="371" t="s">
        <v>8174</v>
      </c>
      <c r="C928" s="371" t="s">
        <v>7523</v>
      </c>
      <c r="D928" s="371" t="s">
        <v>2139</v>
      </c>
    </row>
    <row r="929" ht="15.75" customHeight="1">
      <c r="B929" s="371" t="s">
        <v>8175</v>
      </c>
      <c r="C929" s="371" t="s">
        <v>7523</v>
      </c>
      <c r="D929" s="371" t="s">
        <v>2205</v>
      </c>
    </row>
    <row r="930" ht="15.75" customHeight="1">
      <c r="B930" s="371" t="s">
        <v>8176</v>
      </c>
      <c r="C930" s="371" t="s">
        <v>7523</v>
      </c>
      <c r="D930" s="371" t="s">
        <v>2205</v>
      </c>
    </row>
    <row r="931" ht="15.75" customHeight="1">
      <c r="B931" s="371" t="s">
        <v>8177</v>
      </c>
      <c r="C931" s="371" t="s">
        <v>7523</v>
      </c>
      <c r="D931" s="371" t="s">
        <v>2139</v>
      </c>
    </row>
    <row r="932" ht="15.75" customHeight="1">
      <c r="B932" s="371" t="s">
        <v>7169</v>
      </c>
      <c r="C932" s="371" t="s">
        <v>8178</v>
      </c>
      <c r="D932" s="371" t="s">
        <v>2139</v>
      </c>
    </row>
    <row r="933" ht="15.75" customHeight="1">
      <c r="B933" s="371" t="s">
        <v>8179</v>
      </c>
      <c r="C933" s="371" t="s">
        <v>7523</v>
      </c>
      <c r="D933" s="371" t="s">
        <v>2205</v>
      </c>
    </row>
    <row r="934" ht="15.75" customHeight="1">
      <c r="B934" s="371" t="s">
        <v>8180</v>
      </c>
      <c r="C934" s="371" t="s">
        <v>7523</v>
      </c>
      <c r="D934" s="371" t="s">
        <v>2205</v>
      </c>
    </row>
    <row r="935" ht="15.75" customHeight="1">
      <c r="B935" s="371" t="s">
        <v>8181</v>
      </c>
      <c r="C935" s="371" t="s">
        <v>7523</v>
      </c>
      <c r="D935" s="371" t="s">
        <v>2205</v>
      </c>
    </row>
    <row r="936" ht="15.75" customHeight="1">
      <c r="B936" s="371" t="s">
        <v>8182</v>
      </c>
      <c r="C936" s="371" t="s">
        <v>7523</v>
      </c>
      <c r="D936" s="371" t="s">
        <v>2205</v>
      </c>
    </row>
    <row r="937" ht="15.75" customHeight="1">
      <c r="B937" s="371" t="s">
        <v>8183</v>
      </c>
      <c r="C937" s="371" t="s">
        <v>7523</v>
      </c>
      <c r="D937" s="371" t="s">
        <v>2205</v>
      </c>
    </row>
    <row r="938" ht="15.75" customHeight="1">
      <c r="B938" s="371" t="s">
        <v>8184</v>
      </c>
      <c r="C938" s="371" t="s">
        <v>7523</v>
      </c>
      <c r="D938" s="371" t="s">
        <v>2205</v>
      </c>
    </row>
    <row r="939" ht="15.75" customHeight="1">
      <c r="B939" s="371" t="s">
        <v>8185</v>
      </c>
      <c r="C939" s="371" t="s">
        <v>7523</v>
      </c>
      <c r="D939" s="371" t="s">
        <v>2205</v>
      </c>
    </row>
    <row r="940" ht="15.75" customHeight="1">
      <c r="B940" s="371" t="s">
        <v>8186</v>
      </c>
      <c r="C940" s="371" t="s">
        <v>7523</v>
      </c>
      <c r="D940" s="371" t="s">
        <v>2139</v>
      </c>
    </row>
    <row r="941" ht="15.75" customHeight="1">
      <c r="B941" s="371" t="s">
        <v>8187</v>
      </c>
      <c r="C941" s="371" t="s">
        <v>7523</v>
      </c>
      <c r="D941" s="371" t="s">
        <v>2205</v>
      </c>
    </row>
    <row r="942" ht="15.75" customHeight="1">
      <c r="B942" s="371" t="s">
        <v>8188</v>
      </c>
      <c r="C942" s="371" t="s">
        <v>7543</v>
      </c>
      <c r="D942" s="371" t="s">
        <v>2205</v>
      </c>
    </row>
    <row r="943" ht="15.75" customHeight="1">
      <c r="B943" s="371" t="s">
        <v>8189</v>
      </c>
      <c r="C943" s="371" t="s">
        <v>7543</v>
      </c>
      <c r="D943" s="371" t="s">
        <v>2205</v>
      </c>
    </row>
    <row r="944" ht="15.75" customHeight="1">
      <c r="B944" s="371" t="s">
        <v>8190</v>
      </c>
      <c r="C944" s="371" t="s">
        <v>7523</v>
      </c>
      <c r="D944" s="371" t="s">
        <v>2139</v>
      </c>
    </row>
    <row r="945" ht="15.75" customHeight="1">
      <c r="B945" s="371" t="s">
        <v>8191</v>
      </c>
      <c r="C945" s="371" t="s">
        <v>7523</v>
      </c>
      <c r="D945" s="371" t="s">
        <v>2205</v>
      </c>
    </row>
    <row r="946" ht="15.75" customHeight="1">
      <c r="B946" s="371" t="s">
        <v>8192</v>
      </c>
      <c r="C946" s="371" t="s">
        <v>7523</v>
      </c>
      <c r="D946" s="371" t="s">
        <v>2139</v>
      </c>
    </row>
    <row r="947" ht="15.75" customHeight="1">
      <c r="B947" s="371" t="s">
        <v>8193</v>
      </c>
      <c r="C947" s="371" t="s">
        <v>7523</v>
      </c>
      <c r="D947" s="371" t="s">
        <v>2205</v>
      </c>
    </row>
    <row r="948" ht="15.75" customHeight="1">
      <c r="B948" s="371" t="s">
        <v>8194</v>
      </c>
      <c r="C948" s="371" t="s">
        <v>8195</v>
      </c>
      <c r="D948" s="371" t="s">
        <v>2205</v>
      </c>
    </row>
    <row r="949" ht="15.75" customHeight="1">
      <c r="B949" s="371" t="s">
        <v>8196</v>
      </c>
      <c r="C949" s="371" t="s">
        <v>8197</v>
      </c>
      <c r="D949" s="371" t="s">
        <v>2205</v>
      </c>
    </row>
    <row r="950" ht="15.75" customHeight="1">
      <c r="B950" s="371" t="s">
        <v>8198</v>
      </c>
      <c r="C950" s="371" t="s">
        <v>7523</v>
      </c>
      <c r="D950" s="371" t="s">
        <v>2139</v>
      </c>
    </row>
    <row r="951" ht="15.75" customHeight="1">
      <c r="B951" s="371" t="s">
        <v>8199</v>
      </c>
      <c r="C951" s="371" t="s">
        <v>7523</v>
      </c>
      <c r="D951" s="371" t="s">
        <v>2205</v>
      </c>
    </row>
    <row r="952" ht="15.75" customHeight="1">
      <c r="B952" s="371" t="s">
        <v>8200</v>
      </c>
      <c r="C952" s="371" t="s">
        <v>8142</v>
      </c>
      <c r="D952" s="371" t="s">
        <v>2205</v>
      </c>
    </row>
    <row r="953" ht="15.75" customHeight="1">
      <c r="B953" s="371" t="s">
        <v>8201</v>
      </c>
      <c r="C953" s="371" t="s">
        <v>7523</v>
      </c>
      <c r="D953" s="371" t="s">
        <v>2139</v>
      </c>
    </row>
    <row r="954" ht="15.75" customHeight="1">
      <c r="B954" s="371" t="s">
        <v>8202</v>
      </c>
      <c r="C954" s="371" t="s">
        <v>8178</v>
      </c>
      <c r="D954" s="371" t="s">
        <v>2205</v>
      </c>
    </row>
    <row r="955" ht="15.75" customHeight="1">
      <c r="B955" s="371" t="s">
        <v>8203</v>
      </c>
      <c r="C955" s="371" t="s">
        <v>8178</v>
      </c>
      <c r="D955" s="371" t="s">
        <v>2205</v>
      </c>
    </row>
    <row r="956" ht="15.75" customHeight="1">
      <c r="B956" s="371" t="s">
        <v>8204</v>
      </c>
      <c r="C956" s="371" t="s">
        <v>7543</v>
      </c>
      <c r="D956" s="371" t="s">
        <v>2205</v>
      </c>
    </row>
    <row r="957" ht="15.75" customHeight="1">
      <c r="B957" s="371" t="s">
        <v>5732</v>
      </c>
      <c r="C957" s="371" t="s">
        <v>8205</v>
      </c>
      <c r="D957" s="371" t="s">
        <v>2139</v>
      </c>
    </row>
    <row r="958" ht="15.75" customHeight="1">
      <c r="B958" s="371" t="s">
        <v>8206</v>
      </c>
      <c r="C958" s="371" t="s">
        <v>8205</v>
      </c>
      <c r="D958" s="371" t="s">
        <v>2139</v>
      </c>
    </row>
    <row r="959" ht="15.75" customHeight="1">
      <c r="B959" s="371" t="s">
        <v>5743</v>
      </c>
      <c r="C959" s="371" t="s">
        <v>8205</v>
      </c>
      <c r="D959" s="371" t="s">
        <v>2205</v>
      </c>
    </row>
    <row r="960" ht="15.75" customHeight="1">
      <c r="B960" s="371" t="s">
        <v>5730</v>
      </c>
      <c r="C960" s="371" t="s">
        <v>8207</v>
      </c>
      <c r="D960" s="371" t="s">
        <v>2139</v>
      </c>
    </row>
    <row r="961" ht="15.75" customHeight="1">
      <c r="B961" s="371" t="s">
        <v>8208</v>
      </c>
      <c r="C961" s="371" t="s">
        <v>8209</v>
      </c>
      <c r="D961" s="371" t="s">
        <v>2205</v>
      </c>
    </row>
    <row r="962" ht="15.75" customHeight="1">
      <c r="B962" s="371" t="s">
        <v>8210</v>
      </c>
      <c r="C962" s="371" t="s">
        <v>7429</v>
      </c>
      <c r="D962" s="371" t="s">
        <v>2205</v>
      </c>
    </row>
    <row r="963" ht="15.75" customHeight="1">
      <c r="B963" s="371" t="s">
        <v>8211</v>
      </c>
      <c r="C963" s="371" t="s">
        <v>8212</v>
      </c>
      <c r="D963" s="371" t="s">
        <v>2139</v>
      </c>
    </row>
    <row r="964" ht="15.75" customHeight="1">
      <c r="B964" s="371" t="s">
        <v>8213</v>
      </c>
      <c r="C964" s="371" t="s">
        <v>8212</v>
      </c>
      <c r="D964" s="371" t="s">
        <v>2139</v>
      </c>
    </row>
    <row r="965" ht="15.75" customHeight="1">
      <c r="B965" s="371" t="s">
        <v>8214</v>
      </c>
      <c r="C965" s="371" t="s">
        <v>7429</v>
      </c>
      <c r="D965" s="371" t="s">
        <v>2139</v>
      </c>
    </row>
    <row r="966" ht="15.75" customHeight="1">
      <c r="B966" s="371" t="s">
        <v>8215</v>
      </c>
      <c r="C966" s="371" t="s">
        <v>7429</v>
      </c>
      <c r="D966" s="371" t="s">
        <v>2205</v>
      </c>
    </row>
    <row r="967" ht="15.75" customHeight="1">
      <c r="B967" s="371" t="s">
        <v>8216</v>
      </c>
      <c r="C967" s="371" t="s">
        <v>7429</v>
      </c>
      <c r="D967" s="371" t="s">
        <v>2205</v>
      </c>
    </row>
    <row r="968" ht="15.75" customHeight="1">
      <c r="B968" s="371" t="s">
        <v>8217</v>
      </c>
      <c r="C968" s="371" t="s">
        <v>7429</v>
      </c>
      <c r="D968" s="371" t="s">
        <v>2205</v>
      </c>
    </row>
    <row r="969" ht="15.75" customHeight="1">
      <c r="B969" s="371" t="s">
        <v>8218</v>
      </c>
      <c r="C969" s="371" t="s">
        <v>8219</v>
      </c>
      <c r="D969" s="371" t="s">
        <v>2205</v>
      </c>
    </row>
    <row r="970" ht="15.75" customHeight="1">
      <c r="B970" s="371" t="s">
        <v>8220</v>
      </c>
      <c r="C970" s="371" t="s">
        <v>8221</v>
      </c>
      <c r="D970" s="371" t="s">
        <v>2205</v>
      </c>
    </row>
    <row r="971" ht="15.75" customHeight="1">
      <c r="B971" s="371" t="s">
        <v>4517</v>
      </c>
      <c r="C971" s="371" t="s">
        <v>8222</v>
      </c>
      <c r="D971" s="371" t="s">
        <v>2205</v>
      </c>
    </row>
    <row r="972" ht="15.75" customHeight="1">
      <c r="B972" s="371" t="s">
        <v>8223</v>
      </c>
      <c r="C972" s="371" t="s">
        <v>7416</v>
      </c>
      <c r="D972" s="371" t="s">
        <v>2205</v>
      </c>
    </row>
    <row r="973" ht="15.75" customHeight="1">
      <c r="B973" s="371" t="s">
        <v>8224</v>
      </c>
      <c r="C973" s="371" t="s">
        <v>8225</v>
      </c>
      <c r="D973" s="371" t="s">
        <v>2139</v>
      </c>
    </row>
    <row r="974" ht="15.75" customHeight="1">
      <c r="B974" s="371" t="s">
        <v>8226</v>
      </c>
      <c r="C974" s="371" t="s">
        <v>8227</v>
      </c>
      <c r="D974" s="371" t="s">
        <v>2139</v>
      </c>
    </row>
    <row r="975" ht="15.75" customHeight="1">
      <c r="B975" s="371" t="s">
        <v>8228</v>
      </c>
      <c r="C975" s="371" t="s">
        <v>8229</v>
      </c>
      <c r="D975" s="371" t="s">
        <v>2205</v>
      </c>
    </row>
    <row r="976" ht="15.75" customHeight="1">
      <c r="B976" s="371" t="s">
        <v>8230</v>
      </c>
      <c r="C976" s="371" t="s">
        <v>8231</v>
      </c>
      <c r="D976" s="371" t="s">
        <v>2139</v>
      </c>
    </row>
    <row r="977" ht="15.75" customHeight="1">
      <c r="B977" s="371" t="s">
        <v>1347</v>
      </c>
      <c r="C977" s="371" t="s">
        <v>8231</v>
      </c>
      <c r="D977" s="371" t="s">
        <v>2205</v>
      </c>
    </row>
    <row r="978" ht="15.75" customHeight="1">
      <c r="B978" s="371" t="s">
        <v>1350</v>
      </c>
      <c r="C978" s="371" t="s">
        <v>8231</v>
      </c>
      <c r="D978" s="371" t="s">
        <v>2205</v>
      </c>
    </row>
    <row r="979" ht="15.75" customHeight="1">
      <c r="B979" s="371" t="s">
        <v>1370</v>
      </c>
      <c r="C979" s="371" t="s">
        <v>8231</v>
      </c>
      <c r="D979" s="371" t="s">
        <v>2205</v>
      </c>
    </row>
    <row r="980" ht="15.75" customHeight="1">
      <c r="B980" s="371" t="s">
        <v>1368</v>
      </c>
      <c r="C980" s="371" t="s">
        <v>8231</v>
      </c>
      <c r="D980" s="371" t="s">
        <v>2205</v>
      </c>
    </row>
    <row r="981" ht="15.75" customHeight="1">
      <c r="B981" s="371" t="s">
        <v>1364</v>
      </c>
      <c r="C981" s="371" t="s">
        <v>8231</v>
      </c>
      <c r="D981" s="371" t="s">
        <v>2205</v>
      </c>
    </row>
    <row r="982" ht="15.75" customHeight="1">
      <c r="B982" s="371" t="s">
        <v>8232</v>
      </c>
      <c r="C982" s="371" t="s">
        <v>8231</v>
      </c>
      <c r="D982" s="371" t="s">
        <v>2205</v>
      </c>
    </row>
    <row r="983" ht="15.75" customHeight="1">
      <c r="B983" s="371" t="s">
        <v>8233</v>
      </c>
      <c r="C983" s="371" t="s">
        <v>8231</v>
      </c>
      <c r="D983" s="371" t="s">
        <v>2205</v>
      </c>
    </row>
    <row r="984" ht="15.75" customHeight="1">
      <c r="B984" s="371" t="s">
        <v>6211</v>
      </c>
      <c r="C984" s="371" t="s">
        <v>8234</v>
      </c>
      <c r="D984" s="371" t="s">
        <v>2205</v>
      </c>
    </row>
    <row r="985" ht="15.75" customHeight="1">
      <c r="B985" s="371" t="s">
        <v>8235</v>
      </c>
      <c r="C985" s="371" t="s">
        <v>8236</v>
      </c>
      <c r="D985" s="371" t="s">
        <v>2205</v>
      </c>
    </row>
    <row r="986" ht="15.75" customHeight="1">
      <c r="B986" s="371" t="s">
        <v>8237</v>
      </c>
      <c r="C986" s="371" t="s">
        <v>8238</v>
      </c>
      <c r="D986" s="371" t="s">
        <v>2205</v>
      </c>
    </row>
    <row r="987" ht="15.75" customHeight="1">
      <c r="B987" s="371" t="s">
        <v>8239</v>
      </c>
      <c r="C987" s="371" t="s">
        <v>8238</v>
      </c>
      <c r="D987" s="371" t="s">
        <v>2205</v>
      </c>
    </row>
    <row r="988" ht="15.75" customHeight="1">
      <c r="B988" s="371" t="s">
        <v>8240</v>
      </c>
      <c r="C988" s="371" t="s">
        <v>8241</v>
      </c>
      <c r="D988" s="371" t="s">
        <v>2205</v>
      </c>
    </row>
    <row r="989" ht="15.75" customHeight="1">
      <c r="B989" s="371" t="s">
        <v>8242</v>
      </c>
      <c r="C989" s="371" t="s">
        <v>8243</v>
      </c>
      <c r="D989" s="371" t="s">
        <v>2205</v>
      </c>
    </row>
    <row r="990" ht="15.75" customHeight="1">
      <c r="B990" s="371" t="s">
        <v>8244</v>
      </c>
      <c r="C990" s="371" t="s">
        <v>8245</v>
      </c>
      <c r="D990" s="371" t="s">
        <v>2205</v>
      </c>
    </row>
    <row r="991" ht="15.75" customHeight="1">
      <c r="B991" s="371" t="s">
        <v>8246</v>
      </c>
      <c r="C991" s="371" t="s">
        <v>8245</v>
      </c>
      <c r="D991" s="371" t="s">
        <v>2205</v>
      </c>
    </row>
    <row r="992" ht="15.75" customHeight="1">
      <c r="B992" s="371" t="s">
        <v>8247</v>
      </c>
      <c r="C992" s="371" t="s">
        <v>8248</v>
      </c>
      <c r="D992" s="371" t="s">
        <v>2139</v>
      </c>
    </row>
    <row r="993" ht="15.75" customHeight="1">
      <c r="B993" s="371" t="s">
        <v>59</v>
      </c>
      <c r="C993" s="371" t="s">
        <v>8249</v>
      </c>
      <c r="D993" s="371" t="s">
        <v>2139</v>
      </c>
    </row>
    <row r="994" ht="15.75" customHeight="1">
      <c r="B994" s="371" t="s">
        <v>61</v>
      </c>
      <c r="C994" s="371" t="s">
        <v>8249</v>
      </c>
      <c r="D994" s="371" t="s">
        <v>2205</v>
      </c>
    </row>
    <row r="995" ht="15.75" customHeight="1">
      <c r="B995" s="371" t="s">
        <v>65</v>
      </c>
      <c r="C995" s="371" t="s">
        <v>7532</v>
      </c>
      <c r="D995" s="371" t="s">
        <v>2139</v>
      </c>
    </row>
    <row r="996" ht="15.75" customHeight="1">
      <c r="B996" s="371" t="s">
        <v>67</v>
      </c>
      <c r="C996" s="371" t="s">
        <v>7532</v>
      </c>
      <c r="D996" s="371" t="s">
        <v>2139</v>
      </c>
    </row>
    <row r="997" ht="15.75" customHeight="1">
      <c r="B997" s="371" t="s">
        <v>71</v>
      </c>
      <c r="C997" s="371" t="s">
        <v>7523</v>
      </c>
      <c r="D997" s="371" t="s">
        <v>2139</v>
      </c>
    </row>
    <row r="998" ht="15.75" customHeight="1">
      <c r="B998" s="371" t="s">
        <v>81</v>
      </c>
      <c r="C998" s="371" t="s">
        <v>8249</v>
      </c>
      <c r="D998" s="371" t="s">
        <v>2205</v>
      </c>
    </row>
    <row r="999" ht="15.75" customHeight="1">
      <c r="B999" s="371" t="s">
        <v>8250</v>
      </c>
      <c r="C999" s="371" t="s">
        <v>7543</v>
      </c>
      <c r="D999" s="371" t="s">
        <v>2205</v>
      </c>
    </row>
    <row r="1000" ht="15.75" customHeight="1">
      <c r="B1000" s="371" t="s">
        <v>8251</v>
      </c>
      <c r="C1000" s="371" t="s">
        <v>7543</v>
      </c>
      <c r="D1000" s="371" t="s">
        <v>2205</v>
      </c>
    </row>
    <row r="1001" ht="15.75" customHeight="1">
      <c r="B1001" s="371" t="s">
        <v>8252</v>
      </c>
      <c r="C1001" s="371" t="s">
        <v>7543</v>
      </c>
      <c r="D1001" s="371" t="s">
        <v>2205</v>
      </c>
    </row>
    <row r="1002" ht="15.75" customHeight="1">
      <c r="B1002" s="371" t="s">
        <v>8253</v>
      </c>
      <c r="C1002" s="371" t="s">
        <v>7543</v>
      </c>
      <c r="D1002" s="371" t="s">
        <v>2139</v>
      </c>
    </row>
    <row r="1003" ht="15.75" customHeight="1">
      <c r="B1003" s="371" t="s">
        <v>8254</v>
      </c>
      <c r="C1003" s="371" t="s">
        <v>7532</v>
      </c>
      <c r="D1003" s="371" t="s">
        <v>2205</v>
      </c>
    </row>
    <row r="1004" ht="15.75" customHeight="1">
      <c r="B1004" s="371" t="s">
        <v>8255</v>
      </c>
      <c r="C1004" s="371" t="s">
        <v>7532</v>
      </c>
      <c r="D1004" s="371" t="s">
        <v>2205</v>
      </c>
    </row>
    <row r="1005" ht="15.75" customHeight="1">
      <c r="B1005" s="371" t="s">
        <v>8256</v>
      </c>
      <c r="C1005" s="371" t="s">
        <v>8249</v>
      </c>
      <c r="D1005" s="371" t="s">
        <v>2205</v>
      </c>
    </row>
    <row r="1006" ht="15.75" customHeight="1">
      <c r="B1006" s="371" t="s">
        <v>8257</v>
      </c>
      <c r="C1006" s="371" t="s">
        <v>8258</v>
      </c>
      <c r="D1006" s="371" t="s">
        <v>2205</v>
      </c>
    </row>
    <row r="1007" ht="15.75" customHeight="1">
      <c r="B1007" s="371" t="s">
        <v>8259</v>
      </c>
      <c r="C1007" s="373"/>
      <c r="D1007" s="371" t="s">
        <v>2205</v>
      </c>
    </row>
    <row r="1008" ht="15.75" customHeight="1">
      <c r="B1008" s="371" t="s">
        <v>8260</v>
      </c>
      <c r="C1008" s="371" t="s">
        <v>8261</v>
      </c>
      <c r="D1008" s="371" t="s">
        <v>2205</v>
      </c>
    </row>
    <row r="1009" ht="15.75" customHeight="1">
      <c r="B1009" s="371" t="s">
        <v>8262</v>
      </c>
      <c r="C1009" s="371" t="s">
        <v>8261</v>
      </c>
      <c r="D1009" s="371" t="s">
        <v>2205</v>
      </c>
    </row>
    <row r="1010" ht="15.75" customHeight="1">
      <c r="B1010" s="371" t="s">
        <v>8263</v>
      </c>
      <c r="C1010" s="371" t="s">
        <v>8264</v>
      </c>
      <c r="D1010" s="371" t="s">
        <v>2205</v>
      </c>
    </row>
    <row r="1011" ht="15.75" customHeight="1">
      <c r="B1011" s="371" t="s">
        <v>8265</v>
      </c>
      <c r="C1011" s="373"/>
      <c r="D1011" s="371" t="s">
        <v>2205</v>
      </c>
    </row>
    <row r="1012" ht="15.75" customHeight="1">
      <c r="B1012" s="371" t="s">
        <v>5998</v>
      </c>
      <c r="C1012" s="371" t="s">
        <v>8266</v>
      </c>
      <c r="D1012" s="371" t="s">
        <v>2205</v>
      </c>
    </row>
    <row r="1013" ht="15.75" customHeight="1">
      <c r="B1013" s="371" t="s">
        <v>6596</v>
      </c>
      <c r="C1013" s="371" t="s">
        <v>8267</v>
      </c>
      <c r="D1013" s="371" t="s">
        <v>2205</v>
      </c>
    </row>
    <row r="1014" ht="15.75" customHeight="1">
      <c r="B1014" s="371" t="s">
        <v>8268</v>
      </c>
      <c r="C1014" s="371" t="s">
        <v>8269</v>
      </c>
      <c r="D1014" s="371" t="s">
        <v>2205</v>
      </c>
    </row>
    <row r="1015" ht="15.75" customHeight="1">
      <c r="B1015" s="371" t="s">
        <v>8270</v>
      </c>
      <c r="C1015" s="371" t="s">
        <v>8271</v>
      </c>
      <c r="D1015" s="371" t="s">
        <v>2205</v>
      </c>
    </row>
    <row r="1016" ht="15.75" customHeight="1">
      <c r="B1016" s="371" t="s">
        <v>8272</v>
      </c>
      <c r="C1016" s="371" t="s">
        <v>8273</v>
      </c>
      <c r="D1016" s="371" t="s">
        <v>2205</v>
      </c>
    </row>
    <row r="1017" ht="15.75" customHeight="1">
      <c r="B1017" s="371" t="s">
        <v>8274</v>
      </c>
      <c r="C1017" s="371" t="s">
        <v>7261</v>
      </c>
      <c r="D1017" s="371" t="s">
        <v>2205</v>
      </c>
    </row>
    <row r="1018" ht="15.75" customHeight="1">
      <c r="B1018" s="371" t="s">
        <v>8275</v>
      </c>
      <c r="C1018" s="371" t="s">
        <v>7261</v>
      </c>
      <c r="D1018" s="371" t="s">
        <v>2205</v>
      </c>
    </row>
    <row r="1019" ht="15.75" customHeight="1">
      <c r="B1019" s="371" t="s">
        <v>2907</v>
      </c>
      <c r="C1019" s="371" t="s">
        <v>8276</v>
      </c>
      <c r="D1019" s="371" t="s">
        <v>2139</v>
      </c>
    </row>
    <row r="1020" ht="15.75" customHeight="1">
      <c r="B1020" s="371" t="s">
        <v>8277</v>
      </c>
      <c r="C1020" s="371" t="s">
        <v>8276</v>
      </c>
      <c r="D1020" s="371" t="s">
        <v>2139</v>
      </c>
    </row>
    <row r="1021" ht="15.75" customHeight="1">
      <c r="B1021" s="371" t="s">
        <v>8278</v>
      </c>
      <c r="C1021" s="371" t="s">
        <v>8279</v>
      </c>
      <c r="D1021" s="371" t="s">
        <v>2205</v>
      </c>
    </row>
    <row r="1022" ht="15.75" customHeight="1">
      <c r="B1022" s="371" t="s">
        <v>8280</v>
      </c>
      <c r="C1022" s="371" t="s">
        <v>8281</v>
      </c>
      <c r="D1022" s="371" t="s">
        <v>2205</v>
      </c>
    </row>
    <row r="1023" ht="15.75" customHeight="1">
      <c r="B1023" s="371" t="s">
        <v>2913</v>
      </c>
      <c r="C1023" s="371" t="s">
        <v>8276</v>
      </c>
      <c r="D1023" s="371" t="s">
        <v>2205</v>
      </c>
    </row>
    <row r="1024" ht="15.75" customHeight="1">
      <c r="B1024" s="371" t="s">
        <v>2917</v>
      </c>
      <c r="C1024" s="371" t="s">
        <v>8276</v>
      </c>
      <c r="D1024" s="371" t="s">
        <v>2205</v>
      </c>
    </row>
    <row r="1025" ht="15.75" customHeight="1">
      <c r="B1025" s="371" t="s">
        <v>2921</v>
      </c>
      <c r="C1025" s="371" t="s">
        <v>8276</v>
      </c>
      <c r="D1025" s="371" t="s">
        <v>2139</v>
      </c>
    </row>
    <row r="1026" ht="15.75" customHeight="1">
      <c r="B1026" s="371" t="s">
        <v>8282</v>
      </c>
      <c r="C1026" s="371" t="s">
        <v>8283</v>
      </c>
      <c r="D1026" s="371" t="s">
        <v>2205</v>
      </c>
    </row>
    <row r="1027" ht="15.75" customHeight="1">
      <c r="B1027" s="371" t="s">
        <v>6759</v>
      </c>
      <c r="C1027" s="371" t="s">
        <v>8284</v>
      </c>
      <c r="D1027" s="371" t="s">
        <v>2139</v>
      </c>
    </row>
    <row r="1028" ht="15.75" customHeight="1">
      <c r="B1028" s="371" t="s">
        <v>6762</v>
      </c>
      <c r="C1028" s="371" t="s">
        <v>8284</v>
      </c>
      <c r="D1028" s="371" t="s">
        <v>2139</v>
      </c>
    </row>
    <row r="1029" ht="15.75" customHeight="1">
      <c r="B1029" s="371" t="s">
        <v>1552</v>
      </c>
      <c r="C1029" s="371" t="s">
        <v>8285</v>
      </c>
      <c r="D1029" s="371" t="s">
        <v>2205</v>
      </c>
    </row>
    <row r="1030" ht="15.75" customHeight="1">
      <c r="B1030" s="371" t="s">
        <v>8286</v>
      </c>
      <c r="C1030" s="371" t="s">
        <v>7523</v>
      </c>
      <c r="D1030" s="371" t="s">
        <v>2205</v>
      </c>
    </row>
    <row r="1031" ht="15.75" customHeight="1">
      <c r="B1031" s="371" t="s">
        <v>8287</v>
      </c>
      <c r="C1031" s="371" t="s">
        <v>8288</v>
      </c>
      <c r="D1031" s="371" t="s">
        <v>2139</v>
      </c>
    </row>
    <row r="1032" ht="15.75" customHeight="1">
      <c r="B1032" s="371" t="s">
        <v>8289</v>
      </c>
      <c r="C1032" s="371" t="s">
        <v>8288</v>
      </c>
      <c r="D1032" s="371" t="s">
        <v>2139</v>
      </c>
    </row>
    <row r="1033" ht="15.75" customHeight="1">
      <c r="B1033" s="371" t="s">
        <v>8290</v>
      </c>
      <c r="C1033" s="371" t="s">
        <v>8291</v>
      </c>
      <c r="D1033" s="371" t="s">
        <v>2205</v>
      </c>
    </row>
    <row r="1034" ht="15.75" customHeight="1">
      <c r="B1034" s="371" t="s">
        <v>8292</v>
      </c>
      <c r="C1034" s="371" t="s">
        <v>8291</v>
      </c>
      <c r="D1034" s="371" t="s">
        <v>2205</v>
      </c>
    </row>
    <row r="1035" ht="15.75" customHeight="1">
      <c r="B1035" s="371" t="s">
        <v>8293</v>
      </c>
      <c r="C1035" s="371" t="s">
        <v>8294</v>
      </c>
      <c r="D1035" s="371" t="s">
        <v>2205</v>
      </c>
    </row>
    <row r="1036" ht="15.75" customHeight="1">
      <c r="B1036" s="371" t="s">
        <v>8295</v>
      </c>
      <c r="C1036" s="371" t="s">
        <v>8291</v>
      </c>
      <c r="D1036" s="371" t="s">
        <v>2205</v>
      </c>
    </row>
    <row r="1037" ht="15.75" customHeight="1">
      <c r="B1037" s="371" t="s">
        <v>8296</v>
      </c>
      <c r="C1037" s="371" t="s">
        <v>8297</v>
      </c>
      <c r="D1037" s="371" t="s">
        <v>2205</v>
      </c>
    </row>
    <row r="1038" ht="15.75" customHeight="1">
      <c r="B1038" s="371" t="s">
        <v>8298</v>
      </c>
      <c r="C1038" s="371" t="s">
        <v>8299</v>
      </c>
      <c r="D1038" s="371" t="s">
        <v>2205</v>
      </c>
    </row>
    <row r="1039" ht="15.75" customHeight="1">
      <c r="B1039" s="371" t="s">
        <v>8300</v>
      </c>
      <c r="C1039" s="371" t="s">
        <v>8301</v>
      </c>
      <c r="D1039" s="371" t="s">
        <v>2205</v>
      </c>
    </row>
    <row r="1040" ht="15.75" customHeight="1">
      <c r="B1040" s="371" t="s">
        <v>8302</v>
      </c>
      <c r="C1040" s="371" t="s">
        <v>8291</v>
      </c>
      <c r="D1040" s="371" t="s">
        <v>2205</v>
      </c>
    </row>
    <row r="1041" ht="15.75" customHeight="1">
      <c r="B1041" s="371" t="s">
        <v>8303</v>
      </c>
      <c r="C1041" s="371" t="s">
        <v>8291</v>
      </c>
      <c r="D1041" s="371" t="s">
        <v>2205</v>
      </c>
    </row>
    <row r="1042" ht="15.75" customHeight="1">
      <c r="B1042" s="371" t="s">
        <v>8304</v>
      </c>
      <c r="C1042" s="371" t="s">
        <v>8291</v>
      </c>
      <c r="D1042" s="371" t="s">
        <v>2205</v>
      </c>
    </row>
    <row r="1043" ht="15.75" customHeight="1">
      <c r="B1043" s="371" t="s">
        <v>8305</v>
      </c>
      <c r="C1043" s="371" t="s">
        <v>8291</v>
      </c>
      <c r="D1043" s="371" t="s">
        <v>2205</v>
      </c>
    </row>
    <row r="1044" ht="15.75" customHeight="1">
      <c r="B1044" s="371" t="s">
        <v>8306</v>
      </c>
      <c r="C1044" s="371" t="s">
        <v>8291</v>
      </c>
      <c r="D1044" s="371" t="s">
        <v>2205</v>
      </c>
    </row>
    <row r="1045" ht="15.75" customHeight="1">
      <c r="B1045" s="371" t="s">
        <v>8307</v>
      </c>
      <c r="C1045" s="371" t="s">
        <v>8308</v>
      </c>
      <c r="D1045" s="371" t="s">
        <v>2139</v>
      </c>
    </row>
    <row r="1046" ht="15.75" customHeight="1">
      <c r="B1046" s="371" t="s">
        <v>8309</v>
      </c>
      <c r="C1046" s="371" t="s">
        <v>8308</v>
      </c>
      <c r="D1046" s="371" t="s">
        <v>2139</v>
      </c>
    </row>
    <row r="1047" ht="15.75" customHeight="1">
      <c r="B1047" s="371" t="s">
        <v>8310</v>
      </c>
      <c r="C1047" s="371" t="s">
        <v>8308</v>
      </c>
      <c r="D1047" s="371" t="s">
        <v>2139</v>
      </c>
    </row>
    <row r="1048" ht="15.75" customHeight="1">
      <c r="B1048" s="371" t="s">
        <v>8311</v>
      </c>
      <c r="C1048" s="371" t="s">
        <v>8308</v>
      </c>
      <c r="D1048" s="371" t="s">
        <v>2139</v>
      </c>
    </row>
    <row r="1049" ht="15.75" customHeight="1">
      <c r="B1049" s="371" t="s">
        <v>8312</v>
      </c>
      <c r="C1049" s="371" t="s">
        <v>8313</v>
      </c>
      <c r="D1049" s="371" t="s">
        <v>2205</v>
      </c>
    </row>
    <row r="1050" ht="15.75" customHeight="1">
      <c r="B1050" s="371" t="s">
        <v>6837</v>
      </c>
      <c r="C1050" s="371" t="s">
        <v>8314</v>
      </c>
      <c r="D1050" s="371" t="s">
        <v>2205</v>
      </c>
    </row>
    <row r="1051" ht="15.75" customHeight="1">
      <c r="B1051" s="371" t="s">
        <v>6841</v>
      </c>
      <c r="C1051" s="371" t="s">
        <v>8314</v>
      </c>
      <c r="D1051" s="371" t="s">
        <v>2205</v>
      </c>
    </row>
    <row r="1052" ht="15.75" customHeight="1">
      <c r="B1052" s="371" t="s">
        <v>8315</v>
      </c>
      <c r="C1052" s="371" t="s">
        <v>8314</v>
      </c>
      <c r="D1052" s="371" t="s">
        <v>2205</v>
      </c>
    </row>
    <row r="1053" ht="15.75" customHeight="1">
      <c r="B1053" s="371" t="s">
        <v>8316</v>
      </c>
      <c r="C1053" s="371" t="s">
        <v>8314</v>
      </c>
      <c r="D1053" s="371" t="s">
        <v>2205</v>
      </c>
    </row>
    <row r="1054" ht="15.75" customHeight="1">
      <c r="B1054" s="371" t="s">
        <v>6845</v>
      </c>
      <c r="C1054" s="371" t="s">
        <v>8314</v>
      </c>
      <c r="D1054" s="371" t="s">
        <v>2205</v>
      </c>
    </row>
    <row r="1055" ht="15.75" customHeight="1">
      <c r="B1055" s="371" t="s">
        <v>6849</v>
      </c>
      <c r="C1055" s="371" t="s">
        <v>8314</v>
      </c>
      <c r="D1055" s="371" t="s">
        <v>2205</v>
      </c>
    </row>
    <row r="1056" ht="15.75" customHeight="1">
      <c r="B1056" s="371" t="s">
        <v>6916</v>
      </c>
      <c r="C1056" s="371" t="s">
        <v>8314</v>
      </c>
      <c r="D1056" s="371" t="s">
        <v>2205</v>
      </c>
    </row>
    <row r="1057" ht="15.75" customHeight="1">
      <c r="B1057" s="371" t="s">
        <v>8317</v>
      </c>
      <c r="C1057" s="371" t="s">
        <v>8076</v>
      </c>
      <c r="D1057" s="371" t="s">
        <v>2205</v>
      </c>
    </row>
    <row r="1058" ht="15.75" customHeight="1">
      <c r="B1058" s="371" t="s">
        <v>8318</v>
      </c>
      <c r="C1058" s="371" t="s">
        <v>8076</v>
      </c>
      <c r="D1058" s="371" t="s">
        <v>2205</v>
      </c>
    </row>
    <row r="1059" ht="15.75" customHeight="1">
      <c r="B1059" s="371" t="s">
        <v>8319</v>
      </c>
      <c r="C1059" s="371" t="s">
        <v>8320</v>
      </c>
      <c r="D1059" s="371" t="s">
        <v>2139</v>
      </c>
    </row>
    <row r="1060" ht="15.75" customHeight="1">
      <c r="B1060" s="371" t="s">
        <v>8321</v>
      </c>
      <c r="C1060" s="371" t="s">
        <v>8320</v>
      </c>
      <c r="D1060" s="371" t="s">
        <v>2139</v>
      </c>
    </row>
    <row r="1061" ht="15.75" customHeight="1">
      <c r="B1061" s="371" t="s">
        <v>8322</v>
      </c>
      <c r="C1061" s="371" t="s">
        <v>8323</v>
      </c>
      <c r="D1061" s="371" t="s">
        <v>2205</v>
      </c>
    </row>
    <row r="1062" ht="15.75" customHeight="1">
      <c r="B1062" s="371" t="s">
        <v>7028</v>
      </c>
      <c r="C1062" s="371" t="s">
        <v>8324</v>
      </c>
      <c r="D1062" s="371" t="s">
        <v>2205</v>
      </c>
    </row>
    <row r="1063" ht="15.75" customHeight="1">
      <c r="B1063" s="371" t="s">
        <v>8325</v>
      </c>
      <c r="C1063" s="371" t="s">
        <v>8326</v>
      </c>
      <c r="D1063" s="371" t="s">
        <v>2205</v>
      </c>
    </row>
    <row r="1064" ht="15.75" customHeight="1">
      <c r="B1064" s="371" t="s">
        <v>7032</v>
      </c>
      <c r="C1064" s="371" t="s">
        <v>8314</v>
      </c>
      <c r="D1064" s="371" t="s">
        <v>2205</v>
      </c>
    </row>
    <row r="1065" ht="15.75" customHeight="1">
      <c r="B1065" s="371" t="s">
        <v>7036</v>
      </c>
      <c r="C1065" s="371" t="s">
        <v>8327</v>
      </c>
      <c r="D1065" s="371" t="s">
        <v>2205</v>
      </c>
    </row>
    <row r="1066" ht="15.75" customHeight="1">
      <c r="B1066" s="371" t="s">
        <v>8328</v>
      </c>
      <c r="C1066" s="371" t="s">
        <v>8329</v>
      </c>
      <c r="D1066" s="371" t="s">
        <v>2205</v>
      </c>
    </row>
    <row r="1067" ht="15.75" customHeight="1">
      <c r="B1067" s="371" t="s">
        <v>8330</v>
      </c>
      <c r="C1067" s="371" t="s">
        <v>8331</v>
      </c>
      <c r="D1067" s="371" t="s">
        <v>2139</v>
      </c>
    </row>
    <row r="1068" ht="15.75" customHeight="1">
      <c r="B1068" s="371" t="s">
        <v>8332</v>
      </c>
      <c r="C1068" s="371" t="s">
        <v>8331</v>
      </c>
      <c r="D1068" s="371" t="s">
        <v>2139</v>
      </c>
    </row>
    <row r="1069" ht="15.75" customHeight="1">
      <c r="B1069" s="371" t="s">
        <v>8333</v>
      </c>
      <c r="C1069" s="371" t="s">
        <v>8334</v>
      </c>
      <c r="D1069" s="371" t="s">
        <v>2205</v>
      </c>
    </row>
    <row r="1070" ht="15.75" customHeight="1">
      <c r="B1070" s="371" t="s">
        <v>8335</v>
      </c>
      <c r="C1070" s="371" t="s">
        <v>8334</v>
      </c>
      <c r="D1070" s="371" t="s">
        <v>2139</v>
      </c>
    </row>
    <row r="1071" ht="15.75" customHeight="1">
      <c r="B1071" s="371" t="s">
        <v>6925</v>
      </c>
      <c r="C1071" s="371" t="s">
        <v>8314</v>
      </c>
      <c r="D1071" s="371" t="s">
        <v>2205</v>
      </c>
    </row>
    <row r="1072" ht="15.75" customHeight="1">
      <c r="B1072" s="371" t="s">
        <v>2150</v>
      </c>
      <c r="C1072" s="371" t="s">
        <v>8336</v>
      </c>
      <c r="D1072" s="371" t="s">
        <v>2139</v>
      </c>
    </row>
    <row r="1073" ht="15.75" customHeight="1">
      <c r="B1073" s="371" t="s">
        <v>2146</v>
      </c>
      <c r="C1073" s="371" t="s">
        <v>8336</v>
      </c>
      <c r="D1073" s="371" t="s">
        <v>2139</v>
      </c>
    </row>
    <row r="1074" ht="15.75" customHeight="1">
      <c r="B1074" s="371" t="s">
        <v>2142</v>
      </c>
      <c r="C1074" s="371" t="s">
        <v>8336</v>
      </c>
      <c r="D1074" s="371" t="s">
        <v>2139</v>
      </c>
    </row>
    <row r="1075" ht="15.75" customHeight="1">
      <c r="B1075" s="371" t="s">
        <v>2158</v>
      </c>
      <c r="C1075" s="371" t="s">
        <v>8336</v>
      </c>
      <c r="D1075" s="371" t="s">
        <v>2139</v>
      </c>
    </row>
    <row r="1076" ht="15.75" customHeight="1">
      <c r="B1076" s="371" t="s">
        <v>2154</v>
      </c>
      <c r="C1076" s="371" t="s">
        <v>8336</v>
      </c>
      <c r="D1076" s="371" t="s">
        <v>2205</v>
      </c>
    </row>
    <row r="1077" ht="15.75" customHeight="1">
      <c r="B1077" s="371" t="s">
        <v>8337</v>
      </c>
      <c r="C1077" s="371" t="s">
        <v>8336</v>
      </c>
      <c r="D1077" s="371" t="s">
        <v>2139</v>
      </c>
    </row>
    <row r="1078" ht="15.75" customHeight="1">
      <c r="B1078" s="371" t="s">
        <v>8338</v>
      </c>
      <c r="C1078" s="371" t="s">
        <v>8336</v>
      </c>
      <c r="D1078" s="371" t="s">
        <v>2139</v>
      </c>
    </row>
    <row r="1079" ht="15.75" customHeight="1">
      <c r="B1079" s="371" t="s">
        <v>8339</v>
      </c>
      <c r="C1079" s="371" t="s">
        <v>8336</v>
      </c>
      <c r="D1079" s="371" t="s">
        <v>2205</v>
      </c>
    </row>
    <row r="1080" ht="15.75" customHeight="1">
      <c r="B1080" s="371" t="s">
        <v>8340</v>
      </c>
      <c r="C1080" s="371" t="s">
        <v>8336</v>
      </c>
      <c r="D1080" s="371" t="s">
        <v>2205</v>
      </c>
    </row>
    <row r="1081" ht="15.75" customHeight="1">
      <c r="B1081" s="371" t="s">
        <v>2171</v>
      </c>
      <c r="C1081" s="371" t="s">
        <v>8341</v>
      </c>
      <c r="D1081" s="371" t="s">
        <v>2205</v>
      </c>
    </row>
    <row r="1082" ht="15.75" customHeight="1">
      <c r="B1082" s="371" t="s">
        <v>2175</v>
      </c>
      <c r="C1082" s="371" t="s">
        <v>8342</v>
      </c>
      <c r="D1082" s="371" t="s">
        <v>2205</v>
      </c>
    </row>
    <row r="1083" ht="15.75" customHeight="1">
      <c r="B1083" s="371" t="s">
        <v>2179</v>
      </c>
      <c r="C1083" s="371" t="s">
        <v>8336</v>
      </c>
      <c r="D1083" s="371" t="s">
        <v>2139</v>
      </c>
    </row>
    <row r="1084" ht="15.75" customHeight="1">
      <c r="B1084" s="371" t="s">
        <v>2137</v>
      </c>
      <c r="C1084" s="371" t="s">
        <v>8336</v>
      </c>
      <c r="D1084" s="371" t="s">
        <v>2139</v>
      </c>
    </row>
    <row r="1085" ht="15.75" customHeight="1">
      <c r="B1085" s="371" t="s">
        <v>2187</v>
      </c>
      <c r="C1085" s="371" t="s">
        <v>8343</v>
      </c>
      <c r="D1085" s="371" t="s">
        <v>2205</v>
      </c>
    </row>
    <row r="1086" ht="15.75" customHeight="1">
      <c r="B1086" s="371" t="s">
        <v>8344</v>
      </c>
      <c r="C1086" s="371" t="s">
        <v>8345</v>
      </c>
      <c r="D1086" s="371" t="s">
        <v>2205</v>
      </c>
    </row>
    <row r="1087" ht="15.75" customHeight="1">
      <c r="B1087" s="371" t="s">
        <v>7003</v>
      </c>
      <c r="C1087" s="371" t="s">
        <v>8346</v>
      </c>
      <c r="D1087" s="371" t="s">
        <v>2205</v>
      </c>
    </row>
    <row r="1088" ht="15.75" customHeight="1">
      <c r="B1088" s="371" t="s">
        <v>8347</v>
      </c>
      <c r="C1088" s="371" t="s">
        <v>8348</v>
      </c>
      <c r="D1088" s="371" t="s">
        <v>2205</v>
      </c>
    </row>
    <row r="1089" ht="15.75" customHeight="1">
      <c r="B1089" s="371" t="s">
        <v>6937</v>
      </c>
      <c r="C1089" s="371" t="s">
        <v>8314</v>
      </c>
      <c r="D1089" s="371" t="s">
        <v>2205</v>
      </c>
    </row>
    <row r="1090" ht="15.75" customHeight="1">
      <c r="B1090" s="371" t="s">
        <v>6941</v>
      </c>
      <c r="C1090" s="371" t="s">
        <v>8349</v>
      </c>
      <c r="D1090" s="371" t="s">
        <v>2139</v>
      </c>
    </row>
    <row r="1091" ht="15.75" customHeight="1">
      <c r="B1091" s="371" t="s">
        <v>8350</v>
      </c>
      <c r="C1091" s="371" t="s">
        <v>8314</v>
      </c>
      <c r="D1091" s="371" t="s">
        <v>2205</v>
      </c>
    </row>
    <row r="1092" ht="15.75" customHeight="1">
      <c r="B1092" s="371" t="s">
        <v>8351</v>
      </c>
      <c r="C1092" s="371" t="s">
        <v>8314</v>
      </c>
      <c r="D1092" s="371" t="s">
        <v>2205</v>
      </c>
    </row>
    <row r="1093" ht="15.75" customHeight="1">
      <c r="B1093" s="371" t="s">
        <v>8352</v>
      </c>
      <c r="C1093" s="371" t="s">
        <v>8336</v>
      </c>
      <c r="D1093" s="371" t="s">
        <v>2205</v>
      </c>
    </row>
    <row r="1094" ht="15.75" customHeight="1">
      <c r="B1094" s="371" t="s">
        <v>8353</v>
      </c>
      <c r="C1094" s="371" t="s">
        <v>8354</v>
      </c>
      <c r="D1094" s="371" t="s">
        <v>2205</v>
      </c>
    </row>
    <row r="1095" ht="15.75" customHeight="1">
      <c r="B1095" s="371" t="s">
        <v>8355</v>
      </c>
      <c r="C1095" s="371" t="s">
        <v>8334</v>
      </c>
      <c r="D1095" s="371" t="s">
        <v>2205</v>
      </c>
    </row>
    <row r="1096" ht="15.75" customHeight="1">
      <c r="B1096" s="371" t="s">
        <v>8356</v>
      </c>
      <c r="C1096" s="371" t="s">
        <v>8357</v>
      </c>
      <c r="D1096" s="371" t="s">
        <v>2205</v>
      </c>
    </row>
    <row r="1097" ht="15.75" customHeight="1">
      <c r="B1097" s="371" t="s">
        <v>6898</v>
      </c>
      <c r="C1097" s="371" t="s">
        <v>8314</v>
      </c>
      <c r="D1097" s="371" t="s">
        <v>2205</v>
      </c>
    </row>
    <row r="1098" ht="15.75" customHeight="1">
      <c r="B1098" s="371" t="s">
        <v>8358</v>
      </c>
      <c r="C1098" s="371" t="s">
        <v>8359</v>
      </c>
      <c r="D1098" s="371" t="s">
        <v>2205</v>
      </c>
    </row>
    <row r="1099" ht="15.75" customHeight="1">
      <c r="B1099" s="371" t="s">
        <v>8360</v>
      </c>
      <c r="C1099" s="371" t="s">
        <v>8359</v>
      </c>
      <c r="D1099" s="371" t="s">
        <v>2205</v>
      </c>
    </row>
    <row r="1100" ht="15.75" customHeight="1">
      <c r="B1100" s="371" t="s">
        <v>6894</v>
      </c>
      <c r="C1100" s="371" t="s">
        <v>8314</v>
      </c>
      <c r="D1100" s="371" t="s">
        <v>2139</v>
      </c>
    </row>
    <row r="1101" ht="15.75" customHeight="1">
      <c r="B1101" s="371" t="s">
        <v>8361</v>
      </c>
      <c r="C1101" s="371" t="s">
        <v>8314</v>
      </c>
      <c r="D1101" s="371" t="s">
        <v>2139</v>
      </c>
    </row>
    <row r="1102" ht="15.75" customHeight="1">
      <c r="B1102" s="371" t="s">
        <v>2318</v>
      </c>
      <c r="C1102" s="371" t="s">
        <v>8362</v>
      </c>
      <c r="D1102" s="371" t="s">
        <v>2205</v>
      </c>
    </row>
    <row r="1103" ht="15.75" customHeight="1">
      <c r="B1103" s="371" t="s">
        <v>2326</v>
      </c>
      <c r="C1103" s="371" t="s">
        <v>8362</v>
      </c>
      <c r="D1103" s="371" t="s">
        <v>2139</v>
      </c>
    </row>
    <row r="1104" ht="15.75" customHeight="1">
      <c r="B1104" s="371" t="s">
        <v>8363</v>
      </c>
      <c r="C1104" s="371" t="s">
        <v>8362</v>
      </c>
      <c r="D1104" s="371" t="s">
        <v>2205</v>
      </c>
    </row>
    <row r="1105" ht="15.75" customHeight="1">
      <c r="B1105" s="371" t="s">
        <v>2356</v>
      </c>
      <c r="C1105" s="371" t="s">
        <v>8364</v>
      </c>
      <c r="D1105" s="371" t="s">
        <v>2205</v>
      </c>
    </row>
    <row r="1106" ht="15.75" customHeight="1">
      <c r="B1106" s="371" t="s">
        <v>8365</v>
      </c>
      <c r="C1106" s="371" t="s">
        <v>8366</v>
      </c>
      <c r="D1106" s="371" t="s">
        <v>2205</v>
      </c>
    </row>
    <row r="1107" ht="15.75" customHeight="1">
      <c r="B1107" s="371" t="s">
        <v>2365</v>
      </c>
      <c r="C1107" s="371" t="s">
        <v>8367</v>
      </c>
      <c r="D1107" s="371" t="s">
        <v>2205</v>
      </c>
    </row>
    <row r="1108" ht="15.75" customHeight="1">
      <c r="B1108" s="371" t="s">
        <v>2367</v>
      </c>
      <c r="C1108" s="371" t="s">
        <v>8368</v>
      </c>
      <c r="D1108" s="371" t="s">
        <v>2205</v>
      </c>
    </row>
    <row r="1109" ht="15.75" customHeight="1">
      <c r="B1109" s="371" t="s">
        <v>6999</v>
      </c>
      <c r="C1109" s="371" t="s">
        <v>8314</v>
      </c>
      <c r="D1109" s="371" t="s">
        <v>2205</v>
      </c>
    </row>
    <row r="1110" ht="15.75" customHeight="1">
      <c r="B1110" s="371" t="s">
        <v>8369</v>
      </c>
      <c r="C1110" s="371" t="s">
        <v>8314</v>
      </c>
      <c r="D1110" s="371" t="s">
        <v>2205</v>
      </c>
    </row>
    <row r="1111" ht="15.75" customHeight="1">
      <c r="B1111" s="371" t="s">
        <v>8370</v>
      </c>
      <c r="C1111" s="371" t="s">
        <v>7659</v>
      </c>
      <c r="D1111" s="371" t="s">
        <v>2205</v>
      </c>
    </row>
    <row r="1112" ht="15.75" customHeight="1">
      <c r="B1112" s="371" t="s">
        <v>4151</v>
      </c>
      <c r="C1112" s="371" t="s">
        <v>7659</v>
      </c>
      <c r="D1112" s="371" t="s">
        <v>2139</v>
      </c>
    </row>
    <row r="1113" ht="15.75" customHeight="1">
      <c r="B1113" s="371" t="s">
        <v>4155</v>
      </c>
      <c r="C1113" s="371" t="s">
        <v>7659</v>
      </c>
      <c r="D1113" s="371" t="s">
        <v>2139</v>
      </c>
    </row>
    <row r="1114" ht="15.75" customHeight="1">
      <c r="B1114" s="371" t="s">
        <v>8371</v>
      </c>
      <c r="C1114" s="371" t="s">
        <v>7659</v>
      </c>
      <c r="D1114" s="371" t="s">
        <v>2205</v>
      </c>
    </row>
    <row r="1115" ht="15.75" customHeight="1">
      <c r="B1115" s="371" t="s">
        <v>4159</v>
      </c>
      <c r="C1115" s="371" t="s">
        <v>7659</v>
      </c>
      <c r="D1115" s="371" t="s">
        <v>2139</v>
      </c>
    </row>
    <row r="1116" ht="15.75" customHeight="1">
      <c r="B1116" s="371" t="s">
        <v>8372</v>
      </c>
      <c r="C1116" s="371" t="s">
        <v>8314</v>
      </c>
      <c r="D1116" s="371" t="s">
        <v>2139</v>
      </c>
    </row>
    <row r="1117" ht="15.75" customHeight="1">
      <c r="B1117" s="371" t="s">
        <v>7007</v>
      </c>
      <c r="C1117" s="371" t="s">
        <v>8314</v>
      </c>
      <c r="D1117" s="371" t="s">
        <v>2205</v>
      </c>
    </row>
    <row r="1118" ht="15.75" customHeight="1">
      <c r="B1118" s="371" t="s">
        <v>6854</v>
      </c>
      <c r="C1118" s="371" t="s">
        <v>8314</v>
      </c>
      <c r="D1118" s="371" t="s">
        <v>2205</v>
      </c>
    </row>
    <row r="1119" ht="15.75" customHeight="1">
      <c r="B1119" s="371" t="s">
        <v>8373</v>
      </c>
      <c r="C1119" s="371" t="s">
        <v>8314</v>
      </c>
      <c r="D1119" s="371" t="s">
        <v>2205</v>
      </c>
    </row>
    <row r="1120" ht="15.75" customHeight="1">
      <c r="B1120" s="371" t="s">
        <v>6858</v>
      </c>
      <c r="C1120" s="371" t="s">
        <v>8314</v>
      </c>
      <c r="D1120" s="371" t="s">
        <v>2205</v>
      </c>
    </row>
    <row r="1121" ht="15.75" customHeight="1">
      <c r="B1121" s="371" t="s">
        <v>8374</v>
      </c>
      <c r="C1121" s="371" t="s">
        <v>8314</v>
      </c>
      <c r="D1121" s="371" t="s">
        <v>2205</v>
      </c>
    </row>
    <row r="1122" ht="15.75" customHeight="1">
      <c r="B1122" s="371" t="s">
        <v>6862</v>
      </c>
      <c r="C1122" s="371" t="s">
        <v>8314</v>
      </c>
      <c r="D1122" s="371" t="s">
        <v>2205</v>
      </c>
    </row>
    <row r="1123" ht="15.75" customHeight="1">
      <c r="B1123" s="371" t="s">
        <v>8375</v>
      </c>
      <c r="C1123" s="371" t="s">
        <v>8314</v>
      </c>
      <c r="D1123" s="371" t="s">
        <v>2205</v>
      </c>
    </row>
    <row r="1124" ht="15.75" customHeight="1">
      <c r="B1124" s="371" t="s">
        <v>6985</v>
      </c>
      <c r="C1124" s="371" t="s">
        <v>8314</v>
      </c>
      <c r="D1124" s="371" t="s">
        <v>2205</v>
      </c>
    </row>
    <row r="1125" ht="15.75" customHeight="1">
      <c r="B1125" s="371" t="s">
        <v>6989</v>
      </c>
      <c r="C1125" s="371" t="s">
        <v>8314</v>
      </c>
      <c r="D1125" s="371" t="s">
        <v>2205</v>
      </c>
    </row>
    <row r="1126" ht="15.75" customHeight="1">
      <c r="B1126" s="371" t="s">
        <v>8376</v>
      </c>
      <c r="C1126" s="371" t="s">
        <v>8314</v>
      </c>
      <c r="D1126" s="371" t="s">
        <v>2205</v>
      </c>
    </row>
    <row r="1127" ht="15.75" customHeight="1">
      <c r="B1127" s="371" t="s">
        <v>6963</v>
      </c>
      <c r="C1127" s="371" t="s">
        <v>8314</v>
      </c>
      <c r="D1127" s="371" t="s">
        <v>2205</v>
      </c>
    </row>
    <row r="1128" ht="15.75" customHeight="1">
      <c r="B1128" s="371" t="s">
        <v>6967</v>
      </c>
      <c r="C1128" s="371" t="s">
        <v>8314</v>
      </c>
      <c r="D1128" s="371" t="s">
        <v>2205</v>
      </c>
    </row>
    <row r="1129" ht="15.75" customHeight="1">
      <c r="B1129" s="371" t="s">
        <v>8377</v>
      </c>
      <c r="C1129" s="371" t="s">
        <v>8378</v>
      </c>
      <c r="D1129" s="371" t="s">
        <v>2205</v>
      </c>
    </row>
    <row r="1130" ht="15.75" customHeight="1">
      <c r="B1130" s="371" t="s">
        <v>8379</v>
      </c>
      <c r="C1130" s="371" t="s">
        <v>8380</v>
      </c>
      <c r="D1130" s="371" t="s">
        <v>2205</v>
      </c>
    </row>
    <row r="1131" ht="15.75" customHeight="1">
      <c r="B1131" s="371" t="s">
        <v>8381</v>
      </c>
      <c r="C1131" s="371" t="s">
        <v>8382</v>
      </c>
      <c r="D1131" s="371" t="s">
        <v>2205</v>
      </c>
    </row>
    <row r="1132" ht="15.75" customHeight="1">
      <c r="B1132" s="371" t="s">
        <v>6978</v>
      </c>
      <c r="C1132" s="371" t="s">
        <v>8314</v>
      </c>
      <c r="D1132" s="371" t="s">
        <v>2205</v>
      </c>
    </row>
    <row r="1133" ht="15.75" customHeight="1">
      <c r="B1133" s="371" t="s">
        <v>8383</v>
      </c>
      <c r="C1133" s="371" t="s">
        <v>8314</v>
      </c>
      <c r="D1133" s="371" t="s">
        <v>2205</v>
      </c>
    </row>
    <row r="1134" ht="15.75" customHeight="1">
      <c r="B1134" s="371" t="s">
        <v>6980</v>
      </c>
      <c r="C1134" s="371" t="s">
        <v>8314</v>
      </c>
      <c r="D1134" s="371" t="s">
        <v>2205</v>
      </c>
    </row>
    <row r="1135" ht="15.75" customHeight="1">
      <c r="B1135" s="371" t="s">
        <v>6976</v>
      </c>
      <c r="C1135" s="371" t="s">
        <v>8314</v>
      </c>
      <c r="D1135" s="371" t="s">
        <v>2205</v>
      </c>
    </row>
    <row r="1136" ht="15.75" customHeight="1">
      <c r="B1136" s="371" t="s">
        <v>6972</v>
      </c>
      <c r="C1136" s="371" t="s">
        <v>8314</v>
      </c>
      <c r="D1136" s="371" t="s">
        <v>2205</v>
      </c>
    </row>
    <row r="1137" ht="15.75" customHeight="1">
      <c r="B1137" s="371" t="s">
        <v>6881</v>
      </c>
      <c r="C1137" s="371" t="s">
        <v>8314</v>
      </c>
      <c r="D1137" s="371" t="s">
        <v>2205</v>
      </c>
    </row>
    <row r="1138" ht="15.75" customHeight="1">
      <c r="B1138" s="371" t="s">
        <v>8384</v>
      </c>
      <c r="C1138" s="371" t="s">
        <v>8314</v>
      </c>
      <c r="D1138" s="371" t="s">
        <v>2205</v>
      </c>
    </row>
    <row r="1139" ht="15.75" customHeight="1">
      <c r="B1139" s="371" t="s">
        <v>8385</v>
      </c>
      <c r="C1139" s="371" t="s">
        <v>8386</v>
      </c>
      <c r="D1139" s="371" t="s">
        <v>2205</v>
      </c>
    </row>
    <row r="1140" ht="15.75" customHeight="1">
      <c r="B1140" s="371" t="s">
        <v>8387</v>
      </c>
      <c r="C1140" s="371" t="s">
        <v>8314</v>
      </c>
      <c r="D1140" s="371" t="s">
        <v>2205</v>
      </c>
    </row>
    <row r="1141" ht="15.75" customHeight="1">
      <c r="B1141" s="371" t="s">
        <v>6889</v>
      </c>
      <c r="C1141" s="371" t="s">
        <v>8314</v>
      </c>
      <c r="D1141" s="371" t="s">
        <v>2205</v>
      </c>
    </row>
    <row r="1142" ht="15.75" customHeight="1">
      <c r="B1142" s="371" t="s">
        <v>8388</v>
      </c>
      <c r="C1142" s="371" t="s">
        <v>8314</v>
      </c>
      <c r="D1142" s="371" t="s">
        <v>2205</v>
      </c>
    </row>
    <row r="1143" ht="15.75" customHeight="1">
      <c r="B1143" s="371" t="s">
        <v>8389</v>
      </c>
      <c r="C1143" s="371" t="s">
        <v>8334</v>
      </c>
      <c r="D1143" s="371" t="s">
        <v>2139</v>
      </c>
    </row>
    <row r="1144" ht="15.75" customHeight="1">
      <c r="B1144" s="371" t="s">
        <v>8390</v>
      </c>
      <c r="C1144" s="371" t="s">
        <v>8334</v>
      </c>
      <c r="D1144" s="371" t="s">
        <v>2205</v>
      </c>
    </row>
    <row r="1145" ht="15.75" customHeight="1">
      <c r="B1145" s="371" t="s">
        <v>8391</v>
      </c>
      <c r="C1145" s="371" t="s">
        <v>8334</v>
      </c>
      <c r="D1145" s="371" t="s">
        <v>2139</v>
      </c>
    </row>
    <row r="1146" ht="15.75" customHeight="1">
      <c r="B1146" s="371" t="s">
        <v>8392</v>
      </c>
      <c r="C1146" s="371" t="s">
        <v>8393</v>
      </c>
      <c r="D1146" s="371" t="s">
        <v>2205</v>
      </c>
    </row>
    <row r="1147" ht="15.75" customHeight="1">
      <c r="B1147" s="371" t="s">
        <v>8394</v>
      </c>
      <c r="C1147" s="371" t="s">
        <v>8395</v>
      </c>
      <c r="D1147" s="371" t="s">
        <v>2205</v>
      </c>
    </row>
    <row r="1148" ht="15.75" customHeight="1">
      <c r="B1148" s="371" t="s">
        <v>6911</v>
      </c>
      <c r="C1148" s="371" t="s">
        <v>8314</v>
      </c>
      <c r="D1148" s="371" t="s">
        <v>2205</v>
      </c>
    </row>
    <row r="1149" ht="15.75" customHeight="1">
      <c r="B1149" s="371" t="s">
        <v>8396</v>
      </c>
      <c r="C1149" s="371" t="s">
        <v>8314</v>
      </c>
      <c r="D1149" s="371" t="s">
        <v>2139</v>
      </c>
    </row>
    <row r="1150" ht="15.75" customHeight="1">
      <c r="B1150" s="371" t="s">
        <v>6872</v>
      </c>
      <c r="C1150" s="371" t="s">
        <v>8314</v>
      </c>
      <c r="D1150" s="371" t="s">
        <v>2205</v>
      </c>
    </row>
    <row r="1151" ht="15.75" customHeight="1">
      <c r="B1151" s="371" t="s">
        <v>8397</v>
      </c>
      <c r="C1151" s="371" t="s">
        <v>8314</v>
      </c>
      <c r="D1151" s="371" t="s">
        <v>2205</v>
      </c>
    </row>
    <row r="1152" ht="15.75" customHeight="1">
      <c r="B1152" s="371" t="s">
        <v>6832</v>
      </c>
      <c r="C1152" s="371" t="s">
        <v>8398</v>
      </c>
      <c r="D1152" s="371" t="s">
        <v>2205</v>
      </c>
    </row>
    <row r="1153" ht="15.75" customHeight="1">
      <c r="B1153" s="371" t="s">
        <v>8399</v>
      </c>
      <c r="C1153" s="371" t="s">
        <v>8400</v>
      </c>
      <c r="D1153" s="371" t="s">
        <v>2205</v>
      </c>
    </row>
    <row r="1154" ht="15.75" customHeight="1">
      <c r="B1154" s="371" t="s">
        <v>1642</v>
      </c>
      <c r="C1154" s="371" t="s">
        <v>8401</v>
      </c>
      <c r="D1154" s="371" t="s">
        <v>2205</v>
      </c>
    </row>
    <row r="1155" ht="15.75" customHeight="1">
      <c r="B1155" s="371" t="s">
        <v>1645</v>
      </c>
      <c r="C1155" s="371" t="s">
        <v>7341</v>
      </c>
      <c r="D1155" s="371" t="s">
        <v>2139</v>
      </c>
    </row>
    <row r="1156" ht="15.75" customHeight="1">
      <c r="B1156" s="371" t="s">
        <v>288</v>
      </c>
      <c r="C1156" s="371" t="s">
        <v>8402</v>
      </c>
      <c r="D1156" s="371" t="s">
        <v>2205</v>
      </c>
    </row>
    <row r="1157" ht="15.75" customHeight="1">
      <c r="B1157" s="371" t="s">
        <v>8403</v>
      </c>
      <c r="C1157" s="371" t="s">
        <v>8404</v>
      </c>
      <c r="D1157" s="371" t="s">
        <v>2205</v>
      </c>
    </row>
    <row r="1158" ht="15.75" customHeight="1">
      <c r="B1158" s="371" t="s">
        <v>6213</v>
      </c>
      <c r="C1158" s="371" t="s">
        <v>8405</v>
      </c>
      <c r="D1158" s="371" t="s">
        <v>2139</v>
      </c>
    </row>
    <row r="1159" ht="15.75" customHeight="1">
      <c r="B1159" s="371" t="s">
        <v>6215</v>
      </c>
      <c r="C1159" s="371" t="s">
        <v>8405</v>
      </c>
      <c r="D1159" s="371" t="s">
        <v>2205</v>
      </c>
    </row>
    <row r="1160" ht="15.75" customHeight="1">
      <c r="B1160" s="371" t="s">
        <v>6530</v>
      </c>
      <c r="C1160" s="371" t="s">
        <v>7470</v>
      </c>
      <c r="D1160" s="371" t="s">
        <v>2205</v>
      </c>
    </row>
    <row r="1161" ht="15.75" customHeight="1">
      <c r="B1161" s="371" t="s">
        <v>6221</v>
      </c>
      <c r="C1161" s="371" t="s">
        <v>8405</v>
      </c>
      <c r="D1161" s="371" t="s">
        <v>2139</v>
      </c>
    </row>
    <row r="1162" ht="15.75" customHeight="1">
      <c r="B1162" s="371" t="s">
        <v>6602</v>
      </c>
      <c r="C1162" s="371" t="s">
        <v>8234</v>
      </c>
      <c r="D1162" s="371" t="s">
        <v>2139</v>
      </c>
    </row>
    <row r="1163" ht="15.75" customHeight="1">
      <c r="B1163" s="371" t="s">
        <v>6604</v>
      </c>
      <c r="C1163" s="371" t="s">
        <v>8234</v>
      </c>
      <c r="D1163" s="371" t="s">
        <v>2139</v>
      </c>
    </row>
    <row r="1164" ht="15.75" customHeight="1">
      <c r="B1164" s="371" t="s">
        <v>6606</v>
      </c>
      <c r="C1164" s="371" t="s">
        <v>8234</v>
      </c>
      <c r="D1164" s="371" t="s">
        <v>2139</v>
      </c>
    </row>
    <row r="1165" ht="15.75" customHeight="1">
      <c r="B1165" s="371" t="s">
        <v>8406</v>
      </c>
      <c r="C1165" s="371" t="s">
        <v>8407</v>
      </c>
      <c r="D1165" s="371" t="s">
        <v>2139</v>
      </c>
    </row>
    <row r="1166" ht="15.75" customHeight="1">
      <c r="B1166" s="371" t="s">
        <v>8408</v>
      </c>
      <c r="C1166" s="371" t="s">
        <v>8409</v>
      </c>
      <c r="D1166" s="371" t="s">
        <v>2205</v>
      </c>
    </row>
    <row r="1167" ht="15.75" customHeight="1">
      <c r="B1167" s="371" t="s">
        <v>3504</v>
      </c>
      <c r="C1167" s="371" t="s">
        <v>8410</v>
      </c>
      <c r="D1167" s="371" t="s">
        <v>2205</v>
      </c>
    </row>
    <row r="1168" ht="15.75" customHeight="1">
      <c r="B1168" s="371" t="s">
        <v>8411</v>
      </c>
      <c r="C1168" s="371" t="s">
        <v>8412</v>
      </c>
      <c r="D1168" s="371" t="s">
        <v>2205</v>
      </c>
    </row>
    <row r="1169" ht="15.75" customHeight="1">
      <c r="B1169" s="371" t="s">
        <v>8413</v>
      </c>
      <c r="C1169" s="371" t="s">
        <v>8414</v>
      </c>
      <c r="D1169" s="371" t="s">
        <v>2205</v>
      </c>
    </row>
    <row r="1170" ht="15.75" customHeight="1">
      <c r="B1170" s="371" t="s">
        <v>8415</v>
      </c>
      <c r="C1170" s="371" t="s">
        <v>8416</v>
      </c>
      <c r="D1170" s="371" t="s">
        <v>2205</v>
      </c>
    </row>
    <row r="1171" ht="15.75" customHeight="1">
      <c r="B1171" s="371" t="s">
        <v>8417</v>
      </c>
      <c r="C1171" s="371" t="s">
        <v>8418</v>
      </c>
      <c r="D1171" s="371" t="s">
        <v>2205</v>
      </c>
    </row>
    <row r="1172" ht="15.75" customHeight="1">
      <c r="B1172" s="371" t="s">
        <v>8419</v>
      </c>
      <c r="C1172" s="371" t="s">
        <v>8420</v>
      </c>
      <c r="D1172" s="371" t="s">
        <v>2205</v>
      </c>
    </row>
    <row r="1173" ht="15.75" customHeight="1">
      <c r="B1173" s="371" t="s">
        <v>8421</v>
      </c>
      <c r="C1173" s="371" t="s">
        <v>8422</v>
      </c>
      <c r="D1173" s="371" t="s">
        <v>2205</v>
      </c>
    </row>
    <row r="1174" ht="15.75" customHeight="1">
      <c r="B1174" s="371" t="s">
        <v>8423</v>
      </c>
      <c r="C1174" s="371" t="s">
        <v>8424</v>
      </c>
      <c r="D1174" s="371" t="s">
        <v>2205</v>
      </c>
    </row>
    <row r="1175" ht="15.75" customHeight="1">
      <c r="B1175" s="371" t="s">
        <v>8425</v>
      </c>
      <c r="C1175" s="371" t="s">
        <v>8426</v>
      </c>
      <c r="D1175" s="371" t="s">
        <v>2205</v>
      </c>
    </row>
    <row r="1176" ht="15.75" customHeight="1">
      <c r="B1176" s="371" t="s">
        <v>8427</v>
      </c>
      <c r="C1176" s="371" t="s">
        <v>8428</v>
      </c>
      <c r="D1176" s="371" t="s">
        <v>2205</v>
      </c>
    </row>
    <row r="1177" ht="15.75" customHeight="1">
      <c r="B1177" s="371" t="s">
        <v>8429</v>
      </c>
      <c r="C1177" s="371" t="s">
        <v>8430</v>
      </c>
      <c r="D1177" s="371" t="s">
        <v>2139</v>
      </c>
    </row>
    <row r="1178" ht="15.75" customHeight="1">
      <c r="B1178" s="371" t="s">
        <v>8431</v>
      </c>
      <c r="C1178" s="371" t="s">
        <v>8432</v>
      </c>
      <c r="D1178" s="371" t="s">
        <v>2205</v>
      </c>
    </row>
    <row r="1179" ht="15.75" customHeight="1">
      <c r="B1179" s="371" t="s">
        <v>8433</v>
      </c>
      <c r="C1179" s="371" t="s">
        <v>8434</v>
      </c>
      <c r="D1179" s="371" t="s">
        <v>2139</v>
      </c>
    </row>
    <row r="1180" ht="15.75" customHeight="1">
      <c r="B1180" s="371" t="s">
        <v>8435</v>
      </c>
      <c r="C1180" s="371" t="s">
        <v>8436</v>
      </c>
      <c r="D1180" s="371" t="s">
        <v>2205</v>
      </c>
    </row>
    <row r="1181" ht="15.75" customHeight="1">
      <c r="B1181" s="371" t="s">
        <v>8437</v>
      </c>
      <c r="C1181" s="371" t="s">
        <v>8438</v>
      </c>
      <c r="D1181" s="371" t="s">
        <v>2139</v>
      </c>
    </row>
    <row r="1182" ht="15.75" customHeight="1">
      <c r="B1182" s="371" t="s">
        <v>8439</v>
      </c>
      <c r="C1182" s="371" t="s">
        <v>8436</v>
      </c>
      <c r="D1182" s="371" t="s">
        <v>2205</v>
      </c>
    </row>
    <row r="1183" ht="15.75" customHeight="1">
      <c r="B1183" s="371" t="s">
        <v>8440</v>
      </c>
      <c r="C1183" s="371" t="s">
        <v>8436</v>
      </c>
      <c r="D1183" s="371" t="s">
        <v>2205</v>
      </c>
    </row>
    <row r="1184" ht="15.75" customHeight="1">
      <c r="B1184" s="371" t="s">
        <v>8441</v>
      </c>
      <c r="C1184" s="371" t="s">
        <v>8436</v>
      </c>
      <c r="D1184" s="371" t="s">
        <v>2205</v>
      </c>
    </row>
    <row r="1185" ht="15.75" customHeight="1">
      <c r="B1185" s="371" t="s">
        <v>8442</v>
      </c>
      <c r="C1185" s="371" t="s">
        <v>8443</v>
      </c>
      <c r="D1185" s="371" t="s">
        <v>2205</v>
      </c>
    </row>
    <row r="1186" ht="15.75" customHeight="1">
      <c r="B1186" s="371" t="s">
        <v>8444</v>
      </c>
      <c r="C1186" s="371" t="s">
        <v>8445</v>
      </c>
      <c r="D1186" s="371" t="s">
        <v>2205</v>
      </c>
    </row>
    <row r="1187" ht="15.75" customHeight="1">
      <c r="B1187" s="371" t="s">
        <v>8446</v>
      </c>
      <c r="C1187" s="371" t="s">
        <v>8447</v>
      </c>
      <c r="D1187" s="371" t="s">
        <v>2205</v>
      </c>
    </row>
    <row r="1188" ht="15.75" customHeight="1">
      <c r="B1188" s="371" t="s">
        <v>8448</v>
      </c>
      <c r="C1188" s="371" t="s">
        <v>8436</v>
      </c>
      <c r="D1188" s="371" t="s">
        <v>2139</v>
      </c>
    </row>
    <row r="1189" ht="15.75" customHeight="1">
      <c r="B1189" s="371" t="s">
        <v>8449</v>
      </c>
      <c r="C1189" s="371" t="s">
        <v>8450</v>
      </c>
      <c r="D1189" s="371" t="s">
        <v>2205</v>
      </c>
    </row>
    <row r="1190" ht="15.75" customHeight="1">
      <c r="B1190" s="371" t="s">
        <v>8451</v>
      </c>
      <c r="C1190" s="371" t="s">
        <v>8452</v>
      </c>
      <c r="D1190" s="371" t="s">
        <v>2205</v>
      </c>
    </row>
    <row r="1191" ht="15.75" customHeight="1">
      <c r="B1191" s="371" t="s">
        <v>8453</v>
      </c>
      <c r="C1191" s="371" t="s">
        <v>8454</v>
      </c>
      <c r="D1191" s="371" t="s">
        <v>2205</v>
      </c>
    </row>
    <row r="1192" ht="15.75" customHeight="1">
      <c r="B1192" s="371" t="s">
        <v>8455</v>
      </c>
      <c r="C1192" s="371" t="s">
        <v>8456</v>
      </c>
      <c r="D1192" s="371" t="s">
        <v>2205</v>
      </c>
    </row>
    <row r="1193" ht="15.75" customHeight="1">
      <c r="B1193" s="371" t="s">
        <v>8457</v>
      </c>
      <c r="C1193" s="371" t="s">
        <v>8458</v>
      </c>
      <c r="D1193" s="371" t="s">
        <v>2205</v>
      </c>
    </row>
    <row r="1194" ht="15.75" customHeight="1">
      <c r="B1194" s="371" t="s">
        <v>8459</v>
      </c>
      <c r="C1194" s="371" t="s">
        <v>8460</v>
      </c>
      <c r="D1194" s="371" t="s">
        <v>2205</v>
      </c>
    </row>
    <row r="1195" ht="15.75" customHeight="1">
      <c r="B1195" s="371" t="s">
        <v>8461</v>
      </c>
      <c r="C1195" s="371" t="s">
        <v>8462</v>
      </c>
      <c r="D1195" s="371" t="s">
        <v>2205</v>
      </c>
    </row>
    <row r="1196" ht="15.75" customHeight="1">
      <c r="B1196" s="371" t="s">
        <v>8463</v>
      </c>
      <c r="C1196" s="371" t="s">
        <v>8464</v>
      </c>
      <c r="D1196" s="371" t="s">
        <v>2205</v>
      </c>
    </row>
    <row r="1197" ht="15.75" customHeight="1">
      <c r="B1197" s="371" t="s">
        <v>8465</v>
      </c>
      <c r="C1197" s="371" t="s">
        <v>8466</v>
      </c>
      <c r="D1197" s="371" t="s">
        <v>2205</v>
      </c>
    </row>
    <row r="1198" ht="15.75" customHeight="1">
      <c r="B1198" s="371" t="s">
        <v>8467</v>
      </c>
      <c r="C1198" s="371" t="s">
        <v>8468</v>
      </c>
      <c r="D1198" s="371" t="s">
        <v>2205</v>
      </c>
    </row>
    <row r="1199" ht="15.75" customHeight="1">
      <c r="B1199" s="371" t="s">
        <v>8469</v>
      </c>
      <c r="C1199" s="371" t="s">
        <v>8470</v>
      </c>
      <c r="D1199" s="371" t="s">
        <v>2205</v>
      </c>
    </row>
    <row r="1200" ht="15.75" customHeight="1">
      <c r="B1200" s="371" t="s">
        <v>8471</v>
      </c>
      <c r="C1200" s="371" t="s">
        <v>8472</v>
      </c>
      <c r="D1200" s="371" t="s">
        <v>2205</v>
      </c>
    </row>
    <row r="1201" ht="15.75" customHeight="1">
      <c r="B1201" s="371" t="s">
        <v>8473</v>
      </c>
      <c r="C1201" s="371" t="s">
        <v>8474</v>
      </c>
      <c r="D1201" s="371" t="s">
        <v>2205</v>
      </c>
    </row>
    <row r="1202" ht="15.75" customHeight="1">
      <c r="B1202" s="371" t="s">
        <v>8475</v>
      </c>
      <c r="C1202" s="371" t="s">
        <v>8476</v>
      </c>
      <c r="D1202" s="371" t="s">
        <v>2139</v>
      </c>
    </row>
    <row r="1203" ht="15.75" customHeight="1">
      <c r="B1203" s="371" t="s">
        <v>8477</v>
      </c>
      <c r="C1203" s="371" t="s">
        <v>8478</v>
      </c>
      <c r="D1203" s="371" t="s">
        <v>2139</v>
      </c>
    </row>
    <row r="1204" ht="15.75" customHeight="1">
      <c r="B1204" s="371" t="s">
        <v>8479</v>
      </c>
      <c r="C1204" s="371" t="s">
        <v>8480</v>
      </c>
      <c r="D1204" s="371" t="s">
        <v>2205</v>
      </c>
    </row>
    <row r="1205" ht="15.75" customHeight="1">
      <c r="B1205" s="371" t="s">
        <v>8481</v>
      </c>
      <c r="C1205" s="371" t="s">
        <v>8482</v>
      </c>
      <c r="D1205" s="371" t="s">
        <v>2205</v>
      </c>
    </row>
    <row r="1206" ht="15.75" customHeight="1">
      <c r="B1206" s="371" t="s">
        <v>8483</v>
      </c>
      <c r="C1206" s="371" t="s">
        <v>8484</v>
      </c>
      <c r="D1206" s="371" t="s">
        <v>2205</v>
      </c>
    </row>
    <row r="1207" ht="15.75" customHeight="1">
      <c r="B1207" s="371" t="s">
        <v>8485</v>
      </c>
      <c r="C1207" s="371" t="s">
        <v>8486</v>
      </c>
      <c r="D1207" s="371" t="s">
        <v>2139</v>
      </c>
    </row>
    <row r="1208" ht="15.75" customHeight="1">
      <c r="B1208" s="371" t="s">
        <v>8487</v>
      </c>
      <c r="C1208" s="371" t="s">
        <v>8488</v>
      </c>
      <c r="D1208" s="371" t="s">
        <v>2205</v>
      </c>
    </row>
    <row r="1209" ht="15.75" customHeight="1">
      <c r="B1209" s="371" t="s">
        <v>4473</v>
      </c>
      <c r="C1209" s="371" t="s">
        <v>8489</v>
      </c>
      <c r="D1209" s="371" t="s">
        <v>2205</v>
      </c>
    </row>
    <row r="1210" ht="15.75" customHeight="1">
      <c r="B1210" s="371" t="s">
        <v>8490</v>
      </c>
      <c r="C1210" s="371" t="s">
        <v>8491</v>
      </c>
      <c r="D1210" s="371" t="s">
        <v>2139</v>
      </c>
    </row>
    <row r="1211" ht="15.75" customHeight="1">
      <c r="B1211" s="371" t="s">
        <v>8492</v>
      </c>
      <c r="C1211" s="371" t="s">
        <v>8493</v>
      </c>
      <c r="D1211" s="371" t="s">
        <v>2205</v>
      </c>
    </row>
    <row r="1212" ht="15.75" customHeight="1">
      <c r="B1212" s="371" t="s">
        <v>8494</v>
      </c>
      <c r="C1212" s="371" t="s">
        <v>8495</v>
      </c>
      <c r="D1212" s="371" t="s">
        <v>2205</v>
      </c>
    </row>
    <row r="1213" ht="15.75" customHeight="1">
      <c r="B1213" s="371" t="s">
        <v>8496</v>
      </c>
      <c r="C1213" s="371" t="s">
        <v>8497</v>
      </c>
      <c r="D1213" s="371" t="s">
        <v>2139</v>
      </c>
    </row>
    <row r="1214" ht="15.75" customHeight="1">
      <c r="B1214" s="371" t="s">
        <v>8498</v>
      </c>
      <c r="C1214" s="371" t="s">
        <v>8499</v>
      </c>
      <c r="D1214" s="371" t="s">
        <v>2205</v>
      </c>
    </row>
    <row r="1215" ht="15.75" customHeight="1">
      <c r="B1215" s="371" t="s">
        <v>8500</v>
      </c>
      <c r="C1215" s="371" t="s">
        <v>8501</v>
      </c>
      <c r="D1215" s="371" t="s">
        <v>2205</v>
      </c>
    </row>
    <row r="1216" ht="15.75" customHeight="1">
      <c r="B1216" s="371" t="s">
        <v>8502</v>
      </c>
      <c r="C1216" s="371" t="s">
        <v>8503</v>
      </c>
      <c r="D1216" s="371" t="s">
        <v>2205</v>
      </c>
    </row>
    <row r="1217" ht="15.75" customHeight="1">
      <c r="B1217" s="371" t="s">
        <v>8504</v>
      </c>
      <c r="C1217" s="371" t="s">
        <v>8503</v>
      </c>
      <c r="D1217" s="371" t="s">
        <v>2205</v>
      </c>
    </row>
    <row r="1218" ht="15.75" customHeight="1">
      <c r="B1218" s="371" t="s">
        <v>8505</v>
      </c>
      <c r="C1218" s="371" t="s">
        <v>8497</v>
      </c>
      <c r="D1218" s="371" t="s">
        <v>2139</v>
      </c>
    </row>
    <row r="1219" ht="15.75" customHeight="1">
      <c r="B1219" s="371" t="s">
        <v>3515</v>
      </c>
      <c r="C1219" s="371" t="s">
        <v>8506</v>
      </c>
      <c r="D1219" s="371" t="s">
        <v>2139</v>
      </c>
    </row>
    <row r="1220" ht="15.75" customHeight="1">
      <c r="B1220" s="371" t="s">
        <v>3519</v>
      </c>
      <c r="C1220" s="371" t="s">
        <v>8506</v>
      </c>
      <c r="D1220" s="371" t="s">
        <v>2139</v>
      </c>
    </row>
    <row r="1221" ht="15.75" customHeight="1">
      <c r="B1221" s="371" t="s">
        <v>8507</v>
      </c>
      <c r="C1221" s="371" t="s">
        <v>8480</v>
      </c>
      <c r="D1221" s="371" t="s">
        <v>2139</v>
      </c>
    </row>
    <row r="1222" ht="15.75" customHeight="1">
      <c r="B1222" s="371" t="s">
        <v>8508</v>
      </c>
      <c r="C1222" s="371" t="s">
        <v>8509</v>
      </c>
      <c r="D1222" s="371" t="s">
        <v>2205</v>
      </c>
    </row>
    <row r="1223" ht="15.75" customHeight="1">
      <c r="B1223" s="371" t="s">
        <v>8510</v>
      </c>
      <c r="C1223" s="371" t="s">
        <v>3514</v>
      </c>
      <c r="D1223" s="371" t="s">
        <v>2205</v>
      </c>
    </row>
    <row r="1224" ht="15.75" customHeight="1">
      <c r="B1224" s="371" t="s">
        <v>1647</v>
      </c>
      <c r="C1224" s="371" t="s">
        <v>7341</v>
      </c>
      <c r="D1224" s="371" t="s">
        <v>2139</v>
      </c>
    </row>
    <row r="1225" ht="15.75" customHeight="1">
      <c r="B1225" s="371" t="s">
        <v>1649</v>
      </c>
      <c r="C1225" s="371" t="s">
        <v>7341</v>
      </c>
      <c r="D1225" s="371" t="s">
        <v>2139</v>
      </c>
    </row>
    <row r="1226" ht="15.75" customHeight="1">
      <c r="B1226" s="371" t="s">
        <v>8511</v>
      </c>
      <c r="C1226" s="371" t="s">
        <v>7341</v>
      </c>
      <c r="D1226" s="371" t="s">
        <v>2139</v>
      </c>
    </row>
    <row r="1227" ht="15.75" customHeight="1">
      <c r="B1227" s="371" t="s">
        <v>8512</v>
      </c>
      <c r="C1227" s="371" t="s">
        <v>8513</v>
      </c>
      <c r="D1227" s="371" t="s">
        <v>2205</v>
      </c>
    </row>
    <row r="1228" ht="15.75" customHeight="1">
      <c r="B1228" s="371" t="s">
        <v>8514</v>
      </c>
      <c r="C1228" s="371" t="s">
        <v>8515</v>
      </c>
      <c r="D1228" s="371" t="s">
        <v>2205</v>
      </c>
    </row>
    <row r="1229" ht="15.75" customHeight="1">
      <c r="B1229" s="371" t="s">
        <v>8516</v>
      </c>
      <c r="C1229" s="371" t="s">
        <v>8517</v>
      </c>
      <c r="D1229" s="371" t="s">
        <v>2205</v>
      </c>
    </row>
    <row r="1230" ht="15.75" customHeight="1">
      <c r="B1230" s="371" t="s">
        <v>8518</v>
      </c>
      <c r="C1230" s="371" t="s">
        <v>8519</v>
      </c>
      <c r="D1230" s="371" t="s">
        <v>2205</v>
      </c>
    </row>
    <row r="1231" ht="15.75" customHeight="1">
      <c r="B1231" s="371" t="s">
        <v>8520</v>
      </c>
      <c r="C1231" s="371" t="s">
        <v>8521</v>
      </c>
      <c r="D1231" s="371" t="s">
        <v>2205</v>
      </c>
    </row>
    <row r="1232" ht="15.75" customHeight="1">
      <c r="B1232" s="371" t="s">
        <v>8522</v>
      </c>
      <c r="C1232" s="371" t="s">
        <v>8521</v>
      </c>
      <c r="D1232" s="371" t="s">
        <v>2139</v>
      </c>
    </row>
    <row r="1233" ht="15.75" customHeight="1">
      <c r="B1233" s="371" t="s">
        <v>4347</v>
      </c>
      <c r="C1233" s="371" t="s">
        <v>8523</v>
      </c>
      <c r="D1233" s="371" t="s">
        <v>2205</v>
      </c>
    </row>
    <row r="1234" ht="15.75" customHeight="1">
      <c r="B1234" s="371" t="s">
        <v>8524</v>
      </c>
      <c r="C1234" s="371" t="s">
        <v>8525</v>
      </c>
      <c r="D1234" s="371" t="s">
        <v>2205</v>
      </c>
    </row>
    <row r="1235" ht="15.75" customHeight="1">
      <c r="B1235" s="371" t="s">
        <v>8526</v>
      </c>
      <c r="C1235" s="371" t="s">
        <v>8527</v>
      </c>
      <c r="D1235" s="371" t="s">
        <v>2205</v>
      </c>
    </row>
    <row r="1236" ht="15.75" customHeight="1">
      <c r="B1236" s="371" t="s">
        <v>8528</v>
      </c>
      <c r="C1236" s="371" t="s">
        <v>8529</v>
      </c>
      <c r="D1236" s="371" t="s">
        <v>2205</v>
      </c>
    </row>
    <row r="1237" ht="15.75" customHeight="1">
      <c r="B1237" s="371" t="s">
        <v>8530</v>
      </c>
      <c r="C1237" s="371" t="s">
        <v>7355</v>
      </c>
      <c r="D1237" s="371" t="s">
        <v>2205</v>
      </c>
    </row>
    <row r="1238" ht="15.75" customHeight="1">
      <c r="B1238" s="371" t="s">
        <v>6823</v>
      </c>
      <c r="C1238" s="371" t="s">
        <v>7355</v>
      </c>
      <c r="D1238" s="371" t="s">
        <v>2205</v>
      </c>
    </row>
    <row r="1239" ht="15.75" customHeight="1">
      <c r="B1239" s="371" t="s">
        <v>8531</v>
      </c>
      <c r="C1239" s="371" t="s">
        <v>7355</v>
      </c>
      <c r="D1239" s="371" t="s">
        <v>2205</v>
      </c>
    </row>
    <row r="1240" ht="15.75" customHeight="1">
      <c r="B1240" s="371" t="s">
        <v>6827</v>
      </c>
      <c r="C1240" s="371" t="s">
        <v>7355</v>
      </c>
      <c r="D1240" s="371" t="s">
        <v>2205</v>
      </c>
    </row>
    <row r="1241" ht="15.75" customHeight="1">
      <c r="B1241" s="371" t="s">
        <v>8532</v>
      </c>
      <c r="C1241" s="371" t="s">
        <v>8533</v>
      </c>
      <c r="D1241" s="371" t="s">
        <v>2205</v>
      </c>
    </row>
    <row r="1242" ht="15.75" customHeight="1">
      <c r="B1242" s="371" t="s">
        <v>2203</v>
      </c>
      <c r="C1242" s="371" t="s">
        <v>8534</v>
      </c>
      <c r="D1242" s="371" t="s">
        <v>2205</v>
      </c>
    </row>
    <row r="1243" ht="15.75" customHeight="1">
      <c r="B1243" s="371" t="s">
        <v>8535</v>
      </c>
      <c r="C1243" s="371" t="s">
        <v>7213</v>
      </c>
      <c r="D1243" s="371" t="s">
        <v>2205</v>
      </c>
    </row>
    <row r="1244" ht="15.75" customHeight="1">
      <c r="B1244" s="371" t="s">
        <v>6612</v>
      </c>
      <c r="C1244" s="371" t="s">
        <v>7470</v>
      </c>
      <c r="D1244" s="371" t="s">
        <v>2205</v>
      </c>
    </row>
    <row r="1245" ht="15.75" customHeight="1">
      <c r="B1245" s="371" t="s">
        <v>3011</v>
      </c>
      <c r="C1245" s="371" t="s">
        <v>8536</v>
      </c>
      <c r="D1245" s="371" t="s">
        <v>2205</v>
      </c>
    </row>
    <row r="1246" ht="15.75" customHeight="1">
      <c r="B1246" s="371" t="s">
        <v>8537</v>
      </c>
      <c r="C1246" s="371" t="s">
        <v>8538</v>
      </c>
      <c r="D1246" s="371" t="s">
        <v>2205</v>
      </c>
    </row>
    <row r="1247" ht="15.75" customHeight="1">
      <c r="B1247" s="371" t="s">
        <v>8539</v>
      </c>
      <c r="C1247" s="371" t="s">
        <v>8538</v>
      </c>
      <c r="D1247" s="371" t="s">
        <v>2205</v>
      </c>
    </row>
    <row r="1248" ht="15.75" customHeight="1">
      <c r="B1248" s="371" t="s">
        <v>8540</v>
      </c>
      <c r="C1248" s="371" t="s">
        <v>8541</v>
      </c>
      <c r="D1248" s="371" t="s">
        <v>2205</v>
      </c>
    </row>
    <row r="1249" ht="15.75" customHeight="1">
      <c r="B1249" s="371" t="s">
        <v>1566</v>
      </c>
      <c r="C1249" s="371" t="s">
        <v>8542</v>
      </c>
      <c r="D1249" s="371" t="s">
        <v>2139</v>
      </c>
    </row>
    <row r="1250" ht="15.75" customHeight="1">
      <c r="B1250" s="371" t="s">
        <v>1568</v>
      </c>
      <c r="C1250" s="371" t="s">
        <v>8542</v>
      </c>
      <c r="D1250" s="371" t="s">
        <v>2205</v>
      </c>
    </row>
    <row r="1251" ht="15.75" customHeight="1">
      <c r="B1251" s="371" t="s">
        <v>1570</v>
      </c>
      <c r="C1251" s="371" t="s">
        <v>8542</v>
      </c>
      <c r="D1251" s="371" t="s">
        <v>2139</v>
      </c>
    </row>
    <row r="1252" ht="15.75" customHeight="1">
      <c r="B1252" s="371" t="s">
        <v>8543</v>
      </c>
      <c r="C1252" s="371" t="s">
        <v>8542</v>
      </c>
      <c r="D1252" s="371" t="s">
        <v>2205</v>
      </c>
    </row>
    <row r="1253" ht="15.75" customHeight="1">
      <c r="B1253" s="371" t="s">
        <v>8544</v>
      </c>
      <c r="C1253" s="371" t="s">
        <v>7719</v>
      </c>
      <c r="D1253" s="371" t="s">
        <v>2205</v>
      </c>
    </row>
    <row r="1254" ht="15.75" customHeight="1">
      <c r="B1254" s="371" t="s">
        <v>8545</v>
      </c>
      <c r="C1254" s="371" t="s">
        <v>7719</v>
      </c>
      <c r="D1254" s="371" t="s">
        <v>2205</v>
      </c>
    </row>
    <row r="1255" ht="15.75" customHeight="1">
      <c r="B1255" s="371" t="s">
        <v>8546</v>
      </c>
      <c r="C1255" s="371" t="s">
        <v>8547</v>
      </c>
      <c r="D1255" s="371" t="s">
        <v>2205</v>
      </c>
    </row>
    <row r="1256" ht="15.75" customHeight="1">
      <c r="B1256" s="371" t="s">
        <v>4601</v>
      </c>
      <c r="C1256" s="371" t="s">
        <v>8548</v>
      </c>
      <c r="D1256" s="371" t="s">
        <v>2205</v>
      </c>
    </row>
    <row r="1257" ht="15.75" customHeight="1">
      <c r="B1257" s="371" t="s">
        <v>4605</v>
      </c>
      <c r="C1257" s="371" t="s">
        <v>8549</v>
      </c>
      <c r="D1257" s="371" t="s">
        <v>2205</v>
      </c>
    </row>
    <row r="1258" ht="15.75" customHeight="1">
      <c r="B1258" s="371" t="s">
        <v>8550</v>
      </c>
      <c r="C1258" s="371" t="s">
        <v>8551</v>
      </c>
      <c r="D1258" s="371" t="s">
        <v>2205</v>
      </c>
    </row>
    <row r="1259" ht="15.75" customHeight="1">
      <c r="B1259" s="371" t="s">
        <v>8552</v>
      </c>
      <c r="C1259" s="371" t="s">
        <v>8553</v>
      </c>
      <c r="D1259" s="371" t="s">
        <v>2205</v>
      </c>
    </row>
    <row r="1260" ht="15.75" customHeight="1">
      <c r="B1260" s="371" t="s">
        <v>4140</v>
      </c>
      <c r="C1260" s="371" t="s">
        <v>8554</v>
      </c>
      <c r="D1260" s="371" t="s">
        <v>2205</v>
      </c>
    </row>
    <row r="1261" ht="15.75" customHeight="1">
      <c r="B1261" s="371" t="s">
        <v>2387</v>
      </c>
      <c r="C1261" s="371" t="s">
        <v>8555</v>
      </c>
      <c r="D1261" s="371" t="s">
        <v>2205</v>
      </c>
    </row>
    <row r="1262" ht="15.75" customHeight="1">
      <c r="B1262" s="371" t="s">
        <v>2389</v>
      </c>
      <c r="C1262" s="371" t="s">
        <v>8555</v>
      </c>
      <c r="D1262" s="371" t="s">
        <v>2205</v>
      </c>
    </row>
    <row r="1263" ht="15.75" customHeight="1">
      <c r="B1263" s="371" t="s">
        <v>2391</v>
      </c>
      <c r="C1263" s="371" t="s">
        <v>8555</v>
      </c>
      <c r="D1263" s="371" t="s">
        <v>2205</v>
      </c>
    </row>
    <row r="1264" ht="15.75" customHeight="1">
      <c r="B1264" s="371" t="s">
        <v>2393</v>
      </c>
      <c r="C1264" s="371" t="s">
        <v>8555</v>
      </c>
      <c r="D1264" s="371" t="s">
        <v>2205</v>
      </c>
    </row>
    <row r="1265" ht="15.75" customHeight="1">
      <c r="B1265" s="371" t="s">
        <v>8556</v>
      </c>
      <c r="C1265" s="371" t="s">
        <v>8555</v>
      </c>
      <c r="D1265" s="371" t="s">
        <v>2205</v>
      </c>
    </row>
    <row r="1266" ht="15.75" customHeight="1">
      <c r="B1266" s="371" t="s">
        <v>4144</v>
      </c>
      <c r="C1266" s="371" t="s">
        <v>8557</v>
      </c>
      <c r="D1266" s="371" t="s">
        <v>2139</v>
      </c>
    </row>
    <row r="1267" ht="15.75" customHeight="1">
      <c r="B1267" s="371" t="s">
        <v>4148</v>
      </c>
      <c r="C1267" s="371" t="s">
        <v>8557</v>
      </c>
      <c r="D1267" s="371" t="s">
        <v>2139</v>
      </c>
    </row>
    <row r="1268" ht="15.75" customHeight="1">
      <c r="B1268" s="371" t="s">
        <v>8558</v>
      </c>
      <c r="C1268" s="371" t="s">
        <v>8559</v>
      </c>
      <c r="D1268" s="371" t="s">
        <v>2205</v>
      </c>
    </row>
    <row r="1269" ht="15.75" customHeight="1">
      <c r="B1269" s="371" t="s">
        <v>4167</v>
      </c>
      <c r="C1269" s="371" t="s">
        <v>8559</v>
      </c>
      <c r="D1269" s="371" t="s">
        <v>2139</v>
      </c>
    </row>
    <row r="1270" ht="15.75" customHeight="1">
      <c r="B1270" s="371" t="s">
        <v>8560</v>
      </c>
      <c r="C1270" s="371" t="s">
        <v>8561</v>
      </c>
      <c r="D1270" s="371" t="s">
        <v>2139</v>
      </c>
    </row>
    <row r="1271" ht="15.75" customHeight="1">
      <c r="B1271" s="371" t="s">
        <v>8562</v>
      </c>
      <c r="C1271" s="371" t="s">
        <v>8563</v>
      </c>
      <c r="D1271" s="371" t="s">
        <v>2205</v>
      </c>
    </row>
    <row r="1272" ht="15.75" customHeight="1">
      <c r="B1272" s="371" t="s">
        <v>8564</v>
      </c>
      <c r="C1272" s="371" t="s">
        <v>8565</v>
      </c>
      <c r="D1272" s="371" t="s">
        <v>2205</v>
      </c>
    </row>
    <row r="1273" ht="15.75" customHeight="1">
      <c r="B1273" s="371" t="s">
        <v>8566</v>
      </c>
      <c r="C1273" s="371" t="s">
        <v>8565</v>
      </c>
      <c r="D1273" s="371" t="s">
        <v>2205</v>
      </c>
    </row>
    <row r="1274" ht="15.75" customHeight="1">
      <c r="B1274" s="371" t="s">
        <v>148</v>
      </c>
      <c r="C1274" s="371" t="s">
        <v>8567</v>
      </c>
      <c r="D1274" s="371" t="s">
        <v>2139</v>
      </c>
    </row>
    <row r="1275" ht="15.75" customHeight="1">
      <c r="B1275" s="371" t="s">
        <v>156</v>
      </c>
      <c r="C1275" s="371" t="s">
        <v>8567</v>
      </c>
      <c r="D1275" s="371" t="s">
        <v>2205</v>
      </c>
    </row>
    <row r="1276" ht="15.75" customHeight="1">
      <c r="B1276" s="371" t="s">
        <v>1418</v>
      </c>
      <c r="C1276" s="371" t="s">
        <v>8567</v>
      </c>
      <c r="D1276" s="371" t="s">
        <v>2205</v>
      </c>
    </row>
    <row r="1277" ht="15.75" customHeight="1">
      <c r="B1277" s="371" t="s">
        <v>1129</v>
      </c>
      <c r="C1277" s="371" t="s">
        <v>8568</v>
      </c>
      <c r="D1277" s="371" t="s">
        <v>2205</v>
      </c>
    </row>
    <row r="1278" ht="15.75" customHeight="1">
      <c r="B1278" s="371" t="s">
        <v>8569</v>
      </c>
      <c r="C1278" s="371" t="s">
        <v>8501</v>
      </c>
      <c r="D1278" s="371" t="s">
        <v>2205</v>
      </c>
    </row>
    <row r="1279" ht="15.75" customHeight="1">
      <c r="B1279" s="371" t="s">
        <v>2961</v>
      </c>
      <c r="C1279" s="371" t="s">
        <v>8501</v>
      </c>
      <c r="D1279" s="371" t="s">
        <v>2139</v>
      </c>
    </row>
    <row r="1280" ht="15.75" customHeight="1">
      <c r="B1280" s="371" t="s">
        <v>8570</v>
      </c>
      <c r="C1280" s="371" t="s">
        <v>8571</v>
      </c>
      <c r="D1280" s="371" t="s">
        <v>2205</v>
      </c>
    </row>
    <row r="1281" ht="15.75" customHeight="1">
      <c r="B1281" s="371" t="s">
        <v>8572</v>
      </c>
      <c r="C1281" s="371" t="s">
        <v>8573</v>
      </c>
      <c r="D1281" s="371" t="s">
        <v>2205</v>
      </c>
    </row>
    <row r="1282" ht="15.75" customHeight="1">
      <c r="B1282" s="371" t="s">
        <v>8574</v>
      </c>
      <c r="C1282" s="371" t="s">
        <v>8575</v>
      </c>
      <c r="D1282" s="371" t="s">
        <v>2205</v>
      </c>
    </row>
    <row r="1283" ht="15.75" customHeight="1">
      <c r="B1283" s="371" t="s">
        <v>8576</v>
      </c>
      <c r="C1283" s="371" t="s">
        <v>8577</v>
      </c>
      <c r="D1283" s="371" t="s">
        <v>2205</v>
      </c>
    </row>
    <row r="1284" ht="15.75" customHeight="1">
      <c r="B1284" s="371" t="s">
        <v>2945</v>
      </c>
      <c r="C1284" s="371" t="s">
        <v>8578</v>
      </c>
      <c r="D1284" s="371" t="s">
        <v>2139</v>
      </c>
    </row>
    <row r="1285" ht="15.75" customHeight="1">
      <c r="B1285" s="371" t="s">
        <v>2941</v>
      </c>
      <c r="C1285" s="371" t="s">
        <v>7213</v>
      </c>
      <c r="D1285" s="371" t="s">
        <v>2205</v>
      </c>
    </row>
    <row r="1286" ht="15.75" customHeight="1">
      <c r="B1286" s="371" t="s">
        <v>8579</v>
      </c>
      <c r="C1286" s="371" t="s">
        <v>8580</v>
      </c>
      <c r="D1286" s="371" t="s">
        <v>2139</v>
      </c>
    </row>
    <row r="1287" ht="15.75" customHeight="1">
      <c r="B1287" s="371" t="s">
        <v>2978</v>
      </c>
      <c r="C1287" s="371" t="s">
        <v>8581</v>
      </c>
      <c r="D1287" s="371" t="s">
        <v>2205</v>
      </c>
    </row>
    <row r="1288" ht="15.75" customHeight="1">
      <c r="B1288" s="371" t="s">
        <v>2949</v>
      </c>
      <c r="C1288" s="371" t="s">
        <v>8580</v>
      </c>
      <c r="D1288" s="371" t="s">
        <v>2205</v>
      </c>
    </row>
    <row r="1289" ht="15.75" customHeight="1">
      <c r="B1289" s="371" t="s">
        <v>2953</v>
      </c>
      <c r="C1289" s="371" t="s">
        <v>8580</v>
      </c>
      <c r="D1289" s="371" t="s">
        <v>2205</v>
      </c>
    </row>
    <row r="1290" ht="15.75" customHeight="1">
      <c r="B1290" s="371" t="s">
        <v>2990</v>
      </c>
      <c r="C1290" s="371" t="s">
        <v>8501</v>
      </c>
      <c r="D1290" s="371" t="s">
        <v>2139</v>
      </c>
    </row>
    <row r="1291" ht="15.75" customHeight="1">
      <c r="B1291" s="371" t="s">
        <v>8582</v>
      </c>
      <c r="C1291" s="371" t="s">
        <v>8583</v>
      </c>
      <c r="D1291" s="371" t="s">
        <v>2139</v>
      </c>
    </row>
    <row r="1292" ht="15.75" customHeight="1">
      <c r="B1292" s="371" t="s">
        <v>8584</v>
      </c>
      <c r="C1292" s="371" t="s">
        <v>7213</v>
      </c>
      <c r="D1292" s="371" t="s">
        <v>2205</v>
      </c>
    </row>
    <row r="1293" ht="15.75" customHeight="1">
      <c r="B1293" s="371" t="s">
        <v>8585</v>
      </c>
      <c r="C1293" s="371" t="s">
        <v>7213</v>
      </c>
      <c r="D1293" s="371" t="s">
        <v>2205</v>
      </c>
    </row>
    <row r="1294" ht="15.75" customHeight="1">
      <c r="B1294" s="371" t="s">
        <v>8586</v>
      </c>
      <c r="C1294" s="371" t="s">
        <v>8587</v>
      </c>
      <c r="D1294" s="371" t="s">
        <v>2205</v>
      </c>
    </row>
    <row r="1295" ht="15.75" customHeight="1">
      <c r="B1295" s="371" t="s">
        <v>8588</v>
      </c>
      <c r="C1295" s="371" t="s">
        <v>8589</v>
      </c>
      <c r="D1295" s="371" t="s">
        <v>2139</v>
      </c>
    </row>
    <row r="1296" ht="15.75" customHeight="1">
      <c r="B1296" s="371" t="s">
        <v>8590</v>
      </c>
      <c r="C1296" s="371" t="s">
        <v>8591</v>
      </c>
      <c r="D1296" s="371" t="s">
        <v>2139</v>
      </c>
    </row>
    <row r="1297" ht="15.75" customHeight="1">
      <c r="B1297" s="371" t="s">
        <v>1166</v>
      </c>
      <c r="C1297" s="371" t="s">
        <v>8592</v>
      </c>
      <c r="D1297" s="371" t="s">
        <v>2205</v>
      </c>
    </row>
    <row r="1298" ht="15.75" customHeight="1">
      <c r="B1298" s="371" t="s">
        <v>1168</v>
      </c>
      <c r="C1298" s="371" t="s">
        <v>8592</v>
      </c>
      <c r="D1298" s="371" t="s">
        <v>2139</v>
      </c>
    </row>
    <row r="1299" ht="15.75" customHeight="1">
      <c r="B1299" s="371" t="s">
        <v>1451</v>
      </c>
      <c r="C1299" s="371" t="s">
        <v>8593</v>
      </c>
      <c r="D1299" s="371" t="s">
        <v>2205</v>
      </c>
    </row>
    <row r="1300" ht="15.75" customHeight="1">
      <c r="B1300" s="371" t="s">
        <v>1461</v>
      </c>
      <c r="C1300" s="371" t="s">
        <v>8593</v>
      </c>
      <c r="D1300" s="371" t="s">
        <v>2139</v>
      </c>
    </row>
    <row r="1301" ht="15.75" customHeight="1">
      <c r="B1301" s="371" t="s">
        <v>1463</v>
      </c>
      <c r="C1301" s="371" t="s">
        <v>8593</v>
      </c>
      <c r="D1301" s="371" t="s">
        <v>2205</v>
      </c>
    </row>
    <row r="1302" ht="15.75" customHeight="1">
      <c r="B1302" s="371" t="s">
        <v>8594</v>
      </c>
      <c r="C1302" s="371" t="s">
        <v>8593</v>
      </c>
      <c r="D1302" s="371" t="s">
        <v>2139</v>
      </c>
    </row>
    <row r="1303" ht="15.75" customHeight="1">
      <c r="B1303" s="371" t="s">
        <v>8595</v>
      </c>
      <c r="C1303" s="371" t="s">
        <v>8593</v>
      </c>
      <c r="D1303" s="371" t="s">
        <v>2205</v>
      </c>
    </row>
    <row r="1304" ht="15.75" customHeight="1">
      <c r="B1304" s="371" t="s">
        <v>8596</v>
      </c>
      <c r="C1304" s="371" t="s">
        <v>8593</v>
      </c>
      <c r="D1304" s="371" t="s">
        <v>2139</v>
      </c>
    </row>
    <row r="1305" ht="15.75" customHeight="1">
      <c r="B1305" s="371" t="s">
        <v>1514</v>
      </c>
      <c r="C1305" s="371" t="s">
        <v>8597</v>
      </c>
      <c r="D1305" s="371" t="s">
        <v>2139</v>
      </c>
    </row>
    <row r="1306" ht="15.75" customHeight="1">
      <c r="B1306" s="371" t="s">
        <v>1518</v>
      </c>
      <c r="C1306" s="371" t="s">
        <v>8597</v>
      </c>
      <c r="D1306" s="371" t="s">
        <v>2139</v>
      </c>
    </row>
    <row r="1307" ht="15.75" customHeight="1">
      <c r="B1307" s="371" t="s">
        <v>3109</v>
      </c>
      <c r="C1307" s="371" t="s">
        <v>8598</v>
      </c>
      <c r="D1307" s="371" t="s">
        <v>2139</v>
      </c>
    </row>
    <row r="1308" ht="15.75" customHeight="1">
      <c r="B1308" s="371" t="s">
        <v>8599</v>
      </c>
      <c r="C1308" s="371" t="s">
        <v>8592</v>
      </c>
      <c r="D1308" s="371" t="s">
        <v>2139</v>
      </c>
    </row>
    <row r="1309" ht="15.75" customHeight="1">
      <c r="B1309" s="371" t="s">
        <v>8600</v>
      </c>
      <c r="C1309" s="371" t="s">
        <v>8601</v>
      </c>
      <c r="D1309" s="371" t="s">
        <v>2205</v>
      </c>
    </row>
    <row r="1310" ht="15.75" customHeight="1">
      <c r="B1310" s="371" t="s">
        <v>8602</v>
      </c>
      <c r="C1310" s="371" t="s">
        <v>8285</v>
      </c>
      <c r="D1310" s="371" t="s">
        <v>2205</v>
      </c>
    </row>
    <row r="1311" ht="15.75" customHeight="1">
      <c r="B1311" s="371" t="s">
        <v>8603</v>
      </c>
      <c r="C1311" s="371" t="s">
        <v>8604</v>
      </c>
      <c r="D1311" s="371" t="s">
        <v>2139</v>
      </c>
    </row>
    <row r="1312" ht="15.75" customHeight="1">
      <c r="B1312" s="371" t="s">
        <v>3105</v>
      </c>
      <c r="C1312" s="371" t="s">
        <v>8598</v>
      </c>
      <c r="D1312" s="371" t="s">
        <v>2139</v>
      </c>
    </row>
    <row r="1313" ht="15.75" customHeight="1">
      <c r="B1313" s="371" t="s">
        <v>8605</v>
      </c>
      <c r="C1313" s="371" t="s">
        <v>8606</v>
      </c>
      <c r="D1313" s="371" t="s">
        <v>2205</v>
      </c>
    </row>
    <row r="1314" ht="15.75" customHeight="1">
      <c r="B1314" s="371" t="s">
        <v>8607</v>
      </c>
      <c r="C1314" s="371" t="s">
        <v>8606</v>
      </c>
      <c r="D1314" s="371" t="s">
        <v>2205</v>
      </c>
    </row>
    <row r="1315" ht="15.75" customHeight="1">
      <c r="B1315" s="371" t="s">
        <v>8608</v>
      </c>
      <c r="C1315" s="371" t="s">
        <v>8609</v>
      </c>
      <c r="D1315" s="371" t="s">
        <v>2205</v>
      </c>
    </row>
    <row r="1316" ht="15.75" customHeight="1">
      <c r="B1316" s="371" t="s">
        <v>8610</v>
      </c>
      <c r="C1316" s="371" t="s">
        <v>8609</v>
      </c>
      <c r="D1316" s="371" t="s">
        <v>2205</v>
      </c>
    </row>
    <row r="1317" ht="15.75" customHeight="1">
      <c r="B1317" s="371" t="s">
        <v>8611</v>
      </c>
      <c r="C1317" s="371" t="s">
        <v>8612</v>
      </c>
      <c r="D1317" s="371" t="s">
        <v>2205</v>
      </c>
    </row>
    <row r="1318" ht="15.75" customHeight="1">
      <c r="B1318" s="371" t="s">
        <v>8613</v>
      </c>
      <c r="C1318" s="371" t="s">
        <v>8612</v>
      </c>
      <c r="D1318" s="371" t="s">
        <v>2205</v>
      </c>
    </row>
    <row r="1319" ht="15.75" customHeight="1">
      <c r="B1319" s="371" t="s">
        <v>8614</v>
      </c>
      <c r="C1319" s="371" t="s">
        <v>8612</v>
      </c>
      <c r="D1319" s="371" t="s">
        <v>2205</v>
      </c>
    </row>
    <row r="1320" ht="15.75" customHeight="1">
      <c r="B1320" s="371" t="s">
        <v>6569</v>
      </c>
      <c r="C1320" s="371" t="s">
        <v>8615</v>
      </c>
      <c r="D1320" s="371" t="s">
        <v>2139</v>
      </c>
    </row>
    <row r="1321" ht="15.75" customHeight="1">
      <c r="B1321" s="371" t="s">
        <v>6573</v>
      </c>
      <c r="C1321" s="371" t="s">
        <v>8616</v>
      </c>
      <c r="D1321" s="371" t="s">
        <v>2139</v>
      </c>
    </row>
    <row r="1322" ht="15.75" customHeight="1">
      <c r="B1322" s="371" t="s">
        <v>6535</v>
      </c>
      <c r="C1322" s="371" t="s">
        <v>8617</v>
      </c>
      <c r="D1322" s="371" t="s">
        <v>2139</v>
      </c>
    </row>
    <row r="1323" ht="15.75" customHeight="1">
      <c r="B1323" s="371" t="s">
        <v>6543</v>
      </c>
      <c r="C1323" s="371" t="s">
        <v>8617</v>
      </c>
      <c r="D1323" s="371" t="s">
        <v>2139</v>
      </c>
    </row>
    <row r="1324" ht="15.75" customHeight="1">
      <c r="B1324" s="371" t="s">
        <v>6545</v>
      </c>
      <c r="C1324" s="371" t="s">
        <v>8617</v>
      </c>
      <c r="D1324" s="371" t="s">
        <v>2139</v>
      </c>
    </row>
    <row r="1325" ht="15.75" customHeight="1">
      <c r="B1325" s="371" t="s">
        <v>6547</v>
      </c>
      <c r="C1325" s="371" t="s">
        <v>8617</v>
      </c>
      <c r="D1325" s="371" t="s">
        <v>2139</v>
      </c>
    </row>
    <row r="1326" ht="15.75" customHeight="1">
      <c r="B1326" s="371" t="s">
        <v>8618</v>
      </c>
      <c r="C1326" s="371" t="s">
        <v>7358</v>
      </c>
      <c r="D1326" s="371" t="s">
        <v>2139</v>
      </c>
    </row>
    <row r="1327" ht="15.75" customHeight="1">
      <c r="B1327" s="371" t="s">
        <v>8619</v>
      </c>
      <c r="C1327" s="371" t="s">
        <v>7358</v>
      </c>
      <c r="D1327" s="371" t="s">
        <v>2139</v>
      </c>
    </row>
    <row r="1328" ht="15.75" customHeight="1">
      <c r="B1328" s="371" t="s">
        <v>8620</v>
      </c>
      <c r="C1328" s="371" t="s">
        <v>8621</v>
      </c>
      <c r="D1328" s="371" t="s">
        <v>2205</v>
      </c>
    </row>
    <row r="1329" ht="15.75" customHeight="1">
      <c r="B1329" s="371" t="s">
        <v>8622</v>
      </c>
      <c r="C1329" s="371" t="s">
        <v>8621</v>
      </c>
      <c r="D1329" s="371" t="s">
        <v>2205</v>
      </c>
    </row>
    <row r="1330" ht="15.75" customHeight="1">
      <c r="B1330" s="371" t="s">
        <v>8623</v>
      </c>
      <c r="C1330" s="371" t="s">
        <v>8624</v>
      </c>
      <c r="D1330" s="371" t="s">
        <v>2205</v>
      </c>
    </row>
    <row r="1331" ht="15.75" customHeight="1">
      <c r="B1331" s="371" t="s">
        <v>3304</v>
      </c>
      <c r="C1331" s="371" t="s">
        <v>8625</v>
      </c>
      <c r="D1331" s="371" t="s">
        <v>2205</v>
      </c>
    </row>
    <row r="1332" ht="15.75" customHeight="1">
      <c r="B1332" s="371" t="s">
        <v>3300</v>
      </c>
      <c r="C1332" s="371" t="s">
        <v>8625</v>
      </c>
      <c r="D1332" s="371" t="s">
        <v>2205</v>
      </c>
    </row>
    <row r="1333" ht="15.75" customHeight="1">
      <c r="B1333" s="371" t="s">
        <v>3264</v>
      </c>
      <c r="C1333" s="371" t="s">
        <v>8625</v>
      </c>
      <c r="D1333" s="371" t="s">
        <v>2205</v>
      </c>
    </row>
    <row r="1334" ht="15.75" customHeight="1">
      <c r="B1334" s="371" t="s">
        <v>3276</v>
      </c>
      <c r="C1334" s="371" t="s">
        <v>8625</v>
      </c>
      <c r="D1334" s="371" t="s">
        <v>2205</v>
      </c>
    </row>
    <row r="1335" ht="15.75" customHeight="1">
      <c r="B1335" s="371" t="s">
        <v>3280</v>
      </c>
      <c r="C1335" s="371" t="s">
        <v>8625</v>
      </c>
      <c r="D1335" s="371" t="s">
        <v>2205</v>
      </c>
    </row>
    <row r="1336" ht="15.75" customHeight="1">
      <c r="B1336" s="371" t="s">
        <v>3284</v>
      </c>
      <c r="C1336" s="371" t="s">
        <v>8625</v>
      </c>
      <c r="D1336" s="371" t="s">
        <v>2205</v>
      </c>
    </row>
    <row r="1337" ht="15.75" customHeight="1">
      <c r="B1337" s="371" t="s">
        <v>3268</v>
      </c>
      <c r="C1337" s="371" t="s">
        <v>8625</v>
      </c>
      <c r="D1337" s="371" t="s">
        <v>2205</v>
      </c>
    </row>
    <row r="1338" ht="15.75" customHeight="1">
      <c r="B1338" s="371" t="s">
        <v>5986</v>
      </c>
      <c r="C1338" s="371" t="s">
        <v>8626</v>
      </c>
      <c r="D1338" s="371" t="s">
        <v>2205</v>
      </c>
    </row>
    <row r="1339" ht="15.75" customHeight="1">
      <c r="B1339" s="371" t="s">
        <v>5990</v>
      </c>
      <c r="C1339" s="371" t="s">
        <v>8626</v>
      </c>
      <c r="D1339" s="371" t="s">
        <v>2139</v>
      </c>
    </row>
    <row r="1340" ht="15.75" customHeight="1">
      <c r="B1340" s="371" t="s">
        <v>5994</v>
      </c>
      <c r="C1340" s="371" t="s">
        <v>8626</v>
      </c>
      <c r="D1340" s="371" t="s">
        <v>2205</v>
      </c>
    </row>
    <row r="1341" ht="15.75" customHeight="1">
      <c r="B1341" s="371" t="s">
        <v>8627</v>
      </c>
      <c r="C1341" s="373"/>
      <c r="D1341" s="371" t="s">
        <v>2205</v>
      </c>
    </row>
    <row r="1342" ht="15.75" customHeight="1">
      <c r="B1342" s="371" t="s">
        <v>8628</v>
      </c>
      <c r="C1342" s="371" t="s">
        <v>7358</v>
      </c>
      <c r="D1342" s="371" t="s">
        <v>2139</v>
      </c>
    </row>
    <row r="1343" ht="15.75" customHeight="1">
      <c r="B1343" s="371" t="s">
        <v>6699</v>
      </c>
      <c r="C1343" s="371" t="s">
        <v>7470</v>
      </c>
      <c r="D1343" s="371" t="s">
        <v>2139</v>
      </c>
    </row>
    <row r="1344" ht="15.75" customHeight="1">
      <c r="B1344" s="371" t="s">
        <v>159</v>
      </c>
      <c r="C1344" s="371" t="s">
        <v>8629</v>
      </c>
      <c r="D1344" s="371" t="s">
        <v>2139</v>
      </c>
    </row>
    <row r="1345" ht="15.75" customHeight="1">
      <c r="B1345" s="371" t="s">
        <v>163</v>
      </c>
      <c r="C1345" s="371" t="s">
        <v>8629</v>
      </c>
      <c r="D1345" s="371" t="s">
        <v>2205</v>
      </c>
    </row>
    <row r="1346" ht="15.75" customHeight="1">
      <c r="B1346" s="371" t="s">
        <v>1170</v>
      </c>
      <c r="C1346" s="371" t="s">
        <v>8592</v>
      </c>
      <c r="D1346" s="371" t="s">
        <v>2205</v>
      </c>
    </row>
    <row r="1347" ht="15.75" customHeight="1">
      <c r="B1347" s="371" t="s">
        <v>1176</v>
      </c>
      <c r="C1347" s="371" t="s">
        <v>8592</v>
      </c>
      <c r="D1347" s="371" t="s">
        <v>2205</v>
      </c>
    </row>
    <row r="1348" ht="15.75" customHeight="1">
      <c r="B1348" s="371" t="s">
        <v>1180</v>
      </c>
      <c r="C1348" s="371" t="s">
        <v>8592</v>
      </c>
      <c r="D1348" s="371" t="s">
        <v>2139</v>
      </c>
    </row>
    <row r="1349" ht="15.75" customHeight="1">
      <c r="B1349" s="371" t="s">
        <v>1182</v>
      </c>
      <c r="C1349" s="371" t="s">
        <v>8592</v>
      </c>
      <c r="D1349" s="371" t="s">
        <v>2139</v>
      </c>
    </row>
    <row r="1350" ht="15.75" customHeight="1">
      <c r="B1350" s="371" t="s">
        <v>1190</v>
      </c>
      <c r="C1350" s="371" t="s">
        <v>8592</v>
      </c>
      <c r="D1350" s="371" t="s">
        <v>2205</v>
      </c>
    </row>
    <row r="1351" ht="15.75" customHeight="1">
      <c r="B1351" s="371" t="s">
        <v>1192</v>
      </c>
      <c r="C1351" s="371" t="s">
        <v>8592</v>
      </c>
      <c r="D1351" s="371" t="s">
        <v>2139</v>
      </c>
    </row>
    <row r="1352" ht="15.75" customHeight="1">
      <c r="B1352" s="371" t="s">
        <v>1196</v>
      </c>
      <c r="C1352" s="371" t="s">
        <v>8592</v>
      </c>
      <c r="D1352" s="371" t="s">
        <v>2205</v>
      </c>
    </row>
    <row r="1353" ht="15.75" customHeight="1">
      <c r="B1353" s="371" t="s">
        <v>1198</v>
      </c>
      <c r="C1353" s="371" t="s">
        <v>8592</v>
      </c>
      <c r="D1353" s="371" t="s">
        <v>2139</v>
      </c>
    </row>
    <row r="1354" ht="15.75" customHeight="1">
      <c r="B1354" s="371" t="s">
        <v>1111</v>
      </c>
      <c r="C1354" s="371" t="s">
        <v>8630</v>
      </c>
      <c r="D1354" s="371" t="s">
        <v>2139</v>
      </c>
    </row>
    <row r="1355" ht="15.75" customHeight="1">
      <c r="B1355" s="371" t="s">
        <v>1113</v>
      </c>
      <c r="C1355" s="371" t="s">
        <v>8631</v>
      </c>
      <c r="D1355" s="371" t="s">
        <v>2139</v>
      </c>
    </row>
    <row r="1356" ht="15.75" customHeight="1">
      <c r="B1356" s="371" t="s">
        <v>1115</v>
      </c>
      <c r="C1356" s="371" t="s">
        <v>8630</v>
      </c>
      <c r="D1356" s="371" t="s">
        <v>2139</v>
      </c>
    </row>
    <row r="1357" ht="15.75" customHeight="1">
      <c r="B1357" s="371" t="s">
        <v>1117</v>
      </c>
      <c r="C1357" s="371" t="s">
        <v>8631</v>
      </c>
      <c r="D1357" s="371" t="s">
        <v>2139</v>
      </c>
    </row>
    <row r="1358" ht="15.75" customHeight="1">
      <c r="B1358" s="371" t="s">
        <v>1121</v>
      </c>
      <c r="C1358" s="371" t="s">
        <v>8630</v>
      </c>
      <c r="D1358" s="371" t="s">
        <v>2205</v>
      </c>
    </row>
    <row r="1359" ht="15.75" customHeight="1">
      <c r="B1359" s="371" t="s">
        <v>1220</v>
      </c>
      <c r="C1359" s="371" t="s">
        <v>8592</v>
      </c>
      <c r="D1359" s="371" t="s">
        <v>2205</v>
      </c>
    </row>
    <row r="1360" ht="15.75" customHeight="1">
      <c r="B1360" s="371" t="s">
        <v>1236</v>
      </c>
      <c r="C1360" s="371" t="s">
        <v>8592</v>
      </c>
      <c r="D1360" s="371" t="s">
        <v>2139</v>
      </c>
    </row>
    <row r="1361" ht="15.75" customHeight="1">
      <c r="B1361" s="371" t="s">
        <v>8632</v>
      </c>
      <c r="C1361" s="371" t="s">
        <v>8592</v>
      </c>
      <c r="D1361" s="371" t="s">
        <v>2139</v>
      </c>
    </row>
    <row r="1362" ht="15.75" customHeight="1">
      <c r="B1362" s="371" t="s">
        <v>8633</v>
      </c>
      <c r="C1362" s="371" t="s">
        <v>8592</v>
      </c>
      <c r="D1362" s="371" t="s">
        <v>2139</v>
      </c>
    </row>
    <row r="1363" ht="15.75" customHeight="1">
      <c r="B1363" s="371" t="s">
        <v>8634</v>
      </c>
      <c r="C1363" s="371" t="s">
        <v>8592</v>
      </c>
      <c r="D1363" s="371" t="s">
        <v>2139</v>
      </c>
    </row>
    <row r="1364" ht="15.75" customHeight="1">
      <c r="B1364" s="371" t="s">
        <v>962</v>
      </c>
      <c r="C1364" s="371" t="s">
        <v>8635</v>
      </c>
      <c r="D1364" s="371" t="s">
        <v>2205</v>
      </c>
    </row>
    <row r="1365" ht="15.75" customHeight="1">
      <c r="B1365" s="371" t="s">
        <v>981</v>
      </c>
      <c r="C1365" s="371" t="s">
        <v>8636</v>
      </c>
      <c r="D1365" s="371" t="s">
        <v>2205</v>
      </c>
    </row>
    <row r="1366" ht="15.75" customHeight="1">
      <c r="B1366" s="371" t="s">
        <v>987</v>
      </c>
      <c r="C1366" s="371" t="s">
        <v>8636</v>
      </c>
      <c r="D1366" s="371" t="s">
        <v>2205</v>
      </c>
    </row>
    <row r="1367" ht="15.75" customHeight="1">
      <c r="B1367" s="371" t="s">
        <v>989</v>
      </c>
      <c r="C1367" s="371" t="s">
        <v>8636</v>
      </c>
      <c r="D1367" s="371" t="s">
        <v>2205</v>
      </c>
    </row>
    <row r="1368" ht="15.75" customHeight="1">
      <c r="B1368" s="371" t="s">
        <v>8637</v>
      </c>
      <c r="C1368" s="371" t="s">
        <v>8635</v>
      </c>
      <c r="D1368" s="371" t="s">
        <v>2139</v>
      </c>
    </row>
    <row r="1369" ht="15.75" customHeight="1">
      <c r="B1369" s="371" t="s">
        <v>8638</v>
      </c>
      <c r="C1369" s="371" t="s">
        <v>8635</v>
      </c>
      <c r="D1369" s="371" t="s">
        <v>2205</v>
      </c>
    </row>
    <row r="1370" ht="15.75" customHeight="1">
      <c r="B1370" s="371" t="s">
        <v>8639</v>
      </c>
      <c r="C1370" s="371" t="s">
        <v>7659</v>
      </c>
      <c r="D1370" s="371" t="s">
        <v>2205</v>
      </c>
    </row>
    <row r="1371" ht="15.75" customHeight="1">
      <c r="B1371" s="371" t="s">
        <v>8640</v>
      </c>
      <c r="C1371" s="371" t="s">
        <v>7659</v>
      </c>
      <c r="D1371" s="371" t="s">
        <v>2205</v>
      </c>
    </row>
    <row r="1372" ht="15.75" customHeight="1">
      <c r="B1372" s="371" t="s">
        <v>171</v>
      </c>
      <c r="C1372" s="371" t="s">
        <v>8641</v>
      </c>
      <c r="D1372" s="371" t="s">
        <v>2139</v>
      </c>
    </row>
    <row r="1373" ht="15.75" customHeight="1">
      <c r="B1373" s="371" t="s">
        <v>167</v>
      </c>
      <c r="C1373" s="371" t="s">
        <v>8629</v>
      </c>
      <c r="D1373" s="371" t="s">
        <v>2205</v>
      </c>
    </row>
    <row r="1374" ht="15.75" customHeight="1">
      <c r="B1374" s="371" t="s">
        <v>8642</v>
      </c>
      <c r="C1374" s="371" t="s">
        <v>8643</v>
      </c>
      <c r="D1374" s="371" t="s">
        <v>2205</v>
      </c>
    </row>
    <row r="1375" ht="15.75" customHeight="1">
      <c r="B1375" s="371" t="s">
        <v>1733</v>
      </c>
      <c r="C1375" s="371" t="s">
        <v>8644</v>
      </c>
      <c r="D1375" s="371" t="s">
        <v>2139</v>
      </c>
    </row>
    <row r="1376" ht="15.75" customHeight="1">
      <c r="B1376" s="371" t="s">
        <v>1422</v>
      </c>
      <c r="C1376" s="371" t="s">
        <v>8645</v>
      </c>
      <c r="D1376" s="371" t="s">
        <v>2139</v>
      </c>
    </row>
    <row r="1377" ht="15.75" customHeight="1">
      <c r="B1377" s="371" t="s">
        <v>1426</v>
      </c>
      <c r="C1377" s="371" t="s">
        <v>8645</v>
      </c>
      <c r="D1377" s="371" t="s">
        <v>2139</v>
      </c>
    </row>
    <row r="1378" ht="15.75" customHeight="1">
      <c r="B1378" s="371" t="s">
        <v>1430</v>
      </c>
      <c r="C1378" s="371" t="s">
        <v>8646</v>
      </c>
      <c r="D1378" s="371" t="s">
        <v>2139</v>
      </c>
    </row>
    <row r="1379" ht="15.75" customHeight="1">
      <c r="B1379" s="371" t="s">
        <v>1432</v>
      </c>
      <c r="C1379" s="371" t="s">
        <v>8647</v>
      </c>
      <c r="D1379" s="371" t="s">
        <v>2205</v>
      </c>
    </row>
    <row r="1380" ht="15.75" customHeight="1">
      <c r="B1380" s="371" t="s">
        <v>1434</v>
      </c>
      <c r="C1380" s="371" t="s">
        <v>8648</v>
      </c>
      <c r="D1380" s="371" t="s">
        <v>2139</v>
      </c>
    </row>
    <row r="1381" ht="15.75" customHeight="1">
      <c r="B1381" s="371" t="s">
        <v>1435</v>
      </c>
      <c r="C1381" s="371" t="s">
        <v>8649</v>
      </c>
      <c r="D1381" s="371" t="s">
        <v>2205</v>
      </c>
    </row>
    <row r="1382" ht="15.75" customHeight="1">
      <c r="B1382" s="371" t="s">
        <v>8650</v>
      </c>
      <c r="C1382" s="371" t="s">
        <v>8645</v>
      </c>
      <c r="D1382" s="371" t="s">
        <v>2139</v>
      </c>
    </row>
    <row r="1383" ht="15.75" customHeight="1">
      <c r="B1383" s="371" t="s">
        <v>1436</v>
      </c>
      <c r="C1383" s="371" t="s">
        <v>8651</v>
      </c>
      <c r="D1383" s="371" t="s">
        <v>2139</v>
      </c>
    </row>
    <row r="1384" ht="15.75" customHeight="1">
      <c r="B1384" s="371" t="s">
        <v>1438</v>
      </c>
      <c r="C1384" s="371" t="s">
        <v>8651</v>
      </c>
      <c r="D1384" s="371" t="s">
        <v>2139</v>
      </c>
    </row>
    <row r="1385" ht="15.75" customHeight="1">
      <c r="B1385" s="371" t="s">
        <v>8652</v>
      </c>
      <c r="C1385" s="371" t="s">
        <v>8653</v>
      </c>
      <c r="D1385" s="371" t="s">
        <v>2205</v>
      </c>
    </row>
    <row r="1386" ht="15.75" customHeight="1">
      <c r="B1386" s="371" t="s">
        <v>1603</v>
      </c>
      <c r="C1386" s="371" t="s">
        <v>8654</v>
      </c>
      <c r="D1386" s="371" t="s">
        <v>2205</v>
      </c>
    </row>
    <row r="1387" ht="15.75" customHeight="1">
      <c r="B1387" s="371" t="s">
        <v>3150</v>
      </c>
      <c r="C1387" s="371" t="s">
        <v>7324</v>
      </c>
      <c r="D1387" s="371" t="s">
        <v>2205</v>
      </c>
    </row>
    <row r="1388" ht="15.75" customHeight="1">
      <c r="B1388" s="371" t="s">
        <v>3153</v>
      </c>
      <c r="C1388" s="371" t="s">
        <v>7324</v>
      </c>
      <c r="D1388" s="371" t="s">
        <v>2139</v>
      </c>
    </row>
    <row r="1389" ht="15.75" customHeight="1">
      <c r="B1389" s="371" t="s">
        <v>8655</v>
      </c>
      <c r="C1389" s="371" t="s">
        <v>8166</v>
      </c>
      <c r="D1389" s="371" t="s">
        <v>2205</v>
      </c>
    </row>
    <row r="1390" ht="15.75" customHeight="1">
      <c r="B1390" s="371" t="s">
        <v>8656</v>
      </c>
      <c r="C1390" s="371" t="s">
        <v>8166</v>
      </c>
      <c r="D1390" s="371" t="s">
        <v>2205</v>
      </c>
    </row>
    <row r="1391" ht="15.75" customHeight="1">
      <c r="B1391" s="371" t="s">
        <v>8657</v>
      </c>
      <c r="C1391" s="371" t="s">
        <v>8166</v>
      </c>
      <c r="D1391" s="371" t="s">
        <v>2205</v>
      </c>
    </row>
    <row r="1392" ht="15.75" customHeight="1">
      <c r="B1392" s="371" t="s">
        <v>8658</v>
      </c>
      <c r="C1392" s="371" t="s">
        <v>8166</v>
      </c>
      <c r="D1392" s="371" t="s">
        <v>2205</v>
      </c>
    </row>
    <row r="1393" ht="15.75" customHeight="1">
      <c r="B1393" s="371" t="s">
        <v>8659</v>
      </c>
      <c r="C1393" s="371" t="s">
        <v>8166</v>
      </c>
      <c r="D1393" s="371" t="s">
        <v>2205</v>
      </c>
    </row>
    <row r="1394" ht="15.75" customHeight="1">
      <c r="B1394" s="371" t="s">
        <v>8660</v>
      </c>
      <c r="C1394" s="371" t="s">
        <v>8166</v>
      </c>
      <c r="D1394" s="371" t="s">
        <v>2205</v>
      </c>
    </row>
    <row r="1395" ht="15.75" customHeight="1">
      <c r="B1395" s="371" t="s">
        <v>8661</v>
      </c>
      <c r="C1395" s="371" t="s">
        <v>8166</v>
      </c>
      <c r="D1395" s="371" t="s">
        <v>2205</v>
      </c>
    </row>
    <row r="1396" ht="15.75" customHeight="1">
      <c r="B1396" s="371" t="s">
        <v>8662</v>
      </c>
      <c r="C1396" s="371" t="s">
        <v>8166</v>
      </c>
      <c r="D1396" s="371" t="s">
        <v>2205</v>
      </c>
    </row>
    <row r="1397" ht="15.75" customHeight="1">
      <c r="B1397" s="371" t="s">
        <v>8663</v>
      </c>
      <c r="C1397" s="371" t="s">
        <v>8166</v>
      </c>
      <c r="D1397" s="371" t="s">
        <v>2205</v>
      </c>
    </row>
    <row r="1398" ht="15.75" customHeight="1">
      <c r="B1398" s="371" t="s">
        <v>8664</v>
      </c>
      <c r="C1398" s="371" t="s">
        <v>8166</v>
      </c>
      <c r="D1398" s="371" t="s">
        <v>2205</v>
      </c>
    </row>
    <row r="1399" ht="15.75" customHeight="1">
      <c r="B1399" s="371" t="s">
        <v>8665</v>
      </c>
      <c r="C1399" s="371" t="s">
        <v>8166</v>
      </c>
      <c r="D1399" s="371" t="s">
        <v>2205</v>
      </c>
    </row>
    <row r="1400" ht="15.75" customHeight="1">
      <c r="B1400" s="371" t="s">
        <v>8666</v>
      </c>
      <c r="C1400" s="371" t="s">
        <v>8166</v>
      </c>
      <c r="D1400" s="371" t="s">
        <v>2205</v>
      </c>
    </row>
    <row r="1401" ht="15.75" customHeight="1">
      <c r="B1401" s="371" t="s">
        <v>8667</v>
      </c>
      <c r="C1401" s="371" t="s">
        <v>7315</v>
      </c>
      <c r="D1401" s="371" t="s">
        <v>2139</v>
      </c>
    </row>
    <row r="1402" ht="15.75" customHeight="1">
      <c r="B1402" s="371" t="s">
        <v>8668</v>
      </c>
      <c r="C1402" s="371" t="s">
        <v>8669</v>
      </c>
      <c r="D1402" s="371" t="s">
        <v>2205</v>
      </c>
    </row>
    <row r="1403" ht="15.75" customHeight="1">
      <c r="B1403" s="371" t="s">
        <v>2903</v>
      </c>
      <c r="C1403" s="371" t="s">
        <v>8670</v>
      </c>
      <c r="D1403" s="371" t="s">
        <v>2205</v>
      </c>
    </row>
    <row r="1404" ht="15.75" customHeight="1">
      <c r="B1404" s="371" t="s">
        <v>8671</v>
      </c>
      <c r="C1404" s="371" t="s">
        <v>7315</v>
      </c>
      <c r="D1404" s="371" t="s">
        <v>2205</v>
      </c>
    </row>
    <row r="1405" ht="15.75" customHeight="1">
      <c r="B1405" s="371" t="s">
        <v>8672</v>
      </c>
      <c r="C1405" s="371" t="s">
        <v>7213</v>
      </c>
      <c r="D1405" s="371" t="s">
        <v>2139</v>
      </c>
    </row>
    <row r="1406" ht="15.75" customHeight="1">
      <c r="B1406" s="371" t="s">
        <v>8673</v>
      </c>
      <c r="C1406" s="371" t="s">
        <v>7213</v>
      </c>
      <c r="D1406" s="371" t="s">
        <v>2205</v>
      </c>
    </row>
    <row r="1407" ht="15.75" customHeight="1">
      <c r="B1407" s="371" t="s">
        <v>2778</v>
      </c>
      <c r="C1407" s="371" t="s">
        <v>7213</v>
      </c>
      <c r="D1407" s="371" t="s">
        <v>2139</v>
      </c>
    </row>
    <row r="1408" ht="15.75" customHeight="1">
      <c r="B1408" s="371" t="s">
        <v>2794</v>
      </c>
      <c r="C1408" s="371" t="s">
        <v>8674</v>
      </c>
      <c r="D1408" s="371" t="s">
        <v>2139</v>
      </c>
    </row>
    <row r="1409" ht="15.75" customHeight="1">
      <c r="B1409" s="371" t="s">
        <v>2790</v>
      </c>
      <c r="C1409" s="371" t="s">
        <v>8675</v>
      </c>
      <c r="D1409" s="371" t="s">
        <v>2139</v>
      </c>
    </row>
    <row r="1410" ht="15.75" customHeight="1">
      <c r="B1410" s="371" t="s">
        <v>2786</v>
      </c>
      <c r="C1410" s="371" t="s">
        <v>7213</v>
      </c>
      <c r="D1410" s="371" t="s">
        <v>2139</v>
      </c>
    </row>
    <row r="1411" ht="15.75" customHeight="1">
      <c r="B1411" s="371" t="s">
        <v>8676</v>
      </c>
      <c r="C1411" s="371" t="s">
        <v>8677</v>
      </c>
      <c r="D1411" s="371" t="s">
        <v>2205</v>
      </c>
    </row>
    <row r="1412" ht="15.75" customHeight="1">
      <c r="B1412" s="371" t="s">
        <v>2217</v>
      </c>
      <c r="C1412" s="371" t="s">
        <v>8678</v>
      </c>
      <c r="D1412" s="371" t="s">
        <v>2205</v>
      </c>
    </row>
    <row r="1413" ht="15.75" customHeight="1">
      <c r="B1413" s="371" t="s">
        <v>8679</v>
      </c>
      <c r="C1413" s="371" t="s">
        <v>8680</v>
      </c>
      <c r="D1413" s="371" t="s">
        <v>2139</v>
      </c>
    </row>
    <row r="1414" ht="15.75" customHeight="1">
      <c r="B1414" s="371" t="s">
        <v>8681</v>
      </c>
      <c r="C1414" s="371" t="s">
        <v>8682</v>
      </c>
      <c r="D1414" s="371" t="s">
        <v>2205</v>
      </c>
    </row>
    <row r="1415" ht="15.75" customHeight="1">
      <c r="B1415" s="371" t="s">
        <v>8683</v>
      </c>
      <c r="C1415" s="371" t="s">
        <v>7532</v>
      </c>
      <c r="D1415" s="371" t="s">
        <v>2205</v>
      </c>
    </row>
    <row r="1416" ht="15.75" customHeight="1">
      <c r="B1416" s="371" t="s">
        <v>8684</v>
      </c>
      <c r="C1416" s="371" t="s">
        <v>7532</v>
      </c>
      <c r="D1416" s="371" t="s">
        <v>2205</v>
      </c>
    </row>
    <row r="1417" ht="15.75" customHeight="1">
      <c r="B1417" s="371" t="s">
        <v>8685</v>
      </c>
      <c r="C1417" s="371" t="s">
        <v>7532</v>
      </c>
      <c r="D1417" s="371" t="s">
        <v>2205</v>
      </c>
    </row>
    <row r="1418" ht="15.75" customHeight="1">
      <c r="B1418" s="371" t="s">
        <v>8686</v>
      </c>
      <c r="C1418" s="371" t="s">
        <v>8687</v>
      </c>
      <c r="D1418" s="371" t="s">
        <v>2205</v>
      </c>
    </row>
    <row r="1419" ht="15.75" customHeight="1">
      <c r="B1419" s="371" t="s">
        <v>8688</v>
      </c>
      <c r="C1419" s="371" t="s">
        <v>8687</v>
      </c>
      <c r="D1419" s="371" t="s">
        <v>2205</v>
      </c>
    </row>
    <row r="1420" ht="15.75" customHeight="1">
      <c r="B1420" s="371" t="s">
        <v>8689</v>
      </c>
      <c r="C1420" s="371" t="s">
        <v>8687</v>
      </c>
      <c r="D1420" s="371" t="s">
        <v>2205</v>
      </c>
    </row>
    <row r="1421" ht="15.75" customHeight="1">
      <c r="B1421" s="371" t="s">
        <v>8690</v>
      </c>
      <c r="C1421" s="371" t="s">
        <v>8687</v>
      </c>
      <c r="D1421" s="371" t="s">
        <v>2205</v>
      </c>
    </row>
    <row r="1422" ht="15.75" customHeight="1">
      <c r="B1422" s="371" t="s">
        <v>5972</v>
      </c>
      <c r="C1422" s="371" t="s">
        <v>8691</v>
      </c>
      <c r="D1422" s="371" t="s">
        <v>2205</v>
      </c>
    </row>
    <row r="1423" ht="15.75" customHeight="1">
      <c r="B1423" s="371" t="s">
        <v>8692</v>
      </c>
      <c r="C1423" s="371" t="s">
        <v>8693</v>
      </c>
      <c r="D1423" s="371" t="s">
        <v>2205</v>
      </c>
    </row>
    <row r="1424" ht="15.75" customHeight="1">
      <c r="B1424" s="371" t="s">
        <v>5829</v>
      </c>
      <c r="C1424" s="371" t="s">
        <v>8694</v>
      </c>
      <c r="D1424" s="371" t="s">
        <v>2139</v>
      </c>
    </row>
    <row r="1425" ht="15.75" customHeight="1">
      <c r="B1425" s="371" t="s">
        <v>8695</v>
      </c>
      <c r="C1425" s="371" t="s">
        <v>8696</v>
      </c>
      <c r="D1425" s="371" t="s">
        <v>2205</v>
      </c>
    </row>
    <row r="1426" ht="15.75" customHeight="1">
      <c r="B1426" s="371" t="s">
        <v>8697</v>
      </c>
      <c r="C1426" s="371" t="s">
        <v>8696</v>
      </c>
      <c r="D1426" s="371" t="s">
        <v>2139</v>
      </c>
    </row>
    <row r="1427" ht="15.75" customHeight="1">
      <c r="B1427" s="371" t="s">
        <v>8698</v>
      </c>
      <c r="C1427" s="371" t="s">
        <v>8694</v>
      </c>
      <c r="D1427" s="371" t="s">
        <v>2139</v>
      </c>
    </row>
    <row r="1428" ht="15.75" customHeight="1">
      <c r="B1428" s="371" t="s">
        <v>8699</v>
      </c>
      <c r="C1428" s="371" t="s">
        <v>7543</v>
      </c>
      <c r="D1428" s="371" t="s">
        <v>2205</v>
      </c>
    </row>
    <row r="1429" ht="15.75" customHeight="1">
      <c r="B1429" s="371" t="s">
        <v>5836</v>
      </c>
      <c r="C1429" s="371" t="s">
        <v>8694</v>
      </c>
      <c r="D1429" s="371" t="s">
        <v>2205</v>
      </c>
    </row>
    <row r="1430" ht="15.75" customHeight="1">
      <c r="B1430" s="371" t="s">
        <v>8700</v>
      </c>
      <c r="C1430" s="371" t="s">
        <v>8694</v>
      </c>
      <c r="D1430" s="371" t="s">
        <v>2139</v>
      </c>
    </row>
    <row r="1431" ht="15.75" customHeight="1">
      <c r="B1431" s="371" t="s">
        <v>7167</v>
      </c>
      <c r="C1431" s="371" t="s">
        <v>8696</v>
      </c>
      <c r="D1431" s="371" t="s">
        <v>2139</v>
      </c>
    </row>
    <row r="1432" ht="15.75" customHeight="1">
      <c r="B1432" s="371" t="s">
        <v>8701</v>
      </c>
      <c r="C1432" s="371" t="s">
        <v>8702</v>
      </c>
      <c r="D1432" s="371" t="s">
        <v>2205</v>
      </c>
    </row>
    <row r="1433" ht="15.75" customHeight="1">
      <c r="B1433" s="371" t="s">
        <v>1282</v>
      </c>
      <c r="C1433" s="371" t="s">
        <v>8703</v>
      </c>
      <c r="D1433" s="371" t="s">
        <v>2205</v>
      </c>
    </row>
    <row r="1434" ht="15.75" customHeight="1">
      <c r="B1434" s="371" t="s">
        <v>1286</v>
      </c>
      <c r="C1434" s="371" t="s">
        <v>8704</v>
      </c>
      <c r="D1434" s="371" t="s">
        <v>2205</v>
      </c>
    </row>
    <row r="1435" ht="15.75" customHeight="1">
      <c r="B1435" s="371" t="s">
        <v>177</v>
      </c>
      <c r="C1435" s="371" t="s">
        <v>8065</v>
      </c>
      <c r="D1435" s="371" t="s">
        <v>2139</v>
      </c>
    </row>
    <row r="1436" ht="15.75" customHeight="1">
      <c r="B1436" s="371" t="s">
        <v>181</v>
      </c>
      <c r="C1436" s="371" t="s">
        <v>8065</v>
      </c>
      <c r="D1436" s="371" t="s">
        <v>2205</v>
      </c>
    </row>
    <row r="1437" ht="15.75" customHeight="1">
      <c r="B1437" s="371" t="s">
        <v>8705</v>
      </c>
      <c r="C1437" s="371" t="s">
        <v>7349</v>
      </c>
      <c r="D1437" s="371" t="s">
        <v>2205</v>
      </c>
    </row>
    <row r="1438" ht="15.75" customHeight="1">
      <c r="B1438" s="371" t="s">
        <v>8706</v>
      </c>
      <c r="C1438" s="371" t="s">
        <v>8568</v>
      </c>
      <c r="D1438" s="371" t="s">
        <v>2205</v>
      </c>
    </row>
    <row r="1439" ht="15.75" customHeight="1">
      <c r="B1439" s="371" t="s">
        <v>1482</v>
      </c>
      <c r="C1439" s="371" t="s">
        <v>8707</v>
      </c>
      <c r="D1439" s="371" t="s">
        <v>2205</v>
      </c>
    </row>
    <row r="1440" ht="15.75" customHeight="1">
      <c r="B1440" s="371" t="s">
        <v>1492</v>
      </c>
      <c r="C1440" s="371" t="s">
        <v>8707</v>
      </c>
      <c r="D1440" s="371" t="s">
        <v>2139</v>
      </c>
    </row>
    <row r="1441" ht="15.75" customHeight="1">
      <c r="B1441" s="371" t="s">
        <v>1494</v>
      </c>
      <c r="C1441" s="371" t="s">
        <v>8708</v>
      </c>
      <c r="D1441" s="371" t="s">
        <v>2205</v>
      </c>
    </row>
    <row r="1442" ht="15.75" customHeight="1">
      <c r="B1442" s="371" t="s">
        <v>1496</v>
      </c>
      <c r="C1442" s="371" t="s">
        <v>8709</v>
      </c>
      <c r="D1442" s="371" t="s">
        <v>2205</v>
      </c>
    </row>
    <row r="1443" ht="15.75" customHeight="1">
      <c r="B1443" s="371" t="s">
        <v>1036</v>
      </c>
      <c r="C1443" s="371" t="s">
        <v>8710</v>
      </c>
      <c r="D1443" s="371" t="s">
        <v>2139</v>
      </c>
    </row>
    <row r="1444" ht="15.75" customHeight="1">
      <c r="B1444" s="371" t="s">
        <v>183</v>
      </c>
      <c r="C1444" s="371" t="s">
        <v>8711</v>
      </c>
      <c r="D1444" s="371" t="s">
        <v>2205</v>
      </c>
    </row>
    <row r="1445" ht="15.75" customHeight="1">
      <c r="B1445" s="371" t="s">
        <v>1038</v>
      </c>
      <c r="C1445" s="371" t="s">
        <v>8710</v>
      </c>
      <c r="D1445" s="371" t="s">
        <v>2205</v>
      </c>
    </row>
    <row r="1446" ht="15.75" customHeight="1">
      <c r="B1446" s="371" t="s">
        <v>1044</v>
      </c>
      <c r="C1446" s="371" t="s">
        <v>8710</v>
      </c>
      <c r="D1446" s="371" t="s">
        <v>2205</v>
      </c>
    </row>
    <row r="1447" ht="15.75" customHeight="1">
      <c r="B1447" s="371" t="s">
        <v>187</v>
      </c>
      <c r="C1447" s="371" t="s">
        <v>8707</v>
      </c>
      <c r="D1447" s="371" t="s">
        <v>2139</v>
      </c>
    </row>
    <row r="1448" ht="15.75" customHeight="1">
      <c r="B1448" s="371" t="s">
        <v>8712</v>
      </c>
      <c r="C1448" s="371" t="s">
        <v>8710</v>
      </c>
      <c r="D1448" s="371" t="s">
        <v>2205</v>
      </c>
    </row>
    <row r="1449" ht="15.75" customHeight="1">
      <c r="B1449" s="371" t="s">
        <v>1288</v>
      </c>
      <c r="C1449" s="371" t="s">
        <v>8713</v>
      </c>
      <c r="D1449" s="371" t="s">
        <v>2139</v>
      </c>
    </row>
    <row r="1450" ht="15.75" customHeight="1">
      <c r="B1450" s="371" t="s">
        <v>1052</v>
      </c>
      <c r="C1450" s="371" t="s">
        <v>8714</v>
      </c>
      <c r="D1450" s="371" t="s">
        <v>2205</v>
      </c>
    </row>
    <row r="1451" ht="15.75" customHeight="1">
      <c r="B1451" s="371" t="s">
        <v>1290</v>
      </c>
      <c r="C1451" s="371" t="s">
        <v>8714</v>
      </c>
      <c r="D1451" s="371" t="s">
        <v>2139</v>
      </c>
    </row>
    <row r="1452" ht="15.75" customHeight="1">
      <c r="B1452" s="371" t="s">
        <v>191</v>
      </c>
      <c r="C1452" s="371" t="s">
        <v>8714</v>
      </c>
      <c r="D1452" s="371" t="s">
        <v>2139</v>
      </c>
    </row>
    <row r="1453" ht="15.75" customHeight="1">
      <c r="B1453" s="371" t="s">
        <v>8715</v>
      </c>
      <c r="C1453" s="371" t="s">
        <v>8716</v>
      </c>
      <c r="D1453" s="371" t="s">
        <v>2139</v>
      </c>
    </row>
    <row r="1454" ht="15.75" customHeight="1">
      <c r="B1454" s="371" t="s">
        <v>8717</v>
      </c>
      <c r="C1454" s="371" t="s">
        <v>8714</v>
      </c>
      <c r="D1454" s="371" t="s">
        <v>2205</v>
      </c>
    </row>
    <row r="1455" ht="15.75" customHeight="1">
      <c r="B1455" s="371" t="s">
        <v>8718</v>
      </c>
      <c r="C1455" s="371" t="s">
        <v>8714</v>
      </c>
      <c r="D1455" s="371" t="s">
        <v>2205</v>
      </c>
    </row>
    <row r="1456" ht="15.75" customHeight="1">
      <c r="B1456" s="371" t="s">
        <v>1591</v>
      </c>
      <c r="C1456" s="371" t="s">
        <v>8719</v>
      </c>
      <c r="D1456" s="371" t="s">
        <v>2205</v>
      </c>
    </row>
    <row r="1457" ht="15.75" customHeight="1">
      <c r="B1457" s="371" t="s">
        <v>1058</v>
      </c>
      <c r="C1457" s="371" t="s">
        <v>8720</v>
      </c>
      <c r="D1457" s="371" t="s">
        <v>2205</v>
      </c>
    </row>
    <row r="1458" ht="15.75" customHeight="1">
      <c r="B1458" s="371" t="s">
        <v>1064</v>
      </c>
      <c r="C1458" s="371" t="s">
        <v>8721</v>
      </c>
      <c r="D1458" s="371" t="s">
        <v>2205</v>
      </c>
    </row>
    <row r="1459" ht="15.75" customHeight="1">
      <c r="B1459" s="371" t="s">
        <v>1597</v>
      </c>
      <c r="C1459" s="371" t="s">
        <v>8722</v>
      </c>
      <c r="D1459" s="371" t="s">
        <v>2205</v>
      </c>
    </row>
    <row r="1460" ht="15.75" customHeight="1">
      <c r="B1460" s="371" t="s">
        <v>8723</v>
      </c>
      <c r="C1460" s="371" t="s">
        <v>8542</v>
      </c>
      <c r="D1460" s="371" t="s">
        <v>2205</v>
      </c>
    </row>
    <row r="1461" ht="15.75" customHeight="1">
      <c r="B1461" s="371" t="s">
        <v>1076</v>
      </c>
      <c r="C1461" s="371" t="s">
        <v>8724</v>
      </c>
      <c r="D1461" s="371" t="s">
        <v>2205</v>
      </c>
    </row>
    <row r="1462" ht="15.75" customHeight="1">
      <c r="B1462" s="371" t="s">
        <v>1080</v>
      </c>
      <c r="C1462" s="371" t="s">
        <v>8724</v>
      </c>
      <c r="D1462" s="371" t="s">
        <v>2139</v>
      </c>
    </row>
    <row r="1463" ht="15.75" customHeight="1">
      <c r="B1463" s="371" t="s">
        <v>1086</v>
      </c>
      <c r="C1463" s="371" t="s">
        <v>8725</v>
      </c>
      <c r="D1463" s="371" t="s">
        <v>2205</v>
      </c>
    </row>
    <row r="1464" ht="15.75" customHeight="1">
      <c r="B1464" s="371" t="s">
        <v>1090</v>
      </c>
      <c r="C1464" s="371" t="s">
        <v>8726</v>
      </c>
      <c r="D1464" s="371" t="s">
        <v>2139</v>
      </c>
    </row>
    <row r="1465" ht="15.75" customHeight="1">
      <c r="B1465" s="371" t="s">
        <v>1094</v>
      </c>
      <c r="C1465" s="371" t="s">
        <v>8724</v>
      </c>
      <c r="D1465" s="371" t="s">
        <v>2205</v>
      </c>
    </row>
    <row r="1466" ht="15.75" customHeight="1">
      <c r="B1466" s="371" t="s">
        <v>8727</v>
      </c>
      <c r="C1466" s="371" t="s">
        <v>8728</v>
      </c>
      <c r="D1466" s="371" t="s">
        <v>2205</v>
      </c>
    </row>
    <row r="1467" ht="15.75" customHeight="1">
      <c r="B1467" s="371" t="s">
        <v>8729</v>
      </c>
      <c r="C1467" s="371" t="s">
        <v>8726</v>
      </c>
      <c r="D1467" s="371" t="s">
        <v>2205</v>
      </c>
    </row>
    <row r="1468" ht="15.75" customHeight="1">
      <c r="B1468" s="371" t="s">
        <v>8730</v>
      </c>
      <c r="C1468" s="371" t="s">
        <v>8731</v>
      </c>
      <c r="D1468" s="371" t="s">
        <v>2139</v>
      </c>
    </row>
    <row r="1469" ht="15.75" customHeight="1">
      <c r="B1469" s="371" t="s">
        <v>8732</v>
      </c>
      <c r="C1469" s="371" t="s">
        <v>8726</v>
      </c>
      <c r="D1469" s="371" t="s">
        <v>2205</v>
      </c>
    </row>
    <row r="1470" ht="15.75" customHeight="1">
      <c r="B1470" s="371" t="s">
        <v>8733</v>
      </c>
      <c r="C1470" s="371" t="s">
        <v>8734</v>
      </c>
      <c r="D1470" s="371" t="s">
        <v>2139</v>
      </c>
    </row>
    <row r="1471" ht="15.75" customHeight="1">
      <c r="B1471" s="371" t="s">
        <v>8735</v>
      </c>
      <c r="C1471" s="371" t="s">
        <v>8736</v>
      </c>
      <c r="D1471" s="371" t="s">
        <v>2205</v>
      </c>
    </row>
    <row r="1472" ht="15.75" customHeight="1">
      <c r="B1472" s="371" t="s">
        <v>8737</v>
      </c>
      <c r="C1472" s="371" t="s">
        <v>8738</v>
      </c>
      <c r="D1472" s="371" t="s">
        <v>2205</v>
      </c>
    </row>
    <row r="1473" ht="15.75" customHeight="1">
      <c r="B1473" s="371" t="s">
        <v>8739</v>
      </c>
      <c r="C1473" s="371" t="s">
        <v>8740</v>
      </c>
      <c r="D1473" s="371" t="s">
        <v>2139</v>
      </c>
    </row>
    <row r="1474" ht="15.75" customHeight="1">
      <c r="B1474" s="371" t="s">
        <v>8741</v>
      </c>
      <c r="C1474" s="371" t="s">
        <v>8742</v>
      </c>
      <c r="D1474" s="371" t="s">
        <v>2205</v>
      </c>
    </row>
    <row r="1475" ht="15.75" customHeight="1">
      <c r="B1475" s="371" t="s">
        <v>8743</v>
      </c>
      <c r="C1475" s="371" t="s">
        <v>8744</v>
      </c>
      <c r="D1475" s="371" t="s">
        <v>2205</v>
      </c>
    </row>
    <row r="1476" ht="15.75" customHeight="1">
      <c r="B1476" s="371" t="s">
        <v>8745</v>
      </c>
      <c r="C1476" s="371" t="s">
        <v>8746</v>
      </c>
      <c r="D1476" s="371" t="s">
        <v>2205</v>
      </c>
    </row>
    <row r="1477" ht="15.75" customHeight="1">
      <c r="B1477" s="371" t="s">
        <v>8747</v>
      </c>
      <c r="C1477" s="371" t="s">
        <v>8748</v>
      </c>
      <c r="D1477" s="371" t="s">
        <v>2205</v>
      </c>
    </row>
    <row r="1478" ht="15.75" customHeight="1">
      <c r="B1478" s="371" t="s">
        <v>8749</v>
      </c>
      <c r="C1478" s="371" t="s">
        <v>8748</v>
      </c>
      <c r="D1478" s="371" t="s">
        <v>2139</v>
      </c>
    </row>
    <row r="1479" ht="15.75" customHeight="1">
      <c r="B1479" s="371" t="s">
        <v>8750</v>
      </c>
      <c r="C1479" s="371" t="s">
        <v>7523</v>
      </c>
      <c r="D1479" s="371" t="s">
        <v>2205</v>
      </c>
    </row>
    <row r="1480" ht="15.75" customHeight="1">
      <c r="B1480" s="371" t="s">
        <v>8751</v>
      </c>
      <c r="C1480" s="371" t="s">
        <v>7523</v>
      </c>
      <c r="D1480" s="371" t="s">
        <v>2205</v>
      </c>
    </row>
    <row r="1481" ht="15.75" customHeight="1">
      <c r="B1481" s="371" t="s">
        <v>8752</v>
      </c>
      <c r="C1481" s="371" t="s">
        <v>7523</v>
      </c>
      <c r="D1481" s="371" t="s">
        <v>2205</v>
      </c>
    </row>
    <row r="1482" ht="15.75" customHeight="1">
      <c r="B1482" s="371" t="s">
        <v>8753</v>
      </c>
      <c r="C1482" s="371" t="s">
        <v>7523</v>
      </c>
      <c r="D1482" s="371" t="s">
        <v>2205</v>
      </c>
    </row>
    <row r="1483" ht="15.75" customHeight="1">
      <c r="B1483" s="371" t="s">
        <v>8754</v>
      </c>
      <c r="C1483" s="371" t="s">
        <v>7523</v>
      </c>
      <c r="D1483" s="371" t="s">
        <v>2205</v>
      </c>
    </row>
    <row r="1484" ht="15.75" customHeight="1">
      <c r="B1484" s="371" t="s">
        <v>6057</v>
      </c>
      <c r="C1484" s="371" t="s">
        <v>8755</v>
      </c>
      <c r="D1484" s="371" t="s">
        <v>2139</v>
      </c>
    </row>
    <row r="1485" ht="15.75" customHeight="1">
      <c r="B1485" s="371" t="s">
        <v>8756</v>
      </c>
      <c r="C1485" s="371" t="s">
        <v>7528</v>
      </c>
      <c r="D1485" s="371" t="s">
        <v>2205</v>
      </c>
    </row>
    <row r="1486" ht="15.75" customHeight="1">
      <c r="B1486" s="371" t="s">
        <v>8757</v>
      </c>
      <c r="C1486" s="371" t="s">
        <v>8758</v>
      </c>
      <c r="D1486" s="371" t="s">
        <v>2205</v>
      </c>
    </row>
    <row r="1487" ht="15.75" customHeight="1">
      <c r="B1487" s="371" t="s">
        <v>6068</v>
      </c>
      <c r="C1487" s="371" t="s">
        <v>8755</v>
      </c>
      <c r="D1487" s="371" t="s">
        <v>2205</v>
      </c>
    </row>
    <row r="1488" ht="15.75" customHeight="1">
      <c r="B1488" s="371" t="s">
        <v>5108</v>
      </c>
      <c r="C1488" s="371" t="s">
        <v>8759</v>
      </c>
      <c r="D1488" s="371" t="s">
        <v>2205</v>
      </c>
    </row>
    <row r="1489" ht="15.75" customHeight="1">
      <c r="B1489" s="371" t="s">
        <v>5115</v>
      </c>
      <c r="C1489" s="371" t="s">
        <v>8759</v>
      </c>
      <c r="D1489" s="371" t="s">
        <v>2139</v>
      </c>
    </row>
    <row r="1490" ht="15.75" customHeight="1">
      <c r="B1490" s="371" t="s">
        <v>5134</v>
      </c>
      <c r="C1490" s="371" t="s">
        <v>8759</v>
      </c>
      <c r="D1490" s="371" t="s">
        <v>2139</v>
      </c>
    </row>
    <row r="1491" ht="15.75" customHeight="1">
      <c r="B1491" s="371" t="s">
        <v>5123</v>
      </c>
      <c r="C1491" s="371" t="s">
        <v>8760</v>
      </c>
      <c r="D1491" s="371" t="s">
        <v>2139</v>
      </c>
    </row>
    <row r="1492" ht="15.75" customHeight="1">
      <c r="B1492" s="371" t="s">
        <v>8761</v>
      </c>
      <c r="C1492" s="371" t="s">
        <v>8762</v>
      </c>
      <c r="D1492" s="371" t="s">
        <v>2139</v>
      </c>
    </row>
    <row r="1493" ht="15.75" customHeight="1">
      <c r="B1493" s="371" t="s">
        <v>8763</v>
      </c>
      <c r="C1493" s="371" t="s">
        <v>8764</v>
      </c>
      <c r="D1493" s="371" t="s">
        <v>2139</v>
      </c>
    </row>
    <row r="1494" ht="15.75" customHeight="1">
      <c r="B1494" s="371" t="s">
        <v>5119</v>
      </c>
      <c r="C1494" s="371" t="s">
        <v>8765</v>
      </c>
      <c r="D1494" s="371" t="s">
        <v>2205</v>
      </c>
    </row>
    <row r="1495" ht="15.75" customHeight="1">
      <c r="B1495" s="371" t="s">
        <v>5102</v>
      </c>
      <c r="C1495" s="371" t="s">
        <v>8765</v>
      </c>
      <c r="D1495" s="371" t="s">
        <v>2139</v>
      </c>
    </row>
    <row r="1496" ht="15.75" customHeight="1">
      <c r="B1496" s="371" t="s">
        <v>8766</v>
      </c>
      <c r="C1496" s="371" t="s">
        <v>8767</v>
      </c>
      <c r="D1496" s="371" t="s">
        <v>2139</v>
      </c>
    </row>
    <row r="1497" ht="15.75" customHeight="1">
      <c r="B1497" s="371" t="s">
        <v>8768</v>
      </c>
      <c r="C1497" s="371" t="s">
        <v>8769</v>
      </c>
      <c r="D1497" s="371" t="s">
        <v>2139</v>
      </c>
    </row>
    <row r="1498" ht="15.75" customHeight="1">
      <c r="B1498" s="371" t="s">
        <v>5142</v>
      </c>
      <c r="C1498" s="371" t="s">
        <v>8770</v>
      </c>
      <c r="D1498" s="371" t="s">
        <v>2139</v>
      </c>
    </row>
    <row r="1499" ht="15.75" customHeight="1">
      <c r="B1499" s="371" t="s">
        <v>5112</v>
      </c>
      <c r="C1499" s="371" t="s">
        <v>8771</v>
      </c>
      <c r="D1499" s="371" t="s">
        <v>2139</v>
      </c>
    </row>
    <row r="1500" ht="15.75" customHeight="1">
      <c r="B1500" s="371" t="s">
        <v>5116</v>
      </c>
      <c r="C1500" s="371" t="s">
        <v>8771</v>
      </c>
      <c r="D1500" s="371" t="s">
        <v>2139</v>
      </c>
    </row>
    <row r="1501" ht="15.75" customHeight="1">
      <c r="B1501" s="371" t="s">
        <v>5138</v>
      </c>
      <c r="C1501" s="371" t="s">
        <v>8772</v>
      </c>
      <c r="D1501" s="371" t="s">
        <v>2139</v>
      </c>
    </row>
    <row r="1502" ht="15.75" customHeight="1">
      <c r="B1502" s="371" t="s">
        <v>5127</v>
      </c>
      <c r="C1502" s="371" t="s">
        <v>8760</v>
      </c>
      <c r="D1502" s="371" t="s">
        <v>2139</v>
      </c>
    </row>
    <row r="1503" ht="15.75" customHeight="1">
      <c r="B1503" s="371" t="s">
        <v>8773</v>
      </c>
      <c r="C1503" s="371" t="s">
        <v>8774</v>
      </c>
      <c r="D1503" s="371" t="s">
        <v>2139</v>
      </c>
    </row>
    <row r="1504" ht="15.75" customHeight="1">
      <c r="B1504" s="371" t="s">
        <v>8775</v>
      </c>
      <c r="C1504" s="371" t="s">
        <v>8776</v>
      </c>
      <c r="D1504" s="371" t="s">
        <v>2139</v>
      </c>
    </row>
    <row r="1505" ht="15.75" customHeight="1">
      <c r="B1505" s="371" t="s">
        <v>8777</v>
      </c>
      <c r="C1505" s="371" t="s">
        <v>8767</v>
      </c>
      <c r="D1505" s="371" t="s">
        <v>2139</v>
      </c>
    </row>
    <row r="1506" ht="15.75" customHeight="1">
      <c r="B1506" s="371" t="s">
        <v>8778</v>
      </c>
      <c r="C1506" s="371" t="s">
        <v>8779</v>
      </c>
      <c r="D1506" s="371" t="s">
        <v>2139</v>
      </c>
    </row>
    <row r="1507" ht="15.75" customHeight="1">
      <c r="B1507" s="371" t="s">
        <v>5121</v>
      </c>
      <c r="C1507" s="371" t="s">
        <v>8765</v>
      </c>
      <c r="D1507" s="371" t="s">
        <v>2139</v>
      </c>
    </row>
    <row r="1508" ht="15.75" customHeight="1">
      <c r="B1508" s="371" t="s">
        <v>5106</v>
      </c>
      <c r="C1508" s="371" t="s">
        <v>8765</v>
      </c>
      <c r="D1508" s="371" t="s">
        <v>2139</v>
      </c>
    </row>
    <row r="1509" ht="15.75" customHeight="1">
      <c r="B1509" s="371" t="s">
        <v>5130</v>
      </c>
      <c r="C1509" s="371" t="s">
        <v>8760</v>
      </c>
      <c r="D1509" s="371" t="s">
        <v>2139</v>
      </c>
    </row>
    <row r="1510" ht="15.75" customHeight="1">
      <c r="B1510" s="371" t="s">
        <v>5074</v>
      </c>
      <c r="C1510" s="371" t="s">
        <v>8780</v>
      </c>
      <c r="D1510" s="371" t="s">
        <v>2139</v>
      </c>
    </row>
    <row r="1511" ht="15.75" customHeight="1">
      <c r="B1511" s="371" t="s">
        <v>5070</v>
      </c>
      <c r="C1511" s="371" t="s">
        <v>8780</v>
      </c>
      <c r="D1511" s="371" t="s">
        <v>2139</v>
      </c>
    </row>
    <row r="1512" ht="15.75" customHeight="1">
      <c r="B1512" s="371" t="s">
        <v>5229</v>
      </c>
      <c r="C1512" s="371" t="s">
        <v>8781</v>
      </c>
      <c r="D1512" s="371" t="s">
        <v>2205</v>
      </c>
    </row>
    <row r="1513" ht="15.75" customHeight="1">
      <c r="B1513" s="371" t="s">
        <v>5238</v>
      </c>
      <c r="C1513" s="371" t="s">
        <v>8782</v>
      </c>
      <c r="D1513" s="371" t="s">
        <v>2139</v>
      </c>
    </row>
    <row r="1514" ht="15.75" customHeight="1">
      <c r="B1514" s="371" t="s">
        <v>5242</v>
      </c>
      <c r="C1514" s="371" t="s">
        <v>8782</v>
      </c>
      <c r="D1514" s="371" t="s">
        <v>2139</v>
      </c>
    </row>
    <row r="1515" ht="15.75" customHeight="1">
      <c r="B1515" s="371" t="s">
        <v>5294</v>
      </c>
      <c r="C1515" s="371" t="s">
        <v>8783</v>
      </c>
      <c r="D1515" s="371" t="s">
        <v>2139</v>
      </c>
    </row>
    <row r="1516" ht="15.75" customHeight="1">
      <c r="B1516" s="371" t="s">
        <v>8784</v>
      </c>
      <c r="C1516" s="371" t="s">
        <v>8785</v>
      </c>
      <c r="D1516" s="371" t="s">
        <v>2205</v>
      </c>
    </row>
    <row r="1517" ht="15.75" customHeight="1">
      <c r="B1517" s="371" t="s">
        <v>5290</v>
      </c>
      <c r="C1517" s="371" t="s">
        <v>8785</v>
      </c>
      <c r="D1517" s="371" t="s">
        <v>2205</v>
      </c>
    </row>
    <row r="1518" ht="15.75" customHeight="1">
      <c r="B1518" s="371" t="s">
        <v>5089</v>
      </c>
      <c r="C1518" s="371" t="s">
        <v>8786</v>
      </c>
      <c r="D1518" s="371" t="s">
        <v>2139</v>
      </c>
    </row>
    <row r="1519" ht="15.75" customHeight="1">
      <c r="B1519" s="371" t="s">
        <v>5081</v>
      </c>
      <c r="C1519" s="371" t="s">
        <v>8787</v>
      </c>
      <c r="D1519" s="371" t="s">
        <v>2139</v>
      </c>
    </row>
    <row r="1520" ht="15.75" customHeight="1">
      <c r="B1520" s="371" t="s">
        <v>5097</v>
      </c>
      <c r="C1520" s="371" t="s">
        <v>8788</v>
      </c>
      <c r="D1520" s="371" t="s">
        <v>2139</v>
      </c>
    </row>
    <row r="1521" ht="15.75" customHeight="1">
      <c r="B1521" s="371" t="s">
        <v>5077</v>
      </c>
      <c r="C1521" s="371" t="s">
        <v>8789</v>
      </c>
      <c r="D1521" s="371" t="s">
        <v>2139</v>
      </c>
    </row>
    <row r="1522" ht="15.75" customHeight="1">
      <c r="B1522" s="371" t="s">
        <v>5093</v>
      </c>
      <c r="C1522" s="371" t="s">
        <v>8790</v>
      </c>
      <c r="D1522" s="371" t="s">
        <v>2139</v>
      </c>
    </row>
    <row r="1523" ht="15.75" customHeight="1">
      <c r="B1523" s="371" t="s">
        <v>5085</v>
      </c>
      <c r="C1523" s="371" t="s">
        <v>8791</v>
      </c>
      <c r="D1523" s="371" t="s">
        <v>2139</v>
      </c>
    </row>
    <row r="1524" ht="15.75" customHeight="1">
      <c r="B1524" s="371" t="s">
        <v>5565</v>
      </c>
      <c r="C1524" s="371" t="s">
        <v>8792</v>
      </c>
      <c r="D1524" s="371" t="s">
        <v>2139</v>
      </c>
    </row>
    <row r="1525" ht="15.75" customHeight="1">
      <c r="B1525" s="371" t="s">
        <v>8793</v>
      </c>
      <c r="C1525" s="371" t="s">
        <v>8794</v>
      </c>
      <c r="D1525" s="371" t="s">
        <v>2205</v>
      </c>
    </row>
    <row r="1526" ht="15.75" customHeight="1">
      <c r="B1526" s="371" t="s">
        <v>5220</v>
      </c>
      <c r="C1526" s="371" t="s">
        <v>8795</v>
      </c>
      <c r="D1526" s="371" t="s">
        <v>2139</v>
      </c>
    </row>
    <row r="1527" ht="15.75" customHeight="1">
      <c r="B1527" s="371" t="s">
        <v>5224</v>
      </c>
      <c r="C1527" s="371" t="s">
        <v>8796</v>
      </c>
      <c r="D1527" s="371" t="s">
        <v>2139</v>
      </c>
    </row>
    <row r="1528" ht="15.75" customHeight="1">
      <c r="B1528" s="371" t="s">
        <v>5218</v>
      </c>
      <c r="C1528" s="371" t="s">
        <v>8795</v>
      </c>
      <c r="D1528" s="371" t="s">
        <v>2139</v>
      </c>
    </row>
    <row r="1529" ht="15.75" customHeight="1">
      <c r="B1529" s="371" t="s">
        <v>5214</v>
      </c>
      <c r="C1529" s="371" t="s">
        <v>8796</v>
      </c>
      <c r="D1529" s="371" t="s">
        <v>2205</v>
      </c>
    </row>
    <row r="1530" ht="15.75" customHeight="1">
      <c r="B1530" s="371" t="s">
        <v>5210</v>
      </c>
      <c r="C1530" s="371" t="s">
        <v>8795</v>
      </c>
      <c r="D1530" s="371" t="s">
        <v>2139</v>
      </c>
    </row>
    <row r="1531" ht="15.75" customHeight="1">
      <c r="B1531" s="371" t="s">
        <v>5203</v>
      </c>
      <c r="C1531" s="371" t="s">
        <v>8797</v>
      </c>
      <c r="D1531" s="371" t="s">
        <v>2139</v>
      </c>
    </row>
    <row r="1532" ht="15.75" customHeight="1">
      <c r="B1532" s="371" t="s">
        <v>5193</v>
      </c>
      <c r="C1532" s="371" t="s">
        <v>8797</v>
      </c>
      <c r="D1532" s="371" t="s">
        <v>2139</v>
      </c>
    </row>
    <row r="1533" ht="15.75" customHeight="1">
      <c r="B1533" s="371" t="s">
        <v>5195</v>
      </c>
      <c r="C1533" s="371" t="s">
        <v>8797</v>
      </c>
      <c r="D1533" s="371" t="s">
        <v>2139</v>
      </c>
    </row>
    <row r="1534" ht="15.75" customHeight="1">
      <c r="B1534" s="371" t="s">
        <v>5201</v>
      </c>
      <c r="C1534" s="371" t="s">
        <v>8795</v>
      </c>
      <c r="D1534" s="371" t="s">
        <v>2139</v>
      </c>
    </row>
    <row r="1535" ht="15.75" customHeight="1">
      <c r="B1535" s="371" t="s">
        <v>5207</v>
      </c>
      <c r="C1535" s="371" t="s">
        <v>8797</v>
      </c>
      <c r="D1535" s="371" t="s">
        <v>2205</v>
      </c>
    </row>
    <row r="1536" ht="15.75" customHeight="1">
      <c r="B1536" s="371" t="s">
        <v>5197</v>
      </c>
      <c r="C1536" s="371" t="s">
        <v>8797</v>
      </c>
      <c r="D1536" s="371" t="s">
        <v>2139</v>
      </c>
    </row>
    <row r="1537" ht="15.75" customHeight="1">
      <c r="B1537" s="371" t="s">
        <v>8798</v>
      </c>
      <c r="C1537" s="371" t="s">
        <v>8799</v>
      </c>
      <c r="D1537" s="371" t="s">
        <v>2205</v>
      </c>
    </row>
    <row r="1538" ht="15.75" customHeight="1">
      <c r="B1538" s="371" t="s">
        <v>8800</v>
      </c>
      <c r="C1538" s="371" t="s">
        <v>8801</v>
      </c>
      <c r="D1538" s="371" t="s">
        <v>2205</v>
      </c>
    </row>
    <row r="1539" ht="15.75" customHeight="1">
      <c r="B1539" s="371" t="s">
        <v>4911</v>
      </c>
      <c r="C1539" s="371" t="s">
        <v>8802</v>
      </c>
      <c r="D1539" s="371" t="s">
        <v>2139</v>
      </c>
    </row>
    <row r="1540" ht="15.75" customHeight="1">
      <c r="B1540" s="371" t="s">
        <v>4915</v>
      </c>
      <c r="C1540" s="371" t="s">
        <v>8803</v>
      </c>
      <c r="D1540" s="371" t="s">
        <v>2139</v>
      </c>
    </row>
    <row r="1541" ht="15.75" customHeight="1">
      <c r="B1541" s="371" t="s">
        <v>4904</v>
      </c>
      <c r="C1541" s="371" t="s">
        <v>8802</v>
      </c>
      <c r="D1541" s="371" t="s">
        <v>2139</v>
      </c>
    </row>
    <row r="1542" ht="15.75" customHeight="1">
      <c r="B1542" s="371" t="s">
        <v>4908</v>
      </c>
      <c r="C1542" s="371" t="s">
        <v>8802</v>
      </c>
      <c r="D1542" s="371" t="s">
        <v>2139</v>
      </c>
    </row>
    <row r="1543" ht="15.75" customHeight="1">
      <c r="B1543" s="371" t="s">
        <v>8804</v>
      </c>
      <c r="C1543" s="371" t="s">
        <v>7432</v>
      </c>
      <c r="D1543" s="371" t="s">
        <v>2205</v>
      </c>
    </row>
    <row r="1544" ht="15.75" customHeight="1">
      <c r="B1544" s="371" t="s">
        <v>8805</v>
      </c>
      <c r="C1544" s="371" t="s">
        <v>7432</v>
      </c>
      <c r="D1544" s="371" t="s">
        <v>2205</v>
      </c>
    </row>
    <row r="1545" ht="15.75" customHeight="1">
      <c r="B1545" s="371" t="s">
        <v>8806</v>
      </c>
      <c r="C1545" s="371" t="s">
        <v>8807</v>
      </c>
      <c r="D1545" s="371" t="s">
        <v>2205</v>
      </c>
    </row>
    <row r="1546" ht="15.75" customHeight="1">
      <c r="B1546" s="371" t="s">
        <v>4887</v>
      </c>
      <c r="C1546" s="371" t="s">
        <v>8808</v>
      </c>
      <c r="D1546" s="371" t="s">
        <v>2139</v>
      </c>
    </row>
    <row r="1547" ht="15.75" customHeight="1">
      <c r="B1547" s="371" t="s">
        <v>4873</v>
      </c>
      <c r="C1547" s="371" t="s">
        <v>8808</v>
      </c>
      <c r="D1547" s="371" t="s">
        <v>2139</v>
      </c>
    </row>
    <row r="1548" ht="15.75" customHeight="1">
      <c r="B1548" s="371" t="s">
        <v>4881</v>
      </c>
      <c r="C1548" s="371" t="s">
        <v>8809</v>
      </c>
      <c r="D1548" s="371" t="s">
        <v>2139</v>
      </c>
    </row>
    <row r="1549" ht="15.75" customHeight="1">
      <c r="B1549" s="371" t="s">
        <v>4816</v>
      </c>
      <c r="C1549" s="371" t="s">
        <v>8810</v>
      </c>
      <c r="D1549" s="371" t="s">
        <v>2139</v>
      </c>
    </row>
    <row r="1550" ht="15.75" customHeight="1">
      <c r="B1550" s="371" t="s">
        <v>4895</v>
      </c>
      <c r="C1550" s="371" t="s">
        <v>8811</v>
      </c>
      <c r="D1550" s="371" t="s">
        <v>2205</v>
      </c>
    </row>
    <row r="1551" ht="15.75" customHeight="1">
      <c r="B1551" s="371" t="s">
        <v>4736</v>
      </c>
      <c r="C1551" s="371" t="s">
        <v>8812</v>
      </c>
      <c r="D1551" s="371" t="s">
        <v>2139</v>
      </c>
    </row>
    <row r="1552" ht="15.75" customHeight="1">
      <c r="B1552" s="371" t="s">
        <v>4808</v>
      </c>
      <c r="C1552" s="371" t="s">
        <v>8810</v>
      </c>
      <c r="D1552" s="371" t="s">
        <v>2139</v>
      </c>
    </row>
    <row r="1553" ht="15.75" customHeight="1">
      <c r="B1553" s="371" t="s">
        <v>4728</v>
      </c>
      <c r="C1553" s="371" t="s">
        <v>8813</v>
      </c>
      <c r="D1553" s="371" t="s">
        <v>2139</v>
      </c>
    </row>
    <row r="1554" ht="15.75" customHeight="1">
      <c r="B1554" s="371" t="s">
        <v>4689</v>
      </c>
      <c r="C1554" s="371" t="s">
        <v>8814</v>
      </c>
      <c r="D1554" s="371" t="s">
        <v>2139</v>
      </c>
    </row>
    <row r="1555" ht="15.75" customHeight="1">
      <c r="B1555" s="371" t="s">
        <v>4704</v>
      </c>
      <c r="C1555" s="371" t="s">
        <v>8814</v>
      </c>
      <c r="D1555" s="371" t="s">
        <v>2139</v>
      </c>
    </row>
    <row r="1556" ht="15.75" customHeight="1">
      <c r="B1556" s="371" t="s">
        <v>4693</v>
      </c>
      <c r="C1556" s="371" t="s">
        <v>8815</v>
      </c>
      <c r="D1556" s="371" t="s">
        <v>2205</v>
      </c>
    </row>
    <row r="1557" ht="15.75" customHeight="1">
      <c r="B1557" s="371" t="s">
        <v>4681</v>
      </c>
      <c r="C1557" s="371" t="s">
        <v>8814</v>
      </c>
      <c r="D1557" s="371" t="s">
        <v>2139</v>
      </c>
    </row>
    <row r="1558" ht="15.75" customHeight="1">
      <c r="B1558" s="371" t="s">
        <v>4720</v>
      </c>
      <c r="C1558" s="371" t="s">
        <v>8814</v>
      </c>
      <c r="D1558" s="371" t="s">
        <v>2139</v>
      </c>
    </row>
    <row r="1559" ht="15.75" customHeight="1">
      <c r="B1559" s="371" t="s">
        <v>4712</v>
      </c>
      <c r="C1559" s="371" t="s">
        <v>8814</v>
      </c>
      <c r="D1559" s="371" t="s">
        <v>2139</v>
      </c>
    </row>
    <row r="1560" ht="15.75" customHeight="1">
      <c r="B1560" s="371" t="s">
        <v>4669</v>
      </c>
      <c r="C1560" s="371" t="s">
        <v>8816</v>
      </c>
      <c r="D1560" s="371" t="s">
        <v>2139</v>
      </c>
    </row>
    <row r="1561" ht="15.75" customHeight="1">
      <c r="B1561" s="371" t="s">
        <v>4661</v>
      </c>
      <c r="C1561" s="371" t="s">
        <v>8796</v>
      </c>
      <c r="D1561" s="371" t="s">
        <v>2139</v>
      </c>
    </row>
    <row r="1562" ht="15.75" customHeight="1">
      <c r="B1562" s="371" t="s">
        <v>4877</v>
      </c>
      <c r="C1562" s="371" t="s">
        <v>8817</v>
      </c>
      <c r="D1562" s="371" t="s">
        <v>2139</v>
      </c>
    </row>
    <row r="1563" ht="15.75" customHeight="1">
      <c r="B1563" s="371" t="s">
        <v>4891</v>
      </c>
      <c r="C1563" s="371" t="s">
        <v>8817</v>
      </c>
      <c r="D1563" s="371" t="s">
        <v>2139</v>
      </c>
    </row>
    <row r="1564" ht="15.75" customHeight="1">
      <c r="B1564" s="371" t="s">
        <v>4885</v>
      </c>
      <c r="C1564" s="371" t="s">
        <v>8818</v>
      </c>
      <c r="D1564" s="371" t="s">
        <v>2139</v>
      </c>
    </row>
    <row r="1565" ht="15.75" customHeight="1">
      <c r="B1565" s="371" t="s">
        <v>4828</v>
      </c>
      <c r="C1565" s="371" t="s">
        <v>8819</v>
      </c>
      <c r="D1565" s="371" t="s">
        <v>2139</v>
      </c>
    </row>
    <row r="1566" ht="15.75" customHeight="1">
      <c r="B1566" s="371" t="s">
        <v>4820</v>
      </c>
      <c r="C1566" s="371" t="s">
        <v>8819</v>
      </c>
      <c r="D1566" s="371" t="s">
        <v>2139</v>
      </c>
    </row>
    <row r="1567" ht="15.75" customHeight="1">
      <c r="B1567" s="371" t="s">
        <v>4899</v>
      </c>
      <c r="C1567" s="371" t="s">
        <v>8820</v>
      </c>
      <c r="D1567" s="371" t="s">
        <v>2205</v>
      </c>
    </row>
    <row r="1568" ht="15.75" customHeight="1">
      <c r="B1568" s="371" t="s">
        <v>4812</v>
      </c>
      <c r="C1568" s="371" t="s">
        <v>8819</v>
      </c>
      <c r="D1568" s="371" t="s">
        <v>2139</v>
      </c>
    </row>
    <row r="1569" ht="15.75" customHeight="1">
      <c r="B1569" s="371" t="s">
        <v>4732</v>
      </c>
      <c r="C1569" s="371" t="s">
        <v>8821</v>
      </c>
      <c r="D1569" s="371" t="s">
        <v>2205</v>
      </c>
    </row>
    <row r="1570" ht="15.75" customHeight="1">
      <c r="B1570" s="371" t="s">
        <v>4697</v>
      </c>
      <c r="C1570" s="371" t="s">
        <v>8822</v>
      </c>
      <c r="D1570" s="371" t="s">
        <v>2139</v>
      </c>
    </row>
    <row r="1571" ht="15.75" customHeight="1">
      <c r="B1571" s="371" t="s">
        <v>4708</v>
      </c>
      <c r="C1571" s="371" t="s">
        <v>8822</v>
      </c>
      <c r="D1571" s="371" t="s">
        <v>2139</v>
      </c>
    </row>
    <row r="1572" ht="15.75" customHeight="1">
      <c r="B1572" s="371" t="s">
        <v>4673</v>
      </c>
      <c r="C1572" s="371" t="s">
        <v>8823</v>
      </c>
      <c r="D1572" s="371" t="s">
        <v>2139</v>
      </c>
    </row>
    <row r="1573" ht="15.75" customHeight="1">
      <c r="B1573" s="371" t="s">
        <v>4685</v>
      </c>
      <c r="C1573" s="371" t="s">
        <v>8822</v>
      </c>
      <c r="D1573" s="371" t="s">
        <v>2139</v>
      </c>
    </row>
    <row r="1574" ht="15.75" customHeight="1">
      <c r="B1574" s="371" t="s">
        <v>4724</v>
      </c>
      <c r="C1574" s="371" t="s">
        <v>8822</v>
      </c>
      <c r="D1574" s="371" t="s">
        <v>2139</v>
      </c>
    </row>
    <row r="1575" ht="15.75" customHeight="1">
      <c r="B1575" s="371" t="s">
        <v>4716</v>
      </c>
      <c r="C1575" s="371" t="s">
        <v>8822</v>
      </c>
      <c r="D1575" s="371" t="s">
        <v>2139</v>
      </c>
    </row>
    <row r="1576" ht="15.75" customHeight="1">
      <c r="B1576" s="371" t="s">
        <v>4677</v>
      </c>
      <c r="C1576" s="371" t="s">
        <v>8824</v>
      </c>
      <c r="D1576" s="371" t="s">
        <v>2139</v>
      </c>
    </row>
    <row r="1577" ht="15.75" customHeight="1">
      <c r="B1577" s="371" t="s">
        <v>4665</v>
      </c>
      <c r="C1577" s="371" t="s">
        <v>8796</v>
      </c>
      <c r="D1577" s="371" t="s">
        <v>2139</v>
      </c>
    </row>
    <row r="1578" ht="15.75" customHeight="1">
      <c r="B1578" s="371" t="s">
        <v>4841</v>
      </c>
      <c r="C1578" s="371" t="s">
        <v>8825</v>
      </c>
      <c r="D1578" s="371" t="s">
        <v>2139</v>
      </c>
    </row>
    <row r="1579" ht="15.75" customHeight="1">
      <c r="B1579" s="371" t="s">
        <v>4833</v>
      </c>
      <c r="C1579" s="371" t="s">
        <v>8825</v>
      </c>
      <c r="D1579" s="371" t="s">
        <v>2139</v>
      </c>
    </row>
    <row r="1580" ht="15.75" customHeight="1">
      <c r="B1580" s="371" t="s">
        <v>4760</v>
      </c>
      <c r="C1580" s="371" t="s">
        <v>8826</v>
      </c>
      <c r="D1580" s="371" t="s">
        <v>2139</v>
      </c>
    </row>
    <row r="1581" ht="15.75" customHeight="1">
      <c r="B1581" s="371" t="s">
        <v>4756</v>
      </c>
      <c r="C1581" s="371" t="s">
        <v>8826</v>
      </c>
      <c r="D1581" s="371" t="s">
        <v>2139</v>
      </c>
    </row>
    <row r="1582" ht="15.75" customHeight="1">
      <c r="B1582" s="371" t="s">
        <v>4843</v>
      </c>
      <c r="C1582" s="371" t="s">
        <v>8827</v>
      </c>
      <c r="D1582" s="371" t="s">
        <v>2139</v>
      </c>
    </row>
    <row r="1583" ht="15.75" customHeight="1">
      <c r="B1583" s="371" t="s">
        <v>4837</v>
      </c>
      <c r="C1583" s="371" t="s">
        <v>8827</v>
      </c>
      <c r="D1583" s="371" t="s">
        <v>2139</v>
      </c>
    </row>
    <row r="1584" ht="15.75" customHeight="1">
      <c r="B1584" s="371" t="s">
        <v>4764</v>
      </c>
      <c r="C1584" s="371" t="s">
        <v>8828</v>
      </c>
      <c r="D1584" s="371" t="s">
        <v>2139</v>
      </c>
    </row>
    <row r="1585" ht="15.75" customHeight="1">
      <c r="B1585" s="371" t="s">
        <v>4848</v>
      </c>
      <c r="C1585" s="371" t="s">
        <v>8829</v>
      </c>
      <c r="D1585" s="371" t="s">
        <v>2139</v>
      </c>
    </row>
    <row r="1586" ht="15.75" customHeight="1">
      <c r="B1586" s="371" t="s">
        <v>4777</v>
      </c>
      <c r="C1586" s="371" t="s">
        <v>8830</v>
      </c>
      <c r="D1586" s="371" t="s">
        <v>2139</v>
      </c>
    </row>
    <row r="1587" ht="15.75" customHeight="1">
      <c r="B1587" s="371" t="s">
        <v>4769</v>
      </c>
      <c r="C1587" s="371" t="s">
        <v>8831</v>
      </c>
      <c r="D1587" s="371" t="s">
        <v>2139</v>
      </c>
    </row>
    <row r="1588" ht="15.75" customHeight="1">
      <c r="B1588" s="371" t="s">
        <v>4856</v>
      </c>
      <c r="C1588" s="371" t="s">
        <v>8832</v>
      </c>
      <c r="D1588" s="371" t="s">
        <v>2139</v>
      </c>
    </row>
    <row r="1589" ht="15.75" customHeight="1">
      <c r="B1589" s="371" t="s">
        <v>4852</v>
      </c>
      <c r="C1589" s="371" t="s">
        <v>8832</v>
      </c>
      <c r="D1589" s="371" t="s">
        <v>2139</v>
      </c>
    </row>
    <row r="1590" ht="15.75" customHeight="1">
      <c r="B1590" s="371" t="s">
        <v>4781</v>
      </c>
      <c r="C1590" s="371" t="s">
        <v>8833</v>
      </c>
      <c r="D1590" s="371" t="s">
        <v>2139</v>
      </c>
    </row>
    <row r="1591" ht="15.75" customHeight="1">
      <c r="B1591" s="371" t="s">
        <v>4773</v>
      </c>
      <c r="C1591" s="371" t="s">
        <v>8796</v>
      </c>
      <c r="D1591" s="371" t="s">
        <v>2139</v>
      </c>
    </row>
    <row r="1592" ht="15.75" customHeight="1">
      <c r="B1592" s="371" t="s">
        <v>4786</v>
      </c>
      <c r="C1592" s="371" t="s">
        <v>8834</v>
      </c>
      <c r="D1592" s="371" t="s">
        <v>2139</v>
      </c>
    </row>
    <row r="1593" ht="15.75" customHeight="1">
      <c r="B1593" s="371" t="s">
        <v>4790</v>
      </c>
      <c r="C1593" s="371" t="s">
        <v>8835</v>
      </c>
      <c r="D1593" s="371" t="s">
        <v>2139</v>
      </c>
    </row>
    <row r="1594" ht="15.75" customHeight="1">
      <c r="B1594" s="371" t="s">
        <v>4869</v>
      </c>
      <c r="C1594" s="371" t="s">
        <v>8836</v>
      </c>
      <c r="D1594" s="371" t="s">
        <v>2139</v>
      </c>
    </row>
    <row r="1595" ht="15.75" customHeight="1">
      <c r="B1595" s="371" t="s">
        <v>4861</v>
      </c>
      <c r="C1595" s="371" t="s">
        <v>8837</v>
      </c>
      <c r="D1595" s="371" t="s">
        <v>2139</v>
      </c>
    </row>
    <row r="1596" ht="15.75" customHeight="1">
      <c r="B1596" s="371" t="s">
        <v>4799</v>
      </c>
      <c r="C1596" s="371" t="s">
        <v>8838</v>
      </c>
      <c r="D1596" s="371" t="s">
        <v>2139</v>
      </c>
    </row>
    <row r="1597" ht="15.75" customHeight="1">
      <c r="B1597" s="371" t="s">
        <v>4865</v>
      </c>
      <c r="C1597" s="371" t="s">
        <v>8839</v>
      </c>
      <c r="D1597" s="371" t="s">
        <v>2139</v>
      </c>
    </row>
    <row r="1598" ht="15.75" customHeight="1">
      <c r="B1598" s="371" t="s">
        <v>4803</v>
      </c>
      <c r="C1598" s="371" t="s">
        <v>8840</v>
      </c>
      <c r="D1598" s="371" t="s">
        <v>2139</v>
      </c>
    </row>
    <row r="1599" ht="15.75" customHeight="1">
      <c r="B1599" s="371" t="s">
        <v>4795</v>
      </c>
      <c r="C1599" s="371" t="s">
        <v>8840</v>
      </c>
      <c r="D1599" s="371" t="s">
        <v>2139</v>
      </c>
    </row>
    <row r="1600" ht="15.75" customHeight="1">
      <c r="B1600" s="371" t="s">
        <v>2221</v>
      </c>
      <c r="C1600" s="371" t="s">
        <v>8841</v>
      </c>
      <c r="D1600" s="371" t="s">
        <v>2139</v>
      </c>
    </row>
    <row r="1601" ht="15.75" customHeight="1">
      <c r="B1601" s="371" t="s">
        <v>2225</v>
      </c>
      <c r="C1601" s="371" t="s">
        <v>8841</v>
      </c>
      <c r="D1601" s="371" t="s">
        <v>2139</v>
      </c>
    </row>
    <row r="1602" ht="15.75" customHeight="1">
      <c r="B1602" s="371" t="s">
        <v>8842</v>
      </c>
      <c r="C1602" s="371" t="s">
        <v>8843</v>
      </c>
      <c r="D1602" s="371" t="s">
        <v>2205</v>
      </c>
    </row>
    <row r="1603" ht="15.75" customHeight="1">
      <c r="B1603" s="371" t="s">
        <v>2092</v>
      </c>
      <c r="C1603" s="371" t="s">
        <v>8844</v>
      </c>
      <c r="D1603" s="371" t="s">
        <v>2205</v>
      </c>
    </row>
    <row r="1604" ht="15.75" customHeight="1">
      <c r="B1604" s="371" t="s">
        <v>2094</v>
      </c>
      <c r="C1604" s="371" t="s">
        <v>8844</v>
      </c>
      <c r="D1604" s="371" t="s">
        <v>2205</v>
      </c>
    </row>
    <row r="1605" ht="15.75" customHeight="1">
      <c r="B1605" s="371" t="s">
        <v>8845</v>
      </c>
      <c r="C1605" s="371" t="s">
        <v>8846</v>
      </c>
      <c r="D1605" s="371" t="s">
        <v>2205</v>
      </c>
    </row>
    <row r="1606" ht="15.75" customHeight="1">
      <c r="B1606" s="371" t="s">
        <v>8847</v>
      </c>
      <c r="C1606" s="371" t="s">
        <v>8848</v>
      </c>
      <c r="D1606" s="371" t="s">
        <v>2205</v>
      </c>
    </row>
    <row r="1607" ht="15.75" customHeight="1">
      <c r="B1607" s="371" t="s">
        <v>2096</v>
      </c>
      <c r="C1607" s="371" t="s">
        <v>8849</v>
      </c>
      <c r="D1607" s="371" t="s">
        <v>2205</v>
      </c>
    </row>
    <row r="1608" ht="15.75" customHeight="1">
      <c r="B1608" s="371" t="s">
        <v>2098</v>
      </c>
      <c r="C1608" s="371" t="s">
        <v>8850</v>
      </c>
      <c r="D1608" s="371" t="s">
        <v>2205</v>
      </c>
    </row>
    <row r="1609" ht="15.75" customHeight="1">
      <c r="B1609" s="371" t="s">
        <v>2076</v>
      </c>
      <c r="C1609" s="371" t="s">
        <v>8851</v>
      </c>
      <c r="D1609" s="371" t="s">
        <v>2205</v>
      </c>
    </row>
    <row r="1610" ht="15.75" customHeight="1">
      <c r="B1610" s="371" t="s">
        <v>2080</v>
      </c>
      <c r="C1610" s="371" t="s">
        <v>8851</v>
      </c>
      <c r="D1610" s="371" t="s">
        <v>2205</v>
      </c>
    </row>
    <row r="1611" ht="15.75" customHeight="1">
      <c r="B1611" s="371" t="s">
        <v>8852</v>
      </c>
      <c r="C1611" s="371" t="s">
        <v>8843</v>
      </c>
      <c r="D1611" s="371" t="s">
        <v>2205</v>
      </c>
    </row>
    <row r="1612" ht="15.75" customHeight="1">
      <c r="B1612" s="371" t="s">
        <v>2084</v>
      </c>
      <c r="C1612" s="371" t="s">
        <v>8851</v>
      </c>
      <c r="D1612" s="371" t="s">
        <v>2205</v>
      </c>
    </row>
    <row r="1613" ht="15.75" customHeight="1">
      <c r="B1613" s="371" t="s">
        <v>2088</v>
      </c>
      <c r="C1613" s="371" t="s">
        <v>8851</v>
      </c>
      <c r="D1613" s="371" t="s">
        <v>2205</v>
      </c>
    </row>
    <row r="1614" ht="15.75" customHeight="1">
      <c r="B1614" s="371" t="s">
        <v>8853</v>
      </c>
      <c r="C1614" s="371" t="s">
        <v>8854</v>
      </c>
      <c r="D1614" s="371" t="s">
        <v>2205</v>
      </c>
    </row>
    <row r="1615" ht="15.75" customHeight="1">
      <c r="B1615" s="371" t="s">
        <v>5165</v>
      </c>
      <c r="C1615" s="371" t="s">
        <v>8855</v>
      </c>
      <c r="D1615" s="371" t="s">
        <v>2139</v>
      </c>
    </row>
    <row r="1616" ht="15.75" customHeight="1">
      <c r="B1616" s="371" t="s">
        <v>5161</v>
      </c>
      <c r="C1616" s="371" t="s">
        <v>8855</v>
      </c>
      <c r="D1616" s="371" t="s">
        <v>2139</v>
      </c>
    </row>
    <row r="1617" ht="15.75" customHeight="1">
      <c r="B1617" s="371" t="s">
        <v>5171</v>
      </c>
      <c r="C1617" s="371" t="s">
        <v>8855</v>
      </c>
      <c r="D1617" s="371" t="s">
        <v>2139</v>
      </c>
    </row>
    <row r="1618" ht="15.75" customHeight="1">
      <c r="B1618" s="371" t="s">
        <v>5167</v>
      </c>
      <c r="C1618" s="371" t="s">
        <v>8855</v>
      </c>
      <c r="D1618" s="371" t="s">
        <v>2139</v>
      </c>
    </row>
    <row r="1619" ht="15.75" customHeight="1">
      <c r="B1619" s="371" t="s">
        <v>5147</v>
      </c>
      <c r="C1619" s="371" t="s">
        <v>8855</v>
      </c>
      <c r="D1619" s="371" t="s">
        <v>2139</v>
      </c>
    </row>
    <row r="1620" ht="15.75" customHeight="1">
      <c r="B1620" s="371" t="s">
        <v>8856</v>
      </c>
      <c r="C1620" s="371" t="s">
        <v>8857</v>
      </c>
      <c r="D1620" s="371" t="s">
        <v>2139</v>
      </c>
    </row>
    <row r="1621" ht="15.75" customHeight="1">
      <c r="B1621" s="371" t="s">
        <v>5151</v>
      </c>
      <c r="C1621" s="371" t="s">
        <v>8858</v>
      </c>
      <c r="D1621" s="371" t="s">
        <v>2139</v>
      </c>
    </row>
    <row r="1622" ht="15.75" customHeight="1">
      <c r="B1622" s="371" t="s">
        <v>5155</v>
      </c>
      <c r="C1622" s="371" t="s">
        <v>8858</v>
      </c>
      <c r="D1622" s="371" t="s">
        <v>2139</v>
      </c>
    </row>
    <row r="1623" ht="15.75" customHeight="1">
      <c r="B1623" s="371" t="s">
        <v>8859</v>
      </c>
      <c r="C1623" s="371" t="s">
        <v>8860</v>
      </c>
      <c r="D1623" s="371" t="s">
        <v>2139</v>
      </c>
    </row>
    <row r="1624" ht="15.75" customHeight="1">
      <c r="B1624" s="371" t="s">
        <v>5157</v>
      </c>
      <c r="C1624" s="371" t="s">
        <v>8861</v>
      </c>
      <c r="D1624" s="371" t="s">
        <v>2139</v>
      </c>
    </row>
    <row r="1625" ht="15.75" customHeight="1">
      <c r="B1625" s="371" t="s">
        <v>5175</v>
      </c>
      <c r="C1625" s="371" t="s">
        <v>8861</v>
      </c>
      <c r="D1625" s="371" t="s">
        <v>2139</v>
      </c>
    </row>
    <row r="1626" ht="15.75" customHeight="1">
      <c r="B1626" s="371" t="s">
        <v>5370</v>
      </c>
      <c r="C1626" s="371" t="s">
        <v>8862</v>
      </c>
      <c r="D1626" s="371" t="s">
        <v>2139</v>
      </c>
    </row>
    <row r="1627" ht="15.75" customHeight="1">
      <c r="B1627" s="371" t="s">
        <v>8863</v>
      </c>
      <c r="C1627" s="371" t="s">
        <v>8864</v>
      </c>
      <c r="D1627" s="371" t="s">
        <v>2139</v>
      </c>
    </row>
    <row r="1628" ht="15.75" customHeight="1">
      <c r="B1628" s="371" t="s">
        <v>5065</v>
      </c>
      <c r="C1628" s="371" t="s">
        <v>8865</v>
      </c>
      <c r="D1628" s="371" t="s">
        <v>2139</v>
      </c>
    </row>
    <row r="1629" ht="15.75" customHeight="1">
      <c r="B1629" s="371" t="s">
        <v>4924</v>
      </c>
      <c r="C1629" s="371" t="s">
        <v>8866</v>
      </c>
      <c r="D1629" s="371" t="s">
        <v>2139</v>
      </c>
    </row>
    <row r="1630" ht="15.75" customHeight="1">
      <c r="B1630" s="371" t="s">
        <v>4920</v>
      </c>
      <c r="C1630" s="371" t="s">
        <v>8867</v>
      </c>
      <c r="D1630" s="371" t="s">
        <v>2205</v>
      </c>
    </row>
    <row r="1631" ht="15.75" customHeight="1">
      <c r="B1631" s="371" t="s">
        <v>5184</v>
      </c>
      <c r="C1631" s="371" t="s">
        <v>8792</v>
      </c>
      <c r="D1631" s="371" t="s">
        <v>2205</v>
      </c>
    </row>
    <row r="1632" ht="15.75" customHeight="1">
      <c r="B1632" s="371" t="s">
        <v>5188</v>
      </c>
      <c r="C1632" s="371" t="s">
        <v>8792</v>
      </c>
      <c r="D1632" s="371" t="s">
        <v>2205</v>
      </c>
    </row>
    <row r="1633" ht="15.75" customHeight="1">
      <c r="B1633" s="371" t="s">
        <v>5605</v>
      </c>
      <c r="C1633" s="371" t="s">
        <v>8868</v>
      </c>
      <c r="D1633" s="371" t="s">
        <v>2205</v>
      </c>
    </row>
    <row r="1634" ht="15.75" customHeight="1">
      <c r="B1634" s="371" t="s">
        <v>8869</v>
      </c>
      <c r="C1634" s="371" t="s">
        <v>8870</v>
      </c>
      <c r="D1634" s="371" t="s">
        <v>2205</v>
      </c>
    </row>
    <row r="1635" ht="15.75" customHeight="1">
      <c r="B1635" s="371" t="s">
        <v>8871</v>
      </c>
      <c r="C1635" s="371" t="s">
        <v>8870</v>
      </c>
      <c r="D1635" s="371" t="s">
        <v>2205</v>
      </c>
    </row>
    <row r="1636" ht="15.75" customHeight="1">
      <c r="B1636" s="371" t="s">
        <v>5334</v>
      </c>
      <c r="C1636" s="371" t="s">
        <v>8872</v>
      </c>
      <c r="D1636" s="371" t="s">
        <v>2139</v>
      </c>
    </row>
    <row r="1637" ht="15.75" customHeight="1">
      <c r="B1637" s="371" t="s">
        <v>5330</v>
      </c>
      <c r="C1637" s="371" t="s">
        <v>8872</v>
      </c>
      <c r="D1637" s="371" t="s">
        <v>2139</v>
      </c>
    </row>
    <row r="1638" ht="15.75" customHeight="1">
      <c r="B1638" s="371" t="s">
        <v>5608</v>
      </c>
      <c r="C1638" s="371" t="s">
        <v>8872</v>
      </c>
      <c r="D1638" s="371" t="s">
        <v>2139</v>
      </c>
    </row>
    <row r="1639" ht="15.75" customHeight="1">
      <c r="B1639" s="371" t="s">
        <v>8873</v>
      </c>
      <c r="C1639" s="371" t="s">
        <v>8872</v>
      </c>
      <c r="D1639" s="371" t="s">
        <v>2139</v>
      </c>
    </row>
    <row r="1640" ht="15.75" customHeight="1">
      <c r="B1640" s="371" t="s">
        <v>8874</v>
      </c>
      <c r="C1640" s="371" t="s">
        <v>8872</v>
      </c>
      <c r="D1640" s="371" t="s">
        <v>2139</v>
      </c>
    </row>
    <row r="1641" ht="15.75" customHeight="1">
      <c r="B1641" s="371" t="s">
        <v>8875</v>
      </c>
      <c r="C1641" s="371" t="s">
        <v>8876</v>
      </c>
      <c r="D1641" s="371" t="s">
        <v>2139</v>
      </c>
    </row>
    <row r="1642" ht="15.75" customHeight="1">
      <c r="B1642" s="371" t="s">
        <v>8877</v>
      </c>
      <c r="C1642" s="371" t="s">
        <v>8872</v>
      </c>
      <c r="D1642" s="371" t="s">
        <v>2205</v>
      </c>
    </row>
    <row r="1643" ht="15.75" customHeight="1">
      <c r="B1643" s="371" t="s">
        <v>5303</v>
      </c>
      <c r="C1643" s="371" t="s">
        <v>8872</v>
      </c>
      <c r="D1643" s="371" t="s">
        <v>2139</v>
      </c>
    </row>
    <row r="1644" ht="15.75" customHeight="1">
      <c r="B1644" s="371" t="s">
        <v>5299</v>
      </c>
      <c r="C1644" s="371" t="s">
        <v>8872</v>
      </c>
      <c r="D1644" s="371" t="s">
        <v>2139</v>
      </c>
    </row>
    <row r="1645" ht="15.75" customHeight="1">
      <c r="B1645" s="371" t="s">
        <v>5234</v>
      </c>
      <c r="C1645" s="371" t="s">
        <v>8878</v>
      </c>
      <c r="D1645" s="371" t="s">
        <v>2139</v>
      </c>
    </row>
    <row r="1646" ht="15.75" customHeight="1">
      <c r="B1646" s="371" t="s">
        <v>4947</v>
      </c>
      <c r="C1646" s="371" t="s">
        <v>8879</v>
      </c>
      <c r="D1646" s="371" t="s">
        <v>2205</v>
      </c>
    </row>
    <row r="1647" ht="15.75" customHeight="1">
      <c r="B1647" s="371" t="s">
        <v>4951</v>
      </c>
      <c r="C1647" s="371" t="s">
        <v>8796</v>
      </c>
      <c r="D1647" s="371" t="s">
        <v>2139</v>
      </c>
    </row>
    <row r="1648" ht="15.75" customHeight="1">
      <c r="B1648" s="371" t="s">
        <v>4989</v>
      </c>
      <c r="C1648" s="371" t="s">
        <v>8880</v>
      </c>
      <c r="D1648" s="371" t="s">
        <v>2139</v>
      </c>
    </row>
    <row r="1649" ht="15.75" customHeight="1">
      <c r="B1649" s="371" t="s">
        <v>4997</v>
      </c>
      <c r="C1649" s="371" t="s">
        <v>8796</v>
      </c>
      <c r="D1649" s="371" t="s">
        <v>2139</v>
      </c>
    </row>
    <row r="1650" ht="15.75" customHeight="1">
      <c r="B1650" s="371" t="s">
        <v>4955</v>
      </c>
      <c r="C1650" s="371" t="s">
        <v>8881</v>
      </c>
      <c r="D1650" s="371" t="s">
        <v>2205</v>
      </c>
    </row>
    <row r="1651" ht="15.75" customHeight="1">
      <c r="B1651" s="371" t="s">
        <v>4959</v>
      </c>
      <c r="C1651" s="371" t="s">
        <v>8796</v>
      </c>
      <c r="D1651" s="371" t="s">
        <v>2139</v>
      </c>
    </row>
    <row r="1652" ht="15.75" customHeight="1">
      <c r="B1652" s="371" t="s">
        <v>4965</v>
      </c>
      <c r="C1652" s="371" t="s">
        <v>8882</v>
      </c>
      <c r="D1652" s="371" t="s">
        <v>2205</v>
      </c>
    </row>
    <row r="1653" ht="15.75" customHeight="1">
      <c r="B1653" s="371" t="s">
        <v>8883</v>
      </c>
      <c r="C1653" s="371" t="s">
        <v>8767</v>
      </c>
      <c r="D1653" s="371" t="s">
        <v>2205</v>
      </c>
    </row>
    <row r="1654" ht="15.75" customHeight="1">
      <c r="B1654" s="371" t="s">
        <v>4999</v>
      </c>
      <c r="C1654" s="371" t="s">
        <v>8884</v>
      </c>
      <c r="D1654" s="371" t="s">
        <v>2139</v>
      </c>
    </row>
    <row r="1655" ht="15.75" customHeight="1">
      <c r="B1655" s="371" t="s">
        <v>5006</v>
      </c>
      <c r="C1655" s="371" t="s">
        <v>8796</v>
      </c>
      <c r="D1655" s="371" t="s">
        <v>2139</v>
      </c>
    </row>
    <row r="1656" ht="15.75" customHeight="1">
      <c r="B1656" s="371" t="s">
        <v>4969</v>
      </c>
      <c r="C1656" s="371" t="s">
        <v>8882</v>
      </c>
      <c r="D1656" s="371" t="s">
        <v>2205</v>
      </c>
    </row>
    <row r="1657" ht="15.75" customHeight="1">
      <c r="B1657" s="371" t="s">
        <v>4980</v>
      </c>
      <c r="C1657" s="371" t="s">
        <v>8796</v>
      </c>
      <c r="D1657" s="371" t="s">
        <v>2139</v>
      </c>
    </row>
    <row r="1658" ht="15.75" customHeight="1">
      <c r="B1658" s="371" t="s">
        <v>8885</v>
      </c>
      <c r="C1658" s="371" t="s">
        <v>8886</v>
      </c>
      <c r="D1658" s="371" t="s">
        <v>2205</v>
      </c>
    </row>
    <row r="1659" ht="15.75" customHeight="1">
      <c r="B1659" s="371" t="s">
        <v>4929</v>
      </c>
      <c r="C1659" s="371" t="s">
        <v>8886</v>
      </c>
      <c r="D1659" s="371" t="s">
        <v>2205</v>
      </c>
    </row>
    <row r="1660" ht="15.75" customHeight="1">
      <c r="B1660" s="371" t="s">
        <v>4933</v>
      </c>
      <c r="C1660" s="371" t="s">
        <v>8886</v>
      </c>
      <c r="D1660" s="371" t="s">
        <v>2205</v>
      </c>
    </row>
    <row r="1661" ht="15.75" customHeight="1">
      <c r="B1661" s="371" t="s">
        <v>4935</v>
      </c>
      <c r="C1661" s="371" t="s">
        <v>8881</v>
      </c>
      <c r="D1661" s="371" t="s">
        <v>2205</v>
      </c>
    </row>
    <row r="1662" ht="15.75" customHeight="1">
      <c r="B1662" s="371" t="s">
        <v>4939</v>
      </c>
      <c r="C1662" s="371" t="s">
        <v>8887</v>
      </c>
      <c r="D1662" s="371" t="s">
        <v>2139</v>
      </c>
    </row>
    <row r="1663" ht="15.75" customHeight="1">
      <c r="B1663" s="371" t="s">
        <v>4945</v>
      </c>
      <c r="C1663" s="371" t="s">
        <v>8881</v>
      </c>
      <c r="D1663" s="371" t="s">
        <v>2139</v>
      </c>
    </row>
    <row r="1664" ht="15.75" customHeight="1">
      <c r="B1664" s="371" t="s">
        <v>4943</v>
      </c>
      <c r="C1664" s="371" t="s">
        <v>8881</v>
      </c>
      <c r="D1664" s="371" t="s">
        <v>2139</v>
      </c>
    </row>
    <row r="1665" ht="15.75" customHeight="1">
      <c r="B1665" s="371" t="s">
        <v>4972</v>
      </c>
      <c r="C1665" s="371" t="s">
        <v>8888</v>
      </c>
      <c r="D1665" s="371" t="s">
        <v>2139</v>
      </c>
    </row>
    <row r="1666" ht="15.75" customHeight="1">
      <c r="B1666" s="371" t="s">
        <v>4985</v>
      </c>
      <c r="C1666" s="371" t="s">
        <v>8889</v>
      </c>
      <c r="D1666" s="371" t="s">
        <v>2205</v>
      </c>
    </row>
    <row r="1667" ht="15.75" customHeight="1">
      <c r="B1667" s="371" t="s">
        <v>4993</v>
      </c>
      <c r="C1667" s="371" t="s">
        <v>8887</v>
      </c>
      <c r="D1667" s="371" t="s">
        <v>2205</v>
      </c>
    </row>
    <row r="1668" ht="15.75" customHeight="1">
      <c r="B1668" s="371" t="s">
        <v>4995</v>
      </c>
      <c r="C1668" s="371" t="s">
        <v>8887</v>
      </c>
      <c r="D1668" s="371" t="s">
        <v>2205</v>
      </c>
    </row>
    <row r="1669" ht="15.75" customHeight="1">
      <c r="B1669" s="371" t="s">
        <v>4961</v>
      </c>
      <c r="C1669" s="371" t="s">
        <v>8890</v>
      </c>
      <c r="D1669" s="371" t="s">
        <v>2139</v>
      </c>
    </row>
    <row r="1670" ht="15.75" customHeight="1">
      <c r="B1670" s="371" t="s">
        <v>4976</v>
      </c>
      <c r="C1670" s="371" t="s">
        <v>8891</v>
      </c>
      <c r="D1670" s="371" t="s">
        <v>2139</v>
      </c>
    </row>
    <row r="1671" ht="15.75" customHeight="1">
      <c r="B1671" s="371" t="s">
        <v>5002</v>
      </c>
      <c r="C1671" s="371" t="s">
        <v>8892</v>
      </c>
      <c r="D1671" s="371" t="s">
        <v>2139</v>
      </c>
    </row>
    <row r="1672" ht="15.75" customHeight="1">
      <c r="B1672" s="371" t="s">
        <v>5246</v>
      </c>
      <c r="C1672" s="371" t="s">
        <v>8796</v>
      </c>
      <c r="D1672" s="371" t="s">
        <v>2139</v>
      </c>
    </row>
    <row r="1673" ht="15.75" customHeight="1">
      <c r="B1673" s="371" t="s">
        <v>5250</v>
      </c>
      <c r="C1673" s="371" t="s">
        <v>8796</v>
      </c>
      <c r="D1673" s="371" t="s">
        <v>2139</v>
      </c>
    </row>
    <row r="1674" ht="15.75" customHeight="1">
      <c r="B1674" s="371" t="s">
        <v>5347</v>
      </c>
      <c r="C1674" s="371" t="s">
        <v>8893</v>
      </c>
      <c r="D1674" s="371" t="s">
        <v>2205</v>
      </c>
    </row>
    <row r="1675" ht="15.75" customHeight="1">
      <c r="B1675" s="371" t="s">
        <v>5351</v>
      </c>
      <c r="C1675" s="371" t="s">
        <v>8893</v>
      </c>
      <c r="D1675" s="371" t="s">
        <v>2205</v>
      </c>
    </row>
    <row r="1676" ht="15.75" customHeight="1">
      <c r="B1676" s="371" t="s">
        <v>8894</v>
      </c>
      <c r="C1676" s="371" t="s">
        <v>8895</v>
      </c>
      <c r="D1676" s="371" t="s">
        <v>2205</v>
      </c>
    </row>
    <row r="1677" ht="15.75" customHeight="1">
      <c r="B1677" s="371" t="s">
        <v>8896</v>
      </c>
      <c r="C1677" s="371" t="s">
        <v>8028</v>
      </c>
      <c r="D1677" s="371" t="s">
        <v>2205</v>
      </c>
    </row>
    <row r="1678" ht="15.75" customHeight="1">
      <c r="B1678" s="371" t="s">
        <v>5275</v>
      </c>
      <c r="C1678" s="371" t="s">
        <v>8897</v>
      </c>
      <c r="D1678" s="371" t="s">
        <v>2139</v>
      </c>
    </row>
    <row r="1679" ht="15.75" customHeight="1">
      <c r="B1679" s="371" t="s">
        <v>5255</v>
      </c>
      <c r="C1679" s="371" t="s">
        <v>8898</v>
      </c>
      <c r="D1679" s="371" t="s">
        <v>2139</v>
      </c>
    </row>
    <row r="1680" ht="15.75" customHeight="1">
      <c r="B1680" s="371" t="s">
        <v>5258</v>
      </c>
      <c r="C1680" s="371" t="s">
        <v>8899</v>
      </c>
      <c r="D1680" s="371" t="s">
        <v>2139</v>
      </c>
    </row>
    <row r="1681" ht="15.75" customHeight="1">
      <c r="B1681" s="371" t="s">
        <v>5259</v>
      </c>
      <c r="C1681" s="371" t="s">
        <v>8900</v>
      </c>
      <c r="D1681" s="371" t="s">
        <v>2139</v>
      </c>
    </row>
    <row r="1682" ht="15.75" customHeight="1">
      <c r="B1682" s="371" t="s">
        <v>8901</v>
      </c>
      <c r="C1682" s="373"/>
      <c r="D1682" s="371" t="s">
        <v>2205</v>
      </c>
    </row>
    <row r="1683" ht="15.75" customHeight="1">
      <c r="B1683" s="371" t="s">
        <v>5262</v>
      </c>
      <c r="C1683" s="371" t="s">
        <v>8902</v>
      </c>
      <c r="D1683" s="371" t="s">
        <v>2205</v>
      </c>
    </row>
    <row r="1684" ht="15.75" customHeight="1">
      <c r="B1684" s="371" t="s">
        <v>5263</v>
      </c>
      <c r="C1684" s="371" t="s">
        <v>8903</v>
      </c>
      <c r="D1684" s="371" t="s">
        <v>2139</v>
      </c>
    </row>
    <row r="1685" ht="15.75" customHeight="1">
      <c r="B1685" s="371" t="s">
        <v>5278</v>
      </c>
      <c r="C1685" s="371" t="s">
        <v>8904</v>
      </c>
      <c r="D1685" s="371" t="s">
        <v>2139</v>
      </c>
    </row>
    <row r="1686" ht="15.75" customHeight="1">
      <c r="B1686" s="371" t="s">
        <v>5282</v>
      </c>
      <c r="C1686" s="371" t="s">
        <v>8904</v>
      </c>
      <c r="D1686" s="371" t="s">
        <v>2139</v>
      </c>
    </row>
    <row r="1687" ht="15.75" customHeight="1">
      <c r="B1687" s="371" t="s">
        <v>5266</v>
      </c>
      <c r="C1687" s="371" t="s">
        <v>8905</v>
      </c>
      <c r="D1687" s="371" t="s">
        <v>2139</v>
      </c>
    </row>
    <row r="1688" ht="15.75" customHeight="1">
      <c r="B1688" s="371" t="s">
        <v>5269</v>
      </c>
      <c r="C1688" s="371" t="s">
        <v>8906</v>
      </c>
      <c r="D1688" s="371" t="s">
        <v>2139</v>
      </c>
    </row>
    <row r="1689" ht="15.75" customHeight="1">
      <c r="B1689" s="371" t="s">
        <v>5272</v>
      </c>
      <c r="C1689" s="371" t="s">
        <v>8907</v>
      </c>
      <c r="D1689" s="371" t="s">
        <v>2139</v>
      </c>
    </row>
    <row r="1690" ht="15.75" customHeight="1">
      <c r="B1690" s="371" t="s">
        <v>5309</v>
      </c>
      <c r="C1690" s="371" t="s">
        <v>8908</v>
      </c>
      <c r="D1690" s="371" t="s">
        <v>2205</v>
      </c>
    </row>
    <row r="1691" ht="15.75" customHeight="1">
      <c r="B1691" s="371" t="s">
        <v>5313</v>
      </c>
      <c r="C1691" s="371" t="s">
        <v>8909</v>
      </c>
      <c r="D1691" s="371" t="s">
        <v>2205</v>
      </c>
    </row>
    <row r="1692" ht="15.75" customHeight="1">
      <c r="B1692" s="371" t="s">
        <v>5317</v>
      </c>
      <c r="C1692" s="371" t="s">
        <v>8909</v>
      </c>
      <c r="D1692" s="371" t="s">
        <v>2139</v>
      </c>
    </row>
    <row r="1693" ht="15.75" customHeight="1">
      <c r="B1693" s="371" t="s">
        <v>5036</v>
      </c>
      <c r="C1693" s="371" t="s">
        <v>8910</v>
      </c>
      <c r="D1693" s="371" t="s">
        <v>2139</v>
      </c>
    </row>
    <row r="1694" ht="15.75" customHeight="1">
      <c r="B1694" s="371" t="s">
        <v>5042</v>
      </c>
      <c r="C1694" s="371" t="s">
        <v>8911</v>
      </c>
      <c r="D1694" s="371" t="s">
        <v>2139</v>
      </c>
    </row>
    <row r="1695" ht="15.75" customHeight="1">
      <c r="B1695" s="371" t="s">
        <v>8912</v>
      </c>
      <c r="C1695" s="371" t="s">
        <v>8911</v>
      </c>
      <c r="D1695" s="371" t="s">
        <v>2205</v>
      </c>
    </row>
    <row r="1696" ht="15.75" customHeight="1">
      <c r="B1696" s="371" t="s">
        <v>5040</v>
      </c>
      <c r="C1696" s="371" t="s">
        <v>8913</v>
      </c>
      <c r="D1696" s="371" t="s">
        <v>2139</v>
      </c>
    </row>
    <row r="1697" ht="15.75" customHeight="1">
      <c r="B1697" s="371" t="s">
        <v>5046</v>
      </c>
      <c r="C1697" s="371" t="s">
        <v>8914</v>
      </c>
      <c r="D1697" s="371" t="s">
        <v>2139</v>
      </c>
    </row>
    <row r="1698" ht="15.75" customHeight="1">
      <c r="B1698" s="371" t="s">
        <v>8915</v>
      </c>
      <c r="C1698" s="371" t="s">
        <v>8916</v>
      </c>
      <c r="D1698" s="371" t="s">
        <v>2205</v>
      </c>
    </row>
    <row r="1699" ht="15.75" customHeight="1">
      <c r="B1699" s="371" t="s">
        <v>5052</v>
      </c>
      <c r="C1699" s="371" t="s">
        <v>8917</v>
      </c>
      <c r="D1699" s="371" t="s">
        <v>2139</v>
      </c>
    </row>
    <row r="1700" ht="15.75" customHeight="1">
      <c r="B1700" s="371" t="s">
        <v>8918</v>
      </c>
      <c r="C1700" s="371" t="s">
        <v>8919</v>
      </c>
      <c r="D1700" s="371" t="s">
        <v>2139</v>
      </c>
    </row>
    <row r="1701" ht="15.75" customHeight="1">
      <c r="B1701" s="371" t="s">
        <v>5337</v>
      </c>
      <c r="C1701" s="371" t="s">
        <v>8920</v>
      </c>
      <c r="D1701" s="371" t="s">
        <v>2205</v>
      </c>
    </row>
    <row r="1702" ht="15.75" customHeight="1">
      <c r="B1702" s="371" t="s">
        <v>5050</v>
      </c>
      <c r="C1702" s="371" t="s">
        <v>8921</v>
      </c>
      <c r="D1702" s="371" t="s">
        <v>2139</v>
      </c>
    </row>
    <row r="1703" ht="15.75" customHeight="1">
      <c r="B1703" s="371" t="s">
        <v>5570</v>
      </c>
      <c r="C1703" s="371" t="s">
        <v>8922</v>
      </c>
      <c r="D1703" s="371" t="s">
        <v>2139</v>
      </c>
    </row>
    <row r="1704" ht="15.75" customHeight="1">
      <c r="B1704" s="371" t="s">
        <v>5010</v>
      </c>
      <c r="C1704" s="371" t="s">
        <v>8923</v>
      </c>
      <c r="D1704" s="371" t="s">
        <v>2205</v>
      </c>
    </row>
    <row r="1705" ht="15.75" customHeight="1">
      <c r="B1705" s="371" t="s">
        <v>5014</v>
      </c>
      <c r="C1705" s="371" t="s">
        <v>8923</v>
      </c>
      <c r="D1705" s="371" t="s">
        <v>2139</v>
      </c>
    </row>
    <row r="1706" ht="15.75" customHeight="1">
      <c r="B1706" s="371" t="s">
        <v>5023</v>
      </c>
      <c r="C1706" s="371" t="s">
        <v>8924</v>
      </c>
      <c r="D1706" s="371" t="s">
        <v>2139</v>
      </c>
    </row>
    <row r="1707" ht="15.75" customHeight="1">
      <c r="B1707" s="371" t="s">
        <v>5031</v>
      </c>
      <c r="C1707" s="371" t="s">
        <v>8924</v>
      </c>
      <c r="D1707" s="371" t="s">
        <v>2139</v>
      </c>
    </row>
    <row r="1708" ht="15.75" customHeight="1">
      <c r="B1708" s="371" t="s">
        <v>6154</v>
      </c>
      <c r="C1708" s="371" t="s">
        <v>8925</v>
      </c>
      <c r="D1708" s="371" t="s">
        <v>2139</v>
      </c>
    </row>
    <row r="1709" ht="15.75" customHeight="1">
      <c r="B1709" s="371" t="s">
        <v>6158</v>
      </c>
      <c r="C1709" s="371" t="s">
        <v>8926</v>
      </c>
      <c r="D1709" s="371" t="s">
        <v>2139</v>
      </c>
    </row>
    <row r="1710" ht="15.75" customHeight="1">
      <c r="B1710" s="371" t="s">
        <v>6162</v>
      </c>
      <c r="C1710" s="371" t="s">
        <v>8925</v>
      </c>
      <c r="D1710" s="371" t="s">
        <v>2205</v>
      </c>
    </row>
    <row r="1711" ht="15.75" customHeight="1">
      <c r="B1711" s="371" t="s">
        <v>6168</v>
      </c>
      <c r="C1711" s="371" t="s">
        <v>8926</v>
      </c>
      <c r="D1711" s="371" t="s">
        <v>2205</v>
      </c>
    </row>
    <row r="1712" ht="15.75" customHeight="1">
      <c r="B1712" s="371" t="s">
        <v>6172</v>
      </c>
      <c r="C1712" s="371" t="s">
        <v>8926</v>
      </c>
      <c r="D1712" s="371" t="s">
        <v>2139</v>
      </c>
    </row>
    <row r="1713" ht="15.75" customHeight="1">
      <c r="B1713" s="371" t="s">
        <v>6180</v>
      </c>
      <c r="C1713" s="371" t="s">
        <v>8927</v>
      </c>
      <c r="D1713" s="371" t="s">
        <v>2139</v>
      </c>
    </row>
    <row r="1714" ht="15.75" customHeight="1">
      <c r="B1714" s="371" t="s">
        <v>6342</v>
      </c>
      <c r="C1714" s="371" t="s">
        <v>8928</v>
      </c>
      <c r="D1714" s="371" t="s">
        <v>2205</v>
      </c>
    </row>
    <row r="1715" ht="15.75" customHeight="1">
      <c r="B1715" s="371" t="s">
        <v>8929</v>
      </c>
      <c r="C1715" s="371" t="s">
        <v>8928</v>
      </c>
      <c r="D1715" s="371" t="s">
        <v>2205</v>
      </c>
    </row>
    <row r="1716" ht="15.75" customHeight="1">
      <c r="B1716" s="371" t="s">
        <v>5019</v>
      </c>
      <c r="C1716" s="371" t="s">
        <v>8930</v>
      </c>
      <c r="D1716" s="371" t="s">
        <v>2139</v>
      </c>
    </row>
    <row r="1717" ht="15.75" customHeight="1">
      <c r="B1717" s="371" t="s">
        <v>5027</v>
      </c>
      <c r="C1717" s="371" t="s">
        <v>8931</v>
      </c>
      <c r="D1717" s="371" t="s">
        <v>2139</v>
      </c>
    </row>
    <row r="1718" ht="15.75" customHeight="1">
      <c r="B1718" s="371" t="s">
        <v>5056</v>
      </c>
      <c r="C1718" s="371" t="s">
        <v>8932</v>
      </c>
      <c r="D1718" s="371" t="s">
        <v>2139</v>
      </c>
    </row>
    <row r="1719" ht="15.75" customHeight="1">
      <c r="B1719" s="371" t="s">
        <v>6133</v>
      </c>
      <c r="C1719" s="371" t="s">
        <v>8933</v>
      </c>
      <c r="D1719" s="371" t="s">
        <v>2205</v>
      </c>
    </row>
    <row r="1720" ht="15.75" customHeight="1">
      <c r="B1720" s="371" t="s">
        <v>8934</v>
      </c>
      <c r="C1720" s="371" t="s">
        <v>8935</v>
      </c>
      <c r="D1720" s="371" t="s">
        <v>2205</v>
      </c>
    </row>
    <row r="1721" ht="15.75" customHeight="1">
      <c r="B1721" s="371" t="s">
        <v>6137</v>
      </c>
      <c r="C1721" s="371" t="s">
        <v>8933</v>
      </c>
      <c r="D1721" s="371" t="s">
        <v>2139</v>
      </c>
    </row>
    <row r="1722" ht="15.75" customHeight="1">
      <c r="B1722" s="371" t="s">
        <v>6141</v>
      </c>
      <c r="C1722" s="371" t="s">
        <v>8936</v>
      </c>
      <c r="D1722" s="371" t="s">
        <v>2205</v>
      </c>
    </row>
    <row r="1723" ht="15.75" customHeight="1">
      <c r="B1723" s="371" t="s">
        <v>6145</v>
      </c>
      <c r="C1723" s="371" t="s">
        <v>8933</v>
      </c>
      <c r="D1723" s="371" t="s">
        <v>2205</v>
      </c>
    </row>
    <row r="1724" ht="15.75" customHeight="1">
      <c r="B1724" s="371" t="s">
        <v>6076</v>
      </c>
      <c r="C1724" s="371" t="s">
        <v>8933</v>
      </c>
      <c r="D1724" s="371" t="s">
        <v>2205</v>
      </c>
    </row>
    <row r="1725" ht="15.75" customHeight="1">
      <c r="B1725" s="371" t="s">
        <v>6083</v>
      </c>
      <c r="C1725" s="371" t="s">
        <v>8937</v>
      </c>
      <c r="D1725" s="371" t="s">
        <v>2139</v>
      </c>
    </row>
    <row r="1726" ht="15.75" customHeight="1">
      <c r="B1726" s="371" t="s">
        <v>6086</v>
      </c>
      <c r="C1726" s="371" t="s">
        <v>8936</v>
      </c>
      <c r="D1726" s="371" t="s">
        <v>2205</v>
      </c>
    </row>
    <row r="1727" ht="15.75" customHeight="1">
      <c r="B1727" s="371" t="s">
        <v>8938</v>
      </c>
      <c r="C1727" s="371" t="s">
        <v>8755</v>
      </c>
      <c r="D1727" s="371" t="s">
        <v>2205</v>
      </c>
    </row>
    <row r="1728" ht="15.75" customHeight="1">
      <c r="B1728" s="371" t="s">
        <v>6072</v>
      </c>
      <c r="C1728" s="371" t="s">
        <v>8755</v>
      </c>
      <c r="D1728" s="371" t="s">
        <v>2139</v>
      </c>
    </row>
    <row r="1729" ht="15.75" customHeight="1">
      <c r="B1729" s="371" t="s">
        <v>8939</v>
      </c>
      <c r="C1729" s="371" t="s">
        <v>8407</v>
      </c>
      <c r="D1729" s="371" t="s">
        <v>2205</v>
      </c>
    </row>
    <row r="1730" ht="15.75" customHeight="1">
      <c r="B1730" s="371" t="s">
        <v>6101</v>
      </c>
      <c r="C1730" s="371" t="s">
        <v>8940</v>
      </c>
      <c r="D1730" s="371" t="s">
        <v>2139</v>
      </c>
    </row>
    <row r="1731" ht="15.75" customHeight="1">
      <c r="B1731" s="371" t="s">
        <v>8941</v>
      </c>
      <c r="C1731" s="371" t="s">
        <v>8209</v>
      </c>
      <c r="D1731" s="371" t="s">
        <v>2205</v>
      </c>
    </row>
    <row r="1732" ht="15.75" customHeight="1">
      <c r="B1732" s="371" t="s">
        <v>6097</v>
      </c>
      <c r="C1732" s="371" t="s">
        <v>8940</v>
      </c>
      <c r="D1732" s="371" t="s">
        <v>2139</v>
      </c>
    </row>
    <row r="1733" ht="15.75" customHeight="1">
      <c r="B1733" s="371" t="s">
        <v>6105</v>
      </c>
      <c r="C1733" s="371" t="s">
        <v>8755</v>
      </c>
      <c r="D1733" s="371" t="s">
        <v>2139</v>
      </c>
    </row>
    <row r="1734" ht="15.75" customHeight="1">
      <c r="B1734" s="371" t="s">
        <v>8942</v>
      </c>
      <c r="C1734" s="371" t="s">
        <v>8407</v>
      </c>
      <c r="D1734" s="371" t="s">
        <v>2205</v>
      </c>
    </row>
    <row r="1735" ht="15.75" customHeight="1">
      <c r="B1735" s="371" t="s">
        <v>6109</v>
      </c>
      <c r="C1735" s="371" t="s">
        <v>7370</v>
      </c>
      <c r="D1735" s="371" t="s">
        <v>2205</v>
      </c>
    </row>
    <row r="1736" ht="15.75" customHeight="1">
      <c r="B1736" s="371" t="s">
        <v>8943</v>
      </c>
      <c r="C1736" s="371" t="s">
        <v>8944</v>
      </c>
      <c r="D1736" s="371" t="s">
        <v>2139</v>
      </c>
    </row>
    <row r="1737" ht="15.75" customHeight="1">
      <c r="B1737" s="371" t="s">
        <v>8945</v>
      </c>
      <c r="C1737" s="371" t="s">
        <v>7370</v>
      </c>
      <c r="D1737" s="371" t="s">
        <v>2139</v>
      </c>
    </row>
    <row r="1738" ht="15.75" customHeight="1">
      <c r="B1738" s="371" t="s">
        <v>6115</v>
      </c>
      <c r="C1738" s="371" t="s">
        <v>8755</v>
      </c>
      <c r="D1738" s="371" t="s">
        <v>2205</v>
      </c>
    </row>
    <row r="1739" ht="15.75" customHeight="1">
      <c r="B1739" s="371" t="s">
        <v>8946</v>
      </c>
      <c r="C1739" s="371" t="s">
        <v>8755</v>
      </c>
      <c r="D1739" s="371" t="s">
        <v>2205</v>
      </c>
    </row>
    <row r="1740" ht="15.75" customHeight="1">
      <c r="B1740" s="371" t="s">
        <v>6125</v>
      </c>
      <c r="C1740" s="371" t="s">
        <v>8755</v>
      </c>
      <c r="D1740" s="371" t="s">
        <v>2139</v>
      </c>
    </row>
    <row r="1741" ht="15.75" customHeight="1">
      <c r="B1741" s="371" t="s">
        <v>8947</v>
      </c>
      <c r="C1741" s="371" t="s">
        <v>7432</v>
      </c>
      <c r="D1741" s="371" t="s">
        <v>2205</v>
      </c>
    </row>
    <row r="1742" ht="15.75" customHeight="1">
      <c r="B1742" s="371" t="s">
        <v>5382</v>
      </c>
      <c r="C1742" s="371" t="s">
        <v>8948</v>
      </c>
      <c r="D1742" s="371" t="s">
        <v>2139</v>
      </c>
    </row>
    <row r="1743" ht="15.75" customHeight="1">
      <c r="B1743" s="371" t="s">
        <v>5458</v>
      </c>
      <c r="C1743" s="371" t="s">
        <v>8949</v>
      </c>
      <c r="D1743" s="371" t="s">
        <v>2139</v>
      </c>
    </row>
    <row r="1744" ht="15.75" customHeight="1">
      <c r="B1744" s="371" t="s">
        <v>5461</v>
      </c>
      <c r="C1744" s="371" t="s">
        <v>8950</v>
      </c>
      <c r="D1744" s="371" t="s">
        <v>2139</v>
      </c>
    </row>
    <row r="1745" ht="15.75" customHeight="1">
      <c r="B1745" s="371" t="s">
        <v>8951</v>
      </c>
      <c r="C1745" s="371" t="s">
        <v>8952</v>
      </c>
      <c r="D1745" s="371" t="s">
        <v>2139</v>
      </c>
    </row>
    <row r="1746" ht="15.75" customHeight="1">
      <c r="B1746" s="371" t="s">
        <v>5464</v>
      </c>
      <c r="C1746" s="371" t="s">
        <v>8953</v>
      </c>
      <c r="D1746" s="371" t="s">
        <v>2139</v>
      </c>
    </row>
    <row r="1747" ht="15.75" customHeight="1">
      <c r="B1747" s="371" t="s">
        <v>5496</v>
      </c>
      <c r="C1747" s="371" t="s">
        <v>8954</v>
      </c>
      <c r="D1747" s="371" t="s">
        <v>2139</v>
      </c>
    </row>
    <row r="1748" ht="15.75" customHeight="1">
      <c r="B1748" s="371" t="s">
        <v>5506</v>
      </c>
      <c r="C1748" s="371" t="s">
        <v>8955</v>
      </c>
      <c r="D1748" s="371" t="s">
        <v>2139</v>
      </c>
    </row>
    <row r="1749" ht="15.75" customHeight="1">
      <c r="B1749" s="371" t="s">
        <v>5510</v>
      </c>
      <c r="C1749" s="371" t="s">
        <v>8956</v>
      </c>
      <c r="D1749" s="371" t="s">
        <v>2139</v>
      </c>
    </row>
    <row r="1750" ht="15.75" customHeight="1">
      <c r="B1750" s="371" t="s">
        <v>5514</v>
      </c>
      <c r="C1750" s="371" t="s">
        <v>8955</v>
      </c>
      <c r="D1750" s="371" t="s">
        <v>2139</v>
      </c>
    </row>
    <row r="1751" ht="15.75" customHeight="1">
      <c r="B1751" s="371" t="s">
        <v>5518</v>
      </c>
      <c r="C1751" s="371" t="s">
        <v>8955</v>
      </c>
      <c r="D1751" s="371" t="s">
        <v>2139</v>
      </c>
    </row>
    <row r="1752" ht="15.75" customHeight="1">
      <c r="B1752" s="371" t="s">
        <v>5472</v>
      </c>
      <c r="C1752" s="371" t="s">
        <v>8792</v>
      </c>
      <c r="D1752" s="371" t="s">
        <v>2139</v>
      </c>
    </row>
    <row r="1753" ht="15.75" customHeight="1">
      <c r="B1753" s="371" t="s">
        <v>5522</v>
      </c>
      <c r="C1753" s="371" t="s">
        <v>8957</v>
      </c>
      <c r="D1753" s="371" t="s">
        <v>2139</v>
      </c>
    </row>
    <row r="1754" ht="15.75" customHeight="1">
      <c r="B1754" s="371" t="s">
        <v>5524</v>
      </c>
      <c r="C1754" s="371" t="s">
        <v>8958</v>
      </c>
      <c r="D1754" s="371" t="s">
        <v>2139</v>
      </c>
    </row>
    <row r="1755" ht="15.75" customHeight="1">
      <c r="B1755" s="371" t="s">
        <v>5468</v>
      </c>
      <c r="C1755" s="371" t="s">
        <v>8959</v>
      </c>
      <c r="D1755" s="371" t="s">
        <v>2139</v>
      </c>
    </row>
    <row r="1756" ht="15.75" customHeight="1">
      <c r="B1756" s="371" t="s">
        <v>5501</v>
      </c>
      <c r="C1756" s="371" t="s">
        <v>8960</v>
      </c>
      <c r="D1756" s="371" t="s">
        <v>2205</v>
      </c>
    </row>
    <row r="1757" ht="15.75" customHeight="1">
      <c r="B1757" s="371" t="s">
        <v>5356</v>
      </c>
      <c r="C1757" s="371" t="s">
        <v>8961</v>
      </c>
      <c r="D1757" s="371" t="s">
        <v>2139</v>
      </c>
    </row>
    <row r="1758" ht="15.75" customHeight="1">
      <c r="B1758" s="371" t="s">
        <v>5374</v>
      </c>
      <c r="C1758" s="371" t="s">
        <v>8962</v>
      </c>
      <c r="D1758" s="371" t="s">
        <v>2139</v>
      </c>
    </row>
    <row r="1759" ht="15.75" customHeight="1">
      <c r="B1759" s="371" t="s">
        <v>5376</v>
      </c>
      <c r="C1759" s="371" t="s">
        <v>8963</v>
      </c>
      <c r="D1759" s="371" t="s">
        <v>2139</v>
      </c>
    </row>
    <row r="1760" ht="15.75" customHeight="1">
      <c r="B1760" s="371" t="s">
        <v>8964</v>
      </c>
      <c r="C1760" s="371" t="s">
        <v>8961</v>
      </c>
      <c r="D1760" s="371" t="s">
        <v>2139</v>
      </c>
    </row>
    <row r="1761" ht="15.75" customHeight="1">
      <c r="B1761" s="371" t="s">
        <v>5360</v>
      </c>
      <c r="C1761" s="371" t="s">
        <v>8965</v>
      </c>
      <c r="D1761" s="371" t="s">
        <v>2139</v>
      </c>
    </row>
    <row r="1762" ht="15.75" customHeight="1">
      <c r="B1762" s="371" t="s">
        <v>5362</v>
      </c>
      <c r="C1762" s="371" t="s">
        <v>8966</v>
      </c>
      <c r="D1762" s="371" t="s">
        <v>2139</v>
      </c>
    </row>
    <row r="1763" ht="15.75" customHeight="1">
      <c r="B1763" s="371" t="s">
        <v>5366</v>
      </c>
      <c r="C1763" s="371" t="s">
        <v>8967</v>
      </c>
      <c r="D1763" s="371" t="s">
        <v>2139</v>
      </c>
    </row>
    <row r="1764" ht="15.75" customHeight="1">
      <c r="B1764" s="371" t="s">
        <v>5574</v>
      </c>
      <c r="C1764" s="371" t="s">
        <v>8792</v>
      </c>
      <c r="D1764" s="371" t="s">
        <v>2139</v>
      </c>
    </row>
    <row r="1765" ht="15.75" customHeight="1">
      <c r="B1765" s="371" t="s">
        <v>5578</v>
      </c>
      <c r="C1765" s="371" t="s">
        <v>8792</v>
      </c>
      <c r="D1765" s="371" t="s">
        <v>2139</v>
      </c>
    </row>
    <row r="1766" ht="15.75" customHeight="1">
      <c r="B1766" s="371" t="s">
        <v>8968</v>
      </c>
      <c r="C1766" s="371" t="s">
        <v>8969</v>
      </c>
      <c r="D1766" s="371" t="s">
        <v>2205</v>
      </c>
    </row>
    <row r="1767" ht="15.75" customHeight="1">
      <c r="B1767" s="371" t="s">
        <v>4117</v>
      </c>
      <c r="C1767" s="371" t="s">
        <v>8970</v>
      </c>
      <c r="D1767" s="371" t="s">
        <v>2205</v>
      </c>
    </row>
    <row r="1768" ht="15.75" customHeight="1">
      <c r="B1768" s="371" t="s">
        <v>4113</v>
      </c>
      <c r="C1768" s="371" t="s">
        <v>8970</v>
      </c>
      <c r="D1768" s="371" t="s">
        <v>2139</v>
      </c>
    </row>
    <row r="1769" ht="15.75" customHeight="1">
      <c r="B1769" s="371" t="s">
        <v>8971</v>
      </c>
      <c r="C1769" s="371" t="s">
        <v>8972</v>
      </c>
      <c r="D1769" s="371" t="s">
        <v>2205</v>
      </c>
    </row>
    <row r="1770" ht="15.75" customHeight="1">
      <c r="B1770" s="371" t="s">
        <v>8973</v>
      </c>
      <c r="C1770" s="371" t="s">
        <v>8974</v>
      </c>
      <c r="D1770" s="371" t="s">
        <v>2205</v>
      </c>
    </row>
    <row r="1771" ht="15.75" customHeight="1">
      <c r="B1771" s="371" t="s">
        <v>8975</v>
      </c>
      <c r="C1771" s="371" t="s">
        <v>7334</v>
      </c>
      <c r="D1771" s="371" t="s">
        <v>2205</v>
      </c>
    </row>
    <row r="1772" ht="15.75" customHeight="1">
      <c r="B1772" s="371" t="s">
        <v>4132</v>
      </c>
      <c r="C1772" s="371" t="s">
        <v>8976</v>
      </c>
      <c r="D1772" s="371" t="s">
        <v>2205</v>
      </c>
    </row>
    <row r="1773" ht="15.75" customHeight="1">
      <c r="B1773" s="371" t="s">
        <v>4121</v>
      </c>
      <c r="C1773" s="371" t="s">
        <v>8977</v>
      </c>
      <c r="D1773" s="371" t="s">
        <v>2205</v>
      </c>
    </row>
    <row r="1774" ht="15.75" customHeight="1">
      <c r="B1774" s="371" t="s">
        <v>8978</v>
      </c>
      <c r="C1774" s="371" t="s">
        <v>7545</v>
      </c>
      <c r="D1774" s="371" t="s">
        <v>2205</v>
      </c>
    </row>
    <row r="1775" ht="15.75" customHeight="1">
      <c r="B1775" s="371" t="s">
        <v>8979</v>
      </c>
      <c r="C1775" s="371" t="s">
        <v>8621</v>
      </c>
      <c r="D1775" s="371" t="s">
        <v>2205</v>
      </c>
    </row>
    <row r="1776" ht="15.75" customHeight="1">
      <c r="B1776" s="371" t="s">
        <v>3313</v>
      </c>
      <c r="C1776" s="371" t="s">
        <v>7271</v>
      </c>
      <c r="D1776" s="371" t="s">
        <v>2205</v>
      </c>
    </row>
    <row r="1777" ht="15.75" customHeight="1">
      <c r="B1777" s="371" t="s">
        <v>8980</v>
      </c>
      <c r="C1777" s="371" t="s">
        <v>8981</v>
      </c>
      <c r="D1777" s="371" t="s">
        <v>2205</v>
      </c>
    </row>
    <row r="1778" ht="15.75" customHeight="1">
      <c r="B1778" s="371" t="s">
        <v>8982</v>
      </c>
      <c r="C1778" s="371" t="s">
        <v>8981</v>
      </c>
      <c r="D1778" s="371" t="s">
        <v>2205</v>
      </c>
    </row>
    <row r="1779" ht="15.75" customHeight="1">
      <c r="B1779" s="371" t="s">
        <v>8983</v>
      </c>
      <c r="C1779" s="371" t="s">
        <v>8983</v>
      </c>
      <c r="D1779" s="371" t="s">
        <v>2205</v>
      </c>
    </row>
    <row r="1780" ht="15.75" customHeight="1">
      <c r="B1780" s="371" t="s">
        <v>4163</v>
      </c>
      <c r="C1780" s="371" t="s">
        <v>8984</v>
      </c>
      <c r="D1780" s="371" t="s">
        <v>2205</v>
      </c>
    </row>
    <row r="1781" ht="15.75" customHeight="1">
      <c r="B1781" s="371" t="s">
        <v>8985</v>
      </c>
      <c r="C1781" s="371" t="s">
        <v>8986</v>
      </c>
      <c r="D1781" s="371" t="s">
        <v>2205</v>
      </c>
    </row>
    <row r="1782" ht="15.75" customHeight="1">
      <c r="B1782" s="371" t="s">
        <v>4553</v>
      </c>
      <c r="C1782" s="371" t="s">
        <v>8987</v>
      </c>
      <c r="D1782" s="371" t="s">
        <v>2205</v>
      </c>
    </row>
    <row r="1783" ht="15.75" customHeight="1">
      <c r="B1783" s="371" t="s">
        <v>4557</v>
      </c>
      <c r="C1783" s="371" t="s">
        <v>8987</v>
      </c>
      <c r="D1783" s="371" t="s">
        <v>2205</v>
      </c>
    </row>
    <row r="1784" ht="15.75" customHeight="1">
      <c r="B1784" s="371" t="s">
        <v>4561</v>
      </c>
      <c r="C1784" s="371" t="s">
        <v>8987</v>
      </c>
      <c r="D1784" s="371" t="s">
        <v>2205</v>
      </c>
    </row>
    <row r="1785" ht="15.75" customHeight="1">
      <c r="B1785" s="371" t="s">
        <v>4565</v>
      </c>
      <c r="C1785" s="371" t="s">
        <v>8988</v>
      </c>
      <c r="D1785" s="371" t="s">
        <v>2205</v>
      </c>
    </row>
    <row r="1786" ht="15.75" customHeight="1">
      <c r="B1786" s="371" t="s">
        <v>8989</v>
      </c>
      <c r="C1786" s="371" t="s">
        <v>7725</v>
      </c>
      <c r="D1786" s="371" t="s">
        <v>2205</v>
      </c>
    </row>
    <row r="1787" ht="15.75" customHeight="1">
      <c r="B1787" s="371" t="s">
        <v>8990</v>
      </c>
      <c r="C1787" s="371" t="s">
        <v>7725</v>
      </c>
      <c r="D1787" s="371" t="s">
        <v>2205</v>
      </c>
    </row>
    <row r="1788" ht="15.75" customHeight="1">
      <c r="B1788" s="371" t="s">
        <v>8991</v>
      </c>
      <c r="C1788" s="371" t="s">
        <v>7380</v>
      </c>
      <c r="D1788" s="371" t="s">
        <v>2205</v>
      </c>
    </row>
    <row r="1789" ht="15.75" customHeight="1">
      <c r="B1789" s="371" t="s">
        <v>5869</v>
      </c>
      <c r="C1789" s="371" t="s">
        <v>8992</v>
      </c>
      <c r="D1789" s="371" t="s">
        <v>2205</v>
      </c>
    </row>
    <row r="1790" ht="15.75" customHeight="1">
      <c r="B1790" s="371" t="s">
        <v>8993</v>
      </c>
      <c r="C1790" s="371" t="s">
        <v>8994</v>
      </c>
      <c r="D1790" s="371" t="s">
        <v>2205</v>
      </c>
    </row>
    <row r="1791" ht="15.75" customHeight="1">
      <c r="B1791" s="371" t="s">
        <v>8995</v>
      </c>
      <c r="C1791" s="371" t="s">
        <v>7380</v>
      </c>
      <c r="D1791" s="371" t="s">
        <v>2205</v>
      </c>
    </row>
    <row r="1792" ht="15.75" customHeight="1">
      <c r="B1792" s="371" t="s">
        <v>6614</v>
      </c>
      <c r="C1792" s="371" t="s">
        <v>8996</v>
      </c>
      <c r="D1792" s="371" t="s">
        <v>2139</v>
      </c>
    </row>
    <row r="1793" ht="15.75" customHeight="1">
      <c r="B1793" s="371" t="s">
        <v>6616</v>
      </c>
      <c r="C1793" s="371" t="s">
        <v>8997</v>
      </c>
      <c r="D1793" s="371" t="s">
        <v>2205</v>
      </c>
    </row>
    <row r="1794" ht="15.75" customHeight="1">
      <c r="B1794" s="371" t="s">
        <v>5976</v>
      </c>
      <c r="C1794" s="371" t="s">
        <v>8998</v>
      </c>
      <c r="D1794" s="371" t="s">
        <v>2139</v>
      </c>
    </row>
    <row r="1795" ht="15.75" customHeight="1">
      <c r="B1795" s="371" t="s">
        <v>5978</v>
      </c>
      <c r="C1795" s="371" t="s">
        <v>8998</v>
      </c>
      <c r="D1795" s="371" t="s">
        <v>2205</v>
      </c>
    </row>
    <row r="1796" ht="15.75" customHeight="1">
      <c r="B1796" s="371" t="s">
        <v>5981</v>
      </c>
      <c r="C1796" s="371" t="s">
        <v>8998</v>
      </c>
      <c r="D1796" s="371" t="s">
        <v>2139</v>
      </c>
    </row>
    <row r="1797" ht="15.75" customHeight="1">
      <c r="B1797" s="371" t="s">
        <v>8999</v>
      </c>
      <c r="C1797" s="371" t="s">
        <v>9000</v>
      </c>
      <c r="D1797" s="371" t="s">
        <v>2139</v>
      </c>
    </row>
    <row r="1798" ht="15.75" customHeight="1">
      <c r="B1798" s="371" t="s">
        <v>4073</v>
      </c>
      <c r="C1798" s="371" t="s">
        <v>9001</v>
      </c>
      <c r="D1798" s="371" t="s">
        <v>2139</v>
      </c>
    </row>
    <row r="1799" ht="15.75" customHeight="1">
      <c r="B1799" s="371" t="s">
        <v>4077</v>
      </c>
      <c r="C1799" s="371" t="s">
        <v>9001</v>
      </c>
      <c r="D1799" s="371" t="s">
        <v>2139</v>
      </c>
    </row>
    <row r="1800" ht="15.75" customHeight="1">
      <c r="B1800" s="371" t="s">
        <v>4081</v>
      </c>
      <c r="C1800" s="371" t="s">
        <v>9001</v>
      </c>
      <c r="D1800" s="371" t="s">
        <v>2139</v>
      </c>
    </row>
    <row r="1801" ht="15.75" customHeight="1">
      <c r="B1801" s="371" t="s">
        <v>4084</v>
      </c>
      <c r="C1801" s="371" t="s">
        <v>9001</v>
      </c>
      <c r="D1801" s="371" t="s">
        <v>2139</v>
      </c>
    </row>
    <row r="1802" ht="15.75" customHeight="1">
      <c r="B1802" s="371" t="s">
        <v>9002</v>
      </c>
      <c r="C1802" s="371" t="s">
        <v>9001</v>
      </c>
      <c r="D1802" s="371" t="s">
        <v>2205</v>
      </c>
    </row>
    <row r="1803" ht="15.75" customHeight="1">
      <c r="B1803" s="371" t="s">
        <v>6763</v>
      </c>
      <c r="C1803" s="371" t="s">
        <v>8405</v>
      </c>
      <c r="D1803" s="371" t="s">
        <v>2139</v>
      </c>
    </row>
    <row r="1804" ht="15.75" customHeight="1">
      <c r="B1804" s="371" t="s">
        <v>9003</v>
      </c>
      <c r="C1804" s="371" t="s">
        <v>9004</v>
      </c>
      <c r="D1804" s="371" t="s">
        <v>2205</v>
      </c>
    </row>
    <row r="1805" ht="15.75" customHeight="1">
      <c r="B1805" s="371" t="s">
        <v>9005</v>
      </c>
      <c r="C1805" s="371" t="s">
        <v>9006</v>
      </c>
      <c r="D1805" s="371" t="s">
        <v>2205</v>
      </c>
    </row>
    <row r="1806" ht="15.75" customHeight="1">
      <c r="B1806" s="371" t="s">
        <v>9007</v>
      </c>
      <c r="C1806" s="371" t="s">
        <v>8458</v>
      </c>
      <c r="D1806" s="371" t="s">
        <v>2205</v>
      </c>
    </row>
    <row r="1807" ht="15.75" customHeight="1">
      <c r="B1807" s="371" t="s">
        <v>9008</v>
      </c>
      <c r="C1807" s="371" t="s">
        <v>9009</v>
      </c>
      <c r="D1807" s="371" t="s">
        <v>2205</v>
      </c>
    </row>
    <row r="1808" ht="15.75" customHeight="1">
      <c r="B1808" s="371" t="s">
        <v>9010</v>
      </c>
      <c r="C1808" s="371" t="s">
        <v>9011</v>
      </c>
      <c r="D1808" s="371" t="s">
        <v>2205</v>
      </c>
    </row>
    <row r="1809" ht="15.75" customHeight="1">
      <c r="B1809" s="371" t="s">
        <v>9012</v>
      </c>
      <c r="C1809" s="371" t="s">
        <v>9013</v>
      </c>
      <c r="D1809" s="371" t="s">
        <v>2205</v>
      </c>
    </row>
    <row r="1810" ht="15.75" customHeight="1">
      <c r="B1810" s="371" t="s">
        <v>9014</v>
      </c>
      <c r="C1810" s="371" t="s">
        <v>9015</v>
      </c>
      <c r="D1810" s="371" t="s">
        <v>2205</v>
      </c>
    </row>
    <row r="1811" ht="15.75" customHeight="1">
      <c r="B1811" s="371" t="s">
        <v>9016</v>
      </c>
      <c r="C1811" s="371" t="s">
        <v>9017</v>
      </c>
      <c r="D1811" s="371" t="s">
        <v>2205</v>
      </c>
    </row>
    <row r="1812" ht="15.75" customHeight="1">
      <c r="B1812" s="371" t="s">
        <v>2106</v>
      </c>
      <c r="C1812" s="371" t="s">
        <v>9018</v>
      </c>
      <c r="D1812" s="371" t="s">
        <v>2205</v>
      </c>
    </row>
    <row r="1813" ht="15.75" customHeight="1">
      <c r="B1813" s="371" t="s">
        <v>2108</v>
      </c>
      <c r="C1813" s="371" t="s">
        <v>9019</v>
      </c>
      <c r="D1813" s="371" t="s">
        <v>2205</v>
      </c>
    </row>
    <row r="1814" ht="15.75" customHeight="1">
      <c r="B1814" s="371" t="s">
        <v>2111</v>
      </c>
      <c r="C1814" s="371" t="s">
        <v>9020</v>
      </c>
      <c r="D1814" s="371" t="s">
        <v>2205</v>
      </c>
    </row>
    <row r="1815" ht="15.75" customHeight="1">
      <c r="B1815" s="371" t="s">
        <v>2101</v>
      </c>
      <c r="C1815" s="371" t="s">
        <v>9021</v>
      </c>
      <c r="D1815" s="371" t="s">
        <v>2205</v>
      </c>
    </row>
    <row r="1816" ht="15.75" customHeight="1">
      <c r="B1816" s="371" t="s">
        <v>2104</v>
      </c>
      <c r="C1816" s="371" t="s">
        <v>9021</v>
      </c>
      <c r="D1816" s="371" t="s">
        <v>2205</v>
      </c>
    </row>
    <row r="1817" ht="15.75" customHeight="1">
      <c r="B1817" s="371" t="s">
        <v>7178</v>
      </c>
      <c r="C1817" s="371" t="s">
        <v>9022</v>
      </c>
      <c r="D1817" s="371" t="s">
        <v>2205</v>
      </c>
    </row>
    <row r="1818" ht="15.75" customHeight="1">
      <c r="B1818" s="371" t="s">
        <v>6187</v>
      </c>
      <c r="C1818" s="371" t="s">
        <v>9022</v>
      </c>
      <c r="D1818" s="371" t="s">
        <v>2139</v>
      </c>
    </row>
    <row r="1819" ht="15.75" customHeight="1">
      <c r="B1819" s="371" t="s">
        <v>6191</v>
      </c>
      <c r="C1819" s="371" t="s">
        <v>9023</v>
      </c>
      <c r="D1819" s="371" t="s">
        <v>2205</v>
      </c>
    </row>
    <row r="1820" ht="15.75" customHeight="1">
      <c r="B1820" s="371" t="s">
        <v>6193</v>
      </c>
      <c r="C1820" s="371" t="s">
        <v>9023</v>
      </c>
      <c r="D1820" s="371" t="s">
        <v>2205</v>
      </c>
    </row>
    <row r="1821" ht="15.75" customHeight="1">
      <c r="B1821" s="371" t="s">
        <v>9024</v>
      </c>
      <c r="C1821" s="371" t="s">
        <v>8205</v>
      </c>
      <c r="D1821" s="371" t="s">
        <v>2205</v>
      </c>
    </row>
    <row r="1822" ht="15.75" customHeight="1">
      <c r="B1822" s="371" t="s">
        <v>9025</v>
      </c>
      <c r="C1822" s="371" t="s">
        <v>9026</v>
      </c>
      <c r="D1822" s="371" t="s">
        <v>2205</v>
      </c>
    </row>
    <row r="1823" ht="15.75" customHeight="1">
      <c r="B1823" s="371" t="s">
        <v>9027</v>
      </c>
      <c r="C1823" s="371" t="s">
        <v>8462</v>
      </c>
      <c r="D1823" s="371" t="s">
        <v>2205</v>
      </c>
    </row>
    <row r="1824" ht="15.75" customHeight="1">
      <c r="B1824" s="371" t="s">
        <v>9028</v>
      </c>
      <c r="C1824" s="371" t="s">
        <v>8458</v>
      </c>
      <c r="D1824" s="371" t="s">
        <v>2205</v>
      </c>
    </row>
    <row r="1825" ht="15.75" customHeight="1">
      <c r="B1825" s="371" t="s">
        <v>9029</v>
      </c>
      <c r="C1825" s="371" t="s">
        <v>9030</v>
      </c>
      <c r="D1825" s="371" t="s">
        <v>2205</v>
      </c>
    </row>
    <row r="1826" ht="15.75" customHeight="1">
      <c r="B1826" s="371" t="s">
        <v>9031</v>
      </c>
      <c r="C1826" s="371" t="s">
        <v>9032</v>
      </c>
      <c r="D1826" s="371" t="s">
        <v>2205</v>
      </c>
    </row>
    <row r="1827" ht="15.75" customHeight="1">
      <c r="B1827" s="371" t="s">
        <v>9033</v>
      </c>
      <c r="C1827" s="371" t="s">
        <v>9034</v>
      </c>
      <c r="D1827" s="371" t="s">
        <v>2205</v>
      </c>
    </row>
    <row r="1828" ht="15.75" customHeight="1">
      <c r="B1828" s="371" t="s">
        <v>9035</v>
      </c>
      <c r="C1828" s="371" t="s">
        <v>9036</v>
      </c>
      <c r="D1828" s="371" t="s">
        <v>2205</v>
      </c>
    </row>
    <row r="1829" ht="15.75" customHeight="1">
      <c r="B1829" s="371" t="s">
        <v>9037</v>
      </c>
      <c r="C1829" s="371" t="s">
        <v>8458</v>
      </c>
      <c r="D1829" s="371" t="s">
        <v>2205</v>
      </c>
    </row>
    <row r="1830" ht="15.75" customHeight="1">
      <c r="B1830" s="371" t="s">
        <v>9038</v>
      </c>
      <c r="C1830" s="371" t="s">
        <v>9039</v>
      </c>
      <c r="D1830" s="371" t="s">
        <v>2205</v>
      </c>
    </row>
    <row r="1831" ht="15.75" customHeight="1">
      <c r="B1831" s="371" t="s">
        <v>9040</v>
      </c>
      <c r="C1831" s="371" t="s">
        <v>9041</v>
      </c>
      <c r="D1831" s="371" t="s">
        <v>2205</v>
      </c>
    </row>
    <row r="1832" ht="15.75" customHeight="1">
      <c r="B1832" s="371" t="s">
        <v>4623</v>
      </c>
      <c r="C1832" s="371" t="s">
        <v>8548</v>
      </c>
      <c r="D1832" s="371" t="s">
        <v>2205</v>
      </c>
    </row>
    <row r="1833" ht="15.75" customHeight="1">
      <c r="B1833" s="371" t="s">
        <v>5714</v>
      </c>
      <c r="C1833" s="371" t="s">
        <v>9042</v>
      </c>
      <c r="D1833" s="371" t="s">
        <v>2205</v>
      </c>
    </row>
    <row r="1834" ht="15.75" customHeight="1">
      <c r="B1834" s="371" t="s">
        <v>5689</v>
      </c>
      <c r="C1834" s="371" t="s">
        <v>7657</v>
      </c>
      <c r="D1834" s="371" t="s">
        <v>2205</v>
      </c>
    </row>
    <row r="1835" ht="15.75" customHeight="1">
      <c r="B1835" s="371" t="s">
        <v>5710</v>
      </c>
      <c r="C1835" s="371" t="s">
        <v>9043</v>
      </c>
      <c r="D1835" s="371" t="s">
        <v>2205</v>
      </c>
    </row>
    <row r="1836" ht="15.75" customHeight="1">
      <c r="B1836" s="371" t="s">
        <v>6197</v>
      </c>
      <c r="C1836" s="371" t="s">
        <v>9023</v>
      </c>
      <c r="D1836" s="371" t="s">
        <v>2205</v>
      </c>
    </row>
    <row r="1837" ht="15.75" customHeight="1">
      <c r="B1837" s="371" t="s">
        <v>718</v>
      </c>
      <c r="C1837" s="371" t="s">
        <v>9044</v>
      </c>
      <c r="D1837" s="371" t="s">
        <v>2205</v>
      </c>
    </row>
    <row r="1838" ht="15.75" customHeight="1">
      <c r="B1838" s="371" t="s">
        <v>722</v>
      </c>
      <c r="C1838" s="371" t="s">
        <v>9045</v>
      </c>
      <c r="D1838" s="371" t="s">
        <v>2205</v>
      </c>
    </row>
    <row r="1839" ht="15.75" customHeight="1">
      <c r="B1839" s="371" t="s">
        <v>724</v>
      </c>
      <c r="C1839" s="371" t="s">
        <v>9046</v>
      </c>
      <c r="D1839" s="371" t="s">
        <v>2139</v>
      </c>
    </row>
    <row r="1840" ht="15.75" customHeight="1">
      <c r="B1840" s="371" t="s">
        <v>5856</v>
      </c>
      <c r="C1840" s="371" t="s">
        <v>9047</v>
      </c>
      <c r="D1840" s="371" t="s">
        <v>2139</v>
      </c>
    </row>
    <row r="1841" ht="15.75" customHeight="1">
      <c r="B1841" s="371" t="s">
        <v>9048</v>
      </c>
      <c r="C1841" s="371" t="s">
        <v>9049</v>
      </c>
      <c r="D1841" s="371" t="s">
        <v>2205</v>
      </c>
    </row>
    <row r="1842" ht="15.75" customHeight="1">
      <c r="B1842" s="371" t="s">
        <v>9050</v>
      </c>
      <c r="C1842" s="371" t="s">
        <v>9051</v>
      </c>
      <c r="D1842" s="371" t="s">
        <v>2205</v>
      </c>
    </row>
    <row r="1843" ht="15.75" customHeight="1">
      <c r="B1843" s="371" t="s">
        <v>9052</v>
      </c>
      <c r="C1843" s="371" t="s">
        <v>9053</v>
      </c>
      <c r="D1843" s="371" t="s">
        <v>2205</v>
      </c>
    </row>
    <row r="1844" ht="15.75" customHeight="1">
      <c r="B1844" s="371" t="s">
        <v>9054</v>
      </c>
      <c r="C1844" s="371" t="s">
        <v>9055</v>
      </c>
      <c r="D1844" s="371" t="s">
        <v>2205</v>
      </c>
    </row>
    <row r="1845" ht="15.75" customHeight="1">
      <c r="B1845" s="371" t="s">
        <v>9056</v>
      </c>
      <c r="C1845" s="371" t="s">
        <v>9057</v>
      </c>
      <c r="D1845" s="371" t="s">
        <v>2205</v>
      </c>
    </row>
    <row r="1846" ht="15.75" customHeight="1">
      <c r="B1846" s="371" t="s">
        <v>9058</v>
      </c>
      <c r="C1846" s="371" t="s">
        <v>9059</v>
      </c>
      <c r="D1846" s="371" t="s">
        <v>2205</v>
      </c>
    </row>
    <row r="1847" ht="15.75" customHeight="1">
      <c r="B1847" s="371" t="s">
        <v>9060</v>
      </c>
      <c r="C1847" s="371" t="s">
        <v>9061</v>
      </c>
      <c r="D1847" s="371" t="s">
        <v>2205</v>
      </c>
    </row>
    <row r="1848" ht="15.75" customHeight="1">
      <c r="B1848" s="371" t="s">
        <v>9062</v>
      </c>
      <c r="C1848" s="371" t="s">
        <v>9063</v>
      </c>
      <c r="D1848" s="371" t="s">
        <v>2205</v>
      </c>
    </row>
    <row r="1849" ht="15.75" customHeight="1">
      <c r="B1849" s="371" t="s">
        <v>9064</v>
      </c>
      <c r="C1849" s="371" t="s">
        <v>9065</v>
      </c>
      <c r="D1849" s="371" t="s">
        <v>2205</v>
      </c>
    </row>
    <row r="1850" ht="15.75" customHeight="1">
      <c r="B1850" s="371" t="s">
        <v>9066</v>
      </c>
      <c r="C1850" s="371" t="s">
        <v>9067</v>
      </c>
      <c r="D1850" s="371" t="s">
        <v>2205</v>
      </c>
    </row>
    <row r="1851" ht="15.75" customHeight="1">
      <c r="B1851" s="371" t="s">
        <v>9068</v>
      </c>
      <c r="C1851" s="371" t="s">
        <v>9069</v>
      </c>
      <c r="D1851" s="371" t="s">
        <v>2205</v>
      </c>
    </row>
    <row r="1852" ht="15.75" customHeight="1">
      <c r="B1852" s="371" t="s">
        <v>9070</v>
      </c>
      <c r="C1852" s="371" t="s">
        <v>9071</v>
      </c>
      <c r="D1852" s="371" t="s">
        <v>2205</v>
      </c>
    </row>
    <row r="1853" ht="15.75" customHeight="1">
      <c r="B1853" s="371" t="s">
        <v>9072</v>
      </c>
      <c r="C1853" s="371" t="s">
        <v>9073</v>
      </c>
      <c r="D1853" s="371" t="s">
        <v>2205</v>
      </c>
    </row>
    <row r="1854" ht="15.75" customHeight="1">
      <c r="B1854" s="371" t="s">
        <v>9074</v>
      </c>
      <c r="C1854" s="371" t="s">
        <v>8458</v>
      </c>
      <c r="D1854" s="371" t="s">
        <v>2205</v>
      </c>
    </row>
    <row r="1855" ht="15.75" customHeight="1">
      <c r="B1855" s="371" t="s">
        <v>9075</v>
      </c>
      <c r="C1855" s="371" t="s">
        <v>8447</v>
      </c>
      <c r="D1855" s="371" t="s">
        <v>2205</v>
      </c>
    </row>
    <row r="1856" ht="15.75" customHeight="1">
      <c r="B1856" s="371" t="s">
        <v>9076</v>
      </c>
      <c r="C1856" s="371" t="s">
        <v>9077</v>
      </c>
      <c r="D1856" s="371" t="s">
        <v>2205</v>
      </c>
    </row>
    <row r="1857" ht="15.75" customHeight="1">
      <c r="B1857" s="371" t="s">
        <v>6655</v>
      </c>
      <c r="C1857" s="371" t="s">
        <v>9078</v>
      </c>
      <c r="D1857" s="371" t="s">
        <v>2139</v>
      </c>
    </row>
    <row r="1858" ht="15.75" customHeight="1">
      <c r="B1858" s="371" t="s">
        <v>6659</v>
      </c>
      <c r="C1858" s="371" t="s">
        <v>9078</v>
      </c>
      <c r="D1858" s="371" t="s">
        <v>2205</v>
      </c>
    </row>
    <row r="1859" ht="15.75" customHeight="1">
      <c r="B1859" s="371" t="s">
        <v>4491</v>
      </c>
      <c r="C1859" s="371" t="s">
        <v>9079</v>
      </c>
      <c r="D1859" s="371" t="s">
        <v>2205</v>
      </c>
    </row>
    <row r="1860" ht="15.75" customHeight="1">
      <c r="B1860" s="371" t="s">
        <v>6625</v>
      </c>
      <c r="C1860" s="371" t="s">
        <v>9080</v>
      </c>
      <c r="D1860" s="371" t="s">
        <v>2205</v>
      </c>
    </row>
    <row r="1861" ht="15.75" customHeight="1">
      <c r="B1861" s="371" t="s">
        <v>9081</v>
      </c>
      <c r="C1861" s="371" t="s">
        <v>9082</v>
      </c>
      <c r="D1861" s="371" t="s">
        <v>2205</v>
      </c>
    </row>
    <row r="1862" ht="15.75" customHeight="1">
      <c r="B1862" s="371" t="s">
        <v>4181</v>
      </c>
      <c r="C1862" s="371" t="s">
        <v>9083</v>
      </c>
      <c r="D1862" s="371" t="s">
        <v>2205</v>
      </c>
    </row>
    <row r="1863" ht="15.75" customHeight="1">
      <c r="B1863" s="371" t="s">
        <v>9084</v>
      </c>
      <c r="C1863" s="373"/>
      <c r="D1863" s="371" t="s">
        <v>2205</v>
      </c>
    </row>
    <row r="1864" ht="15.75" customHeight="1">
      <c r="B1864" s="371" t="s">
        <v>9085</v>
      </c>
      <c r="C1864" s="371" t="s">
        <v>7523</v>
      </c>
      <c r="D1864" s="371" t="s">
        <v>2205</v>
      </c>
    </row>
    <row r="1865" ht="15.75" customHeight="1">
      <c r="B1865" s="371" t="s">
        <v>9086</v>
      </c>
      <c r="C1865" s="371" t="s">
        <v>9087</v>
      </c>
      <c r="D1865" s="371" t="s">
        <v>2205</v>
      </c>
    </row>
    <row r="1866" ht="15.75" customHeight="1">
      <c r="B1866" s="371" t="s">
        <v>9088</v>
      </c>
      <c r="C1866" s="371" t="s">
        <v>9087</v>
      </c>
      <c r="D1866" s="371" t="s">
        <v>2205</v>
      </c>
    </row>
    <row r="1867" ht="15.75" customHeight="1">
      <c r="B1867" s="371" t="s">
        <v>1870</v>
      </c>
      <c r="C1867" s="371" t="s">
        <v>9089</v>
      </c>
      <c r="D1867" s="371" t="s">
        <v>2205</v>
      </c>
    </row>
    <row r="1868" ht="15.75" customHeight="1">
      <c r="B1868" s="371" t="s">
        <v>9090</v>
      </c>
      <c r="C1868" s="371" t="s">
        <v>9091</v>
      </c>
      <c r="D1868" s="371" t="s">
        <v>2205</v>
      </c>
    </row>
    <row r="1869" ht="15.75" customHeight="1">
      <c r="B1869" s="371" t="s">
        <v>4482</v>
      </c>
      <c r="C1869" s="371" t="s">
        <v>9091</v>
      </c>
      <c r="D1869" s="371" t="s">
        <v>2205</v>
      </c>
    </row>
    <row r="1870" ht="15.75" customHeight="1">
      <c r="B1870" s="371" t="s">
        <v>4486</v>
      </c>
      <c r="C1870" s="371" t="s">
        <v>9091</v>
      </c>
      <c r="D1870" s="371" t="s">
        <v>2139</v>
      </c>
    </row>
    <row r="1871" ht="15.75" customHeight="1">
      <c r="B1871" s="371" t="s">
        <v>2729</v>
      </c>
      <c r="C1871" s="371" t="s">
        <v>7661</v>
      </c>
      <c r="D1871" s="371" t="s">
        <v>2205</v>
      </c>
    </row>
    <row r="1872" ht="15.75" customHeight="1">
      <c r="B1872" s="371" t="s">
        <v>2733</v>
      </c>
      <c r="C1872" s="371" t="s">
        <v>7199</v>
      </c>
      <c r="D1872" s="371" t="s">
        <v>2205</v>
      </c>
    </row>
    <row r="1873" ht="15.75" customHeight="1">
      <c r="B1873" s="371" t="s">
        <v>9092</v>
      </c>
      <c r="C1873" s="371" t="s">
        <v>7201</v>
      </c>
      <c r="D1873" s="371" t="s">
        <v>2205</v>
      </c>
    </row>
    <row r="1874" ht="15.75" customHeight="1">
      <c r="B1874" s="371" t="s">
        <v>2717</v>
      </c>
      <c r="C1874" s="371" t="s">
        <v>7661</v>
      </c>
      <c r="D1874" s="371" t="s">
        <v>2205</v>
      </c>
    </row>
    <row r="1875" ht="15.75" customHeight="1">
      <c r="B1875" s="371" t="s">
        <v>3240</v>
      </c>
      <c r="C1875" s="371" t="s">
        <v>9093</v>
      </c>
      <c r="D1875" s="371" t="s">
        <v>2139</v>
      </c>
    </row>
    <row r="1876" ht="15.75" customHeight="1">
      <c r="B1876" s="371" t="s">
        <v>2721</v>
      </c>
      <c r="C1876" s="371" t="s">
        <v>7661</v>
      </c>
      <c r="D1876" s="371" t="s">
        <v>2205</v>
      </c>
    </row>
    <row r="1877" ht="15.75" customHeight="1">
      <c r="B1877" s="371" t="s">
        <v>2725</v>
      </c>
      <c r="C1877" s="371" t="s">
        <v>7661</v>
      </c>
      <c r="D1877" s="371" t="s">
        <v>2205</v>
      </c>
    </row>
    <row r="1878" ht="15.75" customHeight="1">
      <c r="B1878" s="371" t="s">
        <v>2737</v>
      </c>
      <c r="C1878" s="371" t="s">
        <v>7661</v>
      </c>
      <c r="D1878" s="371" t="s">
        <v>2205</v>
      </c>
    </row>
    <row r="1879" ht="15.75" customHeight="1">
      <c r="B1879" s="371" t="s">
        <v>2741</v>
      </c>
      <c r="C1879" s="371" t="s">
        <v>7661</v>
      </c>
      <c r="D1879" s="371" t="s">
        <v>2205</v>
      </c>
    </row>
    <row r="1880" ht="15.75" customHeight="1">
      <c r="B1880" s="371" t="s">
        <v>9094</v>
      </c>
      <c r="C1880" s="371" t="s">
        <v>9095</v>
      </c>
      <c r="D1880" s="371" t="s">
        <v>2205</v>
      </c>
    </row>
    <row r="1881" ht="15.75" customHeight="1">
      <c r="B1881" s="371" t="s">
        <v>2745</v>
      </c>
      <c r="C1881" s="371" t="s">
        <v>7661</v>
      </c>
      <c r="D1881" s="371" t="s">
        <v>2205</v>
      </c>
    </row>
    <row r="1882" ht="15.75" customHeight="1">
      <c r="B1882" s="371" t="s">
        <v>2749</v>
      </c>
      <c r="C1882" s="371" t="s">
        <v>7661</v>
      </c>
      <c r="D1882" s="371" t="s">
        <v>2205</v>
      </c>
    </row>
    <row r="1883" ht="15.75" customHeight="1">
      <c r="B1883" s="371" t="s">
        <v>2753</v>
      </c>
      <c r="C1883" s="371" t="s">
        <v>7661</v>
      </c>
      <c r="D1883" s="371" t="s">
        <v>2205</v>
      </c>
    </row>
    <row r="1884" ht="15.75" customHeight="1">
      <c r="B1884" s="371" t="s">
        <v>2757</v>
      </c>
      <c r="C1884" s="371" t="s">
        <v>7661</v>
      </c>
      <c r="D1884" s="371" t="s">
        <v>2205</v>
      </c>
    </row>
    <row r="1885" ht="15.75" customHeight="1">
      <c r="B1885" s="371" t="s">
        <v>2066</v>
      </c>
      <c r="C1885" s="371" t="s">
        <v>9096</v>
      </c>
      <c r="D1885" s="371" t="s">
        <v>2205</v>
      </c>
    </row>
    <row r="1886" ht="15.75" customHeight="1">
      <c r="B1886" s="371" t="s">
        <v>9097</v>
      </c>
      <c r="C1886" s="371" t="s">
        <v>9098</v>
      </c>
      <c r="D1886" s="371" t="s">
        <v>2139</v>
      </c>
    </row>
    <row r="1887" ht="15.75" customHeight="1">
      <c r="B1887" s="371" t="s">
        <v>9099</v>
      </c>
      <c r="C1887" s="371" t="s">
        <v>8981</v>
      </c>
      <c r="D1887" s="371" t="s">
        <v>2205</v>
      </c>
    </row>
    <row r="1888" ht="15.75" customHeight="1">
      <c r="B1888" s="371" t="s">
        <v>9100</v>
      </c>
      <c r="C1888" s="371" t="s">
        <v>8981</v>
      </c>
      <c r="D1888" s="371" t="s">
        <v>2205</v>
      </c>
    </row>
    <row r="1889" ht="15.75" customHeight="1">
      <c r="B1889" s="371" t="s">
        <v>9101</v>
      </c>
      <c r="C1889" s="371" t="s">
        <v>9102</v>
      </c>
      <c r="D1889" s="371" t="s">
        <v>2205</v>
      </c>
    </row>
    <row r="1890" ht="15.75" customHeight="1">
      <c r="B1890" s="371" t="s">
        <v>9103</v>
      </c>
      <c r="C1890" s="371" t="s">
        <v>9104</v>
      </c>
      <c r="D1890" s="371" t="s">
        <v>2205</v>
      </c>
    </row>
    <row r="1891" ht="15.75" customHeight="1">
      <c r="B1891" s="371" t="s">
        <v>5543</v>
      </c>
      <c r="C1891" s="371" t="s">
        <v>9105</v>
      </c>
      <c r="D1891" s="371" t="s">
        <v>2139</v>
      </c>
    </row>
    <row r="1892" ht="15.75" customHeight="1">
      <c r="B1892" s="371" t="s">
        <v>5539</v>
      </c>
      <c r="C1892" s="371" t="s">
        <v>9106</v>
      </c>
      <c r="D1892" s="371" t="s">
        <v>2139</v>
      </c>
    </row>
    <row r="1893" ht="15.75" customHeight="1">
      <c r="B1893" s="371" t="s">
        <v>5547</v>
      </c>
      <c r="C1893" s="371" t="s">
        <v>9107</v>
      </c>
      <c r="D1893" s="371" t="s">
        <v>2139</v>
      </c>
    </row>
    <row r="1894" ht="15.75" customHeight="1">
      <c r="B1894" s="371" t="s">
        <v>5541</v>
      </c>
      <c r="C1894" s="371" t="s">
        <v>9108</v>
      </c>
      <c r="D1894" s="371" t="s">
        <v>2139</v>
      </c>
    </row>
    <row r="1895" ht="15.75" customHeight="1">
      <c r="B1895" s="371" t="s">
        <v>9109</v>
      </c>
      <c r="C1895" s="371" t="s">
        <v>9110</v>
      </c>
      <c r="D1895" s="371" t="s">
        <v>2205</v>
      </c>
    </row>
    <row r="1896" ht="15.75" customHeight="1">
      <c r="B1896" s="371" t="s">
        <v>9111</v>
      </c>
      <c r="C1896" s="371" t="s">
        <v>9112</v>
      </c>
      <c r="D1896" s="371" t="s">
        <v>2139</v>
      </c>
    </row>
    <row r="1897" ht="15.75" customHeight="1">
      <c r="B1897" s="371" t="s">
        <v>9113</v>
      </c>
      <c r="C1897" s="371" t="s">
        <v>9114</v>
      </c>
      <c r="D1897" s="371" t="s">
        <v>2139</v>
      </c>
    </row>
    <row r="1898" ht="15.75" customHeight="1">
      <c r="B1898" s="371" t="s">
        <v>9115</v>
      </c>
      <c r="C1898" s="371" t="s">
        <v>9112</v>
      </c>
      <c r="D1898" s="371" t="s">
        <v>2139</v>
      </c>
    </row>
    <row r="1899" ht="15.75" customHeight="1">
      <c r="B1899" s="371" t="s">
        <v>5453</v>
      </c>
      <c r="C1899" s="371" t="s">
        <v>9116</v>
      </c>
      <c r="D1899" s="371" t="s">
        <v>2139</v>
      </c>
    </row>
    <row r="1900" ht="15.75" customHeight="1">
      <c r="B1900" s="371" t="s">
        <v>5455</v>
      </c>
      <c r="C1900" s="371" t="s">
        <v>9117</v>
      </c>
      <c r="D1900" s="371" t="s">
        <v>2139</v>
      </c>
    </row>
    <row r="1901" ht="15.75" customHeight="1">
      <c r="B1901" s="371" t="s">
        <v>5529</v>
      </c>
      <c r="C1901" s="371" t="s">
        <v>9118</v>
      </c>
      <c r="D1901" s="371" t="s">
        <v>2139</v>
      </c>
    </row>
    <row r="1902" ht="15.75" customHeight="1">
      <c r="B1902" s="371" t="s">
        <v>5533</v>
      </c>
      <c r="C1902" s="371" t="s">
        <v>9119</v>
      </c>
      <c r="D1902" s="371" t="s">
        <v>2139</v>
      </c>
    </row>
    <row r="1903" ht="15.75" customHeight="1">
      <c r="B1903" s="371" t="s">
        <v>9120</v>
      </c>
      <c r="C1903" s="371" t="s">
        <v>9121</v>
      </c>
      <c r="D1903" s="371" t="s">
        <v>2205</v>
      </c>
    </row>
    <row r="1904" ht="15.75" customHeight="1">
      <c r="B1904" s="371" t="s">
        <v>9122</v>
      </c>
      <c r="C1904" s="371" t="s">
        <v>9123</v>
      </c>
      <c r="D1904" s="371" t="s">
        <v>2205</v>
      </c>
    </row>
    <row r="1905" ht="15.75" customHeight="1">
      <c r="B1905" s="371" t="s">
        <v>6332</v>
      </c>
      <c r="C1905" s="371" t="s">
        <v>9124</v>
      </c>
      <c r="D1905" s="371" t="s">
        <v>2205</v>
      </c>
    </row>
    <row r="1906" ht="15.75" customHeight="1">
      <c r="B1906" s="371" t="s">
        <v>9125</v>
      </c>
      <c r="C1906" s="371" t="s">
        <v>9124</v>
      </c>
      <c r="D1906" s="371" t="s">
        <v>2139</v>
      </c>
    </row>
    <row r="1907" ht="15.75" customHeight="1">
      <c r="B1907" s="371" t="s">
        <v>9126</v>
      </c>
      <c r="C1907" s="371" t="s">
        <v>9127</v>
      </c>
      <c r="D1907" s="371" t="s">
        <v>2139</v>
      </c>
    </row>
    <row r="1908" ht="15.75" customHeight="1">
      <c r="B1908" s="371" t="s">
        <v>5408</v>
      </c>
      <c r="C1908" s="371" t="s">
        <v>9128</v>
      </c>
      <c r="D1908" s="371" t="s">
        <v>2139</v>
      </c>
    </row>
    <row r="1909" ht="15.75" customHeight="1">
      <c r="B1909" s="371" t="s">
        <v>5414</v>
      </c>
      <c r="C1909" s="371" t="s">
        <v>9129</v>
      </c>
      <c r="D1909" s="371" t="s">
        <v>2139</v>
      </c>
    </row>
    <row r="1910" ht="15.75" customHeight="1">
      <c r="B1910" s="371" t="s">
        <v>5418</v>
      </c>
      <c r="C1910" s="371" t="s">
        <v>9129</v>
      </c>
      <c r="D1910" s="371" t="s">
        <v>2139</v>
      </c>
    </row>
    <row r="1911" ht="15.75" customHeight="1">
      <c r="B1911" s="371" t="s">
        <v>5402</v>
      </c>
      <c r="C1911" s="371" t="s">
        <v>9129</v>
      </c>
      <c r="D1911" s="371" t="s">
        <v>2139</v>
      </c>
    </row>
    <row r="1912" ht="15.75" customHeight="1">
      <c r="B1912" s="371" t="s">
        <v>5442</v>
      </c>
      <c r="C1912" s="371" t="s">
        <v>9130</v>
      </c>
      <c r="D1912" s="371" t="s">
        <v>2139</v>
      </c>
    </row>
    <row r="1913" ht="15.75" customHeight="1">
      <c r="B1913" s="371" t="s">
        <v>5411</v>
      </c>
      <c r="C1913" s="371" t="s">
        <v>9131</v>
      </c>
      <c r="D1913" s="371" t="s">
        <v>2139</v>
      </c>
    </row>
    <row r="1914" ht="15.75" customHeight="1">
      <c r="B1914" s="371" t="s">
        <v>5422</v>
      </c>
      <c r="C1914" s="371" t="s">
        <v>9132</v>
      </c>
      <c r="D1914" s="371" t="s">
        <v>2139</v>
      </c>
    </row>
    <row r="1915" ht="15.75" customHeight="1">
      <c r="B1915" s="371" t="s">
        <v>5426</v>
      </c>
      <c r="C1915" s="371" t="s">
        <v>9133</v>
      </c>
      <c r="D1915" s="371" t="s">
        <v>2139</v>
      </c>
    </row>
    <row r="1916" ht="15.75" customHeight="1">
      <c r="B1916" s="371" t="s">
        <v>5406</v>
      </c>
      <c r="C1916" s="371" t="s">
        <v>9132</v>
      </c>
      <c r="D1916" s="371" t="s">
        <v>2139</v>
      </c>
    </row>
    <row r="1917" ht="15.75" customHeight="1">
      <c r="B1917" s="371" t="s">
        <v>5443</v>
      </c>
      <c r="C1917" s="371" t="s">
        <v>9134</v>
      </c>
      <c r="D1917" s="371" t="s">
        <v>2139</v>
      </c>
    </row>
    <row r="1918" ht="15.75" customHeight="1">
      <c r="B1918" s="371" t="s">
        <v>5438</v>
      </c>
      <c r="C1918" s="371" t="s">
        <v>9135</v>
      </c>
      <c r="D1918" s="371" t="s">
        <v>2139</v>
      </c>
    </row>
    <row r="1919" ht="15.75" customHeight="1">
      <c r="B1919" s="371" t="s">
        <v>5430</v>
      </c>
      <c r="C1919" s="371" t="s">
        <v>9136</v>
      </c>
      <c r="D1919" s="371" t="s">
        <v>2139</v>
      </c>
    </row>
    <row r="1920" ht="15.75" customHeight="1">
      <c r="B1920" s="371" t="s">
        <v>5448</v>
      </c>
      <c r="C1920" s="371" t="s">
        <v>9137</v>
      </c>
      <c r="D1920" s="371" t="s">
        <v>2139</v>
      </c>
    </row>
    <row r="1921" ht="15.75" customHeight="1">
      <c r="B1921" s="371" t="s">
        <v>5440</v>
      </c>
      <c r="C1921" s="371" t="s">
        <v>9138</v>
      </c>
      <c r="D1921" s="371" t="s">
        <v>2139</v>
      </c>
    </row>
    <row r="1922" ht="15.75" customHeight="1">
      <c r="B1922" s="371" t="s">
        <v>5434</v>
      </c>
      <c r="C1922" s="371" t="s">
        <v>9139</v>
      </c>
      <c r="D1922" s="371" t="s">
        <v>2139</v>
      </c>
    </row>
    <row r="1923" ht="15.75" customHeight="1">
      <c r="B1923" s="371" t="s">
        <v>5450</v>
      </c>
      <c r="C1923" s="371" t="s">
        <v>9140</v>
      </c>
      <c r="D1923" s="371" t="s">
        <v>2139</v>
      </c>
    </row>
    <row r="1924" ht="15.75" customHeight="1">
      <c r="B1924" s="371" t="s">
        <v>9141</v>
      </c>
      <c r="C1924" s="371" t="s">
        <v>9142</v>
      </c>
      <c r="D1924" s="371" t="s">
        <v>2205</v>
      </c>
    </row>
    <row r="1925" ht="15.75" customHeight="1">
      <c r="B1925" s="371" t="s">
        <v>9143</v>
      </c>
      <c r="C1925" s="371" t="s">
        <v>9144</v>
      </c>
      <c r="D1925" s="371" t="s">
        <v>2205</v>
      </c>
    </row>
    <row r="1926" ht="15.75" customHeight="1">
      <c r="B1926" s="371" t="s">
        <v>9145</v>
      </c>
      <c r="C1926" s="373"/>
      <c r="D1926" s="371" t="s">
        <v>2205</v>
      </c>
    </row>
    <row r="1927" ht="15.75" customHeight="1">
      <c r="B1927" s="371" t="s">
        <v>9146</v>
      </c>
      <c r="C1927" s="371" t="s">
        <v>9147</v>
      </c>
      <c r="D1927" s="371" t="s">
        <v>2139</v>
      </c>
    </row>
    <row r="1928" ht="15.75" customHeight="1">
      <c r="B1928" s="371" t="s">
        <v>9148</v>
      </c>
      <c r="C1928" s="373"/>
      <c r="D1928" s="371" t="s">
        <v>2205</v>
      </c>
    </row>
    <row r="1929" ht="15.75" customHeight="1">
      <c r="B1929" s="371" t="s">
        <v>9149</v>
      </c>
      <c r="C1929" s="371" t="s">
        <v>9150</v>
      </c>
      <c r="D1929" s="371" t="s">
        <v>2139</v>
      </c>
    </row>
    <row r="1930" ht="15.75" customHeight="1">
      <c r="B1930" s="371" t="s">
        <v>9151</v>
      </c>
      <c r="C1930" s="373"/>
      <c r="D1930" s="371" t="s">
        <v>2205</v>
      </c>
    </row>
    <row r="1931" ht="15.75" customHeight="1">
      <c r="B1931" s="371" t="s">
        <v>9152</v>
      </c>
      <c r="C1931" s="373"/>
      <c r="D1931" s="371" t="s">
        <v>2205</v>
      </c>
    </row>
    <row r="1932" ht="15.75" customHeight="1">
      <c r="B1932" s="371" t="s">
        <v>9153</v>
      </c>
      <c r="C1932" s="373"/>
      <c r="D1932" s="371" t="s">
        <v>2205</v>
      </c>
    </row>
    <row r="1933" ht="15.75" customHeight="1">
      <c r="B1933" s="371" t="s">
        <v>9154</v>
      </c>
      <c r="C1933" s="373"/>
      <c r="D1933" s="371" t="s">
        <v>2205</v>
      </c>
    </row>
    <row r="1934" ht="15.75" customHeight="1">
      <c r="B1934" s="371" t="s">
        <v>9155</v>
      </c>
      <c r="C1934" s="373"/>
      <c r="D1934" s="371" t="s">
        <v>2205</v>
      </c>
    </row>
    <row r="1935" ht="15.75" customHeight="1">
      <c r="B1935" s="371" t="s">
        <v>9156</v>
      </c>
      <c r="C1935" s="373"/>
      <c r="D1935" s="371" t="s">
        <v>2205</v>
      </c>
    </row>
    <row r="1936" ht="15.75" customHeight="1">
      <c r="B1936" s="371" t="s">
        <v>9157</v>
      </c>
      <c r="C1936" s="373"/>
      <c r="D1936" s="371" t="s">
        <v>2205</v>
      </c>
    </row>
    <row r="1937" ht="15.75" customHeight="1">
      <c r="B1937" s="371" t="s">
        <v>9158</v>
      </c>
      <c r="C1937" s="373"/>
      <c r="D1937" s="371" t="s">
        <v>2205</v>
      </c>
    </row>
    <row r="1938" ht="15.75" customHeight="1">
      <c r="B1938" s="371" t="s">
        <v>9159</v>
      </c>
      <c r="C1938" s="373"/>
      <c r="D1938" s="371" t="s">
        <v>2205</v>
      </c>
    </row>
    <row r="1939" ht="15.75" customHeight="1">
      <c r="B1939" s="371" t="s">
        <v>9160</v>
      </c>
      <c r="C1939" s="373"/>
      <c r="D1939" s="371" t="s">
        <v>2205</v>
      </c>
    </row>
    <row r="1940" ht="15.75" customHeight="1">
      <c r="B1940" s="371" t="s">
        <v>9161</v>
      </c>
      <c r="C1940" s="373"/>
      <c r="D1940" s="371" t="s">
        <v>2205</v>
      </c>
    </row>
    <row r="1941" ht="15.75" customHeight="1">
      <c r="B1941" s="371" t="s">
        <v>9162</v>
      </c>
      <c r="C1941" s="373"/>
      <c r="D1941" s="371" t="s">
        <v>2205</v>
      </c>
    </row>
    <row r="1942" ht="15.75" customHeight="1">
      <c r="B1942" s="371" t="s">
        <v>9163</v>
      </c>
      <c r="C1942" s="373"/>
      <c r="D1942" s="371" t="s">
        <v>2205</v>
      </c>
    </row>
    <row r="1943" ht="15.75" customHeight="1">
      <c r="B1943" s="371" t="s">
        <v>9164</v>
      </c>
      <c r="C1943" s="373"/>
      <c r="D1943" s="371" t="s">
        <v>2205</v>
      </c>
    </row>
    <row r="1944" ht="15.75" customHeight="1">
      <c r="B1944" s="371" t="s">
        <v>2113</v>
      </c>
      <c r="C1944" s="371" t="s">
        <v>9165</v>
      </c>
      <c r="D1944" s="371" t="s">
        <v>2205</v>
      </c>
    </row>
    <row r="1945" ht="15.75" customHeight="1">
      <c r="B1945" s="371" t="s">
        <v>9166</v>
      </c>
      <c r="C1945" s="371" t="s">
        <v>9167</v>
      </c>
      <c r="D1945" s="371" t="s">
        <v>2205</v>
      </c>
    </row>
    <row r="1946" ht="15.75" customHeight="1">
      <c r="B1946" s="371" t="s">
        <v>2117</v>
      </c>
      <c r="C1946" s="371" t="s">
        <v>9168</v>
      </c>
      <c r="D1946" s="371" t="s">
        <v>2205</v>
      </c>
    </row>
    <row r="1947" ht="15.75" customHeight="1">
      <c r="B1947" s="371" t="s">
        <v>9169</v>
      </c>
      <c r="C1947" s="371" t="s">
        <v>9170</v>
      </c>
      <c r="D1947" s="371" t="s">
        <v>2205</v>
      </c>
    </row>
    <row r="1948" ht="15.75" customHeight="1">
      <c r="B1948" s="371" t="s">
        <v>5394</v>
      </c>
      <c r="C1948" s="371" t="s">
        <v>9171</v>
      </c>
      <c r="D1948" s="371" t="s">
        <v>2139</v>
      </c>
    </row>
    <row r="1949" ht="15.75" customHeight="1">
      <c r="B1949" s="371" t="s">
        <v>5398</v>
      </c>
      <c r="C1949" s="371" t="s">
        <v>9172</v>
      </c>
      <c r="D1949" s="371" t="s">
        <v>2139</v>
      </c>
    </row>
    <row r="1950" ht="15.75" customHeight="1">
      <c r="B1950" s="371" t="s">
        <v>2134</v>
      </c>
      <c r="C1950" s="371" t="s">
        <v>9173</v>
      </c>
      <c r="D1950" s="371" t="s">
        <v>2205</v>
      </c>
    </row>
    <row r="1951" ht="15.75" customHeight="1">
      <c r="B1951" s="371" t="s">
        <v>9174</v>
      </c>
      <c r="C1951" s="371" t="s">
        <v>9175</v>
      </c>
      <c r="D1951" s="371" t="s">
        <v>2205</v>
      </c>
    </row>
    <row r="1952" ht="15.75" customHeight="1">
      <c r="B1952" s="371" t="s">
        <v>575</v>
      </c>
      <c r="C1952" s="371" t="s">
        <v>7259</v>
      </c>
      <c r="D1952" s="371" t="s">
        <v>2205</v>
      </c>
    </row>
    <row r="1953" ht="15.75" customHeight="1">
      <c r="B1953" s="371" t="s">
        <v>583</v>
      </c>
      <c r="C1953" s="371" t="s">
        <v>7259</v>
      </c>
      <c r="D1953" s="371" t="s">
        <v>2205</v>
      </c>
    </row>
    <row r="1954" ht="15.75" customHeight="1">
      <c r="B1954" s="371" t="s">
        <v>9176</v>
      </c>
      <c r="C1954" s="371" t="s">
        <v>9177</v>
      </c>
      <c r="D1954" s="371" t="s">
        <v>2205</v>
      </c>
    </row>
    <row r="1955" ht="15.75" customHeight="1">
      <c r="B1955" s="371" t="s">
        <v>9178</v>
      </c>
      <c r="C1955" s="371" t="s">
        <v>9179</v>
      </c>
      <c r="D1955" s="371" t="s">
        <v>2205</v>
      </c>
    </row>
    <row r="1956" ht="15.75" customHeight="1">
      <c r="B1956" s="371" t="s">
        <v>5535</v>
      </c>
      <c r="C1956" s="371" t="s">
        <v>9180</v>
      </c>
      <c r="D1956" s="371" t="s">
        <v>2205</v>
      </c>
    </row>
    <row r="1957" ht="15.75" customHeight="1">
      <c r="B1957" s="371" t="s">
        <v>9181</v>
      </c>
      <c r="C1957" s="371" t="s">
        <v>9182</v>
      </c>
      <c r="D1957" s="371" t="s">
        <v>2205</v>
      </c>
    </row>
    <row r="1958" ht="15.75" customHeight="1">
      <c r="B1958" s="371" t="s">
        <v>4185</v>
      </c>
      <c r="C1958" s="371" t="s">
        <v>9183</v>
      </c>
      <c r="D1958" s="371" t="s">
        <v>2139</v>
      </c>
    </row>
    <row r="1959" ht="15.75" customHeight="1">
      <c r="B1959" s="371" t="s">
        <v>4189</v>
      </c>
      <c r="C1959" s="371" t="s">
        <v>9183</v>
      </c>
      <c r="D1959" s="371" t="s">
        <v>2139</v>
      </c>
    </row>
    <row r="1960" ht="15.75" customHeight="1">
      <c r="B1960" s="371" t="s">
        <v>6578</v>
      </c>
      <c r="C1960" s="371" t="s">
        <v>9184</v>
      </c>
      <c r="D1960" s="371" t="s">
        <v>2139</v>
      </c>
    </row>
    <row r="1961" ht="15.75" customHeight="1">
      <c r="B1961" s="371" t="s">
        <v>9185</v>
      </c>
      <c r="C1961" s="371" t="s">
        <v>9186</v>
      </c>
      <c r="D1961" s="371" t="s">
        <v>2205</v>
      </c>
    </row>
    <row r="1962" ht="15.75" customHeight="1">
      <c r="B1962" s="371" t="s">
        <v>6580</v>
      </c>
      <c r="C1962" s="371" t="s">
        <v>9187</v>
      </c>
      <c r="D1962" s="371" t="s">
        <v>2139</v>
      </c>
    </row>
    <row r="1963" ht="15.75" customHeight="1">
      <c r="B1963" s="371" t="s">
        <v>5751</v>
      </c>
      <c r="C1963" s="371" t="s">
        <v>9187</v>
      </c>
      <c r="D1963" s="371" t="s">
        <v>2205</v>
      </c>
    </row>
    <row r="1964" ht="15.75" customHeight="1">
      <c r="B1964" s="371" t="s">
        <v>9188</v>
      </c>
      <c r="C1964" s="371" t="s">
        <v>9189</v>
      </c>
      <c r="D1964" s="371" t="s">
        <v>2205</v>
      </c>
    </row>
    <row r="1965" ht="15.75" customHeight="1">
      <c r="B1965" s="371" t="s">
        <v>9190</v>
      </c>
      <c r="C1965" s="371" t="s">
        <v>9189</v>
      </c>
      <c r="D1965" s="371" t="s">
        <v>2205</v>
      </c>
    </row>
    <row r="1966" ht="15.75" customHeight="1">
      <c r="B1966" s="371" t="s">
        <v>9191</v>
      </c>
      <c r="C1966" s="371" t="s">
        <v>9189</v>
      </c>
      <c r="D1966" s="371" t="s">
        <v>2205</v>
      </c>
    </row>
    <row r="1967" ht="15.75" customHeight="1">
      <c r="B1967" s="371" t="s">
        <v>9192</v>
      </c>
      <c r="C1967" s="371" t="s">
        <v>9193</v>
      </c>
      <c r="D1967" s="371" t="s">
        <v>2139</v>
      </c>
    </row>
    <row r="1968" ht="15.75" customHeight="1">
      <c r="B1968" s="371" t="s">
        <v>9194</v>
      </c>
      <c r="C1968" s="371" t="s">
        <v>8670</v>
      </c>
      <c r="D1968" s="371" t="s">
        <v>2205</v>
      </c>
    </row>
    <row r="1969" ht="15.75" customHeight="1">
      <c r="B1969" s="371" t="s">
        <v>5480</v>
      </c>
      <c r="C1969" s="371" t="s">
        <v>9195</v>
      </c>
      <c r="D1969" s="371" t="s">
        <v>2139</v>
      </c>
    </row>
    <row r="1970" ht="15.75" customHeight="1">
      <c r="B1970" s="371" t="s">
        <v>5476</v>
      </c>
      <c r="C1970" s="371" t="s">
        <v>9196</v>
      </c>
      <c r="D1970" s="371" t="s">
        <v>2205</v>
      </c>
    </row>
    <row r="1971" ht="15.75" customHeight="1">
      <c r="B1971" s="371" t="s">
        <v>5492</v>
      </c>
      <c r="C1971" s="371" t="s">
        <v>9197</v>
      </c>
      <c r="D1971" s="371" t="s">
        <v>2139</v>
      </c>
    </row>
    <row r="1972" ht="15.75" customHeight="1">
      <c r="B1972" s="371" t="s">
        <v>9198</v>
      </c>
      <c r="C1972" s="371" t="s">
        <v>9197</v>
      </c>
      <c r="D1972" s="371" t="s">
        <v>2139</v>
      </c>
    </row>
    <row r="1973" ht="15.75" customHeight="1">
      <c r="B1973" s="371" t="s">
        <v>5499</v>
      </c>
      <c r="C1973" s="371" t="s">
        <v>9199</v>
      </c>
      <c r="D1973" s="371" t="s">
        <v>2205</v>
      </c>
    </row>
    <row r="1974" ht="15.75" customHeight="1">
      <c r="B1974" s="371" t="s">
        <v>5490</v>
      </c>
      <c r="C1974" s="371" t="s">
        <v>9200</v>
      </c>
      <c r="D1974" s="371" t="s">
        <v>2139</v>
      </c>
    </row>
    <row r="1975" ht="15.75" customHeight="1">
      <c r="B1975" s="371" t="s">
        <v>5487</v>
      </c>
      <c r="C1975" s="371" t="s">
        <v>9201</v>
      </c>
      <c r="D1975" s="371" t="s">
        <v>2205</v>
      </c>
    </row>
    <row r="1976" ht="15.75" customHeight="1">
      <c r="B1976" s="371" t="s">
        <v>5493</v>
      </c>
      <c r="C1976" s="371" t="s">
        <v>9202</v>
      </c>
      <c r="D1976" s="371" t="s">
        <v>2139</v>
      </c>
    </row>
    <row r="1977" ht="15.75" customHeight="1">
      <c r="B1977" s="371" t="s">
        <v>5557</v>
      </c>
      <c r="C1977" s="371" t="s">
        <v>9203</v>
      </c>
      <c r="D1977" s="371" t="s">
        <v>2139</v>
      </c>
    </row>
    <row r="1978" ht="15.75" customHeight="1">
      <c r="B1978" s="371" t="s">
        <v>5552</v>
      </c>
      <c r="C1978" s="371" t="s">
        <v>9204</v>
      </c>
      <c r="D1978" s="371" t="s">
        <v>2139</v>
      </c>
    </row>
    <row r="1979" ht="15.75" customHeight="1">
      <c r="B1979" s="371" t="s">
        <v>5561</v>
      </c>
      <c r="C1979" s="371" t="s">
        <v>9205</v>
      </c>
      <c r="D1979" s="371" t="s">
        <v>2139</v>
      </c>
    </row>
    <row r="1980" ht="15.75" customHeight="1">
      <c r="B1980" s="371" t="s">
        <v>5556</v>
      </c>
      <c r="C1980" s="371" t="s">
        <v>9206</v>
      </c>
      <c r="D1980" s="371" t="s">
        <v>2139</v>
      </c>
    </row>
    <row r="1981" ht="15.75" customHeight="1">
      <c r="B1981" s="371" t="s">
        <v>9207</v>
      </c>
      <c r="C1981" s="371" t="s">
        <v>9208</v>
      </c>
      <c r="D1981" s="371" t="s">
        <v>2139</v>
      </c>
    </row>
    <row r="1982" ht="15.75" customHeight="1">
      <c r="B1982" s="371" t="s">
        <v>5444</v>
      </c>
      <c r="C1982" s="371" t="s">
        <v>9209</v>
      </c>
      <c r="D1982" s="371" t="s">
        <v>2139</v>
      </c>
    </row>
    <row r="1983" ht="15.75" customHeight="1">
      <c r="B1983" s="371" t="s">
        <v>9210</v>
      </c>
      <c r="C1983" s="371" t="s">
        <v>8553</v>
      </c>
      <c r="D1983" s="371" t="s">
        <v>2205</v>
      </c>
    </row>
    <row r="1984" ht="15.75" customHeight="1">
      <c r="B1984" s="371" t="s">
        <v>9211</v>
      </c>
      <c r="C1984" s="371" t="s">
        <v>8553</v>
      </c>
      <c r="D1984" s="371" t="s">
        <v>2205</v>
      </c>
    </row>
    <row r="1985" ht="15.75" customHeight="1">
      <c r="B1985" s="371" t="s">
        <v>9212</v>
      </c>
      <c r="C1985" s="371" t="s">
        <v>8553</v>
      </c>
      <c r="D1985" s="371" t="s">
        <v>2205</v>
      </c>
    </row>
    <row r="1986" ht="15.75" customHeight="1">
      <c r="B1986" s="371" t="s">
        <v>9213</v>
      </c>
      <c r="C1986" s="371" t="s">
        <v>8553</v>
      </c>
      <c r="D1986" s="371" t="s">
        <v>2205</v>
      </c>
    </row>
    <row r="1987" ht="15.75" customHeight="1">
      <c r="B1987" s="371" t="s">
        <v>9214</v>
      </c>
      <c r="C1987" s="371" t="s">
        <v>8553</v>
      </c>
      <c r="D1987" s="371" t="s">
        <v>2205</v>
      </c>
    </row>
    <row r="1988" ht="15.75" customHeight="1">
      <c r="B1988" s="371" t="s">
        <v>9215</v>
      </c>
      <c r="C1988" s="371" t="s">
        <v>9216</v>
      </c>
      <c r="D1988" s="371" t="s">
        <v>2205</v>
      </c>
    </row>
    <row r="1989" ht="15.75" customHeight="1">
      <c r="B1989" s="371" t="s">
        <v>9217</v>
      </c>
      <c r="C1989" s="371" t="s">
        <v>9218</v>
      </c>
      <c r="D1989" s="371" t="s">
        <v>2205</v>
      </c>
    </row>
    <row r="1990" ht="15.75" customHeight="1">
      <c r="B1990" s="371" t="s">
        <v>9219</v>
      </c>
      <c r="C1990" s="371" t="s">
        <v>9220</v>
      </c>
      <c r="D1990" s="371" t="s">
        <v>2205</v>
      </c>
    </row>
    <row r="1991" ht="15.75" customHeight="1">
      <c r="B1991" s="371" t="s">
        <v>5497</v>
      </c>
      <c r="C1991" s="371" t="s">
        <v>9221</v>
      </c>
      <c r="D1991" s="371" t="s">
        <v>2139</v>
      </c>
    </row>
    <row r="1992" ht="15.75" customHeight="1">
      <c r="B1992" s="371" t="s">
        <v>5483</v>
      </c>
      <c r="C1992" s="371" t="s">
        <v>9222</v>
      </c>
      <c r="D1992" s="371" t="s">
        <v>2139</v>
      </c>
    </row>
    <row r="1993" ht="15.75" customHeight="1">
      <c r="B1993" s="371" t="s">
        <v>4096</v>
      </c>
      <c r="C1993" s="371" t="s">
        <v>9223</v>
      </c>
      <c r="D1993" s="371" t="s">
        <v>2139</v>
      </c>
    </row>
    <row r="1994" ht="15.75" customHeight="1">
      <c r="B1994" s="371" t="s">
        <v>9224</v>
      </c>
      <c r="C1994" s="371" t="s">
        <v>9225</v>
      </c>
      <c r="D1994" s="371" t="s">
        <v>2205</v>
      </c>
    </row>
    <row r="1995" ht="15.75" customHeight="1">
      <c r="B1995" s="371" t="s">
        <v>5583</v>
      </c>
      <c r="C1995" s="371" t="s">
        <v>9226</v>
      </c>
      <c r="D1995" s="371" t="s">
        <v>2139</v>
      </c>
    </row>
    <row r="1996" ht="15.75" customHeight="1">
      <c r="B1996" s="371" t="s">
        <v>5587</v>
      </c>
      <c r="C1996" s="371" t="s">
        <v>9227</v>
      </c>
      <c r="D1996" s="371" t="s">
        <v>2139</v>
      </c>
    </row>
    <row r="1997" ht="15.75" customHeight="1">
      <c r="B1997" s="371" t="s">
        <v>5591</v>
      </c>
      <c r="C1997" s="371" t="s">
        <v>9228</v>
      </c>
      <c r="D1997" s="371" t="s">
        <v>2139</v>
      </c>
    </row>
    <row r="1998" ht="15.75" customHeight="1">
      <c r="B1998" s="371" t="s">
        <v>5595</v>
      </c>
      <c r="C1998" s="371" t="s">
        <v>9229</v>
      </c>
      <c r="D1998" s="371" t="s">
        <v>2139</v>
      </c>
    </row>
    <row r="1999" ht="15.75" customHeight="1">
      <c r="B1999" s="371" t="s">
        <v>5599</v>
      </c>
      <c r="C1999" s="371" t="s">
        <v>9230</v>
      </c>
      <c r="D1999" s="371" t="s">
        <v>2139</v>
      </c>
    </row>
    <row r="2000" ht="15.75" customHeight="1">
      <c r="B2000" s="371" t="s">
        <v>4124</v>
      </c>
      <c r="C2000" s="371" t="s">
        <v>9231</v>
      </c>
      <c r="D2000" s="371" t="s">
        <v>2205</v>
      </c>
    </row>
    <row r="2001" ht="15.75" customHeight="1">
      <c r="B2001" s="371" t="s">
        <v>9232</v>
      </c>
      <c r="C2001" s="371" t="s">
        <v>8554</v>
      </c>
      <c r="D2001" s="371" t="s">
        <v>2205</v>
      </c>
    </row>
    <row r="2002" ht="15.75" customHeight="1">
      <c r="B2002" s="371" t="s">
        <v>9233</v>
      </c>
      <c r="C2002" s="371" t="s">
        <v>9234</v>
      </c>
      <c r="D2002" s="371" t="s">
        <v>2205</v>
      </c>
    </row>
    <row r="2003" ht="15.75" customHeight="1">
      <c r="B2003" s="371" t="s">
        <v>9235</v>
      </c>
      <c r="C2003" s="371" t="s">
        <v>9236</v>
      </c>
      <c r="D2003" s="371" t="s">
        <v>2205</v>
      </c>
    </row>
    <row r="2004" ht="15.75" customHeight="1">
      <c r="B2004" s="371" t="s">
        <v>9237</v>
      </c>
      <c r="C2004" s="371" t="s">
        <v>9238</v>
      </c>
      <c r="D2004" s="371" t="s">
        <v>2205</v>
      </c>
    </row>
    <row r="2005" ht="15.75" customHeight="1">
      <c r="B2005" s="371" t="s">
        <v>9239</v>
      </c>
      <c r="C2005" s="371" t="s">
        <v>9240</v>
      </c>
      <c r="D2005" s="371" t="s">
        <v>2205</v>
      </c>
    </row>
    <row r="2006" ht="15.75" customHeight="1">
      <c r="B2006" s="371" t="s">
        <v>9241</v>
      </c>
      <c r="C2006" s="371" t="s">
        <v>8314</v>
      </c>
      <c r="D2006" s="371" t="s">
        <v>2205</v>
      </c>
    </row>
    <row r="2007" ht="15.75" customHeight="1">
      <c r="B2007" s="371" t="s">
        <v>9242</v>
      </c>
      <c r="C2007" s="371" t="s">
        <v>9243</v>
      </c>
      <c r="D2007" s="371" t="s">
        <v>2205</v>
      </c>
    </row>
    <row r="2008" ht="15.75" customHeight="1">
      <c r="B2008" s="371" t="s">
        <v>9244</v>
      </c>
      <c r="C2008" s="371" t="s">
        <v>9243</v>
      </c>
      <c r="D2008" s="371" t="s">
        <v>2205</v>
      </c>
    </row>
    <row r="2009" ht="15.75" customHeight="1">
      <c r="B2009" s="371" t="s">
        <v>9245</v>
      </c>
      <c r="C2009" s="371" t="s">
        <v>9246</v>
      </c>
      <c r="D2009" s="371" t="s">
        <v>2205</v>
      </c>
    </row>
    <row r="2010" ht="15.75" customHeight="1">
      <c r="B2010" s="371" t="s">
        <v>9247</v>
      </c>
      <c r="C2010" s="371" t="s">
        <v>9248</v>
      </c>
      <c r="D2010" s="371" t="s">
        <v>2205</v>
      </c>
    </row>
    <row r="2011" ht="15.75" customHeight="1">
      <c r="B2011" s="371" t="s">
        <v>9249</v>
      </c>
      <c r="C2011" s="373"/>
      <c r="D2011" s="371" t="s">
        <v>2205</v>
      </c>
    </row>
    <row r="2012" ht="15.75" customHeight="1">
      <c r="B2012" s="371" t="s">
        <v>9250</v>
      </c>
      <c r="C2012" s="373"/>
      <c r="D2012" s="371" t="s">
        <v>2205</v>
      </c>
    </row>
    <row r="2013" ht="15.75" customHeight="1">
      <c r="B2013" s="371" t="s">
        <v>9251</v>
      </c>
      <c r="C2013" s="371" t="s">
        <v>7276</v>
      </c>
      <c r="D2013" s="371" t="s">
        <v>2205</v>
      </c>
    </row>
    <row r="2014" ht="15.75" customHeight="1">
      <c r="B2014" s="371" t="s">
        <v>9252</v>
      </c>
      <c r="C2014" s="371" t="s">
        <v>7276</v>
      </c>
      <c r="D2014" s="371" t="s">
        <v>2205</v>
      </c>
    </row>
    <row r="2015" ht="15.75" customHeight="1">
      <c r="B2015" s="371" t="s">
        <v>9253</v>
      </c>
      <c r="C2015" s="371" t="s">
        <v>9254</v>
      </c>
      <c r="D2015" s="371" t="s">
        <v>2205</v>
      </c>
    </row>
    <row r="2016" ht="15.75" customHeight="1">
      <c r="B2016" s="371" t="s">
        <v>9255</v>
      </c>
      <c r="C2016" s="371" t="s">
        <v>9256</v>
      </c>
      <c r="D2016" s="371" t="s">
        <v>2205</v>
      </c>
    </row>
    <row r="2017" ht="15.75" customHeight="1">
      <c r="B2017" s="371" t="s">
        <v>9257</v>
      </c>
      <c r="C2017" s="371" t="s">
        <v>8548</v>
      </c>
      <c r="D2017" s="371" t="s">
        <v>2139</v>
      </c>
    </row>
    <row r="2018" ht="15.75" customHeight="1">
      <c r="B2018" s="371" t="s">
        <v>4594</v>
      </c>
      <c r="C2018" s="371" t="s">
        <v>7223</v>
      </c>
      <c r="D2018" s="371" t="s">
        <v>2139</v>
      </c>
    </row>
    <row r="2019" ht="15.75" customHeight="1">
      <c r="B2019" s="371" t="s">
        <v>4587</v>
      </c>
      <c r="C2019" s="371" t="s">
        <v>8551</v>
      </c>
      <c r="D2019" s="371" t="s">
        <v>2139</v>
      </c>
    </row>
    <row r="2020" ht="15.75" customHeight="1">
      <c r="B2020" s="371" t="s">
        <v>4597</v>
      </c>
      <c r="C2020" s="371" t="s">
        <v>7223</v>
      </c>
      <c r="D2020" s="371" t="s">
        <v>2139</v>
      </c>
    </row>
    <row r="2021" ht="15.75" customHeight="1">
      <c r="B2021" s="371" t="s">
        <v>4590</v>
      </c>
      <c r="C2021" s="371" t="s">
        <v>7747</v>
      </c>
      <c r="D2021" s="371" t="s">
        <v>2139</v>
      </c>
    </row>
    <row r="2022" ht="15.75" customHeight="1">
      <c r="B2022" s="371" t="s">
        <v>9258</v>
      </c>
      <c r="C2022" s="371" t="s">
        <v>9259</v>
      </c>
      <c r="D2022" s="371" t="s">
        <v>2205</v>
      </c>
    </row>
    <row r="2023" ht="15.75" customHeight="1">
      <c r="B2023" s="371" t="s">
        <v>5603</v>
      </c>
      <c r="C2023" s="371" t="s">
        <v>9260</v>
      </c>
      <c r="D2023" s="371" t="s">
        <v>2139</v>
      </c>
    </row>
    <row r="2024" ht="15.75" customHeight="1">
      <c r="B2024" s="371" t="s">
        <v>5604</v>
      </c>
      <c r="C2024" s="371" t="s">
        <v>9261</v>
      </c>
      <c r="D2024" s="371" t="s">
        <v>2139</v>
      </c>
    </row>
    <row r="2025" ht="15.75" customHeight="1">
      <c r="B2025" s="371" t="s">
        <v>6381</v>
      </c>
      <c r="C2025" s="371" t="s">
        <v>9262</v>
      </c>
      <c r="D2025" s="371" t="s">
        <v>2139</v>
      </c>
    </row>
    <row r="2026" ht="15.75" customHeight="1">
      <c r="B2026" s="371" t="s">
        <v>6414</v>
      </c>
      <c r="C2026" s="371" t="s">
        <v>8617</v>
      </c>
      <c r="D2026" s="371" t="s">
        <v>2139</v>
      </c>
    </row>
    <row r="2027" ht="15.75" customHeight="1">
      <c r="B2027" s="371" t="s">
        <v>6509</v>
      </c>
      <c r="C2027" s="371" t="s">
        <v>8617</v>
      </c>
      <c r="D2027" s="371" t="s">
        <v>2205</v>
      </c>
    </row>
    <row r="2028" ht="15.75" customHeight="1">
      <c r="B2028" s="371" t="s">
        <v>6511</v>
      </c>
      <c r="C2028" s="371" t="s">
        <v>8617</v>
      </c>
      <c r="D2028" s="371" t="s">
        <v>2205</v>
      </c>
    </row>
    <row r="2029" ht="15.75" customHeight="1">
      <c r="B2029" s="371" t="s">
        <v>9263</v>
      </c>
      <c r="C2029" s="371" t="s">
        <v>8548</v>
      </c>
      <c r="D2029" s="371" t="s">
        <v>2205</v>
      </c>
    </row>
    <row r="2030" ht="15.75" customHeight="1">
      <c r="B2030" s="371" t="s">
        <v>6515</v>
      </c>
      <c r="C2030" s="371" t="s">
        <v>8617</v>
      </c>
      <c r="D2030" s="371" t="s">
        <v>2139</v>
      </c>
    </row>
    <row r="2031" ht="15.75" customHeight="1">
      <c r="B2031" s="371" t="s">
        <v>6521</v>
      </c>
      <c r="C2031" s="371" t="s">
        <v>8617</v>
      </c>
      <c r="D2031" s="371" t="s">
        <v>2205</v>
      </c>
    </row>
    <row r="2032" ht="15.75" customHeight="1">
      <c r="B2032" s="371" t="s">
        <v>6385</v>
      </c>
      <c r="C2032" s="371" t="s">
        <v>9264</v>
      </c>
      <c r="D2032" s="371" t="s">
        <v>2139</v>
      </c>
    </row>
    <row r="2033" ht="15.75" customHeight="1">
      <c r="B2033" s="371" t="s">
        <v>9265</v>
      </c>
      <c r="C2033" s="371" t="s">
        <v>7429</v>
      </c>
      <c r="D2033" s="371" t="s">
        <v>2205</v>
      </c>
    </row>
    <row r="2034" ht="15.75" customHeight="1">
      <c r="B2034" s="371" t="s">
        <v>9266</v>
      </c>
      <c r="C2034" s="371" t="s">
        <v>7429</v>
      </c>
      <c r="D2034" s="371" t="s">
        <v>2205</v>
      </c>
    </row>
    <row r="2035" ht="15.75" customHeight="1">
      <c r="B2035" s="371" t="s">
        <v>9267</v>
      </c>
      <c r="C2035" s="371" t="s">
        <v>7429</v>
      </c>
      <c r="D2035" s="371" t="s">
        <v>2205</v>
      </c>
    </row>
    <row r="2036" ht="15.75" customHeight="1">
      <c r="B2036" s="371" t="s">
        <v>6389</v>
      </c>
      <c r="C2036" s="371" t="s">
        <v>9268</v>
      </c>
      <c r="D2036" s="371" t="s">
        <v>2139</v>
      </c>
    </row>
    <row r="2037" ht="15.75" customHeight="1">
      <c r="B2037" s="371" t="s">
        <v>9269</v>
      </c>
      <c r="C2037" s="371" t="s">
        <v>8551</v>
      </c>
      <c r="D2037" s="371" t="s">
        <v>2139</v>
      </c>
    </row>
    <row r="2038" ht="15.75" customHeight="1">
      <c r="B2038" s="371" t="s">
        <v>6391</v>
      </c>
      <c r="C2038" s="371" t="s">
        <v>8617</v>
      </c>
      <c r="D2038" s="371" t="s">
        <v>2139</v>
      </c>
    </row>
    <row r="2039" ht="15.75" customHeight="1">
      <c r="B2039" s="371" t="s">
        <v>9270</v>
      </c>
      <c r="C2039" s="371" t="s">
        <v>7725</v>
      </c>
      <c r="D2039" s="371" t="s">
        <v>2205</v>
      </c>
    </row>
    <row r="2040" ht="15.75" customHeight="1">
      <c r="B2040" s="371" t="s">
        <v>6393</v>
      </c>
      <c r="C2040" s="371" t="s">
        <v>8617</v>
      </c>
      <c r="D2040" s="371" t="s">
        <v>2139</v>
      </c>
    </row>
    <row r="2041" ht="15.75" customHeight="1">
      <c r="B2041" s="371" t="s">
        <v>6397</v>
      </c>
      <c r="C2041" s="371" t="s">
        <v>8617</v>
      </c>
      <c r="D2041" s="371" t="s">
        <v>2205</v>
      </c>
    </row>
    <row r="2042" ht="15.75" customHeight="1">
      <c r="B2042" s="371" t="s">
        <v>9271</v>
      </c>
      <c r="C2042" s="371" t="s">
        <v>7380</v>
      </c>
      <c r="D2042" s="371" t="s">
        <v>2205</v>
      </c>
    </row>
    <row r="2043" ht="15.75" customHeight="1">
      <c r="B2043" s="371" t="s">
        <v>9272</v>
      </c>
      <c r="C2043" s="371" t="s">
        <v>7429</v>
      </c>
      <c r="D2043" s="371" t="s">
        <v>2205</v>
      </c>
    </row>
    <row r="2044" ht="15.75" customHeight="1">
      <c r="B2044" s="371" t="s">
        <v>6401</v>
      </c>
      <c r="C2044" s="371" t="s">
        <v>8617</v>
      </c>
      <c r="D2044" s="371" t="s">
        <v>2205</v>
      </c>
    </row>
    <row r="2045" ht="15.75" customHeight="1">
      <c r="B2045" s="371" t="s">
        <v>6403</v>
      </c>
      <c r="C2045" s="371" t="s">
        <v>8617</v>
      </c>
      <c r="D2045" s="371" t="s">
        <v>2139</v>
      </c>
    </row>
    <row r="2046" ht="15.75" customHeight="1">
      <c r="B2046" s="371" t="s">
        <v>6406</v>
      </c>
      <c r="C2046" s="371" t="s">
        <v>8617</v>
      </c>
      <c r="D2046" s="371" t="s">
        <v>2139</v>
      </c>
    </row>
    <row r="2047" ht="15.75" customHeight="1">
      <c r="B2047" s="371" t="s">
        <v>9273</v>
      </c>
      <c r="C2047" s="371" t="s">
        <v>8702</v>
      </c>
      <c r="D2047" s="371" t="s">
        <v>2139</v>
      </c>
    </row>
    <row r="2048" ht="15.75" customHeight="1">
      <c r="B2048" s="371" t="s">
        <v>9274</v>
      </c>
      <c r="C2048" s="371" t="s">
        <v>7429</v>
      </c>
      <c r="D2048" s="371" t="s">
        <v>2205</v>
      </c>
    </row>
    <row r="2049" ht="15.75" customHeight="1">
      <c r="B2049" s="371" t="s">
        <v>9275</v>
      </c>
      <c r="C2049" s="371" t="s">
        <v>7429</v>
      </c>
      <c r="D2049" s="371" t="s">
        <v>2205</v>
      </c>
    </row>
    <row r="2050" ht="15.75" customHeight="1">
      <c r="B2050" s="371" t="s">
        <v>9276</v>
      </c>
      <c r="C2050" s="371" t="s">
        <v>8548</v>
      </c>
      <c r="D2050" s="371" t="s">
        <v>2205</v>
      </c>
    </row>
    <row r="2051" ht="15.75" customHeight="1">
      <c r="B2051" s="371" t="s">
        <v>9277</v>
      </c>
      <c r="C2051" s="371" t="s">
        <v>8548</v>
      </c>
      <c r="D2051" s="371" t="s">
        <v>2139</v>
      </c>
    </row>
    <row r="2052" ht="15.75" customHeight="1">
      <c r="B2052" s="371" t="s">
        <v>9278</v>
      </c>
      <c r="C2052" s="371" t="s">
        <v>9279</v>
      </c>
      <c r="D2052" s="371" t="s">
        <v>2205</v>
      </c>
    </row>
    <row r="2053" ht="15.75" customHeight="1">
      <c r="B2053" s="371" t="s">
        <v>3771</v>
      </c>
      <c r="C2053" s="371" t="s">
        <v>9280</v>
      </c>
      <c r="D2053" s="371" t="s">
        <v>2205</v>
      </c>
    </row>
    <row r="2054" ht="15.75" customHeight="1">
      <c r="B2054" s="371" t="s">
        <v>9281</v>
      </c>
      <c r="C2054" s="371" t="s">
        <v>9281</v>
      </c>
      <c r="D2054" s="371" t="s">
        <v>2205</v>
      </c>
    </row>
    <row r="2055" ht="15.75" customHeight="1">
      <c r="B2055" s="371" t="s">
        <v>9282</v>
      </c>
      <c r="C2055" s="371" t="s">
        <v>9283</v>
      </c>
      <c r="D2055" s="371" t="s">
        <v>2205</v>
      </c>
    </row>
    <row r="2056" ht="15.75" customHeight="1">
      <c r="B2056" s="371" t="s">
        <v>9284</v>
      </c>
      <c r="C2056" s="371" t="s">
        <v>9285</v>
      </c>
      <c r="D2056" s="371" t="s">
        <v>2139</v>
      </c>
    </row>
    <row r="2057" ht="15.75" customHeight="1">
      <c r="B2057" s="371" t="s">
        <v>9286</v>
      </c>
      <c r="C2057" s="371" t="s">
        <v>9287</v>
      </c>
      <c r="D2057" s="371" t="s">
        <v>2205</v>
      </c>
    </row>
    <row r="2058" ht="15.75" customHeight="1">
      <c r="B2058" s="371" t="s">
        <v>9288</v>
      </c>
      <c r="C2058" s="371" t="s">
        <v>7429</v>
      </c>
      <c r="D2058" s="371" t="s">
        <v>2205</v>
      </c>
    </row>
    <row r="2059" ht="15.75" customHeight="1">
      <c r="B2059" s="371" t="s">
        <v>9289</v>
      </c>
      <c r="C2059" s="371" t="s">
        <v>9290</v>
      </c>
      <c r="D2059" s="371" t="s">
        <v>2205</v>
      </c>
    </row>
    <row r="2060" ht="15.75" customHeight="1">
      <c r="B2060" s="371" t="s">
        <v>9291</v>
      </c>
      <c r="C2060" s="371" t="s">
        <v>9292</v>
      </c>
      <c r="D2060" s="371" t="s">
        <v>2205</v>
      </c>
    </row>
    <row r="2061" ht="15.75" customHeight="1">
      <c r="B2061" s="371" t="s">
        <v>405</v>
      </c>
      <c r="C2061" s="371" t="s">
        <v>9293</v>
      </c>
      <c r="D2061" s="371" t="s">
        <v>2139</v>
      </c>
    </row>
    <row r="2062" ht="15.75" customHeight="1">
      <c r="B2062" s="371" t="s">
        <v>407</v>
      </c>
      <c r="C2062" s="371" t="s">
        <v>9292</v>
      </c>
      <c r="D2062" s="371" t="s">
        <v>2139</v>
      </c>
    </row>
    <row r="2063" ht="15.75" customHeight="1">
      <c r="B2063" s="371" t="s">
        <v>9294</v>
      </c>
      <c r="C2063" s="371" t="s">
        <v>7716</v>
      </c>
      <c r="D2063" s="371" t="s">
        <v>2205</v>
      </c>
    </row>
    <row r="2064" ht="15.75" customHeight="1">
      <c r="B2064" s="371" t="s">
        <v>766</v>
      </c>
      <c r="C2064" s="371" t="s">
        <v>9295</v>
      </c>
      <c r="D2064" s="371" t="s">
        <v>2205</v>
      </c>
    </row>
    <row r="2065" ht="15.75" customHeight="1">
      <c r="B2065" s="371" t="s">
        <v>9296</v>
      </c>
      <c r="C2065" s="371" t="s">
        <v>9297</v>
      </c>
      <c r="D2065" s="371" t="s">
        <v>2139</v>
      </c>
    </row>
    <row r="2066" ht="15.75" customHeight="1">
      <c r="B2066" s="371" t="s">
        <v>9298</v>
      </c>
      <c r="C2066" s="371" t="s">
        <v>9297</v>
      </c>
      <c r="D2066" s="371" t="s">
        <v>2205</v>
      </c>
    </row>
    <row r="2067" ht="15.75" customHeight="1">
      <c r="B2067" s="371" t="s">
        <v>9299</v>
      </c>
      <c r="C2067" s="371" t="s">
        <v>9297</v>
      </c>
      <c r="D2067" s="371" t="s">
        <v>2205</v>
      </c>
    </row>
    <row r="2068" ht="15.75" customHeight="1">
      <c r="B2068" s="371" t="s">
        <v>9300</v>
      </c>
      <c r="C2068" s="371" t="s">
        <v>9297</v>
      </c>
      <c r="D2068" s="371" t="s">
        <v>2205</v>
      </c>
    </row>
    <row r="2069" ht="15.75" customHeight="1">
      <c r="B2069" s="371" t="s">
        <v>1620</v>
      </c>
      <c r="C2069" s="371" t="s">
        <v>9295</v>
      </c>
      <c r="D2069" s="371" t="s">
        <v>2139</v>
      </c>
    </row>
    <row r="2070" ht="15.75" customHeight="1">
      <c r="B2070" s="371" t="s">
        <v>9301</v>
      </c>
      <c r="C2070" s="371" t="s">
        <v>9295</v>
      </c>
      <c r="D2070" s="371" t="s">
        <v>2139</v>
      </c>
    </row>
    <row r="2071" ht="15.75" customHeight="1">
      <c r="B2071" s="371" t="s">
        <v>9302</v>
      </c>
      <c r="C2071" s="371" t="s">
        <v>9295</v>
      </c>
      <c r="D2071" s="371" t="s">
        <v>2205</v>
      </c>
    </row>
    <row r="2072" ht="15.75" customHeight="1">
      <c r="B2072" s="371" t="s">
        <v>9303</v>
      </c>
      <c r="C2072" s="371" t="s">
        <v>9304</v>
      </c>
      <c r="D2072" s="371" t="s">
        <v>2139</v>
      </c>
    </row>
    <row r="2073" ht="15.75" customHeight="1">
      <c r="B2073" s="371" t="s">
        <v>9305</v>
      </c>
      <c r="C2073" s="371" t="s">
        <v>9292</v>
      </c>
      <c r="D2073" s="371" t="s">
        <v>2205</v>
      </c>
    </row>
    <row r="2074" ht="15.75" customHeight="1">
      <c r="B2074" s="371" t="s">
        <v>9306</v>
      </c>
      <c r="C2074" s="371" t="s">
        <v>9292</v>
      </c>
      <c r="D2074" s="371" t="s">
        <v>2205</v>
      </c>
    </row>
    <row r="2075" ht="15.75" customHeight="1">
      <c r="B2075" s="371" t="s">
        <v>413</v>
      </c>
      <c r="C2075" s="371" t="s">
        <v>9307</v>
      </c>
      <c r="D2075" s="371" t="s">
        <v>2205</v>
      </c>
    </row>
    <row r="2076" ht="15.75" customHeight="1">
      <c r="B2076" s="371" t="s">
        <v>415</v>
      </c>
      <c r="C2076" s="371" t="s">
        <v>9292</v>
      </c>
      <c r="D2076" s="371" t="s">
        <v>2205</v>
      </c>
    </row>
    <row r="2077" ht="15.75" customHeight="1">
      <c r="B2077" s="371" t="s">
        <v>9308</v>
      </c>
      <c r="C2077" s="371" t="s">
        <v>9292</v>
      </c>
      <c r="D2077" s="371" t="s">
        <v>2139</v>
      </c>
    </row>
    <row r="2078" ht="15.75" customHeight="1">
      <c r="B2078" s="371" t="s">
        <v>416</v>
      </c>
      <c r="C2078" s="371" t="s">
        <v>9292</v>
      </c>
      <c r="D2078" s="371" t="s">
        <v>2205</v>
      </c>
    </row>
    <row r="2079" ht="15.75" customHeight="1">
      <c r="B2079" s="371" t="s">
        <v>418</v>
      </c>
      <c r="C2079" s="371" t="s">
        <v>9309</v>
      </c>
      <c r="D2079" s="371" t="s">
        <v>2205</v>
      </c>
    </row>
    <row r="2080" ht="15.75" customHeight="1">
      <c r="B2080" s="371" t="s">
        <v>770</v>
      </c>
      <c r="C2080" s="371" t="s">
        <v>9295</v>
      </c>
      <c r="D2080" s="371" t="s">
        <v>2205</v>
      </c>
    </row>
    <row r="2081" ht="15.75" customHeight="1">
      <c r="B2081" s="371" t="s">
        <v>9310</v>
      </c>
      <c r="C2081" s="371" t="s">
        <v>9297</v>
      </c>
      <c r="D2081" s="371" t="s">
        <v>2139</v>
      </c>
    </row>
    <row r="2082" ht="15.75" customHeight="1">
      <c r="B2082" s="371" t="s">
        <v>421</v>
      </c>
      <c r="C2082" s="371" t="s">
        <v>9297</v>
      </c>
      <c r="D2082" s="371" t="s">
        <v>2205</v>
      </c>
    </row>
    <row r="2083" ht="15.75" customHeight="1">
      <c r="B2083" s="371" t="s">
        <v>9311</v>
      </c>
      <c r="C2083" s="371" t="s">
        <v>9297</v>
      </c>
      <c r="D2083" s="371" t="s">
        <v>2205</v>
      </c>
    </row>
    <row r="2084" ht="15.75" customHeight="1">
      <c r="B2084" s="371" t="s">
        <v>422</v>
      </c>
      <c r="C2084" s="371" t="s">
        <v>9297</v>
      </c>
      <c r="D2084" s="371" t="s">
        <v>2205</v>
      </c>
    </row>
    <row r="2085" ht="15.75" customHeight="1">
      <c r="B2085" s="371" t="s">
        <v>1616</v>
      </c>
      <c r="C2085" s="371" t="s">
        <v>9295</v>
      </c>
      <c r="D2085" s="371" t="s">
        <v>2139</v>
      </c>
    </row>
    <row r="2086" ht="15.75" customHeight="1">
      <c r="B2086" s="371" t="s">
        <v>9312</v>
      </c>
      <c r="C2086" s="371" t="s">
        <v>9295</v>
      </c>
      <c r="D2086" s="371" t="s">
        <v>2205</v>
      </c>
    </row>
    <row r="2087" ht="15.75" customHeight="1">
      <c r="B2087" s="371" t="s">
        <v>646</v>
      </c>
      <c r="C2087" s="371" t="s">
        <v>7328</v>
      </c>
      <c r="D2087" s="371" t="s">
        <v>2139</v>
      </c>
    </row>
    <row r="2088" ht="15.75" customHeight="1">
      <c r="B2088" s="371" t="s">
        <v>9313</v>
      </c>
      <c r="C2088" s="371" t="s">
        <v>9292</v>
      </c>
      <c r="D2088" s="371" t="s">
        <v>2205</v>
      </c>
    </row>
    <row r="2089" ht="15.75" customHeight="1">
      <c r="B2089" s="371" t="s">
        <v>9314</v>
      </c>
      <c r="C2089" s="371" t="s">
        <v>9292</v>
      </c>
      <c r="D2089" s="371" t="s">
        <v>2205</v>
      </c>
    </row>
    <row r="2090" ht="15.75" customHeight="1">
      <c r="B2090" s="371" t="s">
        <v>9315</v>
      </c>
      <c r="C2090" s="371" t="s">
        <v>9295</v>
      </c>
      <c r="D2090" s="371" t="s">
        <v>2205</v>
      </c>
    </row>
    <row r="2091" ht="15.75" customHeight="1">
      <c r="B2091" s="371" t="s">
        <v>9316</v>
      </c>
      <c r="C2091" s="371" t="s">
        <v>9295</v>
      </c>
      <c r="D2091" s="371" t="s">
        <v>2139</v>
      </c>
    </row>
    <row r="2092" ht="15.75" customHeight="1">
      <c r="B2092" s="371" t="s">
        <v>9317</v>
      </c>
      <c r="C2092" s="371" t="s">
        <v>9292</v>
      </c>
      <c r="D2092" s="371" t="s">
        <v>2205</v>
      </c>
    </row>
    <row r="2093" ht="15.75" customHeight="1">
      <c r="B2093" s="371" t="s">
        <v>9318</v>
      </c>
      <c r="C2093" s="371" t="s">
        <v>9295</v>
      </c>
      <c r="D2093" s="371" t="s">
        <v>2205</v>
      </c>
    </row>
    <row r="2094" ht="15.75" customHeight="1">
      <c r="B2094" s="371" t="s">
        <v>9319</v>
      </c>
      <c r="C2094" s="371" t="s">
        <v>9295</v>
      </c>
      <c r="D2094" s="371" t="s">
        <v>2205</v>
      </c>
    </row>
    <row r="2095" ht="15.75" customHeight="1">
      <c r="B2095" s="371" t="s">
        <v>9320</v>
      </c>
      <c r="C2095" s="371" t="s">
        <v>9295</v>
      </c>
      <c r="D2095" s="371" t="s">
        <v>2205</v>
      </c>
    </row>
    <row r="2096" ht="15.75" customHeight="1">
      <c r="B2096" s="371" t="s">
        <v>423</v>
      </c>
      <c r="C2096" s="371" t="s">
        <v>9295</v>
      </c>
      <c r="D2096" s="371" t="s">
        <v>2205</v>
      </c>
    </row>
    <row r="2097" ht="15.75" customHeight="1">
      <c r="B2097" s="371" t="s">
        <v>425</v>
      </c>
      <c r="C2097" s="371" t="s">
        <v>9292</v>
      </c>
      <c r="D2097" s="371" t="s">
        <v>2205</v>
      </c>
    </row>
    <row r="2098" ht="15.75" customHeight="1">
      <c r="B2098" s="371" t="s">
        <v>9321</v>
      </c>
      <c r="C2098" s="371" t="s">
        <v>9292</v>
      </c>
      <c r="D2098" s="371" t="s">
        <v>2205</v>
      </c>
    </row>
    <row r="2099" ht="15.75" customHeight="1">
      <c r="B2099" s="371" t="s">
        <v>9322</v>
      </c>
      <c r="C2099" s="371" t="s">
        <v>9292</v>
      </c>
      <c r="D2099" s="371" t="s">
        <v>2205</v>
      </c>
    </row>
    <row r="2100" ht="15.75" customHeight="1">
      <c r="B2100" s="371" t="s">
        <v>9323</v>
      </c>
      <c r="C2100" s="371" t="s">
        <v>9295</v>
      </c>
      <c r="D2100" s="371" t="s">
        <v>2205</v>
      </c>
    </row>
    <row r="2101" ht="15.75" customHeight="1">
      <c r="B2101" s="371" t="s">
        <v>9324</v>
      </c>
      <c r="C2101" s="371" t="s">
        <v>7984</v>
      </c>
      <c r="D2101" s="371" t="s">
        <v>2205</v>
      </c>
    </row>
    <row r="2102" ht="15.75" customHeight="1">
      <c r="B2102" s="371" t="s">
        <v>9325</v>
      </c>
      <c r="C2102" s="371" t="s">
        <v>7716</v>
      </c>
      <c r="D2102" s="371" t="s">
        <v>2205</v>
      </c>
    </row>
    <row r="2103" ht="15.75" customHeight="1">
      <c r="B2103" s="371" t="s">
        <v>9326</v>
      </c>
      <c r="C2103" s="371" t="s">
        <v>7716</v>
      </c>
      <c r="D2103" s="371" t="s">
        <v>2205</v>
      </c>
    </row>
    <row r="2104" ht="15.75" customHeight="1">
      <c r="B2104" s="371" t="s">
        <v>9327</v>
      </c>
      <c r="C2104" s="371" t="s">
        <v>7716</v>
      </c>
      <c r="D2104" s="371" t="s">
        <v>2205</v>
      </c>
    </row>
    <row r="2105" ht="15.75" customHeight="1">
      <c r="B2105" s="371" t="s">
        <v>9328</v>
      </c>
      <c r="C2105" s="371" t="s">
        <v>7716</v>
      </c>
      <c r="D2105" s="371" t="s">
        <v>2205</v>
      </c>
    </row>
    <row r="2106" ht="15.75" customHeight="1">
      <c r="B2106" s="371" t="s">
        <v>9329</v>
      </c>
      <c r="C2106" s="371" t="s">
        <v>9295</v>
      </c>
      <c r="D2106" s="371" t="s">
        <v>2205</v>
      </c>
    </row>
    <row r="2107" ht="15.75" customHeight="1">
      <c r="B2107" s="371" t="s">
        <v>9330</v>
      </c>
      <c r="C2107" s="371" t="s">
        <v>9295</v>
      </c>
      <c r="D2107" s="371" t="s">
        <v>2205</v>
      </c>
    </row>
    <row r="2108" ht="15.75" customHeight="1">
      <c r="B2108" s="371" t="s">
        <v>9331</v>
      </c>
      <c r="C2108" s="371" t="s">
        <v>9295</v>
      </c>
      <c r="D2108" s="371" t="s">
        <v>2205</v>
      </c>
    </row>
    <row r="2109" ht="15.75" customHeight="1">
      <c r="B2109" s="371" t="s">
        <v>9332</v>
      </c>
      <c r="C2109" s="371" t="s">
        <v>9295</v>
      </c>
      <c r="D2109" s="371" t="s">
        <v>2205</v>
      </c>
    </row>
    <row r="2110" ht="15.75" customHeight="1">
      <c r="B2110" s="371" t="s">
        <v>9333</v>
      </c>
      <c r="C2110" s="371" t="s">
        <v>9334</v>
      </c>
      <c r="D2110" s="371" t="s">
        <v>2139</v>
      </c>
    </row>
    <row r="2111" ht="15.75" customHeight="1">
      <c r="B2111" s="371" t="s">
        <v>9335</v>
      </c>
      <c r="C2111" s="371" t="s">
        <v>9334</v>
      </c>
      <c r="D2111" s="371" t="s">
        <v>2205</v>
      </c>
    </row>
    <row r="2112" ht="15.75" customHeight="1">
      <c r="B2112" s="371" t="s">
        <v>9336</v>
      </c>
      <c r="C2112" s="371" t="s">
        <v>9334</v>
      </c>
      <c r="D2112" s="371" t="s">
        <v>2139</v>
      </c>
    </row>
    <row r="2113" ht="15.75" customHeight="1">
      <c r="B2113" s="371" t="s">
        <v>9337</v>
      </c>
      <c r="C2113" s="371" t="s">
        <v>9338</v>
      </c>
      <c r="D2113" s="371" t="s">
        <v>2205</v>
      </c>
    </row>
    <row r="2114" ht="15.75" customHeight="1">
      <c r="B2114" s="371" t="s">
        <v>9339</v>
      </c>
      <c r="C2114" s="371" t="s">
        <v>9295</v>
      </c>
      <c r="D2114" s="371" t="s">
        <v>2205</v>
      </c>
    </row>
    <row r="2115" ht="15.75" customHeight="1">
      <c r="B2115" s="371" t="s">
        <v>9340</v>
      </c>
      <c r="C2115" s="371" t="s">
        <v>9295</v>
      </c>
      <c r="D2115" s="371" t="s">
        <v>2205</v>
      </c>
    </row>
    <row r="2116" ht="15.75" customHeight="1">
      <c r="B2116" s="371" t="s">
        <v>9341</v>
      </c>
      <c r="C2116" s="371" t="s">
        <v>9295</v>
      </c>
      <c r="D2116" s="371" t="s">
        <v>2139</v>
      </c>
    </row>
    <row r="2117" ht="15.75" customHeight="1">
      <c r="B2117" s="371" t="s">
        <v>887</v>
      </c>
      <c r="C2117" s="371" t="s">
        <v>9342</v>
      </c>
      <c r="D2117" s="371" t="s">
        <v>2139</v>
      </c>
    </row>
    <row r="2118" ht="15.75" customHeight="1">
      <c r="B2118" s="371" t="s">
        <v>828</v>
      </c>
      <c r="C2118" s="371" t="s">
        <v>8593</v>
      </c>
      <c r="D2118" s="371" t="s">
        <v>2205</v>
      </c>
    </row>
    <row r="2119" ht="15.75" customHeight="1">
      <c r="B2119" s="371" t="s">
        <v>830</v>
      </c>
      <c r="C2119" s="371" t="s">
        <v>8593</v>
      </c>
      <c r="D2119" s="371" t="s">
        <v>2205</v>
      </c>
    </row>
    <row r="2120" ht="15.75" customHeight="1">
      <c r="B2120" s="371" t="s">
        <v>834</v>
      </c>
      <c r="C2120" s="371" t="s">
        <v>8593</v>
      </c>
      <c r="D2120" s="371" t="s">
        <v>2139</v>
      </c>
    </row>
    <row r="2121" ht="15.75" customHeight="1">
      <c r="B2121" s="371" t="s">
        <v>898</v>
      </c>
      <c r="C2121" s="371" t="s">
        <v>8006</v>
      </c>
      <c r="D2121" s="371" t="s">
        <v>2139</v>
      </c>
    </row>
    <row r="2122" ht="15.75" customHeight="1">
      <c r="B2122" s="371" t="s">
        <v>848</v>
      </c>
      <c r="C2122" s="371" t="s">
        <v>8006</v>
      </c>
      <c r="D2122" s="371" t="s">
        <v>2205</v>
      </c>
    </row>
    <row r="2123" ht="15.75" customHeight="1">
      <c r="B2123" s="371" t="s">
        <v>894</v>
      </c>
      <c r="C2123" s="371" t="s">
        <v>8006</v>
      </c>
      <c r="D2123" s="371" t="s">
        <v>2139</v>
      </c>
    </row>
    <row r="2124" ht="15.75" customHeight="1">
      <c r="B2124" s="371" t="s">
        <v>854</v>
      </c>
      <c r="C2124" s="371" t="s">
        <v>8006</v>
      </c>
      <c r="D2124" s="371" t="s">
        <v>2139</v>
      </c>
    </row>
    <row r="2125" ht="15.75" customHeight="1">
      <c r="B2125" s="371" t="s">
        <v>1384</v>
      </c>
      <c r="C2125" s="371" t="s">
        <v>8231</v>
      </c>
      <c r="D2125" s="371" t="s">
        <v>2139</v>
      </c>
    </row>
    <row r="2126" ht="15.75" customHeight="1">
      <c r="B2126" s="371" t="s">
        <v>910</v>
      </c>
      <c r="C2126" s="371" t="s">
        <v>7797</v>
      </c>
      <c r="D2126" s="371" t="s">
        <v>2205</v>
      </c>
    </row>
    <row r="2127" ht="15.75" customHeight="1">
      <c r="B2127" s="371" t="s">
        <v>904</v>
      </c>
      <c r="C2127" s="371" t="s">
        <v>7797</v>
      </c>
      <c r="D2127" s="371" t="s">
        <v>2139</v>
      </c>
    </row>
    <row r="2128" ht="15.75" customHeight="1">
      <c r="B2128" s="371" t="s">
        <v>906</v>
      </c>
      <c r="C2128" s="371" t="s">
        <v>7797</v>
      </c>
      <c r="D2128" s="371" t="s">
        <v>2139</v>
      </c>
    </row>
    <row r="2129" ht="15.75" customHeight="1">
      <c r="B2129" s="371" t="s">
        <v>919</v>
      </c>
      <c r="C2129" s="371" t="s">
        <v>7797</v>
      </c>
      <c r="D2129" s="371" t="s">
        <v>2205</v>
      </c>
    </row>
    <row r="2130" ht="15.75" customHeight="1">
      <c r="B2130" s="371" t="s">
        <v>912</v>
      </c>
      <c r="C2130" s="371" t="s">
        <v>7797</v>
      </c>
      <c r="D2130" s="371" t="s">
        <v>2139</v>
      </c>
    </row>
    <row r="2131" ht="15.75" customHeight="1">
      <c r="B2131" s="371" t="s">
        <v>900</v>
      </c>
      <c r="C2131" s="371" t="s">
        <v>9343</v>
      </c>
      <c r="D2131" s="371" t="s">
        <v>2205</v>
      </c>
    </row>
    <row r="2132" ht="15.75" customHeight="1">
      <c r="B2132" s="371" t="s">
        <v>902</v>
      </c>
      <c r="C2132" s="371" t="s">
        <v>9343</v>
      </c>
      <c r="D2132" s="371" t="s">
        <v>2139</v>
      </c>
    </row>
    <row r="2133" ht="15.75" customHeight="1">
      <c r="B2133" s="371" t="s">
        <v>5758</v>
      </c>
      <c r="C2133" s="371" t="s">
        <v>9344</v>
      </c>
      <c r="D2133" s="371" t="s">
        <v>2205</v>
      </c>
    </row>
    <row r="2134" ht="15.75" customHeight="1">
      <c r="B2134" s="371" t="s">
        <v>9345</v>
      </c>
      <c r="C2134" s="371" t="s">
        <v>8702</v>
      </c>
      <c r="D2134" s="371" t="s">
        <v>2139</v>
      </c>
    </row>
    <row r="2135" ht="15.75" customHeight="1">
      <c r="B2135" s="371" t="s">
        <v>5762</v>
      </c>
      <c r="C2135" s="371" t="s">
        <v>9344</v>
      </c>
      <c r="D2135" s="371" t="s">
        <v>2205</v>
      </c>
    </row>
    <row r="2136" ht="15.75" customHeight="1">
      <c r="B2136" s="371" t="s">
        <v>9346</v>
      </c>
      <c r="C2136" s="371" t="s">
        <v>8702</v>
      </c>
      <c r="D2136" s="371" t="s">
        <v>2205</v>
      </c>
    </row>
    <row r="2137" ht="15.75" customHeight="1">
      <c r="B2137" s="371" t="s">
        <v>5766</v>
      </c>
      <c r="C2137" s="371" t="s">
        <v>9344</v>
      </c>
      <c r="D2137" s="371" t="s">
        <v>2205</v>
      </c>
    </row>
    <row r="2138" ht="15.75" customHeight="1">
      <c r="B2138" s="371" t="s">
        <v>9347</v>
      </c>
      <c r="C2138" s="371" t="s">
        <v>8702</v>
      </c>
      <c r="D2138" s="371" t="s">
        <v>2139</v>
      </c>
    </row>
    <row r="2139" ht="15.75" customHeight="1">
      <c r="B2139" s="371" t="s">
        <v>9348</v>
      </c>
      <c r="C2139" s="371" t="s">
        <v>8231</v>
      </c>
      <c r="D2139" s="371" t="s">
        <v>2205</v>
      </c>
    </row>
    <row r="2140" ht="15.75" customHeight="1">
      <c r="B2140" s="371" t="s">
        <v>6266</v>
      </c>
      <c r="C2140" s="371" t="s">
        <v>9349</v>
      </c>
      <c r="D2140" s="371" t="s">
        <v>2139</v>
      </c>
    </row>
    <row r="2141" ht="15.75" customHeight="1">
      <c r="B2141" s="371" t="s">
        <v>6645</v>
      </c>
      <c r="C2141" s="371" t="s">
        <v>9080</v>
      </c>
      <c r="D2141" s="371" t="s">
        <v>2205</v>
      </c>
    </row>
    <row r="2142" ht="15.75" customHeight="1">
      <c r="B2142" s="371" t="s">
        <v>6627</v>
      </c>
      <c r="C2142" s="371" t="s">
        <v>9080</v>
      </c>
      <c r="D2142" s="371" t="s">
        <v>2139</v>
      </c>
    </row>
    <row r="2143" ht="15.75" customHeight="1">
      <c r="B2143" s="371" t="s">
        <v>6631</v>
      </c>
      <c r="C2143" s="371" t="s">
        <v>9080</v>
      </c>
      <c r="D2143" s="371" t="s">
        <v>2139</v>
      </c>
    </row>
    <row r="2144" ht="15.75" customHeight="1">
      <c r="B2144" s="371" t="s">
        <v>6635</v>
      </c>
      <c r="C2144" s="371" t="s">
        <v>9080</v>
      </c>
      <c r="D2144" s="371" t="s">
        <v>2139</v>
      </c>
    </row>
    <row r="2145" ht="15.75" customHeight="1">
      <c r="B2145" s="371" t="s">
        <v>6637</v>
      </c>
      <c r="C2145" s="371" t="s">
        <v>9080</v>
      </c>
      <c r="D2145" s="371" t="s">
        <v>2139</v>
      </c>
    </row>
    <row r="2146" ht="15.75" customHeight="1">
      <c r="B2146" s="371" t="s">
        <v>6639</v>
      </c>
      <c r="C2146" s="371" t="s">
        <v>9080</v>
      </c>
      <c r="D2146" s="371" t="s">
        <v>2139</v>
      </c>
    </row>
    <row r="2147" ht="15.75" customHeight="1">
      <c r="B2147" s="371" t="s">
        <v>6643</v>
      </c>
      <c r="C2147" s="371" t="s">
        <v>8997</v>
      </c>
      <c r="D2147" s="371" t="s">
        <v>2205</v>
      </c>
    </row>
    <row r="2148" ht="15.75" customHeight="1">
      <c r="B2148" s="371" t="s">
        <v>9350</v>
      </c>
      <c r="C2148" s="371" t="s">
        <v>9351</v>
      </c>
      <c r="D2148" s="371" t="s">
        <v>2139</v>
      </c>
    </row>
    <row r="2149" ht="15.75" customHeight="1">
      <c r="B2149" s="371" t="s">
        <v>9352</v>
      </c>
      <c r="C2149" s="371" t="s">
        <v>9351</v>
      </c>
      <c r="D2149" s="371" t="s">
        <v>2205</v>
      </c>
    </row>
    <row r="2150" ht="15.75" customHeight="1">
      <c r="B2150" s="371" t="s">
        <v>9353</v>
      </c>
      <c r="C2150" s="371" t="s">
        <v>9351</v>
      </c>
      <c r="D2150" s="371" t="s">
        <v>2205</v>
      </c>
    </row>
    <row r="2151" ht="15.75" customHeight="1">
      <c r="B2151" s="371" t="s">
        <v>9354</v>
      </c>
      <c r="C2151" s="371" t="s">
        <v>9351</v>
      </c>
      <c r="D2151" s="371" t="s">
        <v>2205</v>
      </c>
    </row>
    <row r="2152" ht="15.75" customHeight="1">
      <c r="B2152" s="371" t="s">
        <v>9355</v>
      </c>
      <c r="C2152" s="371" t="s">
        <v>9351</v>
      </c>
      <c r="D2152" s="371" t="s">
        <v>2139</v>
      </c>
    </row>
    <row r="2153" ht="15.75" customHeight="1">
      <c r="B2153" s="371" t="s">
        <v>9356</v>
      </c>
      <c r="C2153" s="371" t="s">
        <v>9357</v>
      </c>
      <c r="D2153" s="371" t="s">
        <v>2205</v>
      </c>
    </row>
    <row r="2154" ht="15.75" customHeight="1">
      <c r="B2154" s="371" t="s">
        <v>2674</v>
      </c>
      <c r="C2154" s="371" t="s">
        <v>9357</v>
      </c>
      <c r="D2154" s="371" t="s">
        <v>2139</v>
      </c>
    </row>
    <row r="2155" ht="15.75" customHeight="1">
      <c r="B2155" s="371" t="s">
        <v>2670</v>
      </c>
      <c r="C2155" s="371" t="s">
        <v>9358</v>
      </c>
      <c r="D2155" s="371" t="s">
        <v>2139</v>
      </c>
    </row>
    <row r="2156" ht="15.75" customHeight="1">
      <c r="B2156" s="371" t="s">
        <v>2710</v>
      </c>
      <c r="C2156" s="371" t="s">
        <v>9359</v>
      </c>
      <c r="D2156" s="371" t="s">
        <v>2139</v>
      </c>
    </row>
    <row r="2157" ht="15.75" customHeight="1">
      <c r="B2157" s="371" t="s">
        <v>2705</v>
      </c>
      <c r="C2157" s="371" t="s">
        <v>9360</v>
      </c>
      <c r="D2157" s="371" t="s">
        <v>2139</v>
      </c>
    </row>
    <row r="2158" ht="15.75" customHeight="1">
      <c r="B2158" s="371" t="s">
        <v>4527</v>
      </c>
      <c r="C2158" s="371" t="s">
        <v>7223</v>
      </c>
      <c r="D2158" s="371" t="s">
        <v>2205</v>
      </c>
    </row>
    <row r="2159" ht="15.75" customHeight="1">
      <c r="B2159" s="371" t="s">
        <v>4531</v>
      </c>
      <c r="C2159" s="371" t="s">
        <v>8548</v>
      </c>
      <c r="D2159" s="371" t="s">
        <v>2205</v>
      </c>
    </row>
    <row r="2160" ht="15.75" customHeight="1">
      <c r="B2160" s="371" t="s">
        <v>4538</v>
      </c>
      <c r="C2160" s="371" t="s">
        <v>8548</v>
      </c>
      <c r="D2160" s="371" t="s">
        <v>2205</v>
      </c>
    </row>
    <row r="2161" ht="15.75" customHeight="1">
      <c r="B2161" s="371" t="s">
        <v>9361</v>
      </c>
      <c r="C2161" s="371" t="s">
        <v>9362</v>
      </c>
      <c r="D2161" s="371" t="s">
        <v>2205</v>
      </c>
    </row>
    <row r="2162" ht="15.75" customHeight="1">
      <c r="B2162" s="371" t="s">
        <v>9363</v>
      </c>
      <c r="C2162" s="371" t="s">
        <v>9364</v>
      </c>
      <c r="D2162" s="371" t="s">
        <v>2205</v>
      </c>
    </row>
    <row r="2163" ht="15.75" customHeight="1">
      <c r="B2163" s="371" t="s">
        <v>9365</v>
      </c>
      <c r="C2163" s="371" t="s">
        <v>9366</v>
      </c>
      <c r="D2163" s="371" t="s">
        <v>2205</v>
      </c>
    </row>
    <row r="2164" ht="15.75" customHeight="1">
      <c r="B2164" s="371" t="s">
        <v>9367</v>
      </c>
      <c r="C2164" s="371" t="s">
        <v>9368</v>
      </c>
      <c r="D2164" s="371" t="s">
        <v>2205</v>
      </c>
    </row>
    <row r="2165" ht="15.75" customHeight="1">
      <c r="B2165" s="371" t="s">
        <v>5908</v>
      </c>
      <c r="C2165" s="371" t="s">
        <v>9369</v>
      </c>
      <c r="D2165" s="371" t="s">
        <v>2205</v>
      </c>
    </row>
    <row r="2166" ht="15.75" customHeight="1">
      <c r="B2166" s="371" t="s">
        <v>9370</v>
      </c>
      <c r="C2166" s="371" t="s">
        <v>7429</v>
      </c>
      <c r="D2166" s="371" t="s">
        <v>2205</v>
      </c>
    </row>
    <row r="2167" ht="15.75" customHeight="1">
      <c r="B2167" s="371" t="s">
        <v>9371</v>
      </c>
      <c r="C2167" s="371" t="s">
        <v>9372</v>
      </c>
      <c r="D2167" s="371" t="s">
        <v>2205</v>
      </c>
    </row>
    <row r="2168" ht="15.75" customHeight="1">
      <c r="B2168" s="371" t="s">
        <v>3243</v>
      </c>
      <c r="C2168" s="371" t="s">
        <v>9373</v>
      </c>
      <c r="D2168" s="371" t="s">
        <v>2139</v>
      </c>
    </row>
    <row r="2169" ht="15.75" customHeight="1">
      <c r="B2169" s="371" t="s">
        <v>2774</v>
      </c>
      <c r="C2169" s="371" t="s">
        <v>8108</v>
      </c>
      <c r="D2169" s="371" t="s">
        <v>2205</v>
      </c>
    </row>
    <row r="2170" ht="15.75" customHeight="1">
      <c r="B2170" s="371" t="s">
        <v>2762</v>
      </c>
      <c r="C2170" s="371" t="s">
        <v>7661</v>
      </c>
      <c r="D2170" s="371" t="s">
        <v>2205</v>
      </c>
    </row>
    <row r="2171" ht="15.75" customHeight="1">
      <c r="B2171" s="371" t="s">
        <v>3246</v>
      </c>
      <c r="C2171" s="371" t="s">
        <v>9374</v>
      </c>
      <c r="D2171" s="371" t="s">
        <v>2139</v>
      </c>
    </row>
    <row r="2172" ht="15.75" customHeight="1">
      <c r="B2172" s="371" t="s">
        <v>2766</v>
      </c>
      <c r="C2172" s="371" t="s">
        <v>7661</v>
      </c>
      <c r="D2172" s="371" t="s">
        <v>2205</v>
      </c>
    </row>
    <row r="2173" ht="15.75" customHeight="1">
      <c r="B2173" s="371" t="s">
        <v>2770</v>
      </c>
      <c r="C2173" s="371" t="s">
        <v>7661</v>
      </c>
      <c r="D2173" s="371" t="s">
        <v>2205</v>
      </c>
    </row>
    <row r="2174" ht="15.75" customHeight="1">
      <c r="B2174" s="371" t="s">
        <v>464</v>
      </c>
      <c r="C2174" s="371" t="s">
        <v>9295</v>
      </c>
      <c r="D2174" s="371" t="s">
        <v>2205</v>
      </c>
    </row>
    <row r="2175" ht="15.75" customHeight="1">
      <c r="B2175" s="371" t="s">
        <v>9375</v>
      </c>
      <c r="C2175" s="371" t="s">
        <v>9376</v>
      </c>
      <c r="D2175" s="371" t="s">
        <v>2139</v>
      </c>
    </row>
    <row r="2176" ht="15.75" customHeight="1">
      <c r="B2176" s="371" t="s">
        <v>750</v>
      </c>
      <c r="C2176" s="371" t="s">
        <v>9295</v>
      </c>
      <c r="D2176" s="371" t="s">
        <v>2205</v>
      </c>
    </row>
    <row r="2177" ht="15.75" customHeight="1">
      <c r="B2177" s="371" t="s">
        <v>9377</v>
      </c>
      <c r="C2177" s="371" t="s">
        <v>9295</v>
      </c>
      <c r="D2177" s="371" t="s">
        <v>2205</v>
      </c>
    </row>
    <row r="2178" ht="15.75" customHeight="1">
      <c r="B2178" s="371" t="s">
        <v>1317</v>
      </c>
      <c r="C2178" s="371" t="s">
        <v>9295</v>
      </c>
      <c r="D2178" s="371" t="s">
        <v>2139</v>
      </c>
    </row>
    <row r="2179" ht="15.75" customHeight="1">
      <c r="B2179" s="371" t="s">
        <v>9378</v>
      </c>
      <c r="C2179" s="371" t="s">
        <v>9295</v>
      </c>
      <c r="D2179" s="371" t="s">
        <v>2205</v>
      </c>
    </row>
    <row r="2180" ht="15.75" customHeight="1">
      <c r="B2180" s="371" t="s">
        <v>9379</v>
      </c>
      <c r="C2180" s="371" t="s">
        <v>9295</v>
      </c>
      <c r="D2180" s="371" t="s">
        <v>2205</v>
      </c>
    </row>
    <row r="2181" ht="15.75" customHeight="1">
      <c r="B2181" s="371" t="s">
        <v>9380</v>
      </c>
      <c r="C2181" s="371" t="s">
        <v>9295</v>
      </c>
      <c r="D2181" s="371" t="s">
        <v>2205</v>
      </c>
    </row>
    <row r="2182" ht="15.75" customHeight="1">
      <c r="B2182" s="371" t="s">
        <v>9381</v>
      </c>
      <c r="C2182" s="371" t="s">
        <v>9376</v>
      </c>
      <c r="D2182" s="371" t="s">
        <v>2205</v>
      </c>
    </row>
    <row r="2183" ht="15.75" customHeight="1">
      <c r="B2183" s="371" t="s">
        <v>9382</v>
      </c>
      <c r="C2183" s="371" t="s">
        <v>9376</v>
      </c>
      <c r="D2183" s="371" t="s">
        <v>2205</v>
      </c>
    </row>
    <row r="2184" ht="15.75" customHeight="1">
      <c r="B2184" s="371" t="s">
        <v>9383</v>
      </c>
      <c r="C2184" s="371" t="s">
        <v>9376</v>
      </c>
      <c r="D2184" s="371" t="s">
        <v>2205</v>
      </c>
    </row>
    <row r="2185" ht="15.75" customHeight="1">
      <c r="B2185" s="371" t="s">
        <v>9384</v>
      </c>
      <c r="C2185" s="371" t="s">
        <v>9295</v>
      </c>
      <c r="D2185" s="371" t="s">
        <v>2205</v>
      </c>
    </row>
    <row r="2186" ht="15.75" customHeight="1">
      <c r="B2186" s="371" t="s">
        <v>9385</v>
      </c>
      <c r="C2186" s="371" t="s">
        <v>7416</v>
      </c>
      <c r="D2186" s="371" t="s">
        <v>2205</v>
      </c>
    </row>
    <row r="2187" ht="15.75" customHeight="1">
      <c r="B2187" s="371" t="s">
        <v>9386</v>
      </c>
      <c r="C2187" s="371" t="s">
        <v>7416</v>
      </c>
      <c r="D2187" s="371" t="s">
        <v>2205</v>
      </c>
    </row>
    <row r="2188" ht="15.75" customHeight="1">
      <c r="B2188" s="371" t="s">
        <v>9387</v>
      </c>
      <c r="C2188" s="371" t="s">
        <v>9295</v>
      </c>
      <c r="D2188" s="371" t="s">
        <v>2205</v>
      </c>
    </row>
    <row r="2189" ht="15.75" customHeight="1">
      <c r="B2189" s="371" t="s">
        <v>9388</v>
      </c>
      <c r="C2189" s="371" t="s">
        <v>9295</v>
      </c>
      <c r="D2189" s="371" t="s">
        <v>2205</v>
      </c>
    </row>
    <row r="2190" ht="15.75" customHeight="1">
      <c r="B2190" s="371" t="s">
        <v>9389</v>
      </c>
      <c r="C2190" s="371" t="s">
        <v>9390</v>
      </c>
      <c r="D2190" s="371" t="s">
        <v>2205</v>
      </c>
    </row>
    <row r="2191" ht="15.75" customHeight="1">
      <c r="B2191" s="371" t="s">
        <v>9391</v>
      </c>
      <c r="C2191" s="371" t="s">
        <v>9392</v>
      </c>
      <c r="D2191" s="371" t="s">
        <v>2205</v>
      </c>
    </row>
    <row r="2192" ht="15.75" customHeight="1">
      <c r="B2192" s="371" t="s">
        <v>9393</v>
      </c>
      <c r="C2192" s="371" t="s">
        <v>9394</v>
      </c>
      <c r="D2192" s="371" t="s">
        <v>2205</v>
      </c>
    </row>
    <row r="2193" ht="15.75" customHeight="1">
      <c r="B2193" s="371" t="s">
        <v>9395</v>
      </c>
      <c r="C2193" s="371" t="s">
        <v>9396</v>
      </c>
      <c r="D2193" s="371" t="s">
        <v>2205</v>
      </c>
    </row>
    <row r="2194" ht="15.75" customHeight="1">
      <c r="B2194" s="371" t="s">
        <v>6620</v>
      </c>
      <c r="C2194" s="371" t="s">
        <v>9397</v>
      </c>
      <c r="D2194" s="371" t="s">
        <v>2139</v>
      </c>
    </row>
    <row r="2195" ht="15.75" customHeight="1">
      <c r="B2195" s="371" t="s">
        <v>6338</v>
      </c>
      <c r="C2195" s="371" t="s">
        <v>9398</v>
      </c>
      <c r="D2195" s="371" t="s">
        <v>2205</v>
      </c>
    </row>
    <row r="2196" ht="15.75" customHeight="1">
      <c r="B2196" s="371" t="s">
        <v>9399</v>
      </c>
      <c r="C2196" s="371" t="s">
        <v>9400</v>
      </c>
      <c r="D2196" s="371" t="s">
        <v>2205</v>
      </c>
    </row>
    <row r="2197" ht="15.75" customHeight="1">
      <c r="B2197" s="371" t="s">
        <v>6764</v>
      </c>
      <c r="C2197" s="371" t="s">
        <v>8927</v>
      </c>
      <c r="D2197" s="371" t="s">
        <v>2139</v>
      </c>
    </row>
    <row r="2198" ht="15.75" customHeight="1">
      <c r="B2198" s="371" t="s">
        <v>9401</v>
      </c>
      <c r="C2198" s="371" t="s">
        <v>9402</v>
      </c>
      <c r="D2198" s="371" t="s">
        <v>2139</v>
      </c>
    </row>
    <row r="2199" ht="15.75" customHeight="1">
      <c r="B2199" s="371" t="s">
        <v>6228</v>
      </c>
      <c r="C2199" s="371" t="s">
        <v>9403</v>
      </c>
      <c r="D2199" s="371" t="s">
        <v>2139</v>
      </c>
    </row>
    <row r="2200" ht="15.75" customHeight="1">
      <c r="B2200" s="371" t="s">
        <v>9404</v>
      </c>
      <c r="C2200" s="371" t="s">
        <v>7334</v>
      </c>
      <c r="D2200" s="371" t="s">
        <v>2205</v>
      </c>
    </row>
    <row r="2201" ht="15.75" customHeight="1">
      <c r="B2201" s="371" t="s">
        <v>9405</v>
      </c>
      <c r="C2201" s="371" t="s">
        <v>8503</v>
      </c>
      <c r="D2201" s="371" t="s">
        <v>2205</v>
      </c>
    </row>
    <row r="2202" ht="15.75" customHeight="1">
      <c r="B2202" s="371" t="s">
        <v>9406</v>
      </c>
      <c r="C2202" s="371" t="s">
        <v>9407</v>
      </c>
      <c r="D2202" s="371" t="s">
        <v>2139</v>
      </c>
    </row>
    <row r="2203" ht="15.75" customHeight="1">
      <c r="B2203" s="371" t="s">
        <v>7176</v>
      </c>
      <c r="C2203" s="371" t="s">
        <v>7370</v>
      </c>
      <c r="D2203" s="371" t="s">
        <v>2205</v>
      </c>
    </row>
    <row r="2204" ht="15.75" customHeight="1">
      <c r="B2204" s="371" t="s">
        <v>3506</v>
      </c>
      <c r="C2204" s="371" t="s">
        <v>7271</v>
      </c>
      <c r="D2204" s="371" t="s">
        <v>2205</v>
      </c>
    </row>
    <row r="2205" ht="15.75" customHeight="1">
      <c r="B2205" s="371" t="s">
        <v>9408</v>
      </c>
      <c r="C2205" s="371" t="s">
        <v>9409</v>
      </c>
      <c r="D2205" s="371" t="s">
        <v>2205</v>
      </c>
    </row>
    <row r="2206" ht="15.75" customHeight="1">
      <c r="B2206" s="371" t="s">
        <v>3434</v>
      </c>
      <c r="C2206" s="371" t="s">
        <v>7271</v>
      </c>
      <c r="D2206" s="371" t="s">
        <v>2205</v>
      </c>
    </row>
    <row r="2207" ht="15.75" customHeight="1">
      <c r="B2207" s="371" t="s">
        <v>3476</v>
      </c>
      <c r="C2207" s="371" t="s">
        <v>7276</v>
      </c>
      <c r="D2207" s="371" t="s">
        <v>2205</v>
      </c>
    </row>
    <row r="2208" ht="15.75" customHeight="1">
      <c r="B2208" s="371" t="s">
        <v>3474</v>
      </c>
      <c r="C2208" s="371" t="s">
        <v>7276</v>
      </c>
      <c r="D2208" s="371" t="s">
        <v>2205</v>
      </c>
    </row>
    <row r="2209" ht="15.75" customHeight="1">
      <c r="B2209" s="371" t="s">
        <v>9410</v>
      </c>
      <c r="C2209" s="371" t="s">
        <v>9411</v>
      </c>
      <c r="D2209" s="371" t="s">
        <v>2139</v>
      </c>
    </row>
    <row r="2210" ht="15.75" customHeight="1">
      <c r="B2210" s="371" t="s">
        <v>9412</v>
      </c>
      <c r="C2210" s="371" t="s">
        <v>9411</v>
      </c>
      <c r="D2210" s="371" t="s">
        <v>2139</v>
      </c>
    </row>
    <row r="2211" ht="15.75" customHeight="1">
      <c r="B2211" s="371" t="s">
        <v>839</v>
      </c>
      <c r="C2211" s="371" t="s">
        <v>9413</v>
      </c>
      <c r="D2211" s="371" t="s">
        <v>2139</v>
      </c>
    </row>
    <row r="2212" ht="15.75" customHeight="1">
      <c r="B2212" s="371" t="s">
        <v>797</v>
      </c>
      <c r="C2212" s="371" t="s">
        <v>9414</v>
      </c>
      <c r="D2212" s="371" t="s">
        <v>2139</v>
      </c>
    </row>
    <row r="2213" ht="15.75" customHeight="1">
      <c r="B2213" s="371" t="s">
        <v>799</v>
      </c>
      <c r="C2213" s="371" t="s">
        <v>9415</v>
      </c>
      <c r="D2213" s="371" t="s">
        <v>2139</v>
      </c>
    </row>
    <row r="2214" ht="15.75" customHeight="1">
      <c r="B2214" s="371" t="s">
        <v>801</v>
      </c>
      <c r="C2214" s="371" t="s">
        <v>8630</v>
      </c>
      <c r="D2214" s="371" t="s">
        <v>2205</v>
      </c>
    </row>
    <row r="2215" ht="15.75" customHeight="1">
      <c r="B2215" s="371" t="s">
        <v>805</v>
      </c>
      <c r="C2215" s="371" t="s">
        <v>8630</v>
      </c>
      <c r="D2215" s="371" t="s">
        <v>2205</v>
      </c>
    </row>
    <row r="2216" ht="15.75" customHeight="1">
      <c r="B2216" s="371" t="s">
        <v>813</v>
      </c>
      <c r="C2216" s="371" t="s">
        <v>8630</v>
      </c>
      <c r="D2216" s="371" t="s">
        <v>2139</v>
      </c>
    </row>
    <row r="2217" ht="15.75" customHeight="1">
      <c r="B2217" s="371" t="s">
        <v>9416</v>
      </c>
      <c r="C2217" s="371" t="s">
        <v>9411</v>
      </c>
      <c r="D2217" s="371" t="s">
        <v>2205</v>
      </c>
    </row>
    <row r="2218" ht="15.75" customHeight="1">
      <c r="B2218" s="371" t="s">
        <v>9417</v>
      </c>
      <c r="C2218" s="371" t="s">
        <v>9411</v>
      </c>
      <c r="D2218" s="371" t="s">
        <v>2205</v>
      </c>
    </row>
    <row r="2219" ht="15.75" customHeight="1">
      <c r="B2219" s="371" t="s">
        <v>9418</v>
      </c>
      <c r="C2219" s="371" t="s">
        <v>9419</v>
      </c>
      <c r="D2219" s="371" t="s">
        <v>2205</v>
      </c>
    </row>
    <row r="2220" ht="15.75" customHeight="1">
      <c r="B2220" s="371" t="s">
        <v>9420</v>
      </c>
      <c r="C2220" s="371" t="s">
        <v>9419</v>
      </c>
      <c r="D2220" s="371" t="s">
        <v>2205</v>
      </c>
    </row>
    <row r="2221" ht="15.75" customHeight="1">
      <c r="B2221" s="371" t="s">
        <v>9421</v>
      </c>
      <c r="C2221" s="371" t="s">
        <v>9419</v>
      </c>
      <c r="D2221" s="371" t="s">
        <v>2205</v>
      </c>
    </row>
    <row r="2222" ht="15.75" customHeight="1">
      <c r="B2222" s="371" t="s">
        <v>9422</v>
      </c>
      <c r="C2222" s="371" t="s">
        <v>9419</v>
      </c>
      <c r="D2222" s="371" t="s">
        <v>2205</v>
      </c>
    </row>
    <row r="2223" ht="15.75" customHeight="1">
      <c r="B2223" s="371" t="s">
        <v>9423</v>
      </c>
      <c r="C2223" s="371" t="s">
        <v>8593</v>
      </c>
      <c r="D2223" s="371" t="s">
        <v>2205</v>
      </c>
    </row>
    <row r="2224" ht="15.75" customHeight="1">
      <c r="B2224" s="371" t="s">
        <v>792</v>
      </c>
      <c r="C2224" s="371" t="s">
        <v>9424</v>
      </c>
      <c r="D2224" s="371" t="s">
        <v>2205</v>
      </c>
    </row>
    <row r="2225" ht="15.75" customHeight="1">
      <c r="B2225" s="371" t="s">
        <v>9425</v>
      </c>
      <c r="C2225" s="371" t="s">
        <v>9426</v>
      </c>
      <c r="D2225" s="371" t="s">
        <v>2205</v>
      </c>
    </row>
    <row r="2226" ht="15.75" customHeight="1">
      <c r="B2226" s="371" t="s">
        <v>9427</v>
      </c>
      <c r="C2226" s="371" t="s">
        <v>9428</v>
      </c>
      <c r="D2226" s="371" t="s">
        <v>2205</v>
      </c>
    </row>
    <row r="2227" ht="15.75" customHeight="1">
      <c r="B2227" s="371" t="s">
        <v>9429</v>
      </c>
      <c r="C2227" s="371" t="s">
        <v>9430</v>
      </c>
      <c r="D2227" s="371" t="s">
        <v>2139</v>
      </c>
    </row>
    <row r="2228" ht="15.75" customHeight="1">
      <c r="B2228" s="371" t="s">
        <v>1725</v>
      </c>
      <c r="C2228" s="371" t="s">
        <v>9431</v>
      </c>
      <c r="D2228" s="371" t="s">
        <v>2139</v>
      </c>
    </row>
    <row r="2229" ht="15.75" customHeight="1">
      <c r="B2229" s="371" t="s">
        <v>1729</v>
      </c>
      <c r="C2229" s="371" t="s">
        <v>9432</v>
      </c>
      <c r="D2229" s="371" t="s">
        <v>2205</v>
      </c>
    </row>
    <row r="2230" ht="15.75" customHeight="1">
      <c r="B2230" s="371" t="s">
        <v>741</v>
      </c>
      <c r="C2230" s="371" t="s">
        <v>8009</v>
      </c>
      <c r="D2230" s="371" t="s">
        <v>2205</v>
      </c>
    </row>
    <row r="2231" ht="15.75" customHeight="1">
      <c r="B2231" s="371" t="s">
        <v>9433</v>
      </c>
      <c r="C2231" s="371" t="s">
        <v>9434</v>
      </c>
      <c r="D2231" s="371" t="s">
        <v>2205</v>
      </c>
    </row>
    <row r="2232" ht="15.75" customHeight="1">
      <c r="B2232" s="371" t="s">
        <v>9435</v>
      </c>
      <c r="C2232" s="371" t="s">
        <v>9436</v>
      </c>
      <c r="D2232" s="371" t="s">
        <v>2205</v>
      </c>
    </row>
    <row r="2233" ht="15.75" customHeight="1">
      <c r="B2233" s="371" t="s">
        <v>745</v>
      </c>
      <c r="C2233" s="371" t="s">
        <v>8009</v>
      </c>
      <c r="D2233" s="371" t="s">
        <v>2205</v>
      </c>
    </row>
    <row r="2234" ht="15.75" customHeight="1">
      <c r="B2234" s="371" t="s">
        <v>9437</v>
      </c>
      <c r="C2234" s="371" t="s">
        <v>9096</v>
      </c>
      <c r="D2234" s="371" t="s">
        <v>2205</v>
      </c>
    </row>
    <row r="2235" ht="15.75" customHeight="1">
      <c r="B2235" s="371" t="s">
        <v>9438</v>
      </c>
      <c r="C2235" s="371" t="s">
        <v>9096</v>
      </c>
      <c r="D2235" s="371" t="s">
        <v>2205</v>
      </c>
    </row>
    <row r="2236" ht="15.75" customHeight="1">
      <c r="B2236" s="371" t="s">
        <v>4198</v>
      </c>
      <c r="C2236" s="371" t="s">
        <v>9439</v>
      </c>
      <c r="D2236" s="371" t="s">
        <v>2205</v>
      </c>
    </row>
    <row r="2237" ht="15.75" customHeight="1">
      <c r="B2237" s="371" t="s">
        <v>4202</v>
      </c>
      <c r="C2237" s="371" t="s">
        <v>9439</v>
      </c>
      <c r="D2237" s="371" t="s">
        <v>2205</v>
      </c>
    </row>
    <row r="2238" ht="15.75" customHeight="1">
      <c r="B2238" s="371" t="s">
        <v>2401</v>
      </c>
      <c r="C2238" s="371" t="s">
        <v>8362</v>
      </c>
      <c r="D2238" s="371" t="s">
        <v>2139</v>
      </c>
    </row>
    <row r="2239" ht="15.75" customHeight="1">
      <c r="B2239" s="371" t="s">
        <v>2407</v>
      </c>
      <c r="C2239" s="371" t="s">
        <v>8362</v>
      </c>
      <c r="D2239" s="371" t="s">
        <v>2205</v>
      </c>
    </row>
    <row r="2240" ht="15.75" customHeight="1">
      <c r="B2240" s="371" t="s">
        <v>2410</v>
      </c>
      <c r="C2240" s="371" t="s">
        <v>8362</v>
      </c>
      <c r="D2240" s="371" t="s">
        <v>2139</v>
      </c>
    </row>
    <row r="2241" ht="15.75" customHeight="1">
      <c r="B2241" s="371" t="s">
        <v>2429</v>
      </c>
      <c r="C2241" s="371" t="s">
        <v>8362</v>
      </c>
      <c r="D2241" s="371" t="s">
        <v>2205</v>
      </c>
    </row>
    <row r="2242" ht="15.75" customHeight="1">
      <c r="B2242" s="371" t="s">
        <v>9440</v>
      </c>
      <c r="C2242" s="371" t="s">
        <v>8362</v>
      </c>
      <c r="D2242" s="371" t="s">
        <v>2205</v>
      </c>
    </row>
    <row r="2243" ht="15.75" customHeight="1">
      <c r="B2243" s="371" t="s">
        <v>5685</v>
      </c>
      <c r="C2243" s="371" t="s">
        <v>7657</v>
      </c>
      <c r="D2243" s="371" t="s">
        <v>2205</v>
      </c>
    </row>
    <row r="2244" ht="15.75" customHeight="1">
      <c r="B2244" s="371" t="s">
        <v>4172</v>
      </c>
      <c r="C2244" s="371" t="s">
        <v>7293</v>
      </c>
      <c r="D2244" s="371" t="s">
        <v>2205</v>
      </c>
    </row>
    <row r="2245" ht="15.75" customHeight="1">
      <c r="B2245" s="371" t="s">
        <v>9441</v>
      </c>
      <c r="C2245" s="371" t="s">
        <v>9442</v>
      </c>
      <c r="D2245" s="371" t="s">
        <v>2205</v>
      </c>
    </row>
    <row r="2246" ht="15.75" customHeight="1">
      <c r="B2246" s="371" t="s">
        <v>9443</v>
      </c>
      <c r="C2246" s="371" t="s">
        <v>7293</v>
      </c>
      <c r="D2246" s="371" t="s">
        <v>2205</v>
      </c>
    </row>
    <row r="2247" ht="15.75" customHeight="1">
      <c r="B2247" s="371" t="s">
        <v>9444</v>
      </c>
      <c r="C2247" s="371" t="s">
        <v>7293</v>
      </c>
      <c r="D2247" s="371" t="s">
        <v>2205</v>
      </c>
    </row>
    <row r="2248" ht="15.75" customHeight="1">
      <c r="B2248" s="371" t="s">
        <v>9445</v>
      </c>
      <c r="C2248" s="371" t="s">
        <v>9446</v>
      </c>
      <c r="D2248" s="371" t="s">
        <v>2205</v>
      </c>
    </row>
    <row r="2249" ht="15.75" customHeight="1">
      <c r="B2249" s="371" t="s">
        <v>9447</v>
      </c>
      <c r="C2249" s="371" t="s">
        <v>9446</v>
      </c>
      <c r="D2249" s="371" t="s">
        <v>2205</v>
      </c>
    </row>
    <row r="2250" ht="15.75" customHeight="1">
      <c r="B2250" s="371" t="s">
        <v>9448</v>
      </c>
      <c r="C2250" s="371" t="s">
        <v>9449</v>
      </c>
      <c r="D2250" s="371" t="s">
        <v>2205</v>
      </c>
    </row>
    <row r="2251" ht="15.75" customHeight="1">
      <c r="B2251" s="371" t="s">
        <v>9450</v>
      </c>
      <c r="C2251" s="371" t="s">
        <v>9451</v>
      </c>
      <c r="D2251" s="371" t="s">
        <v>2205</v>
      </c>
    </row>
    <row r="2252" ht="15.75" customHeight="1">
      <c r="B2252" s="371" t="s">
        <v>9452</v>
      </c>
      <c r="C2252" s="371" t="s">
        <v>9453</v>
      </c>
      <c r="D2252" s="371" t="s">
        <v>2205</v>
      </c>
    </row>
    <row r="2253" ht="15.75" customHeight="1">
      <c r="B2253" s="371" t="s">
        <v>9454</v>
      </c>
      <c r="C2253" s="371" t="s">
        <v>9455</v>
      </c>
      <c r="D2253" s="371" t="s">
        <v>2205</v>
      </c>
    </row>
    <row r="2254" ht="15.75" customHeight="1">
      <c r="B2254" s="371" t="s">
        <v>9456</v>
      </c>
      <c r="C2254" s="371" t="s">
        <v>9457</v>
      </c>
      <c r="D2254" s="371" t="s">
        <v>2205</v>
      </c>
    </row>
    <row r="2255" ht="15.75" customHeight="1">
      <c r="B2255" s="371" t="s">
        <v>5671</v>
      </c>
      <c r="C2255" s="371" t="s">
        <v>7657</v>
      </c>
      <c r="D2255" s="371" t="s">
        <v>2205</v>
      </c>
    </row>
    <row r="2256" ht="15.75" customHeight="1">
      <c r="B2256" s="371" t="s">
        <v>5679</v>
      </c>
      <c r="C2256" s="371" t="s">
        <v>7657</v>
      </c>
      <c r="D2256" s="371" t="s">
        <v>2205</v>
      </c>
    </row>
    <row r="2257" ht="15.75" customHeight="1">
      <c r="B2257" s="371" t="s">
        <v>5675</v>
      </c>
      <c r="C2257" s="371" t="s">
        <v>7657</v>
      </c>
      <c r="D2257" s="371" t="s">
        <v>2205</v>
      </c>
    </row>
    <row r="2258" ht="15.75" customHeight="1">
      <c r="B2258" s="371" t="s">
        <v>9458</v>
      </c>
      <c r="C2258" s="371" t="s">
        <v>7657</v>
      </c>
      <c r="D2258" s="371" t="s">
        <v>2205</v>
      </c>
    </row>
    <row r="2259" ht="15.75" customHeight="1">
      <c r="B2259" s="371" t="s">
        <v>9459</v>
      </c>
      <c r="C2259" s="371" t="s">
        <v>7657</v>
      </c>
      <c r="D2259" s="371" t="s">
        <v>2139</v>
      </c>
    </row>
    <row r="2260" ht="15.75" customHeight="1">
      <c r="B2260" s="371" t="s">
        <v>9460</v>
      </c>
      <c r="C2260" s="371" t="s">
        <v>7657</v>
      </c>
      <c r="D2260" s="371" t="s">
        <v>2139</v>
      </c>
    </row>
    <row r="2261" ht="15.75" customHeight="1">
      <c r="B2261" s="371" t="s">
        <v>9461</v>
      </c>
      <c r="C2261" s="371" t="s">
        <v>7657</v>
      </c>
      <c r="D2261" s="371" t="s">
        <v>2205</v>
      </c>
    </row>
    <row r="2262" ht="15.75" customHeight="1">
      <c r="B2262" s="371" t="s">
        <v>9462</v>
      </c>
      <c r="C2262" s="371" t="s">
        <v>9463</v>
      </c>
      <c r="D2262" s="371" t="s">
        <v>2205</v>
      </c>
    </row>
    <row r="2263" ht="15.75" customHeight="1">
      <c r="B2263" s="371" t="s">
        <v>9464</v>
      </c>
      <c r="C2263" s="371" t="s">
        <v>7315</v>
      </c>
      <c r="D2263" s="371" t="s">
        <v>2205</v>
      </c>
    </row>
    <row r="2264" ht="15.75" customHeight="1">
      <c r="B2264" s="371" t="s">
        <v>9465</v>
      </c>
      <c r="C2264" s="371" t="s">
        <v>7696</v>
      </c>
      <c r="D2264" s="371" t="s">
        <v>2205</v>
      </c>
    </row>
    <row r="2265" ht="15.75" customHeight="1">
      <c r="B2265" s="371" t="s">
        <v>2461</v>
      </c>
      <c r="C2265" s="371" t="s">
        <v>9466</v>
      </c>
      <c r="D2265" s="371" t="s">
        <v>2205</v>
      </c>
    </row>
    <row r="2266" ht="15.75" customHeight="1">
      <c r="B2266" s="371" t="s">
        <v>2465</v>
      </c>
      <c r="C2266" s="371" t="s">
        <v>9466</v>
      </c>
      <c r="D2266" s="371" t="s">
        <v>2139</v>
      </c>
    </row>
    <row r="2267" ht="15.75" customHeight="1">
      <c r="B2267" s="371" t="s">
        <v>9467</v>
      </c>
      <c r="C2267" s="371" t="s">
        <v>9468</v>
      </c>
      <c r="D2267" s="371" t="s">
        <v>2205</v>
      </c>
    </row>
    <row r="2268" ht="15.75" customHeight="1">
      <c r="B2268" s="371" t="s">
        <v>9469</v>
      </c>
      <c r="C2268" s="371" t="s">
        <v>9470</v>
      </c>
      <c r="D2268" s="371" t="s">
        <v>2205</v>
      </c>
    </row>
    <row r="2269" ht="15.75" customHeight="1">
      <c r="B2269" s="371" t="s">
        <v>9471</v>
      </c>
      <c r="C2269" s="371" t="s">
        <v>9470</v>
      </c>
      <c r="D2269" s="371" t="s">
        <v>2205</v>
      </c>
    </row>
    <row r="2270" ht="15.75" customHeight="1">
      <c r="B2270" s="371" t="s">
        <v>9472</v>
      </c>
      <c r="C2270" s="371" t="s">
        <v>7276</v>
      </c>
      <c r="D2270" s="371" t="s">
        <v>2205</v>
      </c>
    </row>
    <row r="2271" ht="15.75" customHeight="1">
      <c r="B2271" s="371" t="s">
        <v>9473</v>
      </c>
      <c r="C2271" s="371" t="s">
        <v>7276</v>
      </c>
      <c r="D2271" s="371" t="s">
        <v>2205</v>
      </c>
    </row>
    <row r="2272" ht="15.75" customHeight="1">
      <c r="B2272" s="371" t="s">
        <v>9474</v>
      </c>
      <c r="C2272" s="371" t="s">
        <v>9475</v>
      </c>
      <c r="D2272" s="371" t="s">
        <v>2205</v>
      </c>
    </row>
    <row r="2273" ht="15.75" customHeight="1">
      <c r="B2273" s="371" t="s">
        <v>9476</v>
      </c>
      <c r="C2273" s="371" t="s">
        <v>9475</v>
      </c>
      <c r="D2273" s="371" t="s">
        <v>2205</v>
      </c>
    </row>
    <row r="2274" ht="15.75" customHeight="1">
      <c r="B2274" s="371" t="s">
        <v>9477</v>
      </c>
      <c r="C2274" s="371" t="s">
        <v>7429</v>
      </c>
      <c r="D2274" s="371" t="s">
        <v>2205</v>
      </c>
    </row>
    <row r="2275" ht="15.75" customHeight="1">
      <c r="B2275" s="371" t="s">
        <v>9478</v>
      </c>
      <c r="C2275" s="371" t="s">
        <v>7429</v>
      </c>
      <c r="D2275" s="371" t="s">
        <v>2205</v>
      </c>
    </row>
    <row r="2276" ht="15.75" customHeight="1">
      <c r="B2276" s="371" t="s">
        <v>9479</v>
      </c>
      <c r="C2276" s="371" t="s">
        <v>7429</v>
      </c>
      <c r="D2276" s="371" t="s">
        <v>2205</v>
      </c>
    </row>
    <row r="2277" ht="15.75" customHeight="1">
      <c r="B2277" s="371" t="s">
        <v>9480</v>
      </c>
      <c r="C2277" s="371" t="s">
        <v>7429</v>
      </c>
      <c r="D2277" s="371" t="s">
        <v>2205</v>
      </c>
    </row>
    <row r="2278" ht="15.75" customHeight="1">
      <c r="B2278" s="371" t="s">
        <v>9481</v>
      </c>
      <c r="C2278" s="371" t="s">
        <v>7429</v>
      </c>
      <c r="D2278" s="371" t="s">
        <v>2205</v>
      </c>
    </row>
    <row r="2279" ht="15.75" customHeight="1">
      <c r="B2279" s="371" t="s">
        <v>9482</v>
      </c>
      <c r="C2279" s="371" t="s">
        <v>7429</v>
      </c>
      <c r="D2279" s="371" t="s">
        <v>2205</v>
      </c>
    </row>
    <row r="2280" ht="15.75" customHeight="1">
      <c r="B2280" s="371" t="s">
        <v>9483</v>
      </c>
      <c r="C2280" s="371" t="s">
        <v>7429</v>
      </c>
      <c r="D2280" s="371" t="s">
        <v>2205</v>
      </c>
    </row>
    <row r="2281" ht="15.75" customHeight="1">
      <c r="B2281" s="371" t="s">
        <v>9484</v>
      </c>
      <c r="C2281" s="371" t="s">
        <v>7429</v>
      </c>
      <c r="D2281" s="371" t="s">
        <v>2205</v>
      </c>
    </row>
    <row r="2282" ht="15.75" customHeight="1">
      <c r="B2282" s="371" t="s">
        <v>9485</v>
      </c>
      <c r="C2282" s="371" t="s">
        <v>9486</v>
      </c>
      <c r="D2282" s="371" t="s">
        <v>2205</v>
      </c>
    </row>
    <row r="2283" ht="15.75" customHeight="1">
      <c r="B2283" s="371" t="s">
        <v>5617</v>
      </c>
      <c r="C2283" s="371" t="s">
        <v>9487</v>
      </c>
      <c r="D2283" s="371" t="s">
        <v>2205</v>
      </c>
    </row>
    <row r="2284" ht="15.75" customHeight="1">
      <c r="B2284" s="371" t="s">
        <v>9488</v>
      </c>
      <c r="C2284" s="371" t="s">
        <v>7657</v>
      </c>
      <c r="D2284" s="371" t="s">
        <v>2139</v>
      </c>
    </row>
    <row r="2285" ht="15.75" customHeight="1">
      <c r="B2285" s="371" t="s">
        <v>9489</v>
      </c>
      <c r="C2285" s="371" t="s">
        <v>9490</v>
      </c>
      <c r="D2285" s="371" t="s">
        <v>2139</v>
      </c>
    </row>
    <row r="2286" ht="15.75" customHeight="1">
      <c r="B2286" s="371" t="s">
        <v>5633</v>
      </c>
      <c r="C2286" s="371" t="s">
        <v>8702</v>
      </c>
      <c r="D2286" s="371" t="s">
        <v>2139</v>
      </c>
    </row>
    <row r="2287" ht="15.75" customHeight="1">
      <c r="B2287" s="371" t="s">
        <v>5635</v>
      </c>
      <c r="C2287" s="371" t="s">
        <v>8702</v>
      </c>
      <c r="D2287" s="371" t="s">
        <v>2139</v>
      </c>
    </row>
    <row r="2288" ht="15.75" customHeight="1">
      <c r="B2288" s="371" t="s">
        <v>9491</v>
      </c>
      <c r="C2288" s="371" t="s">
        <v>8702</v>
      </c>
      <c r="D2288" s="371" t="s">
        <v>2139</v>
      </c>
    </row>
    <row r="2289" ht="15.75" customHeight="1">
      <c r="B2289" s="371" t="s">
        <v>9492</v>
      </c>
      <c r="C2289" s="371" t="s">
        <v>7657</v>
      </c>
      <c r="D2289" s="371" t="s">
        <v>2205</v>
      </c>
    </row>
    <row r="2290" ht="15.75" customHeight="1">
      <c r="B2290" s="371" t="s">
        <v>9493</v>
      </c>
      <c r="C2290" s="371" t="s">
        <v>9494</v>
      </c>
      <c r="D2290" s="371" t="s">
        <v>2205</v>
      </c>
    </row>
    <row r="2291" ht="15.75" customHeight="1">
      <c r="B2291" s="371" t="s">
        <v>9495</v>
      </c>
      <c r="C2291" s="371" t="s">
        <v>9466</v>
      </c>
      <c r="D2291" s="371" t="s">
        <v>2205</v>
      </c>
    </row>
    <row r="2292" ht="15.75" customHeight="1">
      <c r="B2292" s="371" t="s">
        <v>9496</v>
      </c>
      <c r="C2292" s="373"/>
      <c r="D2292" s="371" t="s">
        <v>2205</v>
      </c>
    </row>
    <row r="2293" ht="15.75" customHeight="1">
      <c r="B2293" s="371" t="s">
        <v>9497</v>
      </c>
      <c r="C2293" s="371" t="s">
        <v>8209</v>
      </c>
      <c r="D2293" s="371" t="s">
        <v>2205</v>
      </c>
    </row>
    <row r="2294" ht="15.75" customHeight="1">
      <c r="B2294" s="371" t="s">
        <v>6500</v>
      </c>
      <c r="C2294" s="371" t="s">
        <v>8617</v>
      </c>
      <c r="D2294" s="371" t="s">
        <v>2139</v>
      </c>
    </row>
    <row r="2295" ht="15.75" customHeight="1">
      <c r="B2295" s="371" t="s">
        <v>9498</v>
      </c>
      <c r="C2295" s="371" t="s">
        <v>7719</v>
      </c>
      <c r="D2295" s="371" t="s">
        <v>2205</v>
      </c>
    </row>
    <row r="2296" ht="15.75" customHeight="1">
      <c r="B2296" s="371" t="s">
        <v>9499</v>
      </c>
      <c r="C2296" s="371" t="s">
        <v>9500</v>
      </c>
      <c r="D2296" s="371" t="s">
        <v>2205</v>
      </c>
    </row>
    <row r="2297" ht="15.75" customHeight="1">
      <c r="B2297" s="371" t="s">
        <v>9501</v>
      </c>
      <c r="C2297" s="371" t="s">
        <v>9502</v>
      </c>
      <c r="D2297" s="371" t="s">
        <v>2205</v>
      </c>
    </row>
    <row r="2298" ht="15.75" customHeight="1">
      <c r="B2298" s="371" t="s">
        <v>9503</v>
      </c>
      <c r="C2298" s="371" t="s">
        <v>9504</v>
      </c>
      <c r="D2298" s="371" t="s">
        <v>2139</v>
      </c>
    </row>
    <row r="2299" ht="15.75" customHeight="1">
      <c r="B2299" s="371" t="s">
        <v>9505</v>
      </c>
      <c r="C2299" s="371" t="s">
        <v>9500</v>
      </c>
      <c r="D2299" s="371" t="s">
        <v>2205</v>
      </c>
    </row>
    <row r="2300" ht="15.75" customHeight="1">
      <c r="B2300" s="371" t="s">
        <v>9506</v>
      </c>
      <c r="C2300" s="371" t="s">
        <v>9507</v>
      </c>
      <c r="D2300" s="371" t="s">
        <v>2205</v>
      </c>
    </row>
    <row r="2301" ht="15.75" customHeight="1">
      <c r="B2301" s="371" t="s">
        <v>9508</v>
      </c>
      <c r="C2301" s="371" t="s">
        <v>9509</v>
      </c>
      <c r="D2301" s="371" t="s">
        <v>2205</v>
      </c>
    </row>
    <row r="2302" ht="15.75" customHeight="1">
      <c r="B2302" s="371" t="s">
        <v>9510</v>
      </c>
      <c r="C2302" s="371" t="s">
        <v>9511</v>
      </c>
      <c r="D2302" s="371" t="s">
        <v>2205</v>
      </c>
    </row>
    <row r="2303" ht="15.75" customHeight="1">
      <c r="B2303" s="371" t="s">
        <v>6282</v>
      </c>
      <c r="C2303" s="371" t="s">
        <v>9512</v>
      </c>
      <c r="D2303" s="371" t="s">
        <v>2205</v>
      </c>
    </row>
    <row r="2304" ht="15.75" customHeight="1">
      <c r="B2304" s="371" t="s">
        <v>6280</v>
      </c>
      <c r="C2304" s="371" t="s">
        <v>9513</v>
      </c>
      <c r="D2304" s="371" t="s">
        <v>2139</v>
      </c>
    </row>
    <row r="2305" ht="15.75" customHeight="1">
      <c r="B2305" s="371" t="s">
        <v>9514</v>
      </c>
      <c r="C2305" s="371" t="s">
        <v>9515</v>
      </c>
      <c r="D2305" s="371" t="s">
        <v>2205</v>
      </c>
    </row>
    <row r="2306" ht="15.75" customHeight="1">
      <c r="B2306" s="371" t="s">
        <v>4293</v>
      </c>
      <c r="C2306" s="371" t="s">
        <v>9516</v>
      </c>
      <c r="D2306" s="371" t="s">
        <v>2205</v>
      </c>
    </row>
    <row r="2307" ht="15.75" customHeight="1">
      <c r="B2307" s="371" t="s">
        <v>4297</v>
      </c>
      <c r="C2307" s="371" t="s">
        <v>9517</v>
      </c>
      <c r="D2307" s="371" t="s">
        <v>2205</v>
      </c>
    </row>
    <row r="2308" ht="15.75" customHeight="1">
      <c r="B2308" s="371" t="s">
        <v>4289</v>
      </c>
      <c r="C2308" s="371" t="s">
        <v>9517</v>
      </c>
      <c r="D2308" s="371" t="s">
        <v>2139</v>
      </c>
    </row>
    <row r="2309" ht="15.75" customHeight="1">
      <c r="B2309" s="371" t="s">
        <v>4305</v>
      </c>
      <c r="C2309" s="371" t="s">
        <v>9517</v>
      </c>
      <c r="D2309" s="371" t="s">
        <v>2205</v>
      </c>
    </row>
    <row r="2310" ht="15.75" customHeight="1">
      <c r="B2310" s="371" t="s">
        <v>4301</v>
      </c>
      <c r="C2310" s="371" t="s">
        <v>9517</v>
      </c>
      <c r="D2310" s="371" t="s">
        <v>2205</v>
      </c>
    </row>
    <row r="2311" ht="15.75" customHeight="1">
      <c r="B2311" s="371" t="s">
        <v>6236</v>
      </c>
      <c r="C2311" s="371" t="s">
        <v>8927</v>
      </c>
      <c r="D2311" s="371" t="s">
        <v>2205</v>
      </c>
    </row>
    <row r="2312" ht="15.75" customHeight="1">
      <c r="B2312" s="371" t="s">
        <v>9518</v>
      </c>
      <c r="C2312" s="371" t="s">
        <v>9519</v>
      </c>
      <c r="D2312" s="371" t="s">
        <v>2205</v>
      </c>
    </row>
    <row r="2313" ht="15.75" customHeight="1">
      <c r="B2313" s="371" t="s">
        <v>6242</v>
      </c>
      <c r="C2313" s="371" t="s">
        <v>9520</v>
      </c>
      <c r="D2313" s="371" t="s">
        <v>2205</v>
      </c>
    </row>
    <row r="2314" ht="15.75" customHeight="1">
      <c r="B2314" s="371" t="s">
        <v>6246</v>
      </c>
      <c r="C2314" s="371" t="s">
        <v>9521</v>
      </c>
      <c r="D2314" s="371" t="s">
        <v>2205</v>
      </c>
    </row>
    <row r="2315" ht="15.75" customHeight="1">
      <c r="B2315" s="371" t="s">
        <v>6272</v>
      </c>
      <c r="C2315" s="371" t="s">
        <v>9522</v>
      </c>
      <c r="D2315" s="371" t="s">
        <v>2205</v>
      </c>
    </row>
    <row r="2316" ht="15.75" customHeight="1">
      <c r="B2316" s="371" t="s">
        <v>9523</v>
      </c>
      <c r="C2316" s="371" t="s">
        <v>9524</v>
      </c>
      <c r="D2316" s="371" t="s">
        <v>2139</v>
      </c>
    </row>
    <row r="2317" ht="15.75" customHeight="1">
      <c r="B2317" s="371" t="s">
        <v>9525</v>
      </c>
      <c r="C2317" s="371" t="s">
        <v>9524</v>
      </c>
      <c r="D2317" s="371" t="s">
        <v>2139</v>
      </c>
    </row>
    <row r="2318" ht="15.75" customHeight="1">
      <c r="B2318" s="371" t="s">
        <v>6274</v>
      </c>
      <c r="C2318" s="371" t="s">
        <v>9524</v>
      </c>
      <c r="D2318" s="371" t="s">
        <v>2205</v>
      </c>
    </row>
    <row r="2319" ht="15.75" customHeight="1">
      <c r="B2319" s="371" t="s">
        <v>6249</v>
      </c>
      <c r="C2319" s="371" t="s">
        <v>8927</v>
      </c>
      <c r="D2319" s="371" t="s">
        <v>2205</v>
      </c>
    </row>
    <row r="2320" ht="15.75" customHeight="1">
      <c r="B2320" s="371" t="s">
        <v>9526</v>
      </c>
      <c r="C2320" s="371" t="s">
        <v>9527</v>
      </c>
      <c r="D2320" s="371" t="s">
        <v>2205</v>
      </c>
    </row>
    <row r="2321" ht="15.75" customHeight="1">
      <c r="B2321" s="371" t="s">
        <v>6255</v>
      </c>
      <c r="C2321" s="371" t="s">
        <v>9528</v>
      </c>
      <c r="D2321" s="371" t="s">
        <v>2139</v>
      </c>
    </row>
    <row r="2322" ht="15.75" customHeight="1">
      <c r="B2322" s="371" t="s">
        <v>9529</v>
      </c>
      <c r="C2322" s="371" t="s">
        <v>9530</v>
      </c>
      <c r="D2322" s="371" t="s">
        <v>2205</v>
      </c>
    </row>
    <row r="2323" ht="15.75" customHeight="1">
      <c r="B2323" s="371" t="s">
        <v>6257</v>
      </c>
      <c r="C2323" s="371" t="s">
        <v>9531</v>
      </c>
      <c r="D2323" s="371" t="s">
        <v>2139</v>
      </c>
    </row>
    <row r="2324" ht="15.75" customHeight="1">
      <c r="B2324" s="371" t="s">
        <v>9532</v>
      </c>
      <c r="C2324" s="371" t="s">
        <v>9533</v>
      </c>
      <c r="D2324" s="371" t="s">
        <v>2205</v>
      </c>
    </row>
    <row r="2325" ht="15.75" customHeight="1">
      <c r="B2325" s="371" t="s">
        <v>9534</v>
      </c>
      <c r="C2325" s="371" t="s">
        <v>9535</v>
      </c>
      <c r="D2325" s="371" t="s">
        <v>2205</v>
      </c>
    </row>
    <row r="2326" ht="15.75" customHeight="1">
      <c r="B2326" s="371" t="s">
        <v>5658</v>
      </c>
      <c r="C2326" s="371" t="s">
        <v>7657</v>
      </c>
      <c r="D2326" s="371" t="s">
        <v>2205</v>
      </c>
    </row>
    <row r="2327" ht="15.75" customHeight="1">
      <c r="B2327" s="371" t="s">
        <v>3467</v>
      </c>
      <c r="C2327" s="371" t="s">
        <v>9536</v>
      </c>
      <c r="D2327" s="371" t="s">
        <v>2205</v>
      </c>
    </row>
    <row r="2328" ht="15.75" customHeight="1">
      <c r="B2328" s="371" t="s">
        <v>3471</v>
      </c>
      <c r="C2328" s="371" t="s">
        <v>9536</v>
      </c>
      <c r="D2328" s="371" t="s">
        <v>2205</v>
      </c>
    </row>
    <row r="2329" ht="15.75" customHeight="1">
      <c r="B2329" s="371" t="s">
        <v>3443</v>
      </c>
      <c r="C2329" s="371" t="s">
        <v>9536</v>
      </c>
      <c r="D2329" s="371" t="s">
        <v>2139</v>
      </c>
    </row>
    <row r="2330" ht="15.75" customHeight="1">
      <c r="B2330" s="371" t="s">
        <v>3455</v>
      </c>
      <c r="C2330" s="371" t="s">
        <v>9536</v>
      </c>
      <c r="D2330" s="371" t="s">
        <v>2205</v>
      </c>
    </row>
    <row r="2331" ht="15.75" customHeight="1">
      <c r="B2331" s="371" t="s">
        <v>3447</v>
      </c>
      <c r="C2331" s="371" t="s">
        <v>9536</v>
      </c>
      <c r="D2331" s="371" t="s">
        <v>2205</v>
      </c>
    </row>
    <row r="2332" ht="15.75" customHeight="1">
      <c r="B2332" s="371" t="s">
        <v>3457</v>
      </c>
      <c r="C2332" s="371" t="s">
        <v>9536</v>
      </c>
      <c r="D2332" s="371" t="s">
        <v>2139</v>
      </c>
    </row>
    <row r="2333" ht="15.75" customHeight="1">
      <c r="B2333" s="371" t="s">
        <v>3451</v>
      </c>
      <c r="C2333" s="371" t="s">
        <v>9536</v>
      </c>
      <c r="D2333" s="371" t="s">
        <v>2205</v>
      </c>
    </row>
    <row r="2334" ht="15.75" customHeight="1">
      <c r="B2334" s="371" t="s">
        <v>3459</v>
      </c>
      <c r="C2334" s="371" t="s">
        <v>9536</v>
      </c>
      <c r="D2334" s="371" t="s">
        <v>2205</v>
      </c>
    </row>
    <row r="2335" ht="15.75" customHeight="1">
      <c r="B2335" s="371" t="s">
        <v>3463</v>
      </c>
      <c r="C2335" s="371" t="s">
        <v>9536</v>
      </c>
      <c r="D2335" s="371" t="s">
        <v>2139</v>
      </c>
    </row>
    <row r="2336" ht="15.75" customHeight="1">
      <c r="B2336" s="371" t="s">
        <v>9537</v>
      </c>
      <c r="C2336" s="371" t="s">
        <v>9538</v>
      </c>
      <c r="D2336" s="371" t="s">
        <v>2205</v>
      </c>
    </row>
    <row r="2337" ht="15.75" customHeight="1">
      <c r="B2337" s="371" t="s">
        <v>9539</v>
      </c>
      <c r="C2337" s="371" t="s">
        <v>9540</v>
      </c>
      <c r="D2337" s="371" t="s">
        <v>2205</v>
      </c>
    </row>
    <row r="2338" ht="15.75" customHeight="1">
      <c r="B2338" s="371" t="s">
        <v>9541</v>
      </c>
      <c r="C2338" s="371" t="s">
        <v>7416</v>
      </c>
      <c r="D2338" s="371" t="s">
        <v>2205</v>
      </c>
    </row>
    <row r="2339" ht="15.75" customHeight="1">
      <c r="B2339" s="371" t="s">
        <v>6418</v>
      </c>
      <c r="C2339" s="371" t="s">
        <v>8617</v>
      </c>
      <c r="D2339" s="371" t="s">
        <v>2139</v>
      </c>
    </row>
    <row r="2340" ht="15.75" customHeight="1">
      <c r="B2340" s="371" t="s">
        <v>9542</v>
      </c>
      <c r="C2340" s="371" t="s">
        <v>7213</v>
      </c>
      <c r="D2340" s="371" t="s">
        <v>2205</v>
      </c>
    </row>
    <row r="2341" ht="15.75" customHeight="1">
      <c r="B2341" s="371" t="s">
        <v>9543</v>
      </c>
      <c r="C2341" s="371" t="s">
        <v>7213</v>
      </c>
      <c r="D2341" s="371" t="s">
        <v>2205</v>
      </c>
    </row>
    <row r="2342" ht="15.75" customHeight="1">
      <c r="B2342" s="371" t="s">
        <v>9544</v>
      </c>
      <c r="C2342" s="371" t="s">
        <v>9545</v>
      </c>
      <c r="D2342" s="371" t="s">
        <v>2139</v>
      </c>
    </row>
    <row r="2343" ht="15.75" customHeight="1">
      <c r="B2343" s="371" t="s">
        <v>9546</v>
      </c>
      <c r="C2343" s="371" t="s">
        <v>9547</v>
      </c>
      <c r="D2343" s="371" t="s">
        <v>2205</v>
      </c>
    </row>
    <row r="2344" ht="15.75" customHeight="1">
      <c r="B2344" s="371" t="s">
        <v>9548</v>
      </c>
      <c r="C2344" s="371" t="s">
        <v>9549</v>
      </c>
      <c r="D2344" s="371" t="s">
        <v>2139</v>
      </c>
    </row>
    <row r="2345" ht="15.75" customHeight="1">
      <c r="B2345" s="371" t="s">
        <v>9550</v>
      </c>
      <c r="C2345" s="371" t="s">
        <v>9551</v>
      </c>
      <c r="D2345" s="371" t="s">
        <v>2205</v>
      </c>
    </row>
    <row r="2346" ht="15.75" customHeight="1">
      <c r="B2346" s="371" t="s">
        <v>9552</v>
      </c>
      <c r="C2346" s="371" t="s">
        <v>9553</v>
      </c>
      <c r="D2346" s="371" t="s">
        <v>2205</v>
      </c>
    </row>
    <row r="2347" ht="15.75" customHeight="1">
      <c r="B2347" s="371" t="s">
        <v>6297</v>
      </c>
      <c r="C2347" s="371" t="s">
        <v>9554</v>
      </c>
      <c r="D2347" s="371" t="s">
        <v>2205</v>
      </c>
    </row>
    <row r="2348" ht="15.75" customHeight="1">
      <c r="B2348" s="371" t="s">
        <v>6301</v>
      </c>
      <c r="C2348" s="371" t="s">
        <v>9555</v>
      </c>
      <c r="D2348" s="371" t="s">
        <v>2139</v>
      </c>
    </row>
    <row r="2349" ht="15.75" customHeight="1">
      <c r="B2349" s="371" t="s">
        <v>9556</v>
      </c>
      <c r="C2349" s="371" t="s">
        <v>9394</v>
      </c>
      <c r="D2349" s="371" t="s">
        <v>2205</v>
      </c>
    </row>
    <row r="2350" ht="15.75" customHeight="1">
      <c r="B2350" s="371" t="s">
        <v>9557</v>
      </c>
      <c r="C2350" s="371" t="s">
        <v>9558</v>
      </c>
      <c r="D2350" s="371" t="s">
        <v>2205</v>
      </c>
    </row>
    <row r="2351" ht="15.75" customHeight="1">
      <c r="B2351" s="371" t="s">
        <v>6308</v>
      </c>
      <c r="C2351" s="371" t="s">
        <v>9553</v>
      </c>
      <c r="D2351" s="371" t="s">
        <v>2139</v>
      </c>
    </row>
    <row r="2352" ht="15.75" customHeight="1">
      <c r="B2352" s="371" t="s">
        <v>9559</v>
      </c>
      <c r="C2352" s="371" t="s">
        <v>9560</v>
      </c>
      <c r="D2352" s="371" t="s">
        <v>2205</v>
      </c>
    </row>
    <row r="2353" ht="15.75" customHeight="1">
      <c r="B2353" s="371" t="s">
        <v>9561</v>
      </c>
      <c r="C2353" s="371" t="s">
        <v>9562</v>
      </c>
      <c r="D2353" s="371" t="s">
        <v>2205</v>
      </c>
    </row>
    <row r="2354" ht="15.75" customHeight="1">
      <c r="B2354" s="371" t="s">
        <v>9563</v>
      </c>
      <c r="C2354" s="371" t="s">
        <v>9564</v>
      </c>
      <c r="D2354" s="371" t="s">
        <v>2205</v>
      </c>
    </row>
    <row r="2355" ht="15.75" customHeight="1">
      <c r="B2355" s="371" t="s">
        <v>9565</v>
      </c>
      <c r="C2355" s="371" t="s">
        <v>7364</v>
      </c>
      <c r="D2355" s="371" t="s">
        <v>2205</v>
      </c>
    </row>
    <row r="2356" ht="15.75" customHeight="1">
      <c r="B2356" s="371" t="s">
        <v>9566</v>
      </c>
      <c r="C2356" s="371" t="s">
        <v>9567</v>
      </c>
      <c r="D2356" s="371" t="s">
        <v>2139</v>
      </c>
    </row>
    <row r="2357" ht="15.75" customHeight="1">
      <c r="B2357" s="371" t="s">
        <v>9568</v>
      </c>
      <c r="C2357" s="371" t="s">
        <v>8503</v>
      </c>
      <c r="D2357" s="371" t="s">
        <v>2205</v>
      </c>
    </row>
    <row r="2358" ht="15.75" customHeight="1">
      <c r="B2358" s="371" t="s">
        <v>9569</v>
      </c>
      <c r="C2358" s="371" t="s">
        <v>9570</v>
      </c>
      <c r="D2358" s="371" t="s">
        <v>2205</v>
      </c>
    </row>
    <row r="2359" ht="15.75" customHeight="1">
      <c r="B2359" s="371" t="s">
        <v>6731</v>
      </c>
      <c r="C2359" s="371" t="s">
        <v>9571</v>
      </c>
      <c r="D2359" s="371" t="s">
        <v>2205</v>
      </c>
    </row>
    <row r="2360" ht="15.75" customHeight="1">
      <c r="B2360" s="371" t="s">
        <v>6733</v>
      </c>
      <c r="C2360" s="371" t="s">
        <v>7645</v>
      </c>
      <c r="D2360" s="371" t="s">
        <v>2139</v>
      </c>
    </row>
    <row r="2361" ht="15.75" customHeight="1">
      <c r="B2361" s="371" t="s">
        <v>6735</v>
      </c>
      <c r="C2361" s="371" t="s">
        <v>7645</v>
      </c>
      <c r="D2361" s="371" t="s">
        <v>2139</v>
      </c>
    </row>
    <row r="2362" ht="15.75" customHeight="1">
      <c r="B2362" s="371" t="s">
        <v>6737</v>
      </c>
      <c r="C2362" s="371" t="s">
        <v>7470</v>
      </c>
      <c r="D2362" s="371" t="s">
        <v>2205</v>
      </c>
    </row>
    <row r="2363" ht="15.75" customHeight="1">
      <c r="B2363" s="371" t="s">
        <v>6739</v>
      </c>
      <c r="C2363" s="371" t="s">
        <v>8062</v>
      </c>
      <c r="D2363" s="371" t="s">
        <v>2205</v>
      </c>
    </row>
    <row r="2364" ht="15.75" customHeight="1">
      <c r="B2364" s="371" t="s">
        <v>6741</v>
      </c>
      <c r="C2364" s="371" t="s">
        <v>9572</v>
      </c>
      <c r="D2364" s="371" t="s">
        <v>2205</v>
      </c>
    </row>
    <row r="2365" ht="15.75" customHeight="1">
      <c r="B2365" s="371" t="s">
        <v>6745</v>
      </c>
      <c r="C2365" s="371" t="s">
        <v>9572</v>
      </c>
      <c r="D2365" s="371" t="s">
        <v>2205</v>
      </c>
    </row>
    <row r="2366" ht="15.75" customHeight="1">
      <c r="B2366" s="371" t="s">
        <v>6747</v>
      </c>
      <c r="C2366" s="371" t="s">
        <v>9572</v>
      </c>
      <c r="D2366" s="371" t="s">
        <v>2205</v>
      </c>
    </row>
    <row r="2367" ht="15.75" customHeight="1">
      <c r="B2367" s="371" t="s">
        <v>6749</v>
      </c>
      <c r="C2367" s="371" t="s">
        <v>9572</v>
      </c>
      <c r="D2367" s="371" t="s">
        <v>2205</v>
      </c>
    </row>
    <row r="2368" ht="15.75" customHeight="1">
      <c r="B2368" s="371" t="s">
        <v>6751</v>
      </c>
      <c r="C2368" s="371" t="s">
        <v>9572</v>
      </c>
      <c r="D2368" s="371" t="s">
        <v>2205</v>
      </c>
    </row>
    <row r="2369" ht="15.75" customHeight="1">
      <c r="B2369" s="371" t="s">
        <v>6753</v>
      </c>
      <c r="C2369" s="371" t="s">
        <v>9572</v>
      </c>
      <c r="D2369" s="371" t="s">
        <v>2205</v>
      </c>
    </row>
    <row r="2370" ht="15.75" customHeight="1">
      <c r="B2370" s="371" t="s">
        <v>6755</v>
      </c>
      <c r="C2370" s="371" t="s">
        <v>9572</v>
      </c>
      <c r="D2370" s="371" t="s">
        <v>2205</v>
      </c>
    </row>
    <row r="2371" ht="15.75" customHeight="1">
      <c r="B2371" s="371" t="s">
        <v>6757</v>
      </c>
      <c r="C2371" s="371" t="s">
        <v>9572</v>
      </c>
      <c r="D2371" s="371" t="s">
        <v>2205</v>
      </c>
    </row>
    <row r="2372" ht="15.75" customHeight="1">
      <c r="B2372" s="371" t="s">
        <v>6701</v>
      </c>
      <c r="C2372" s="371" t="s">
        <v>9572</v>
      </c>
      <c r="D2372" s="371" t="s">
        <v>2139</v>
      </c>
    </row>
    <row r="2373" ht="15.75" customHeight="1">
      <c r="B2373" s="371" t="s">
        <v>9573</v>
      </c>
      <c r="C2373" s="371" t="s">
        <v>9574</v>
      </c>
      <c r="D2373" s="371" t="s">
        <v>2205</v>
      </c>
    </row>
    <row r="2374" ht="15.75" customHeight="1">
      <c r="B2374" s="371" t="s">
        <v>6703</v>
      </c>
      <c r="C2374" s="371" t="s">
        <v>9572</v>
      </c>
      <c r="D2374" s="371" t="s">
        <v>2139</v>
      </c>
    </row>
    <row r="2375" ht="15.75" customHeight="1">
      <c r="B2375" s="371" t="s">
        <v>6706</v>
      </c>
      <c r="C2375" s="371" t="s">
        <v>9572</v>
      </c>
      <c r="D2375" s="371" t="s">
        <v>2205</v>
      </c>
    </row>
    <row r="2376" ht="15.75" customHeight="1">
      <c r="B2376" s="371" t="s">
        <v>6707</v>
      </c>
      <c r="C2376" s="371" t="s">
        <v>7644</v>
      </c>
      <c r="D2376" s="371" t="s">
        <v>2205</v>
      </c>
    </row>
    <row r="2377" ht="15.75" customHeight="1">
      <c r="B2377" s="371" t="s">
        <v>6711</v>
      </c>
      <c r="C2377" s="371" t="s">
        <v>7644</v>
      </c>
      <c r="D2377" s="371" t="s">
        <v>2139</v>
      </c>
    </row>
    <row r="2378" ht="15.75" customHeight="1">
      <c r="B2378" s="371" t="s">
        <v>9575</v>
      </c>
      <c r="C2378" s="371" t="s">
        <v>9576</v>
      </c>
      <c r="D2378" s="371" t="s">
        <v>2139</v>
      </c>
    </row>
    <row r="2379" ht="15.75" customHeight="1">
      <c r="B2379" s="371" t="s">
        <v>9577</v>
      </c>
      <c r="C2379" s="371" t="s">
        <v>9578</v>
      </c>
      <c r="D2379" s="371" t="s">
        <v>2139</v>
      </c>
    </row>
    <row r="2380" ht="15.75" customHeight="1">
      <c r="B2380" s="371" t="s">
        <v>6715</v>
      </c>
      <c r="C2380" s="371" t="s">
        <v>9579</v>
      </c>
      <c r="D2380" s="371" t="s">
        <v>2139</v>
      </c>
    </row>
    <row r="2381" ht="15.75" customHeight="1">
      <c r="B2381" s="371" t="s">
        <v>9580</v>
      </c>
      <c r="C2381" s="371" t="s">
        <v>9581</v>
      </c>
      <c r="D2381" s="371" t="s">
        <v>2205</v>
      </c>
    </row>
    <row r="2382" ht="15.75" customHeight="1">
      <c r="B2382" s="371" t="s">
        <v>3232</v>
      </c>
      <c r="C2382" s="371" t="s">
        <v>7324</v>
      </c>
      <c r="D2382" s="371" t="s">
        <v>2205</v>
      </c>
    </row>
    <row r="2383" ht="15.75" customHeight="1">
      <c r="B2383" s="371" t="s">
        <v>3235</v>
      </c>
      <c r="C2383" s="371" t="s">
        <v>7324</v>
      </c>
      <c r="D2383" s="371" t="s">
        <v>2139</v>
      </c>
    </row>
    <row r="2384" ht="15.75" customHeight="1">
      <c r="B2384" s="371" t="s">
        <v>2687</v>
      </c>
      <c r="C2384" s="371" t="s">
        <v>9582</v>
      </c>
      <c r="D2384" s="371" t="s">
        <v>2139</v>
      </c>
    </row>
    <row r="2385" ht="15.75" customHeight="1">
      <c r="B2385" s="371" t="s">
        <v>2683</v>
      </c>
      <c r="C2385" s="371" t="s">
        <v>9582</v>
      </c>
      <c r="D2385" s="371" t="s">
        <v>2139</v>
      </c>
    </row>
    <row r="2386" ht="15.75" customHeight="1">
      <c r="B2386" s="371" t="s">
        <v>2679</v>
      </c>
      <c r="C2386" s="371" t="s">
        <v>9582</v>
      </c>
      <c r="D2386" s="371" t="s">
        <v>2139</v>
      </c>
    </row>
    <row r="2387" ht="15.75" customHeight="1">
      <c r="B2387" s="371" t="s">
        <v>9583</v>
      </c>
      <c r="C2387" s="371" t="s">
        <v>9582</v>
      </c>
      <c r="D2387" s="371" t="s">
        <v>2205</v>
      </c>
    </row>
    <row r="2388" ht="15.75" customHeight="1">
      <c r="B2388" s="371" t="s">
        <v>5875</v>
      </c>
      <c r="C2388" s="371" t="s">
        <v>9584</v>
      </c>
      <c r="D2388" s="371" t="s">
        <v>2139</v>
      </c>
    </row>
    <row r="2389" ht="15.75" customHeight="1">
      <c r="B2389" s="371" t="s">
        <v>6808</v>
      </c>
      <c r="C2389" s="371" t="s">
        <v>9585</v>
      </c>
      <c r="D2389" s="371" t="s">
        <v>2205</v>
      </c>
    </row>
    <row r="2390" ht="15.75" customHeight="1">
      <c r="B2390" s="371" t="s">
        <v>6804</v>
      </c>
      <c r="C2390" s="371" t="s">
        <v>7477</v>
      </c>
      <c r="D2390" s="371" t="s">
        <v>2205</v>
      </c>
    </row>
    <row r="2391" ht="15.75" customHeight="1">
      <c r="B2391" s="371" t="s">
        <v>9586</v>
      </c>
      <c r="C2391" s="371" t="s">
        <v>8503</v>
      </c>
      <c r="D2391" s="371" t="s">
        <v>2205</v>
      </c>
    </row>
    <row r="2392" ht="15.75" customHeight="1">
      <c r="B2392" s="371" t="s">
        <v>9587</v>
      </c>
      <c r="C2392" s="371" t="s">
        <v>9588</v>
      </c>
      <c r="D2392" s="371" t="s">
        <v>2205</v>
      </c>
    </row>
    <row r="2393" ht="15.75" customHeight="1">
      <c r="B2393" s="371" t="s">
        <v>9589</v>
      </c>
      <c r="C2393" s="371" t="s">
        <v>9588</v>
      </c>
      <c r="D2393" s="371" t="s">
        <v>2205</v>
      </c>
    </row>
    <row r="2394" ht="15.75" customHeight="1">
      <c r="B2394" s="371" t="s">
        <v>4218</v>
      </c>
      <c r="C2394" s="371" t="s">
        <v>9590</v>
      </c>
      <c r="D2394" s="371" t="s">
        <v>2205</v>
      </c>
    </row>
    <row r="2395" ht="15.75" customHeight="1">
      <c r="B2395" s="371" t="s">
        <v>9591</v>
      </c>
      <c r="C2395" s="371" t="s">
        <v>9590</v>
      </c>
      <c r="D2395" s="371" t="s">
        <v>2205</v>
      </c>
    </row>
    <row r="2396" ht="15.75" customHeight="1">
      <c r="B2396" s="371" t="s">
        <v>4222</v>
      </c>
      <c r="C2396" s="371" t="s">
        <v>9592</v>
      </c>
      <c r="D2396" s="371" t="s">
        <v>2205</v>
      </c>
    </row>
    <row r="2397" ht="15.75" customHeight="1">
      <c r="B2397" s="371" t="s">
        <v>4226</v>
      </c>
      <c r="C2397" s="371" t="s">
        <v>7519</v>
      </c>
      <c r="D2397" s="371" t="s">
        <v>2139</v>
      </c>
    </row>
    <row r="2398" ht="15.75" customHeight="1">
      <c r="B2398" s="371" t="s">
        <v>4214</v>
      </c>
      <c r="C2398" s="371" t="s">
        <v>9590</v>
      </c>
      <c r="D2398" s="371" t="s">
        <v>2139</v>
      </c>
    </row>
    <row r="2399" ht="15.75" customHeight="1">
      <c r="B2399" s="371" t="s">
        <v>6504</v>
      </c>
      <c r="C2399" s="371" t="s">
        <v>9593</v>
      </c>
      <c r="D2399" s="371" t="s">
        <v>2139</v>
      </c>
    </row>
    <row r="2400" ht="15.75" customHeight="1">
      <c r="B2400" s="371" t="s">
        <v>4231</v>
      </c>
      <c r="C2400" s="371" t="s">
        <v>7519</v>
      </c>
      <c r="D2400" s="371" t="s">
        <v>2205</v>
      </c>
    </row>
    <row r="2401" ht="15.75" customHeight="1">
      <c r="B2401" s="371" t="s">
        <v>4235</v>
      </c>
      <c r="C2401" s="371" t="s">
        <v>9590</v>
      </c>
      <c r="D2401" s="371" t="s">
        <v>2205</v>
      </c>
    </row>
    <row r="2402" ht="15.75" customHeight="1">
      <c r="B2402" s="371" t="s">
        <v>4239</v>
      </c>
      <c r="C2402" s="371" t="s">
        <v>7519</v>
      </c>
      <c r="D2402" s="371" t="s">
        <v>2139</v>
      </c>
    </row>
    <row r="2403" ht="15.75" customHeight="1">
      <c r="B2403" s="371" t="s">
        <v>4243</v>
      </c>
      <c r="C2403" s="371" t="s">
        <v>9594</v>
      </c>
      <c r="D2403" s="371" t="s">
        <v>2139</v>
      </c>
    </row>
    <row r="2404" ht="15.75" customHeight="1">
      <c r="B2404" s="371" t="s">
        <v>9595</v>
      </c>
      <c r="C2404" s="371" t="s">
        <v>9596</v>
      </c>
      <c r="D2404" s="371" t="s">
        <v>2205</v>
      </c>
    </row>
    <row r="2405" ht="15.75" customHeight="1">
      <c r="B2405" s="371" t="s">
        <v>9597</v>
      </c>
      <c r="C2405" s="371" t="s">
        <v>9598</v>
      </c>
      <c r="D2405" s="371" t="s">
        <v>2205</v>
      </c>
    </row>
    <row r="2406" ht="15.75" customHeight="1">
      <c r="B2406" s="371" t="s">
        <v>3146</v>
      </c>
      <c r="C2406" s="371" t="s">
        <v>7324</v>
      </c>
      <c r="D2406" s="371" t="s">
        <v>2139</v>
      </c>
    </row>
    <row r="2407" ht="15.75" customHeight="1">
      <c r="B2407" s="371" t="s">
        <v>3126</v>
      </c>
      <c r="C2407" s="371" t="s">
        <v>7324</v>
      </c>
      <c r="D2407" s="371" t="s">
        <v>2205</v>
      </c>
    </row>
    <row r="2408" ht="15.75" customHeight="1">
      <c r="B2408" s="371" t="s">
        <v>3138</v>
      </c>
      <c r="C2408" s="371" t="s">
        <v>7324</v>
      </c>
      <c r="D2408" s="371" t="s">
        <v>2205</v>
      </c>
    </row>
    <row r="2409" ht="15.75" customHeight="1">
      <c r="B2409" s="371" t="s">
        <v>3142</v>
      </c>
      <c r="C2409" s="371" t="s">
        <v>7324</v>
      </c>
      <c r="D2409" s="371" t="s">
        <v>2205</v>
      </c>
    </row>
    <row r="2410" ht="15.75" customHeight="1">
      <c r="B2410" s="371" t="s">
        <v>9599</v>
      </c>
      <c r="C2410" s="371" t="s">
        <v>7324</v>
      </c>
      <c r="D2410" s="371" t="s">
        <v>2205</v>
      </c>
    </row>
    <row r="2411" ht="15.75" customHeight="1">
      <c r="B2411" s="371" t="s">
        <v>9600</v>
      </c>
      <c r="C2411" s="371" t="s">
        <v>7324</v>
      </c>
      <c r="D2411" s="371" t="s">
        <v>2139</v>
      </c>
    </row>
    <row r="2412" ht="15.75" customHeight="1">
      <c r="B2412" s="371" t="s">
        <v>3134</v>
      </c>
      <c r="C2412" s="371" t="s">
        <v>7324</v>
      </c>
      <c r="D2412" s="371" t="s">
        <v>2205</v>
      </c>
    </row>
    <row r="2413" ht="15.75" customHeight="1">
      <c r="B2413" s="371" t="s">
        <v>9601</v>
      </c>
      <c r="C2413" s="371" t="s">
        <v>7324</v>
      </c>
      <c r="D2413" s="371" t="s">
        <v>2205</v>
      </c>
    </row>
    <row r="2414" ht="15.75" customHeight="1">
      <c r="B2414" s="371" t="s">
        <v>3130</v>
      </c>
      <c r="C2414" s="371" t="s">
        <v>7324</v>
      </c>
      <c r="D2414" s="371" t="s">
        <v>2205</v>
      </c>
    </row>
    <row r="2415" ht="15.75" customHeight="1">
      <c r="B2415" s="371" t="s">
        <v>3118</v>
      </c>
      <c r="C2415" s="371" t="s">
        <v>7324</v>
      </c>
      <c r="D2415" s="371" t="s">
        <v>2205</v>
      </c>
    </row>
    <row r="2416" ht="15.75" customHeight="1">
      <c r="B2416" s="371" t="s">
        <v>3122</v>
      </c>
      <c r="C2416" s="371" t="s">
        <v>7324</v>
      </c>
      <c r="D2416" s="371" t="s">
        <v>2205</v>
      </c>
    </row>
    <row r="2417" ht="15.75" customHeight="1">
      <c r="B2417" s="371" t="s">
        <v>1158</v>
      </c>
      <c r="C2417" s="371" t="s">
        <v>9602</v>
      </c>
      <c r="D2417" s="371" t="s">
        <v>2139</v>
      </c>
    </row>
    <row r="2418" ht="15.75" customHeight="1">
      <c r="B2418" s="371" t="s">
        <v>1160</v>
      </c>
      <c r="C2418" s="371" t="s">
        <v>9602</v>
      </c>
      <c r="D2418" s="371" t="s">
        <v>2139</v>
      </c>
    </row>
    <row r="2419" ht="15.75" customHeight="1">
      <c r="B2419" s="371" t="s">
        <v>1162</v>
      </c>
      <c r="C2419" s="371" t="s">
        <v>9602</v>
      </c>
      <c r="D2419" s="371" t="s">
        <v>2139</v>
      </c>
    </row>
    <row r="2420" ht="15.75" customHeight="1">
      <c r="B2420" s="371" t="s">
        <v>86</v>
      </c>
      <c r="C2420" s="371" t="s">
        <v>7733</v>
      </c>
      <c r="D2420" s="371" t="s">
        <v>2139</v>
      </c>
    </row>
    <row r="2421" ht="15.75" customHeight="1">
      <c r="B2421" s="371" t="s">
        <v>708</v>
      </c>
      <c r="C2421" s="371" t="s">
        <v>9603</v>
      </c>
      <c r="D2421" s="371" t="s">
        <v>2205</v>
      </c>
    </row>
    <row r="2422" ht="15.75" customHeight="1">
      <c r="B2422" s="371" t="s">
        <v>703</v>
      </c>
      <c r="C2422" s="371" t="s">
        <v>7328</v>
      </c>
      <c r="D2422" s="371" t="s">
        <v>2139</v>
      </c>
    </row>
    <row r="2423" ht="15.75" customHeight="1">
      <c r="B2423" s="371" t="s">
        <v>705</v>
      </c>
      <c r="C2423" s="371" t="s">
        <v>7328</v>
      </c>
      <c r="D2423" s="371" t="s">
        <v>2139</v>
      </c>
    </row>
    <row r="2424" ht="15.75" customHeight="1">
      <c r="B2424" s="371" t="s">
        <v>9604</v>
      </c>
      <c r="C2424" s="371" t="s">
        <v>7328</v>
      </c>
      <c r="D2424" s="371" t="s">
        <v>2205</v>
      </c>
    </row>
    <row r="2425" ht="15.75" customHeight="1">
      <c r="B2425" s="371" t="s">
        <v>631</v>
      </c>
      <c r="C2425" s="371" t="s">
        <v>9605</v>
      </c>
      <c r="D2425" s="371" t="s">
        <v>2139</v>
      </c>
    </row>
    <row r="2426" ht="15.75" customHeight="1">
      <c r="B2426" s="371" t="s">
        <v>607</v>
      </c>
      <c r="C2426" s="371" t="s">
        <v>9606</v>
      </c>
      <c r="D2426" s="371" t="s">
        <v>2139</v>
      </c>
    </row>
    <row r="2427" ht="15.75" customHeight="1">
      <c r="B2427" s="371" t="s">
        <v>609</v>
      </c>
      <c r="C2427" s="371" t="s">
        <v>9607</v>
      </c>
      <c r="D2427" s="371" t="s">
        <v>2205</v>
      </c>
    </row>
    <row r="2428" ht="15.75" customHeight="1">
      <c r="B2428" s="371" t="s">
        <v>610</v>
      </c>
      <c r="C2428" s="371" t="s">
        <v>7328</v>
      </c>
      <c r="D2428" s="371" t="s">
        <v>2139</v>
      </c>
    </row>
    <row r="2429" ht="15.75" customHeight="1">
      <c r="B2429" s="371" t="s">
        <v>591</v>
      </c>
      <c r="C2429" s="371" t="s">
        <v>9608</v>
      </c>
      <c r="D2429" s="371" t="s">
        <v>2205</v>
      </c>
    </row>
    <row r="2430" ht="15.75" customHeight="1">
      <c r="B2430" s="371" t="s">
        <v>594</v>
      </c>
      <c r="C2430" s="371" t="s">
        <v>9609</v>
      </c>
      <c r="D2430" s="371" t="s">
        <v>2205</v>
      </c>
    </row>
    <row r="2431" ht="15.75" customHeight="1">
      <c r="B2431" s="371" t="s">
        <v>596</v>
      </c>
      <c r="C2431" s="371" t="s">
        <v>7328</v>
      </c>
      <c r="D2431" s="371" t="s">
        <v>2205</v>
      </c>
    </row>
    <row r="2432" ht="15.75" customHeight="1">
      <c r="B2432" s="371" t="s">
        <v>9610</v>
      </c>
      <c r="C2432" s="371" t="s">
        <v>9611</v>
      </c>
      <c r="D2432" s="371" t="s">
        <v>2205</v>
      </c>
    </row>
    <row r="2433" ht="15.75" customHeight="1">
      <c r="B2433" s="371" t="s">
        <v>597</v>
      </c>
      <c r="C2433" s="371" t="s">
        <v>9612</v>
      </c>
      <c r="D2433" s="371" t="s">
        <v>2205</v>
      </c>
    </row>
    <row r="2434" ht="15.75" customHeight="1">
      <c r="B2434" s="371" t="s">
        <v>600</v>
      </c>
      <c r="C2434" s="371" t="s">
        <v>9613</v>
      </c>
      <c r="D2434" s="371" t="s">
        <v>2139</v>
      </c>
    </row>
    <row r="2435" ht="15.75" customHeight="1">
      <c r="B2435" s="371" t="s">
        <v>602</v>
      </c>
      <c r="C2435" s="371" t="s">
        <v>9614</v>
      </c>
      <c r="D2435" s="371" t="s">
        <v>2205</v>
      </c>
    </row>
    <row r="2436" ht="15.75" customHeight="1">
      <c r="B2436" s="371" t="s">
        <v>9615</v>
      </c>
      <c r="C2436" s="371" t="s">
        <v>9616</v>
      </c>
      <c r="D2436" s="371" t="s">
        <v>2205</v>
      </c>
    </row>
    <row r="2437" ht="15.75" customHeight="1">
      <c r="B2437" s="371" t="s">
        <v>620</v>
      </c>
      <c r="C2437" s="371" t="s">
        <v>7328</v>
      </c>
      <c r="D2437" s="371" t="s">
        <v>2139</v>
      </c>
    </row>
    <row r="2438" ht="15.75" customHeight="1">
      <c r="B2438" s="371" t="s">
        <v>624</v>
      </c>
      <c r="C2438" s="371" t="s">
        <v>7328</v>
      </c>
      <c r="D2438" s="371" t="s">
        <v>2205</v>
      </c>
    </row>
    <row r="2439" ht="15.75" customHeight="1">
      <c r="B2439" s="371" t="s">
        <v>625</v>
      </c>
      <c r="C2439" s="371" t="s">
        <v>7328</v>
      </c>
      <c r="D2439" s="371" t="s">
        <v>2139</v>
      </c>
    </row>
    <row r="2440" ht="15.75" customHeight="1">
      <c r="B2440" s="371" t="s">
        <v>627</v>
      </c>
      <c r="C2440" s="371" t="s">
        <v>9617</v>
      </c>
      <c r="D2440" s="371" t="s">
        <v>2205</v>
      </c>
    </row>
    <row r="2441" ht="15.75" customHeight="1">
      <c r="B2441" s="371" t="s">
        <v>614</v>
      </c>
      <c r="C2441" s="371" t="s">
        <v>7328</v>
      </c>
      <c r="D2441" s="371" t="s">
        <v>2139</v>
      </c>
    </row>
    <row r="2442" ht="15.75" customHeight="1">
      <c r="B2442" s="371" t="s">
        <v>616</v>
      </c>
      <c r="C2442" s="371" t="s">
        <v>7328</v>
      </c>
      <c r="D2442" s="371" t="s">
        <v>2205</v>
      </c>
    </row>
    <row r="2443" ht="15.75" customHeight="1">
      <c r="B2443" s="371" t="s">
        <v>650</v>
      </c>
      <c r="C2443" s="371" t="s">
        <v>7953</v>
      </c>
      <c r="D2443" s="371" t="s">
        <v>2205</v>
      </c>
    </row>
    <row r="2444" ht="15.75" customHeight="1">
      <c r="B2444" s="371" t="s">
        <v>654</v>
      </c>
      <c r="C2444" s="371" t="s">
        <v>7953</v>
      </c>
      <c r="D2444" s="371" t="s">
        <v>2205</v>
      </c>
    </row>
    <row r="2445" ht="15.75" customHeight="1">
      <c r="B2445" s="371" t="s">
        <v>674</v>
      </c>
      <c r="C2445" s="371" t="s">
        <v>7953</v>
      </c>
      <c r="D2445" s="371" t="s">
        <v>2205</v>
      </c>
    </row>
    <row r="2446" ht="15.75" customHeight="1">
      <c r="B2446" s="371" t="s">
        <v>656</v>
      </c>
      <c r="C2446" s="371" t="s">
        <v>7953</v>
      </c>
      <c r="D2446" s="371" t="s">
        <v>2139</v>
      </c>
    </row>
    <row r="2447" ht="15.75" customHeight="1">
      <c r="B2447" s="371" t="s">
        <v>660</v>
      </c>
      <c r="C2447" s="371" t="s">
        <v>7953</v>
      </c>
      <c r="D2447" s="371" t="s">
        <v>2205</v>
      </c>
    </row>
    <row r="2448" ht="15.75" customHeight="1">
      <c r="B2448" s="371" t="s">
        <v>662</v>
      </c>
      <c r="C2448" s="371" t="s">
        <v>9618</v>
      </c>
      <c r="D2448" s="371" t="s">
        <v>2205</v>
      </c>
    </row>
    <row r="2449" ht="15.75" customHeight="1">
      <c r="B2449" s="371" t="s">
        <v>666</v>
      </c>
      <c r="C2449" s="371" t="s">
        <v>7953</v>
      </c>
      <c r="D2449" s="371" t="s">
        <v>2139</v>
      </c>
    </row>
    <row r="2450" ht="15.75" customHeight="1">
      <c r="B2450" s="371" t="s">
        <v>668</v>
      </c>
      <c r="C2450" s="371" t="s">
        <v>7953</v>
      </c>
      <c r="D2450" s="371" t="s">
        <v>2205</v>
      </c>
    </row>
    <row r="2451" ht="15.75" customHeight="1">
      <c r="B2451" s="371" t="s">
        <v>670</v>
      </c>
      <c r="C2451" s="371" t="s">
        <v>7953</v>
      </c>
      <c r="D2451" s="371" t="s">
        <v>2139</v>
      </c>
    </row>
    <row r="2452" ht="15.75" customHeight="1">
      <c r="B2452" s="371" t="s">
        <v>672</v>
      </c>
      <c r="C2452" s="371" t="s">
        <v>7953</v>
      </c>
      <c r="D2452" s="371" t="s">
        <v>2205</v>
      </c>
    </row>
    <row r="2453" ht="15.75" customHeight="1">
      <c r="B2453" s="371" t="s">
        <v>9619</v>
      </c>
      <c r="C2453" s="371" t="s">
        <v>7953</v>
      </c>
      <c r="D2453" s="371" t="s">
        <v>2205</v>
      </c>
    </row>
    <row r="2454" ht="15.75" customHeight="1">
      <c r="B2454" s="371" t="s">
        <v>9620</v>
      </c>
      <c r="C2454" s="371" t="s">
        <v>7328</v>
      </c>
      <c r="D2454" s="371" t="s">
        <v>2205</v>
      </c>
    </row>
    <row r="2455" ht="15.75" customHeight="1">
      <c r="B2455" s="371" t="s">
        <v>4248</v>
      </c>
      <c r="C2455" s="371" t="s">
        <v>9590</v>
      </c>
      <c r="D2455" s="371" t="s">
        <v>2205</v>
      </c>
    </row>
    <row r="2456" ht="15.75" customHeight="1">
      <c r="B2456" s="371" t="s">
        <v>4749</v>
      </c>
      <c r="C2456" s="371" t="s">
        <v>9621</v>
      </c>
      <c r="D2456" s="371" t="s">
        <v>2139</v>
      </c>
    </row>
    <row r="2457" ht="15.75" customHeight="1">
      <c r="B2457" s="371" t="s">
        <v>4753</v>
      </c>
      <c r="C2457" s="371" t="s">
        <v>9622</v>
      </c>
      <c r="D2457" s="371" t="s">
        <v>2139</v>
      </c>
    </row>
    <row r="2458" ht="15.75" customHeight="1">
      <c r="B2458" s="371" t="s">
        <v>9623</v>
      </c>
      <c r="C2458" s="371" t="s">
        <v>8503</v>
      </c>
      <c r="D2458" s="371" t="s">
        <v>2205</v>
      </c>
    </row>
    <row r="2459" ht="15.75" customHeight="1">
      <c r="B2459" s="371" t="s">
        <v>9624</v>
      </c>
      <c r="C2459" s="371" t="s">
        <v>9625</v>
      </c>
      <c r="D2459" s="371" t="s">
        <v>2205</v>
      </c>
    </row>
    <row r="2460" ht="15.75" customHeight="1">
      <c r="B2460" s="371" t="s">
        <v>9626</v>
      </c>
      <c r="C2460" s="371" t="s">
        <v>9627</v>
      </c>
      <c r="D2460" s="371" t="s">
        <v>2205</v>
      </c>
    </row>
    <row r="2461" ht="15.75" customHeight="1">
      <c r="B2461" s="371" t="s">
        <v>9628</v>
      </c>
      <c r="C2461" s="371" t="s">
        <v>9629</v>
      </c>
      <c r="D2461" s="371" t="s">
        <v>2205</v>
      </c>
    </row>
    <row r="2462" ht="15.75" customHeight="1">
      <c r="B2462" s="371" t="s">
        <v>9630</v>
      </c>
      <c r="C2462" s="371" t="s">
        <v>9625</v>
      </c>
      <c r="D2462" s="371" t="s">
        <v>2205</v>
      </c>
    </row>
    <row r="2463" ht="15.75" customHeight="1">
      <c r="B2463" s="371" t="s">
        <v>9631</v>
      </c>
      <c r="C2463" s="371" t="s">
        <v>9632</v>
      </c>
      <c r="D2463" s="371" t="s">
        <v>2205</v>
      </c>
    </row>
    <row r="2464" ht="15.75" customHeight="1">
      <c r="B2464" s="371" t="s">
        <v>9633</v>
      </c>
      <c r="C2464" s="371" t="s">
        <v>9629</v>
      </c>
      <c r="D2464" s="371" t="s">
        <v>2205</v>
      </c>
    </row>
    <row r="2465" ht="15.75" customHeight="1">
      <c r="B2465" s="371" t="s">
        <v>9634</v>
      </c>
      <c r="C2465" s="371" t="s">
        <v>9635</v>
      </c>
      <c r="D2465" s="371" t="s">
        <v>2205</v>
      </c>
    </row>
    <row r="2466" ht="15.75" customHeight="1">
      <c r="B2466" s="371" t="s">
        <v>9636</v>
      </c>
      <c r="C2466" s="371" t="s">
        <v>9588</v>
      </c>
      <c r="D2466" s="371" t="s">
        <v>2205</v>
      </c>
    </row>
    <row r="2467" ht="15.75" customHeight="1">
      <c r="B2467" s="371" t="s">
        <v>9637</v>
      </c>
      <c r="C2467" s="371" t="s">
        <v>9588</v>
      </c>
      <c r="D2467" s="371" t="s">
        <v>2205</v>
      </c>
    </row>
    <row r="2468" ht="15.75" customHeight="1">
      <c r="B2468" s="371" t="s">
        <v>9638</v>
      </c>
      <c r="C2468" s="371" t="s">
        <v>8503</v>
      </c>
      <c r="D2468" s="371" t="s">
        <v>2205</v>
      </c>
    </row>
    <row r="2469" ht="15.75" customHeight="1">
      <c r="B2469" s="371" t="s">
        <v>5879</v>
      </c>
      <c r="C2469" s="371" t="s">
        <v>9639</v>
      </c>
      <c r="D2469" s="371" t="s">
        <v>2139</v>
      </c>
    </row>
    <row r="2470" ht="15.75" customHeight="1">
      <c r="B2470" s="371" t="s">
        <v>3168</v>
      </c>
      <c r="C2470" s="371" t="s">
        <v>7324</v>
      </c>
      <c r="D2470" s="371" t="s">
        <v>2205</v>
      </c>
    </row>
    <row r="2471" ht="15.75" customHeight="1">
      <c r="B2471" s="371" t="s">
        <v>3172</v>
      </c>
      <c r="C2471" s="371" t="s">
        <v>7324</v>
      </c>
      <c r="D2471" s="371" t="s">
        <v>2205</v>
      </c>
    </row>
    <row r="2472" ht="15.75" customHeight="1">
      <c r="B2472" s="371" t="s">
        <v>3166</v>
      </c>
      <c r="C2472" s="371" t="s">
        <v>7324</v>
      </c>
      <c r="D2472" s="371" t="s">
        <v>2205</v>
      </c>
    </row>
    <row r="2473" ht="15.75" customHeight="1">
      <c r="B2473" s="371" t="s">
        <v>9640</v>
      </c>
      <c r="C2473" s="371" t="s">
        <v>7324</v>
      </c>
      <c r="D2473" s="371" t="s">
        <v>2205</v>
      </c>
    </row>
    <row r="2474" ht="15.75" customHeight="1">
      <c r="B2474" s="371" t="s">
        <v>9641</v>
      </c>
      <c r="C2474" s="371" t="s">
        <v>7324</v>
      </c>
      <c r="D2474" s="371" t="s">
        <v>2205</v>
      </c>
    </row>
    <row r="2475" ht="15.75" customHeight="1">
      <c r="B2475" s="371" t="s">
        <v>9642</v>
      </c>
      <c r="C2475" s="371" t="s">
        <v>7324</v>
      </c>
      <c r="D2475" s="371" t="s">
        <v>2205</v>
      </c>
    </row>
    <row r="2476" ht="15.75" customHeight="1">
      <c r="B2476" s="371" t="s">
        <v>3177</v>
      </c>
      <c r="C2476" s="371" t="s">
        <v>7324</v>
      </c>
      <c r="D2476" s="371" t="s">
        <v>2205</v>
      </c>
    </row>
    <row r="2477" ht="15.75" customHeight="1">
      <c r="B2477" s="371" t="s">
        <v>3202</v>
      </c>
      <c r="C2477" s="371" t="s">
        <v>7324</v>
      </c>
      <c r="D2477" s="371" t="s">
        <v>2205</v>
      </c>
    </row>
    <row r="2478" ht="15.75" customHeight="1">
      <c r="B2478" s="371" t="s">
        <v>9643</v>
      </c>
      <c r="C2478" s="371" t="s">
        <v>7324</v>
      </c>
      <c r="D2478" s="371" t="s">
        <v>2205</v>
      </c>
    </row>
    <row r="2479" ht="15.75" customHeight="1">
      <c r="B2479" s="371" t="s">
        <v>3189</v>
      </c>
      <c r="C2479" s="371" t="s">
        <v>7324</v>
      </c>
      <c r="D2479" s="371" t="s">
        <v>2139</v>
      </c>
    </row>
    <row r="2480" ht="15.75" customHeight="1">
      <c r="B2480" s="371" t="s">
        <v>3206</v>
      </c>
      <c r="C2480" s="371" t="s">
        <v>7324</v>
      </c>
      <c r="D2480" s="371" t="s">
        <v>2139</v>
      </c>
    </row>
    <row r="2481" ht="15.75" customHeight="1">
      <c r="B2481" s="371" t="s">
        <v>3193</v>
      </c>
      <c r="C2481" s="371" t="s">
        <v>7324</v>
      </c>
      <c r="D2481" s="371" t="s">
        <v>2205</v>
      </c>
    </row>
    <row r="2482" ht="15.75" customHeight="1">
      <c r="B2482" s="371" t="s">
        <v>3210</v>
      </c>
      <c r="C2482" s="371" t="s">
        <v>7324</v>
      </c>
      <c r="D2482" s="371" t="s">
        <v>2139</v>
      </c>
    </row>
    <row r="2483" ht="15.75" customHeight="1">
      <c r="B2483" s="371" t="s">
        <v>9644</v>
      </c>
      <c r="C2483" s="371" t="s">
        <v>7324</v>
      </c>
      <c r="D2483" s="371" t="s">
        <v>2205</v>
      </c>
    </row>
    <row r="2484" ht="15.75" customHeight="1">
      <c r="B2484" s="371" t="s">
        <v>3219</v>
      </c>
      <c r="C2484" s="371" t="s">
        <v>7324</v>
      </c>
      <c r="D2484" s="371" t="s">
        <v>2205</v>
      </c>
    </row>
    <row r="2485" ht="15.75" customHeight="1">
      <c r="B2485" s="371" t="s">
        <v>3197</v>
      </c>
      <c r="C2485" s="371" t="s">
        <v>7324</v>
      </c>
      <c r="D2485" s="371" t="s">
        <v>2205</v>
      </c>
    </row>
    <row r="2486" ht="15.75" customHeight="1">
      <c r="B2486" s="371" t="s">
        <v>3214</v>
      </c>
      <c r="C2486" s="371" t="s">
        <v>7324</v>
      </c>
      <c r="D2486" s="371" t="s">
        <v>2139</v>
      </c>
    </row>
    <row r="2487" ht="15.75" customHeight="1">
      <c r="B2487" s="371" t="s">
        <v>9645</v>
      </c>
      <c r="C2487" s="371" t="s">
        <v>7324</v>
      </c>
      <c r="D2487" s="371" t="s">
        <v>2205</v>
      </c>
    </row>
    <row r="2488" ht="15.75" customHeight="1">
      <c r="B2488" s="371" t="s">
        <v>3223</v>
      </c>
      <c r="C2488" s="371" t="s">
        <v>7324</v>
      </c>
      <c r="D2488" s="371" t="s">
        <v>2205</v>
      </c>
    </row>
    <row r="2489" ht="15.75" customHeight="1">
      <c r="B2489" s="371" t="s">
        <v>3227</v>
      </c>
      <c r="C2489" s="371" t="s">
        <v>7324</v>
      </c>
      <c r="D2489" s="371" t="s">
        <v>2205</v>
      </c>
    </row>
    <row r="2490" ht="15.75" customHeight="1">
      <c r="B2490" s="371" t="s">
        <v>3157</v>
      </c>
      <c r="C2490" s="371" t="s">
        <v>7324</v>
      </c>
      <c r="D2490" s="371" t="s">
        <v>2205</v>
      </c>
    </row>
    <row r="2491" ht="15.75" customHeight="1">
      <c r="B2491" s="371" t="s">
        <v>3161</v>
      </c>
      <c r="C2491" s="371" t="s">
        <v>7324</v>
      </c>
      <c r="D2491" s="371" t="s">
        <v>2205</v>
      </c>
    </row>
    <row r="2492" ht="15.75" customHeight="1">
      <c r="B2492" s="371" t="s">
        <v>3181</v>
      </c>
      <c r="C2492" s="371" t="s">
        <v>7324</v>
      </c>
      <c r="D2492" s="371" t="s">
        <v>2139</v>
      </c>
    </row>
    <row r="2493" ht="15.75" customHeight="1">
      <c r="B2493" s="371" t="s">
        <v>3185</v>
      </c>
      <c r="C2493" s="371" t="s">
        <v>7324</v>
      </c>
      <c r="D2493" s="371" t="s">
        <v>2205</v>
      </c>
    </row>
    <row r="2494" ht="15.75" customHeight="1">
      <c r="B2494" s="371" t="s">
        <v>9646</v>
      </c>
      <c r="C2494" s="371" t="s">
        <v>9647</v>
      </c>
      <c r="D2494" s="371" t="s">
        <v>2205</v>
      </c>
    </row>
    <row r="2495" ht="15.75" customHeight="1">
      <c r="B2495" s="371" t="s">
        <v>1879</v>
      </c>
      <c r="C2495" s="371" t="s">
        <v>9648</v>
      </c>
      <c r="D2495" s="371" t="s">
        <v>2205</v>
      </c>
    </row>
    <row r="2496" ht="15.75" customHeight="1">
      <c r="B2496" s="371" t="s">
        <v>9649</v>
      </c>
      <c r="C2496" s="371" t="s">
        <v>7772</v>
      </c>
      <c r="D2496" s="371" t="s">
        <v>2205</v>
      </c>
    </row>
    <row r="2497" ht="15.75" customHeight="1">
      <c r="B2497" s="371" t="s">
        <v>9650</v>
      </c>
      <c r="C2497" s="371" t="s">
        <v>7772</v>
      </c>
      <c r="D2497" s="371" t="s">
        <v>2205</v>
      </c>
    </row>
    <row r="2498" ht="15.75" customHeight="1">
      <c r="B2498" s="371" t="s">
        <v>1753</v>
      </c>
      <c r="C2498" s="371" t="s">
        <v>7772</v>
      </c>
      <c r="D2498" s="371" t="s">
        <v>2139</v>
      </c>
    </row>
    <row r="2499" ht="15.75" customHeight="1">
      <c r="B2499" s="371" t="s">
        <v>9651</v>
      </c>
      <c r="C2499" s="371" t="s">
        <v>7793</v>
      </c>
      <c r="D2499" s="371" t="s">
        <v>2205</v>
      </c>
    </row>
    <row r="2500" ht="15.75" customHeight="1">
      <c r="B2500" s="371" t="s">
        <v>9652</v>
      </c>
      <c r="C2500" s="371" t="s">
        <v>7772</v>
      </c>
      <c r="D2500" s="371" t="s">
        <v>2205</v>
      </c>
    </row>
    <row r="2501" ht="15.75" customHeight="1">
      <c r="B2501" s="371" t="s">
        <v>9653</v>
      </c>
      <c r="C2501" s="371" t="s">
        <v>7772</v>
      </c>
      <c r="D2501" s="371" t="s">
        <v>2205</v>
      </c>
    </row>
    <row r="2502" ht="15.75" customHeight="1">
      <c r="B2502" s="371" t="s">
        <v>1757</v>
      </c>
      <c r="C2502" s="371" t="s">
        <v>7772</v>
      </c>
      <c r="D2502" s="371" t="s">
        <v>2139</v>
      </c>
    </row>
    <row r="2503" ht="15.75" customHeight="1">
      <c r="B2503" s="371" t="s">
        <v>1749</v>
      </c>
      <c r="C2503" s="371" t="s">
        <v>7772</v>
      </c>
      <c r="D2503" s="371" t="s">
        <v>2205</v>
      </c>
    </row>
    <row r="2504" ht="15.75" customHeight="1">
      <c r="B2504" s="371" t="s">
        <v>9654</v>
      </c>
      <c r="C2504" s="371" t="s">
        <v>9655</v>
      </c>
      <c r="D2504" s="371" t="s">
        <v>2205</v>
      </c>
    </row>
    <row r="2505" ht="15.75" customHeight="1">
      <c r="B2505" s="371" t="s">
        <v>9656</v>
      </c>
      <c r="C2505" s="371" t="s">
        <v>9657</v>
      </c>
      <c r="D2505" s="371" t="s">
        <v>2205</v>
      </c>
    </row>
    <row r="2506" ht="15.75" customHeight="1">
      <c r="B2506" s="371" t="s">
        <v>3249</v>
      </c>
      <c r="C2506" s="371" t="s">
        <v>9658</v>
      </c>
      <c r="D2506" s="371" t="s">
        <v>2139</v>
      </c>
    </row>
    <row r="2507" ht="15.75" customHeight="1">
      <c r="B2507" s="371" t="s">
        <v>3252</v>
      </c>
      <c r="C2507" s="371" t="s">
        <v>9658</v>
      </c>
      <c r="D2507" s="371" t="s">
        <v>2139</v>
      </c>
    </row>
    <row r="2508" ht="15.75" customHeight="1">
      <c r="B2508" s="371" t="s">
        <v>3255</v>
      </c>
      <c r="C2508" s="371" t="s">
        <v>9658</v>
      </c>
      <c r="D2508" s="371" t="s">
        <v>2139</v>
      </c>
    </row>
    <row r="2509" ht="15.75" customHeight="1">
      <c r="B2509" s="371" t="s">
        <v>3256</v>
      </c>
      <c r="C2509" s="371" t="s">
        <v>9658</v>
      </c>
      <c r="D2509" s="371" t="s">
        <v>2139</v>
      </c>
    </row>
    <row r="2510" ht="15.75" customHeight="1">
      <c r="B2510" s="371" t="s">
        <v>3259</v>
      </c>
      <c r="C2510" s="371" t="s">
        <v>9658</v>
      </c>
      <c r="D2510" s="371" t="s">
        <v>2139</v>
      </c>
    </row>
    <row r="2511" ht="15.75" customHeight="1">
      <c r="B2511" s="371" t="s">
        <v>9659</v>
      </c>
      <c r="C2511" s="371" t="s">
        <v>9660</v>
      </c>
      <c r="D2511" s="371" t="s">
        <v>2205</v>
      </c>
    </row>
    <row r="2512" ht="15.75" customHeight="1">
      <c r="B2512" s="371" t="s">
        <v>9661</v>
      </c>
      <c r="C2512" s="371" t="s">
        <v>9662</v>
      </c>
      <c r="D2512" s="371" t="s">
        <v>2139</v>
      </c>
    </row>
    <row r="2513" ht="15.75" customHeight="1">
      <c r="B2513" s="371" t="s">
        <v>4051</v>
      </c>
      <c r="C2513" s="371" t="s">
        <v>9663</v>
      </c>
      <c r="D2513" s="371" t="s">
        <v>2139</v>
      </c>
    </row>
    <row r="2514" ht="15.75" customHeight="1">
      <c r="B2514" s="371" t="s">
        <v>3903</v>
      </c>
      <c r="C2514" s="371" t="s">
        <v>9664</v>
      </c>
      <c r="D2514" s="371" t="s">
        <v>2205</v>
      </c>
    </row>
    <row r="2515" ht="15.75" customHeight="1">
      <c r="B2515" s="371" t="s">
        <v>3898</v>
      </c>
      <c r="C2515" s="371" t="s">
        <v>9665</v>
      </c>
      <c r="D2515" s="371" t="s">
        <v>2205</v>
      </c>
    </row>
    <row r="2516" ht="15.75" customHeight="1">
      <c r="B2516" s="371" t="s">
        <v>4055</v>
      </c>
      <c r="C2516" s="371" t="s">
        <v>9666</v>
      </c>
      <c r="D2516" s="371" t="s">
        <v>2205</v>
      </c>
    </row>
    <row r="2517" ht="15.75" customHeight="1">
      <c r="B2517" s="371" t="s">
        <v>9667</v>
      </c>
      <c r="C2517" s="371" t="s">
        <v>8209</v>
      </c>
      <c r="D2517" s="371" t="s">
        <v>2205</v>
      </c>
    </row>
    <row r="2518" ht="15.75" customHeight="1">
      <c r="B2518" s="371" t="s">
        <v>9668</v>
      </c>
      <c r="C2518" s="371" t="s">
        <v>8209</v>
      </c>
      <c r="D2518" s="371" t="s">
        <v>2205</v>
      </c>
    </row>
    <row r="2519" ht="15.75" customHeight="1">
      <c r="B2519" s="371" t="s">
        <v>3633</v>
      </c>
      <c r="C2519" s="371" t="s">
        <v>9669</v>
      </c>
      <c r="D2519" s="371" t="s">
        <v>2205</v>
      </c>
    </row>
    <row r="2520" ht="15.75" customHeight="1">
      <c r="B2520" s="371" t="s">
        <v>3638</v>
      </c>
      <c r="C2520" s="371" t="s">
        <v>9280</v>
      </c>
      <c r="D2520" s="371" t="s">
        <v>2139</v>
      </c>
    </row>
    <row r="2521" ht="15.75" customHeight="1">
      <c r="B2521" s="371" t="s">
        <v>3642</v>
      </c>
      <c r="C2521" s="371" t="s">
        <v>9670</v>
      </c>
      <c r="D2521" s="371" t="s">
        <v>2205</v>
      </c>
    </row>
    <row r="2522" ht="15.75" customHeight="1">
      <c r="B2522" s="371" t="s">
        <v>3644</v>
      </c>
      <c r="C2522" s="371" t="s">
        <v>9671</v>
      </c>
      <c r="D2522" s="371" t="s">
        <v>2205</v>
      </c>
    </row>
    <row r="2523" ht="15.75" customHeight="1">
      <c r="B2523" s="371" t="s">
        <v>3962</v>
      </c>
      <c r="C2523" s="371" t="s">
        <v>9672</v>
      </c>
      <c r="D2523" s="371" t="s">
        <v>2139</v>
      </c>
    </row>
    <row r="2524" ht="15.75" customHeight="1">
      <c r="B2524" s="371" t="s">
        <v>3954</v>
      </c>
      <c r="C2524" s="371" t="s">
        <v>9673</v>
      </c>
      <c r="D2524" s="371" t="s">
        <v>2139</v>
      </c>
    </row>
    <row r="2525" ht="15.75" customHeight="1">
      <c r="B2525" s="371" t="s">
        <v>3936</v>
      </c>
      <c r="C2525" s="371" t="s">
        <v>9674</v>
      </c>
      <c r="D2525" s="371" t="s">
        <v>2139</v>
      </c>
    </row>
    <row r="2526" ht="15.75" customHeight="1">
      <c r="B2526" s="371" t="s">
        <v>3927</v>
      </c>
      <c r="C2526" s="371" t="s">
        <v>9675</v>
      </c>
      <c r="D2526" s="371" t="s">
        <v>2139</v>
      </c>
    </row>
    <row r="2527" ht="15.75" customHeight="1">
      <c r="B2527" s="371" t="s">
        <v>3914</v>
      </c>
      <c r="C2527" s="371" t="s">
        <v>9676</v>
      </c>
      <c r="D2527" s="371" t="s">
        <v>2139</v>
      </c>
    </row>
    <row r="2528" ht="15.75" customHeight="1">
      <c r="B2528" s="371" t="s">
        <v>3944</v>
      </c>
      <c r="C2528" s="371" t="s">
        <v>9677</v>
      </c>
      <c r="D2528" s="371" t="s">
        <v>2139</v>
      </c>
    </row>
    <row r="2529" ht="15.75" customHeight="1">
      <c r="B2529" s="371" t="s">
        <v>3957</v>
      </c>
      <c r="C2529" s="371" t="s">
        <v>9678</v>
      </c>
      <c r="D2529" s="371" t="s">
        <v>2139</v>
      </c>
    </row>
    <row r="2530" ht="15.75" customHeight="1">
      <c r="B2530" s="371" t="s">
        <v>3949</v>
      </c>
      <c r="C2530" s="371" t="s">
        <v>9679</v>
      </c>
      <c r="D2530" s="371" t="s">
        <v>2139</v>
      </c>
    </row>
    <row r="2531" ht="15.75" customHeight="1">
      <c r="B2531" s="371" t="s">
        <v>3932</v>
      </c>
      <c r="C2531" s="371" t="s">
        <v>9680</v>
      </c>
      <c r="D2531" s="371" t="s">
        <v>2205</v>
      </c>
    </row>
    <row r="2532" ht="15.75" customHeight="1">
      <c r="B2532" s="371" t="s">
        <v>3925</v>
      </c>
      <c r="C2532" s="371" t="s">
        <v>9681</v>
      </c>
      <c r="D2532" s="371" t="s">
        <v>2205</v>
      </c>
    </row>
    <row r="2533" ht="15.75" customHeight="1">
      <c r="B2533" s="371" t="s">
        <v>3909</v>
      </c>
      <c r="C2533" s="371" t="s">
        <v>9682</v>
      </c>
      <c r="D2533" s="371" t="s">
        <v>2205</v>
      </c>
    </row>
    <row r="2534" ht="15.75" customHeight="1">
      <c r="B2534" s="371" t="s">
        <v>3940</v>
      </c>
      <c r="C2534" s="371" t="s">
        <v>9683</v>
      </c>
      <c r="D2534" s="371" t="s">
        <v>2139</v>
      </c>
    </row>
    <row r="2535" ht="15.75" customHeight="1">
      <c r="B2535" s="371" t="s">
        <v>3929</v>
      </c>
      <c r="C2535" s="371" t="s">
        <v>9684</v>
      </c>
      <c r="D2535" s="371" t="s">
        <v>2139</v>
      </c>
    </row>
    <row r="2536" ht="15.75" customHeight="1">
      <c r="B2536" s="371" t="s">
        <v>3919</v>
      </c>
      <c r="C2536" s="371" t="s">
        <v>9685</v>
      </c>
      <c r="D2536" s="371" t="s">
        <v>2139</v>
      </c>
    </row>
    <row r="2537" ht="15.75" customHeight="1">
      <c r="B2537" s="371" t="s">
        <v>4060</v>
      </c>
      <c r="C2537" s="371" t="s">
        <v>9686</v>
      </c>
      <c r="D2537" s="371" t="s">
        <v>2205</v>
      </c>
    </row>
    <row r="2538" ht="15.75" customHeight="1">
      <c r="B2538" s="371" t="s">
        <v>3968</v>
      </c>
      <c r="C2538" s="371" t="s">
        <v>9687</v>
      </c>
      <c r="D2538" s="371" t="s">
        <v>2139</v>
      </c>
    </row>
    <row r="2539" ht="15.75" customHeight="1">
      <c r="B2539" s="371" t="s">
        <v>9688</v>
      </c>
      <c r="C2539" s="371" t="s">
        <v>9689</v>
      </c>
      <c r="D2539" s="371" t="s">
        <v>2205</v>
      </c>
    </row>
    <row r="2540" ht="15.75" customHeight="1">
      <c r="B2540" s="371" t="s">
        <v>3788</v>
      </c>
      <c r="C2540" s="371" t="s">
        <v>9690</v>
      </c>
      <c r="D2540" s="371" t="s">
        <v>2139</v>
      </c>
    </row>
    <row r="2541" ht="15.75" customHeight="1">
      <c r="B2541" s="371" t="s">
        <v>3793</v>
      </c>
      <c r="C2541" s="371" t="s">
        <v>9691</v>
      </c>
      <c r="D2541" s="371" t="s">
        <v>2205</v>
      </c>
    </row>
    <row r="2542" ht="15.75" customHeight="1">
      <c r="B2542" s="371" t="s">
        <v>3782</v>
      </c>
      <c r="C2542" s="371" t="s">
        <v>9692</v>
      </c>
      <c r="D2542" s="371" t="s">
        <v>2139</v>
      </c>
    </row>
    <row r="2543" ht="15.75" customHeight="1">
      <c r="B2543" s="371" t="s">
        <v>3827</v>
      </c>
      <c r="C2543" s="371" t="s">
        <v>9693</v>
      </c>
      <c r="D2543" s="371" t="s">
        <v>2139</v>
      </c>
    </row>
    <row r="2544" ht="15.75" customHeight="1">
      <c r="B2544" s="371" t="s">
        <v>3822</v>
      </c>
      <c r="C2544" s="371" t="s">
        <v>9694</v>
      </c>
      <c r="D2544" s="371" t="s">
        <v>2205</v>
      </c>
    </row>
    <row r="2545" ht="15.75" customHeight="1">
      <c r="B2545" s="371" t="s">
        <v>3798</v>
      </c>
      <c r="C2545" s="371" t="s">
        <v>9694</v>
      </c>
      <c r="D2545" s="371" t="s">
        <v>2205</v>
      </c>
    </row>
    <row r="2546" ht="15.75" customHeight="1">
      <c r="B2546" s="371" t="s">
        <v>6018</v>
      </c>
      <c r="C2546" s="371" t="s">
        <v>9351</v>
      </c>
      <c r="D2546" s="371" t="s">
        <v>2205</v>
      </c>
    </row>
    <row r="2547" ht="15.75" customHeight="1">
      <c r="B2547" s="371" t="s">
        <v>3731</v>
      </c>
      <c r="C2547" s="371" t="s">
        <v>9695</v>
      </c>
      <c r="D2547" s="371" t="s">
        <v>2139</v>
      </c>
    </row>
    <row r="2548" ht="15.75" customHeight="1">
      <c r="B2548" s="371" t="s">
        <v>3976</v>
      </c>
      <c r="C2548" s="371" t="s">
        <v>9696</v>
      </c>
      <c r="D2548" s="371" t="s">
        <v>2205</v>
      </c>
    </row>
    <row r="2549" ht="15.75" customHeight="1">
      <c r="B2549" s="371" t="s">
        <v>3991</v>
      </c>
      <c r="C2549" s="371" t="s">
        <v>9697</v>
      </c>
      <c r="D2549" s="371" t="s">
        <v>2205</v>
      </c>
    </row>
    <row r="2550" ht="15.75" customHeight="1">
      <c r="B2550" s="371" t="s">
        <v>3751</v>
      </c>
      <c r="C2550" s="371" t="s">
        <v>9280</v>
      </c>
      <c r="D2550" s="371" t="s">
        <v>2205</v>
      </c>
    </row>
    <row r="2551" ht="15.75" customHeight="1">
      <c r="B2551" s="371" t="s">
        <v>3558</v>
      </c>
      <c r="C2551" s="371" t="s">
        <v>9698</v>
      </c>
      <c r="D2551" s="371" t="s">
        <v>2205</v>
      </c>
    </row>
    <row r="2552" ht="15.75" customHeight="1">
      <c r="B2552" s="371" t="s">
        <v>3533</v>
      </c>
      <c r="C2552" s="371" t="s">
        <v>9699</v>
      </c>
      <c r="D2552" s="371" t="s">
        <v>2205</v>
      </c>
    </row>
    <row r="2553" ht="15.75" customHeight="1">
      <c r="B2553" s="371" t="s">
        <v>3538</v>
      </c>
      <c r="C2553" s="371" t="s">
        <v>9700</v>
      </c>
      <c r="D2553" s="371" t="s">
        <v>2205</v>
      </c>
    </row>
    <row r="2554" ht="15.75" customHeight="1">
      <c r="B2554" s="371" t="s">
        <v>3528</v>
      </c>
      <c r="C2554" s="371" t="s">
        <v>9701</v>
      </c>
      <c r="D2554" s="371" t="s">
        <v>2205</v>
      </c>
    </row>
    <row r="2555" ht="15.75" customHeight="1">
      <c r="B2555" s="371" t="s">
        <v>9702</v>
      </c>
      <c r="C2555" s="371" t="s">
        <v>9694</v>
      </c>
      <c r="D2555" s="371" t="s">
        <v>2205</v>
      </c>
    </row>
    <row r="2556" ht="15.75" customHeight="1">
      <c r="B2556" s="371" t="s">
        <v>3552</v>
      </c>
      <c r="C2556" s="371" t="s">
        <v>9703</v>
      </c>
      <c r="D2556" s="371" t="s">
        <v>2205</v>
      </c>
    </row>
    <row r="2557" ht="15.75" customHeight="1">
      <c r="B2557" s="371" t="s">
        <v>3563</v>
      </c>
      <c r="C2557" s="371" t="s">
        <v>9694</v>
      </c>
      <c r="D2557" s="371" t="s">
        <v>2205</v>
      </c>
    </row>
    <row r="2558" ht="15.75" customHeight="1">
      <c r="B2558" s="371" t="s">
        <v>4017</v>
      </c>
      <c r="C2558" s="371" t="s">
        <v>9704</v>
      </c>
      <c r="D2558" s="371" t="s">
        <v>2205</v>
      </c>
    </row>
    <row r="2559" ht="15.75" customHeight="1">
      <c r="B2559" s="371" t="s">
        <v>4012</v>
      </c>
      <c r="C2559" s="371" t="s">
        <v>9705</v>
      </c>
      <c r="D2559" s="371" t="s">
        <v>2205</v>
      </c>
    </row>
    <row r="2560" ht="15.75" customHeight="1">
      <c r="B2560" s="371" t="s">
        <v>4022</v>
      </c>
      <c r="C2560" s="371" t="s">
        <v>9706</v>
      </c>
      <c r="D2560" s="371" t="s">
        <v>2205</v>
      </c>
    </row>
    <row r="2561" ht="15.75" customHeight="1">
      <c r="B2561" s="371" t="s">
        <v>3971</v>
      </c>
      <c r="C2561" s="371" t="s">
        <v>9707</v>
      </c>
      <c r="D2561" s="371" t="s">
        <v>2205</v>
      </c>
    </row>
    <row r="2562" ht="15.75" customHeight="1">
      <c r="B2562" s="371" t="s">
        <v>3612</v>
      </c>
      <c r="C2562" s="371" t="s">
        <v>9694</v>
      </c>
      <c r="D2562" s="371" t="s">
        <v>2205</v>
      </c>
    </row>
    <row r="2563" ht="15.75" customHeight="1">
      <c r="B2563" s="371" t="s">
        <v>3602</v>
      </c>
      <c r="C2563" s="371" t="s">
        <v>9708</v>
      </c>
      <c r="D2563" s="371" t="s">
        <v>2139</v>
      </c>
    </row>
    <row r="2564" ht="15.75" customHeight="1">
      <c r="B2564" s="371" t="s">
        <v>3607</v>
      </c>
      <c r="C2564" s="371" t="s">
        <v>9694</v>
      </c>
      <c r="D2564" s="371" t="s">
        <v>2205</v>
      </c>
    </row>
    <row r="2565" ht="15.75" customHeight="1">
      <c r="B2565" s="371" t="s">
        <v>3833</v>
      </c>
      <c r="C2565" s="371" t="s">
        <v>9709</v>
      </c>
      <c r="D2565" s="371" t="s">
        <v>2139</v>
      </c>
    </row>
    <row r="2566" ht="15.75" customHeight="1">
      <c r="B2566" s="371" t="s">
        <v>3838</v>
      </c>
      <c r="C2566" s="371" t="s">
        <v>9694</v>
      </c>
      <c r="D2566" s="371" t="s">
        <v>2205</v>
      </c>
    </row>
    <row r="2567" ht="15.75" customHeight="1">
      <c r="B2567" s="371" t="s">
        <v>3843</v>
      </c>
      <c r="C2567" s="371" t="s">
        <v>9710</v>
      </c>
      <c r="D2567" s="371" t="s">
        <v>2205</v>
      </c>
    </row>
    <row r="2568" ht="15.75" customHeight="1">
      <c r="B2568" s="371" t="s">
        <v>3857</v>
      </c>
      <c r="C2568" s="371" t="s">
        <v>9711</v>
      </c>
      <c r="D2568" s="371" t="s">
        <v>2139</v>
      </c>
    </row>
    <row r="2569" ht="15.75" customHeight="1">
      <c r="B2569" s="371" t="s">
        <v>3847</v>
      </c>
      <c r="C2569" s="371" t="s">
        <v>9712</v>
      </c>
      <c r="D2569" s="371" t="s">
        <v>2139</v>
      </c>
    </row>
    <row r="2570" ht="15.75" customHeight="1">
      <c r="B2570" s="371" t="s">
        <v>3852</v>
      </c>
      <c r="C2570" s="371" t="s">
        <v>9713</v>
      </c>
      <c r="D2570" s="371" t="s">
        <v>2139</v>
      </c>
    </row>
    <row r="2571" ht="15.75" customHeight="1">
      <c r="B2571" s="371" t="s">
        <v>3859</v>
      </c>
      <c r="C2571" s="371" t="s">
        <v>9714</v>
      </c>
      <c r="D2571" s="371" t="s">
        <v>2139</v>
      </c>
    </row>
    <row r="2572" ht="15.75" customHeight="1">
      <c r="B2572" s="371" t="s">
        <v>3864</v>
      </c>
      <c r="C2572" s="371" t="s">
        <v>9715</v>
      </c>
      <c r="D2572" s="371" t="s">
        <v>2139</v>
      </c>
    </row>
    <row r="2573" ht="15.75" customHeight="1">
      <c r="B2573" s="371" t="s">
        <v>3868</v>
      </c>
      <c r="C2573" s="371" t="s">
        <v>9716</v>
      </c>
      <c r="D2573" s="371" t="s">
        <v>2139</v>
      </c>
    </row>
    <row r="2574" ht="15.75" customHeight="1">
      <c r="B2574" s="371" t="s">
        <v>3872</v>
      </c>
      <c r="C2574" s="371" t="s">
        <v>9717</v>
      </c>
      <c r="D2574" s="371" t="s">
        <v>2139</v>
      </c>
    </row>
    <row r="2575" ht="15.75" customHeight="1">
      <c r="B2575" s="371" t="s">
        <v>3877</v>
      </c>
      <c r="C2575" s="371" t="s">
        <v>9718</v>
      </c>
      <c r="D2575" s="371" t="s">
        <v>2139</v>
      </c>
    </row>
    <row r="2576" ht="15.75" customHeight="1">
      <c r="B2576" s="371" t="s">
        <v>3882</v>
      </c>
      <c r="C2576" s="371" t="s">
        <v>9719</v>
      </c>
      <c r="D2576" s="371" t="s">
        <v>2139</v>
      </c>
    </row>
    <row r="2577" ht="15.75" customHeight="1">
      <c r="B2577" s="371" t="s">
        <v>3885</v>
      </c>
      <c r="C2577" s="371" t="s">
        <v>9720</v>
      </c>
      <c r="D2577" s="371" t="s">
        <v>2139</v>
      </c>
    </row>
    <row r="2578" ht="15.75" customHeight="1">
      <c r="B2578" s="371" t="s">
        <v>9721</v>
      </c>
      <c r="C2578" s="371" t="s">
        <v>8626</v>
      </c>
      <c r="D2578" s="371" t="s">
        <v>2205</v>
      </c>
    </row>
    <row r="2579" ht="15.75" customHeight="1">
      <c r="B2579" s="371" t="s">
        <v>3820</v>
      </c>
      <c r="C2579" s="371" t="s">
        <v>9722</v>
      </c>
      <c r="D2579" s="371" t="s">
        <v>2139</v>
      </c>
    </row>
    <row r="2580" ht="15.75" customHeight="1">
      <c r="B2580" s="371" t="s">
        <v>9723</v>
      </c>
      <c r="C2580" s="371" t="s">
        <v>9694</v>
      </c>
      <c r="D2580" s="371" t="s">
        <v>2205</v>
      </c>
    </row>
    <row r="2581" ht="15.75" customHeight="1">
      <c r="B2581" s="371" t="s">
        <v>3810</v>
      </c>
      <c r="C2581" s="371" t="s">
        <v>9724</v>
      </c>
      <c r="D2581" s="371" t="s">
        <v>2205</v>
      </c>
    </row>
    <row r="2582" ht="15.75" customHeight="1">
      <c r="B2582" s="371">
        <v>23560.0</v>
      </c>
      <c r="C2582" s="371" t="s">
        <v>9725</v>
      </c>
      <c r="D2582" s="371" t="s">
        <v>2205</v>
      </c>
    </row>
    <row r="2583" ht="15.75" customHeight="1">
      <c r="B2583" s="371" t="s">
        <v>4045</v>
      </c>
      <c r="C2583" s="371" t="s">
        <v>9726</v>
      </c>
      <c r="D2583" s="371" t="s">
        <v>2139</v>
      </c>
    </row>
    <row r="2584" ht="15.75" customHeight="1">
      <c r="B2584" s="371" t="s">
        <v>3804</v>
      </c>
      <c r="C2584" s="371" t="s">
        <v>9727</v>
      </c>
      <c r="D2584" s="371" t="s">
        <v>2205</v>
      </c>
    </row>
    <row r="2585" ht="15.75" customHeight="1">
      <c r="B2585" s="371" t="s">
        <v>3893</v>
      </c>
      <c r="C2585" s="371" t="s">
        <v>9694</v>
      </c>
      <c r="D2585" s="371" t="s">
        <v>2205</v>
      </c>
    </row>
    <row r="2586" ht="15.75" customHeight="1">
      <c r="B2586" s="371" t="s">
        <v>3750</v>
      </c>
      <c r="C2586" s="371" t="s">
        <v>9694</v>
      </c>
      <c r="D2586" s="371" t="s">
        <v>2205</v>
      </c>
    </row>
    <row r="2587" ht="15.75" customHeight="1">
      <c r="B2587" s="371" t="s">
        <v>3650</v>
      </c>
      <c r="C2587" s="371" t="s">
        <v>9694</v>
      </c>
      <c r="D2587" s="371" t="s">
        <v>2205</v>
      </c>
    </row>
    <row r="2588" ht="15.75" customHeight="1">
      <c r="B2588" s="371" t="s">
        <v>3655</v>
      </c>
      <c r="C2588" s="371" t="s">
        <v>9280</v>
      </c>
      <c r="D2588" s="371" t="s">
        <v>2205</v>
      </c>
    </row>
    <row r="2589" ht="15.75" customHeight="1">
      <c r="B2589" s="371" t="s">
        <v>9728</v>
      </c>
      <c r="C2589" s="371" t="s">
        <v>9729</v>
      </c>
      <c r="D2589" s="371" t="s">
        <v>2139</v>
      </c>
    </row>
    <row r="2590" ht="15.75" customHeight="1">
      <c r="B2590" s="371" t="s">
        <v>9730</v>
      </c>
      <c r="C2590" s="371" t="s">
        <v>9731</v>
      </c>
      <c r="D2590" s="371" t="s">
        <v>2205</v>
      </c>
    </row>
    <row r="2591" ht="15.75" customHeight="1">
      <c r="B2591" s="371" t="s">
        <v>3682</v>
      </c>
      <c r="C2591" s="371" t="s">
        <v>9732</v>
      </c>
      <c r="D2591" s="371" t="s">
        <v>2205</v>
      </c>
    </row>
    <row r="2592" ht="15.75" customHeight="1">
      <c r="B2592" s="371" t="s">
        <v>9733</v>
      </c>
      <c r="C2592" s="371" t="s">
        <v>9734</v>
      </c>
      <c r="D2592" s="371" t="s">
        <v>2139</v>
      </c>
    </row>
    <row r="2593" ht="15.75" customHeight="1">
      <c r="B2593" s="371" t="s">
        <v>3708</v>
      </c>
      <c r="C2593" s="371" t="s">
        <v>9735</v>
      </c>
      <c r="D2593" s="371" t="s">
        <v>2205</v>
      </c>
    </row>
    <row r="2594" ht="15.75" customHeight="1">
      <c r="B2594" s="371" t="s">
        <v>3688</v>
      </c>
      <c r="C2594" s="371" t="s">
        <v>9736</v>
      </c>
      <c r="D2594" s="371" t="s">
        <v>2139</v>
      </c>
    </row>
    <row r="2595" ht="15.75" customHeight="1">
      <c r="B2595" s="371" t="s">
        <v>3712</v>
      </c>
      <c r="C2595" s="371" t="s">
        <v>9735</v>
      </c>
      <c r="D2595" s="371" t="s">
        <v>2205</v>
      </c>
    </row>
    <row r="2596" ht="15.75" customHeight="1">
      <c r="B2596" s="371" t="s">
        <v>3693</v>
      </c>
      <c r="C2596" s="371" t="s">
        <v>9737</v>
      </c>
      <c r="D2596" s="371" t="s">
        <v>2205</v>
      </c>
    </row>
    <row r="2597" ht="15.75" customHeight="1">
      <c r="B2597" s="371" t="s">
        <v>3597</v>
      </c>
      <c r="C2597" s="371" t="s">
        <v>9738</v>
      </c>
      <c r="D2597" s="371" t="s">
        <v>2139</v>
      </c>
    </row>
    <row r="2598" ht="15.75" customHeight="1">
      <c r="B2598" s="371" t="s">
        <v>3592</v>
      </c>
      <c r="C2598" s="371" t="s">
        <v>9739</v>
      </c>
      <c r="D2598" s="371" t="s">
        <v>2139</v>
      </c>
    </row>
    <row r="2599" ht="15.75" customHeight="1">
      <c r="B2599" s="371" t="s">
        <v>3997</v>
      </c>
      <c r="C2599" s="371" t="s">
        <v>9740</v>
      </c>
      <c r="D2599" s="371" t="s">
        <v>2139</v>
      </c>
    </row>
    <row r="2600" ht="15.75" customHeight="1">
      <c r="B2600" s="371" t="s">
        <v>3981</v>
      </c>
      <c r="C2600" s="371" t="s">
        <v>9741</v>
      </c>
      <c r="D2600" s="371" t="s">
        <v>2205</v>
      </c>
    </row>
    <row r="2601" ht="15.75" customHeight="1">
      <c r="B2601" s="371" t="s">
        <v>4007</v>
      </c>
      <c r="C2601" s="371" t="s">
        <v>9742</v>
      </c>
      <c r="D2601" s="371" t="s">
        <v>2139</v>
      </c>
    </row>
    <row r="2602" ht="15.75" customHeight="1">
      <c r="B2602" s="371" t="s">
        <v>4002</v>
      </c>
      <c r="C2602" s="371" t="s">
        <v>9743</v>
      </c>
      <c r="D2602" s="371" t="s">
        <v>2139</v>
      </c>
    </row>
    <row r="2603" ht="15.75" customHeight="1">
      <c r="B2603" s="371" t="s">
        <v>3755</v>
      </c>
      <c r="C2603" s="371" t="s">
        <v>9280</v>
      </c>
      <c r="D2603" s="371" t="s">
        <v>2205</v>
      </c>
    </row>
    <row r="2604" ht="15.75" customHeight="1">
      <c r="B2604" s="371" t="s">
        <v>3542</v>
      </c>
      <c r="C2604" s="371" t="s">
        <v>9744</v>
      </c>
      <c r="D2604" s="371" t="s">
        <v>2139</v>
      </c>
    </row>
    <row r="2605" ht="15.75" customHeight="1">
      <c r="B2605" s="371" t="s">
        <v>3757</v>
      </c>
      <c r="C2605" s="371" t="s">
        <v>9280</v>
      </c>
      <c r="D2605" s="371" t="s">
        <v>2205</v>
      </c>
    </row>
    <row r="2606" ht="15.75" customHeight="1">
      <c r="B2606" s="371" t="s">
        <v>3547</v>
      </c>
      <c r="C2606" s="371" t="s">
        <v>9698</v>
      </c>
      <c r="D2606" s="371" t="s">
        <v>2205</v>
      </c>
    </row>
    <row r="2607" ht="15.75" customHeight="1">
      <c r="B2607" s="371" t="s">
        <v>9745</v>
      </c>
      <c r="C2607" s="371" t="s">
        <v>9695</v>
      </c>
      <c r="D2607" s="371" t="s">
        <v>2205</v>
      </c>
    </row>
    <row r="2608" ht="15.75" customHeight="1">
      <c r="B2608" s="371" t="s">
        <v>3815</v>
      </c>
      <c r="C2608" s="371" t="s">
        <v>9746</v>
      </c>
      <c r="D2608" s="371" t="s">
        <v>2205</v>
      </c>
    </row>
    <row r="2609" ht="15.75" customHeight="1">
      <c r="B2609" s="371" t="s">
        <v>3736</v>
      </c>
      <c r="C2609" s="371" t="s">
        <v>9747</v>
      </c>
      <c r="D2609" s="371" t="s">
        <v>2205</v>
      </c>
    </row>
    <row r="2610" ht="15.75" customHeight="1">
      <c r="B2610" s="371" t="s">
        <v>3716</v>
      </c>
      <c r="C2610" s="371" t="s">
        <v>9280</v>
      </c>
      <c r="D2610" s="371" t="s">
        <v>2139</v>
      </c>
    </row>
    <row r="2611" ht="15.75" customHeight="1">
      <c r="B2611" s="371" t="s">
        <v>3721</v>
      </c>
      <c r="C2611" s="371" t="s">
        <v>9694</v>
      </c>
      <c r="D2611" s="371" t="s">
        <v>2205</v>
      </c>
    </row>
    <row r="2612" ht="15.75" customHeight="1">
      <c r="B2612" s="371" t="s">
        <v>3698</v>
      </c>
      <c r="C2612" s="371" t="s">
        <v>9748</v>
      </c>
      <c r="D2612" s="371" t="s">
        <v>2205</v>
      </c>
    </row>
    <row r="2613" ht="15.75" customHeight="1">
      <c r="B2613" s="371" t="s">
        <v>3703</v>
      </c>
      <c r="C2613" s="371" t="s">
        <v>9749</v>
      </c>
      <c r="D2613" s="371" t="s">
        <v>2205</v>
      </c>
    </row>
    <row r="2614" ht="15.75" customHeight="1">
      <c r="B2614" s="371" t="s">
        <v>3741</v>
      </c>
      <c r="C2614" s="371" t="s">
        <v>9750</v>
      </c>
      <c r="D2614" s="371" t="s">
        <v>2205</v>
      </c>
    </row>
    <row r="2615" ht="15.75" customHeight="1">
      <c r="B2615" s="371" t="s">
        <v>4026</v>
      </c>
      <c r="C2615" s="371" t="s">
        <v>9751</v>
      </c>
      <c r="D2615" s="371" t="s">
        <v>2205</v>
      </c>
    </row>
    <row r="2616" ht="15.75" customHeight="1">
      <c r="B2616" s="371" t="s">
        <v>4035</v>
      </c>
      <c r="C2616" s="371" t="s">
        <v>9752</v>
      </c>
      <c r="D2616" s="371" t="s">
        <v>2205</v>
      </c>
    </row>
    <row r="2617" ht="15.75" customHeight="1">
      <c r="B2617" s="371" t="s">
        <v>9753</v>
      </c>
      <c r="C2617" s="371" t="s">
        <v>9280</v>
      </c>
      <c r="D2617" s="371" t="s">
        <v>2205</v>
      </c>
    </row>
    <row r="2618" ht="15.75" customHeight="1">
      <c r="B2618" s="371" t="s">
        <v>3726</v>
      </c>
      <c r="C2618" s="371" t="s">
        <v>9746</v>
      </c>
      <c r="D2618" s="371" t="s">
        <v>2139</v>
      </c>
    </row>
    <row r="2619" ht="15.75" customHeight="1">
      <c r="B2619" s="371" t="s">
        <v>4030</v>
      </c>
      <c r="C2619" s="371" t="s">
        <v>9754</v>
      </c>
      <c r="D2619" s="371" t="s">
        <v>2205</v>
      </c>
    </row>
    <row r="2620" ht="15.75" customHeight="1">
      <c r="B2620" s="371">
        <v>26703.0</v>
      </c>
      <c r="C2620" s="371" t="s">
        <v>9755</v>
      </c>
      <c r="D2620" s="371" t="s">
        <v>2205</v>
      </c>
    </row>
    <row r="2621" ht="15.75" customHeight="1">
      <c r="B2621" s="371" t="s">
        <v>4040</v>
      </c>
      <c r="C2621" s="371" t="s">
        <v>9756</v>
      </c>
      <c r="D2621" s="371" t="s">
        <v>2205</v>
      </c>
    </row>
    <row r="2622" ht="15.75" customHeight="1">
      <c r="B2622" s="371" t="s">
        <v>9757</v>
      </c>
      <c r="C2622" s="371" t="s">
        <v>9694</v>
      </c>
      <c r="D2622" s="371" t="s">
        <v>2205</v>
      </c>
    </row>
    <row r="2623" ht="15.75" customHeight="1">
      <c r="B2623" s="371" t="s">
        <v>3569</v>
      </c>
      <c r="C2623" s="371" t="s">
        <v>9694</v>
      </c>
      <c r="D2623" s="371" t="s">
        <v>2139</v>
      </c>
    </row>
    <row r="2624" ht="15.75" customHeight="1">
      <c r="B2624" s="371" t="s">
        <v>3579</v>
      </c>
      <c r="C2624" s="371" t="s">
        <v>9758</v>
      </c>
      <c r="D2624" s="371" t="s">
        <v>2205</v>
      </c>
    </row>
    <row r="2625" ht="15.75" customHeight="1">
      <c r="B2625" s="371" t="s">
        <v>3574</v>
      </c>
      <c r="C2625" s="371" t="s">
        <v>9759</v>
      </c>
      <c r="D2625" s="371" t="s">
        <v>2139</v>
      </c>
    </row>
    <row r="2626" ht="15.75" customHeight="1">
      <c r="B2626" s="371" t="s">
        <v>3584</v>
      </c>
      <c r="C2626" s="371" t="s">
        <v>9760</v>
      </c>
      <c r="D2626" s="371" t="s">
        <v>2205</v>
      </c>
    </row>
    <row r="2627" ht="15.75" customHeight="1">
      <c r="B2627" s="371" t="s">
        <v>3589</v>
      </c>
      <c r="C2627" s="371" t="s">
        <v>9761</v>
      </c>
      <c r="D2627" s="371" t="s">
        <v>2139</v>
      </c>
    </row>
    <row r="2628" ht="15.75" customHeight="1">
      <c r="B2628" s="371" t="s">
        <v>9762</v>
      </c>
      <c r="C2628" s="371" t="s">
        <v>9708</v>
      </c>
      <c r="D2628" s="371" t="s">
        <v>2205</v>
      </c>
    </row>
    <row r="2629" ht="15.75" customHeight="1">
      <c r="B2629" s="371" t="s">
        <v>3628</v>
      </c>
      <c r="C2629" s="371" t="s">
        <v>9763</v>
      </c>
      <c r="D2629" s="371" t="s">
        <v>2205</v>
      </c>
    </row>
    <row r="2630" ht="15.75" customHeight="1">
      <c r="B2630" s="371" t="s">
        <v>3623</v>
      </c>
      <c r="C2630" s="371" t="s">
        <v>9764</v>
      </c>
      <c r="D2630" s="371" t="s">
        <v>2205</v>
      </c>
    </row>
    <row r="2631" ht="15.75" customHeight="1">
      <c r="B2631" s="371" t="s">
        <v>3618</v>
      </c>
      <c r="C2631" s="371" t="s">
        <v>9708</v>
      </c>
      <c r="D2631" s="371" t="s">
        <v>2205</v>
      </c>
    </row>
    <row r="2632" ht="15.75" customHeight="1">
      <c r="B2632" s="371">
        <v>27395.0</v>
      </c>
      <c r="C2632" s="371" t="s">
        <v>9746</v>
      </c>
      <c r="D2632" s="371" t="s">
        <v>2205</v>
      </c>
    </row>
    <row r="2633" ht="15.75" customHeight="1">
      <c r="B2633" s="371" t="s">
        <v>9765</v>
      </c>
      <c r="C2633" s="371" t="s">
        <v>9706</v>
      </c>
      <c r="D2633" s="371" t="s">
        <v>2205</v>
      </c>
    </row>
    <row r="2634" ht="15.75" customHeight="1">
      <c r="B2634" s="371" t="s">
        <v>6020</v>
      </c>
      <c r="C2634" s="371" t="s">
        <v>9351</v>
      </c>
      <c r="D2634" s="371" t="s">
        <v>2205</v>
      </c>
    </row>
    <row r="2635" ht="15.75" customHeight="1">
      <c r="B2635" s="371" t="s">
        <v>3762</v>
      </c>
      <c r="C2635" s="371" t="s">
        <v>9766</v>
      </c>
      <c r="D2635" s="371" t="s">
        <v>2205</v>
      </c>
    </row>
    <row r="2636" ht="15.75" customHeight="1">
      <c r="B2636" s="371" t="s">
        <v>3767</v>
      </c>
      <c r="C2636" s="371" t="s">
        <v>9766</v>
      </c>
      <c r="D2636" s="371" t="s">
        <v>2139</v>
      </c>
    </row>
    <row r="2637" ht="15.75" customHeight="1">
      <c r="B2637" s="371" t="s">
        <v>9767</v>
      </c>
      <c r="C2637" s="371" t="s">
        <v>7733</v>
      </c>
      <c r="D2637" s="371" t="s">
        <v>2205</v>
      </c>
    </row>
    <row r="2638" ht="15.75" customHeight="1">
      <c r="B2638" s="371" t="s">
        <v>4335</v>
      </c>
      <c r="C2638" s="371" t="s">
        <v>8521</v>
      </c>
      <c r="D2638" s="371" t="s">
        <v>2205</v>
      </c>
    </row>
    <row r="2639" ht="15.75" customHeight="1">
      <c r="B2639" s="371" t="s">
        <v>4339</v>
      </c>
      <c r="C2639" s="371" t="s">
        <v>8521</v>
      </c>
      <c r="D2639" s="371" t="s">
        <v>2205</v>
      </c>
    </row>
    <row r="2640" ht="15.75" customHeight="1">
      <c r="B2640" s="371" t="s">
        <v>9768</v>
      </c>
      <c r="C2640" s="371" t="s">
        <v>8521</v>
      </c>
      <c r="D2640" s="371" t="s">
        <v>2139</v>
      </c>
    </row>
    <row r="2641" ht="15.75" customHeight="1">
      <c r="B2641" s="371" t="s">
        <v>2121</v>
      </c>
      <c r="C2641" s="371" t="s">
        <v>9769</v>
      </c>
      <c r="D2641" s="371" t="s">
        <v>2205</v>
      </c>
    </row>
    <row r="2642" ht="15.75" customHeight="1">
      <c r="B2642" s="371" t="s">
        <v>6022</v>
      </c>
      <c r="C2642" s="371" t="s">
        <v>9351</v>
      </c>
      <c r="D2642" s="371" t="s">
        <v>2205</v>
      </c>
    </row>
    <row r="2643" ht="15.75" customHeight="1">
      <c r="B2643" s="371" t="s">
        <v>9770</v>
      </c>
      <c r="C2643" s="371" t="s">
        <v>9771</v>
      </c>
      <c r="D2643" s="371" t="s">
        <v>2205</v>
      </c>
    </row>
    <row r="2644" ht="15.75" customHeight="1">
      <c r="B2644" s="371" t="s">
        <v>4065</v>
      </c>
      <c r="C2644" s="371" t="s">
        <v>9772</v>
      </c>
      <c r="D2644" s="371" t="s">
        <v>2205</v>
      </c>
    </row>
    <row r="2645" ht="15.75" customHeight="1">
      <c r="B2645" s="371" t="s">
        <v>9773</v>
      </c>
      <c r="C2645" s="371" t="s">
        <v>9774</v>
      </c>
      <c r="D2645" s="371" t="s">
        <v>2139</v>
      </c>
    </row>
    <row r="2646" ht="15.75" customHeight="1">
      <c r="B2646" s="371" t="s">
        <v>3508</v>
      </c>
      <c r="C2646" s="371" t="s">
        <v>7271</v>
      </c>
      <c r="D2646" s="371" t="s">
        <v>2205</v>
      </c>
    </row>
    <row r="2647" ht="15.75" customHeight="1">
      <c r="B2647" s="371" t="s">
        <v>9775</v>
      </c>
      <c r="C2647" s="371" t="s">
        <v>7241</v>
      </c>
      <c r="D2647" s="371" t="s">
        <v>2205</v>
      </c>
    </row>
    <row r="2648" ht="15.75" customHeight="1">
      <c r="B2648" s="371" t="s">
        <v>9776</v>
      </c>
      <c r="C2648" s="371" t="s">
        <v>9777</v>
      </c>
      <c r="D2648" s="371" t="s">
        <v>2205</v>
      </c>
    </row>
    <row r="2649" ht="15.75" customHeight="1">
      <c r="B2649" s="371" t="s">
        <v>9778</v>
      </c>
      <c r="C2649" s="371" t="s">
        <v>9779</v>
      </c>
      <c r="D2649" s="371" t="s">
        <v>2205</v>
      </c>
    </row>
    <row r="2650" ht="15.75" customHeight="1">
      <c r="B2650" s="371" t="s">
        <v>9780</v>
      </c>
      <c r="C2650" s="371" t="s">
        <v>9781</v>
      </c>
      <c r="D2650" s="371" t="s">
        <v>2205</v>
      </c>
    </row>
    <row r="2651" ht="15.75" customHeight="1">
      <c r="B2651" s="371" t="s">
        <v>9782</v>
      </c>
      <c r="C2651" s="371" t="s">
        <v>9783</v>
      </c>
      <c r="D2651" s="371" t="s">
        <v>2205</v>
      </c>
    </row>
    <row r="2652" ht="15.75" customHeight="1">
      <c r="B2652" s="371">
        <v>5078166.0</v>
      </c>
      <c r="C2652" s="371" t="s">
        <v>9784</v>
      </c>
      <c r="D2652" s="371" t="s">
        <v>2205</v>
      </c>
    </row>
    <row r="2653" ht="15.75" customHeight="1">
      <c r="B2653" s="371" t="s">
        <v>9785</v>
      </c>
      <c r="C2653" s="371" t="s">
        <v>9786</v>
      </c>
      <c r="D2653" s="371" t="s">
        <v>2205</v>
      </c>
    </row>
    <row r="2654" ht="15.75" customHeight="1">
      <c r="B2654" s="371">
        <v>522419.0</v>
      </c>
      <c r="C2654" s="371" t="s">
        <v>9787</v>
      </c>
      <c r="D2654" s="371" t="s">
        <v>2205</v>
      </c>
    </row>
    <row r="2655" ht="15.75" customHeight="1">
      <c r="B2655" s="371">
        <v>534465.0</v>
      </c>
      <c r="C2655" s="371" t="s">
        <v>9788</v>
      </c>
      <c r="D2655" s="371" t="s">
        <v>2205</v>
      </c>
    </row>
    <row r="2656" ht="15.75" customHeight="1">
      <c r="B2656" s="371">
        <v>535805.0</v>
      </c>
      <c r="C2656" s="371" t="s">
        <v>9789</v>
      </c>
      <c r="D2656" s="371" t="s">
        <v>2205</v>
      </c>
    </row>
    <row r="2657" ht="15.75" customHeight="1">
      <c r="B2657" s="371">
        <v>535883.0</v>
      </c>
      <c r="C2657" s="371" t="s">
        <v>9790</v>
      </c>
      <c r="D2657" s="371" t="s">
        <v>2205</v>
      </c>
    </row>
    <row r="2658" ht="15.75" customHeight="1">
      <c r="B2658" s="371">
        <v>538221.0</v>
      </c>
      <c r="C2658" s="371" t="s">
        <v>9791</v>
      </c>
      <c r="D2658" s="371" t="s">
        <v>2205</v>
      </c>
    </row>
    <row r="2659" ht="15.75" customHeight="1">
      <c r="B2659" s="371">
        <v>540340.0</v>
      </c>
      <c r="C2659" s="371" t="s">
        <v>9792</v>
      </c>
      <c r="D2659" s="371" t="s">
        <v>2205</v>
      </c>
    </row>
    <row r="2660" ht="15.75" customHeight="1">
      <c r="B2660" s="371" t="s">
        <v>4521</v>
      </c>
      <c r="C2660" s="371" t="s">
        <v>9793</v>
      </c>
      <c r="D2660" s="371" t="s">
        <v>2205</v>
      </c>
    </row>
    <row r="2661" ht="15.75" customHeight="1">
      <c r="B2661" s="371">
        <v>602.0</v>
      </c>
      <c r="C2661" s="371" t="s">
        <v>9794</v>
      </c>
      <c r="D2661" s="371" t="s">
        <v>2205</v>
      </c>
    </row>
    <row r="2662" ht="15.75" customHeight="1">
      <c r="B2662" s="371">
        <v>606.0</v>
      </c>
      <c r="C2662" s="371" t="s">
        <v>9794</v>
      </c>
      <c r="D2662" s="371" t="s">
        <v>2205</v>
      </c>
    </row>
    <row r="2663" ht="15.75" customHeight="1">
      <c r="B2663" s="371">
        <v>6176.0</v>
      </c>
      <c r="C2663" s="371" t="s">
        <v>7271</v>
      </c>
      <c r="D2663" s="371" t="s">
        <v>2205</v>
      </c>
    </row>
    <row r="2664" ht="15.75" customHeight="1">
      <c r="B2664" s="371">
        <v>6800574.0</v>
      </c>
      <c r="C2664" s="371" t="s">
        <v>9795</v>
      </c>
      <c r="D2664" s="371" t="s">
        <v>2205</v>
      </c>
    </row>
    <row r="2665" ht="15.75" customHeight="1">
      <c r="B2665" s="371">
        <v>703.0</v>
      </c>
      <c r="C2665" s="371" t="s">
        <v>9796</v>
      </c>
      <c r="D2665" s="371" t="s">
        <v>2139</v>
      </c>
    </row>
    <row r="2666" ht="15.75" customHeight="1">
      <c r="B2666" s="371" t="s">
        <v>3510</v>
      </c>
      <c r="C2666" s="371" t="s">
        <v>7271</v>
      </c>
      <c r="D2666" s="371" t="s">
        <v>2205</v>
      </c>
    </row>
    <row r="2667" ht="15.75" customHeight="1">
      <c r="B2667" s="371" t="s">
        <v>3891</v>
      </c>
      <c r="C2667" s="371" t="s">
        <v>9797</v>
      </c>
      <c r="D2667" s="371" t="s">
        <v>2205</v>
      </c>
    </row>
    <row r="2668" ht="15.75" customHeight="1">
      <c r="B2668" s="371">
        <v>8124.0</v>
      </c>
      <c r="C2668" s="371" t="s">
        <v>7416</v>
      </c>
      <c r="D2668" s="371" t="s">
        <v>2139</v>
      </c>
    </row>
    <row r="2669" ht="15.75" customHeight="1">
      <c r="B2669" s="371">
        <v>8128.0</v>
      </c>
      <c r="C2669" s="371" t="s">
        <v>7416</v>
      </c>
      <c r="D2669" s="371" t="s">
        <v>2205</v>
      </c>
    </row>
    <row r="2670" ht="15.75" customHeight="1">
      <c r="B2670" s="371" t="s">
        <v>9798</v>
      </c>
      <c r="C2670" s="371" t="s">
        <v>7713</v>
      </c>
      <c r="D2670" s="371" t="s">
        <v>2139</v>
      </c>
    </row>
    <row r="2671" ht="15.75" customHeight="1">
      <c r="B2671" s="371" t="s">
        <v>3666</v>
      </c>
      <c r="C2671" s="371" t="s">
        <v>9799</v>
      </c>
      <c r="D2671" s="371" t="s">
        <v>2139</v>
      </c>
    </row>
    <row r="2672" ht="15.75" customHeight="1">
      <c r="B2672" s="371" t="s">
        <v>3671</v>
      </c>
      <c r="C2672" s="371" t="s">
        <v>9706</v>
      </c>
      <c r="D2672" s="371" t="s">
        <v>2139</v>
      </c>
    </row>
    <row r="2673" ht="15.75" customHeight="1">
      <c r="B2673" s="371" t="s">
        <v>3661</v>
      </c>
      <c r="C2673" s="371" t="s">
        <v>9800</v>
      </c>
      <c r="D2673" s="371" t="s">
        <v>2139</v>
      </c>
    </row>
    <row r="2674" ht="15.75" customHeight="1">
      <c r="B2674" s="371" t="s">
        <v>3673</v>
      </c>
      <c r="C2674" s="371" t="s">
        <v>9706</v>
      </c>
      <c r="D2674" s="371" t="s">
        <v>2139</v>
      </c>
    </row>
    <row r="2675" ht="15.75" customHeight="1">
      <c r="B2675" s="371" t="s">
        <v>3986</v>
      </c>
      <c r="C2675" s="371" t="s">
        <v>9801</v>
      </c>
      <c r="D2675" s="371" t="s">
        <v>2139</v>
      </c>
    </row>
    <row r="2676" ht="15.75" customHeight="1">
      <c r="B2676" s="371">
        <v>9800866.0</v>
      </c>
      <c r="C2676" s="371" t="s">
        <v>9795</v>
      </c>
      <c r="D2676" s="371" t="s">
        <v>2205</v>
      </c>
    </row>
    <row r="2677" ht="15.75" customHeight="1">
      <c r="B2677" s="371" t="s">
        <v>9802</v>
      </c>
      <c r="C2677" s="371" t="s">
        <v>7713</v>
      </c>
      <c r="D2677" s="371" t="s">
        <v>2139</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0"/>
  <cols>
    <col customWidth="1" min="1" max="1" width="13.25"/>
    <col customWidth="1" min="2" max="2" width="21.5"/>
    <col customWidth="1" min="3" max="3" width="73.0"/>
    <col customWidth="1" min="4" max="4" width="15.75"/>
    <col customWidth="1" min="5" max="5" width="14.88"/>
    <col customWidth="1" min="6" max="7" width="9.25"/>
  </cols>
  <sheetData>
    <row r="1">
      <c r="A1" s="72" t="s">
        <v>23</v>
      </c>
      <c r="B1" s="72" t="s">
        <v>24</v>
      </c>
      <c r="C1" s="72" t="s">
        <v>25</v>
      </c>
      <c r="D1" s="73" t="s">
        <v>26</v>
      </c>
      <c r="E1" s="73" t="s">
        <v>27</v>
      </c>
      <c r="F1" s="8" t="s">
        <v>28</v>
      </c>
      <c r="G1" s="8" t="s">
        <v>29</v>
      </c>
    </row>
    <row r="2">
      <c r="A2" s="74" t="s">
        <v>30</v>
      </c>
      <c r="C2" s="75"/>
      <c r="D2" s="75"/>
      <c r="E2" s="75"/>
      <c r="F2" s="75"/>
      <c r="G2" s="75"/>
    </row>
    <row r="3">
      <c r="A3" s="76" t="s">
        <v>1705</v>
      </c>
      <c r="B3" s="76" t="s">
        <v>1706</v>
      </c>
      <c r="C3" s="77" t="s">
        <v>1707</v>
      </c>
      <c r="D3" s="43" t="s">
        <v>1708</v>
      </c>
      <c r="E3" s="43" t="s">
        <v>1709</v>
      </c>
      <c r="F3" s="44">
        <v>0.21</v>
      </c>
      <c r="G3" s="78" t="str">
        <f>IFERROR(VLOOKUP("DT 770 PRO 32 OHM",STOCK!$B$1:$Q$5626,3,FALSE),"SIN STOCK")</f>
        <v>Mayor a 5</v>
      </c>
    </row>
    <row r="4">
      <c r="A4" s="79" t="s">
        <v>1705</v>
      </c>
      <c r="B4" s="79" t="s">
        <v>1710</v>
      </c>
      <c r="C4" s="80" t="s">
        <v>1711</v>
      </c>
      <c r="D4" s="36" t="s">
        <v>1708</v>
      </c>
      <c r="E4" s="36" t="s">
        <v>1709</v>
      </c>
      <c r="F4" s="37">
        <v>0.21</v>
      </c>
      <c r="G4" s="78" t="str">
        <f>IFERROR(VLOOKUP("DT 770 PRO 80 OHM",STOCK!$B$1:$Q$5626,3,FALSE),"SIN STOCK")</f>
        <v>Mayor a 5</v>
      </c>
    </row>
    <row r="5">
      <c r="A5" s="76" t="s">
        <v>1705</v>
      </c>
      <c r="B5" s="76" t="s">
        <v>1712</v>
      </c>
      <c r="C5" s="77" t="s">
        <v>1713</v>
      </c>
      <c r="D5" s="43" t="s">
        <v>1708</v>
      </c>
      <c r="E5" s="43" t="s">
        <v>1709</v>
      </c>
      <c r="F5" s="44">
        <v>0.21</v>
      </c>
      <c r="G5" s="78" t="str">
        <f>IFERROR(VLOOKUP("DT 770 PRO 250 OHM",STOCK!$B$1:$Q$5626,3,FALSE),"SIN STOCK")</f>
        <v>Mayor a 5</v>
      </c>
    </row>
    <row r="6">
      <c r="A6" s="79" t="s">
        <v>1705</v>
      </c>
      <c r="B6" s="79" t="s">
        <v>1714</v>
      </c>
      <c r="C6" s="80" t="s">
        <v>1715</v>
      </c>
      <c r="D6" s="36" t="s">
        <v>1708</v>
      </c>
      <c r="E6" s="36" t="s">
        <v>1709</v>
      </c>
      <c r="F6" s="37">
        <v>0.21</v>
      </c>
      <c r="G6" s="78" t="str">
        <f>IFERROR(VLOOKUP("DT 990 PRO 80 OHM",STOCK!$B$1:$Q$5626,3,FALSE),"SIN STOCK")</f>
        <v>Mayor a 5</v>
      </c>
    </row>
    <row r="7">
      <c r="A7" s="76" t="s">
        <v>1705</v>
      </c>
      <c r="B7" s="76" t="s">
        <v>1716</v>
      </c>
      <c r="C7" s="77" t="s">
        <v>1717</v>
      </c>
      <c r="D7" s="43" t="s">
        <v>1718</v>
      </c>
      <c r="E7" s="43" t="s">
        <v>1719</v>
      </c>
      <c r="F7" s="44">
        <v>0.21</v>
      </c>
      <c r="G7" s="78" t="str">
        <f>IFERROR(VLOOKUP("DT 990 PRO 250 OHM",STOCK!$B$1:$Q$5626,3,FALSE),"SIN STOCK")</f>
        <v>Mayor a 5</v>
      </c>
    </row>
    <row r="8">
      <c r="A8" s="74" t="s">
        <v>1720</v>
      </c>
      <c r="C8" s="75"/>
      <c r="D8" s="75"/>
      <c r="E8" s="75"/>
      <c r="F8" s="75"/>
      <c r="G8" s="75"/>
    </row>
    <row r="9">
      <c r="A9" s="76" t="s">
        <v>1705</v>
      </c>
      <c r="B9" s="76" t="s">
        <v>1721</v>
      </c>
      <c r="C9" s="77" t="s">
        <v>1722</v>
      </c>
      <c r="D9" s="43" t="s">
        <v>1723</v>
      </c>
      <c r="E9" s="43" t="s">
        <v>1724</v>
      </c>
      <c r="F9" s="44">
        <v>0.21</v>
      </c>
      <c r="G9" s="78" t="str">
        <f>IFERROR(VLOOKUP("TG V35 s",STOCK!$B$1:$Q$5626,3,FALSE),"SIN STOCK")</f>
        <v>Mayor a 5</v>
      </c>
    </row>
    <row r="10">
      <c r="A10" s="79" t="s">
        <v>1705</v>
      </c>
      <c r="B10" s="79" t="s">
        <v>1725</v>
      </c>
      <c r="C10" s="80" t="s">
        <v>1726</v>
      </c>
      <c r="D10" s="36" t="s">
        <v>1727</v>
      </c>
      <c r="E10" s="36" t="s">
        <v>1728</v>
      </c>
      <c r="F10" s="37">
        <v>0.21</v>
      </c>
      <c r="G10" s="78" t="str">
        <f>IFERROR(VLOOKUP("TG V50",STOCK!$B$1:$Q$5626,3,FALSE),"SIN STOCK")</f>
        <v>Mayor a 5</v>
      </c>
    </row>
    <row r="11">
      <c r="A11" s="76" t="s">
        <v>1705</v>
      </c>
      <c r="B11" s="76" t="s">
        <v>1729</v>
      </c>
      <c r="C11" s="77" t="s">
        <v>1730</v>
      </c>
      <c r="D11" s="43" t="s">
        <v>1731</v>
      </c>
      <c r="E11" s="43" t="s">
        <v>1732</v>
      </c>
      <c r="F11" s="44">
        <v>0.21</v>
      </c>
      <c r="G11" s="78" t="str">
        <f>IFERROR(VLOOKUP("TG V70",STOCK!$B$1:$Q$5626,3,FALSE),"SIN STOCK")</f>
        <v>Menor a 5</v>
      </c>
    </row>
    <row r="12">
      <c r="A12" s="79" t="s">
        <v>1705</v>
      </c>
      <c r="B12" s="79" t="s">
        <v>1733</v>
      </c>
      <c r="C12" s="80" t="s">
        <v>1734</v>
      </c>
      <c r="D12" s="36" t="s">
        <v>1735</v>
      </c>
      <c r="E12" s="36" t="s">
        <v>1736</v>
      </c>
      <c r="F12" s="37">
        <v>0.21</v>
      </c>
      <c r="G12" s="78" t="str">
        <f>IFERROR(VLOOKUP("MM 1",STOCK!$B$1:$Q$5626,3,FALSE),"SIN STOCK")</f>
        <v>Mayor a 5</v>
      </c>
    </row>
    <row r="13">
      <c r="A13" s="74" t="s">
        <v>1737</v>
      </c>
      <c r="C13" s="75"/>
      <c r="D13" s="75"/>
      <c r="E13" s="75"/>
      <c r="F13" s="75"/>
      <c r="G13" s="75"/>
    </row>
    <row r="14">
      <c r="A14" s="76" t="s">
        <v>1705</v>
      </c>
      <c r="B14" s="76" t="s">
        <v>1738</v>
      </c>
      <c r="C14" s="77" t="s">
        <v>1739</v>
      </c>
      <c r="D14" s="43" t="s">
        <v>1740</v>
      </c>
      <c r="E14" s="43" t="s">
        <v>1741</v>
      </c>
      <c r="F14" s="44">
        <v>0.21</v>
      </c>
      <c r="G14" s="78" t="str">
        <f>IFERROR(VLOOKUP("TG DRUM SET- PRO - M",STOCK!$B$1:$Q$5626,3,FALSE),"SIN STOCK")</f>
        <v>SIN STOCK</v>
      </c>
    </row>
    <row r="15">
      <c r="A15" s="79" t="s">
        <v>1705</v>
      </c>
      <c r="B15" s="79" t="s">
        <v>1742</v>
      </c>
      <c r="C15" s="80" t="s">
        <v>1743</v>
      </c>
      <c r="D15" s="36" t="s">
        <v>1744</v>
      </c>
      <c r="E15" s="36" t="s">
        <v>1745</v>
      </c>
      <c r="F15" s="37">
        <v>0.21</v>
      </c>
      <c r="G15" s="78" t="str">
        <f>IFERROR(VLOOKUP("TG DRUM SET PRO - L",STOCK!$B$1:$Q$5626,3,FALSE),"SIN STOCK")</f>
        <v>SIN STOCK</v>
      </c>
    </row>
    <row r="16">
      <c r="A16" s="81"/>
      <c r="B16" s="81"/>
      <c r="C16" s="81"/>
    </row>
    <row r="17">
      <c r="A17" s="81"/>
      <c r="B17" s="81"/>
      <c r="C17" s="81"/>
    </row>
    <row r="18">
      <c r="A18" s="81"/>
      <c r="B18" s="81"/>
      <c r="C18" s="81"/>
    </row>
    <row r="19">
      <c r="A19" s="81"/>
      <c r="B19" s="81"/>
      <c r="C19" s="81"/>
    </row>
    <row r="20">
      <c r="A20" s="81"/>
      <c r="B20" s="81"/>
      <c r="C20" s="81"/>
    </row>
    <row r="21">
      <c r="A21" s="81"/>
      <c r="B21" s="81"/>
      <c r="C21" s="81"/>
    </row>
    <row r="22">
      <c r="A22" s="81"/>
      <c r="B22" s="81"/>
      <c r="C22" s="81"/>
    </row>
    <row r="23">
      <c r="A23" s="81"/>
      <c r="B23" s="81"/>
      <c r="C23" s="81"/>
    </row>
    <row r="24">
      <c r="A24" s="81"/>
      <c r="B24" s="81"/>
      <c r="C24" s="81"/>
    </row>
    <row r="25">
      <c r="A25" s="81"/>
      <c r="B25" s="81"/>
      <c r="C25" s="81"/>
    </row>
    <row r="26">
      <c r="A26" s="81"/>
      <c r="B26" s="81"/>
      <c r="C26" s="81"/>
    </row>
    <row r="27">
      <c r="A27" s="81"/>
      <c r="B27" s="81"/>
      <c r="C27" s="81"/>
    </row>
    <row r="28">
      <c r="A28" s="81"/>
      <c r="B28" s="81"/>
      <c r="C28" s="81"/>
    </row>
    <row r="29">
      <c r="A29" s="81"/>
      <c r="B29" s="81"/>
      <c r="C29" s="81"/>
    </row>
    <row r="30">
      <c r="A30" s="81"/>
      <c r="B30" s="81"/>
      <c r="C30" s="81"/>
    </row>
    <row r="31">
      <c r="A31" s="81"/>
      <c r="B31" s="81"/>
      <c r="C31" s="81"/>
    </row>
    <row r="32">
      <c r="A32" s="81"/>
      <c r="B32" s="81"/>
      <c r="C32" s="81"/>
    </row>
    <row r="33">
      <c r="A33" s="81"/>
      <c r="B33" s="81"/>
      <c r="C33" s="81"/>
    </row>
    <row r="34">
      <c r="A34" s="81"/>
      <c r="B34" s="81"/>
      <c r="C34" s="81"/>
    </row>
    <row r="35">
      <c r="A35" s="81"/>
      <c r="B35" s="81"/>
      <c r="C35" s="81"/>
    </row>
    <row r="36">
      <c r="A36" s="81"/>
      <c r="B36" s="81"/>
      <c r="C36" s="81"/>
    </row>
    <row r="37">
      <c r="A37" s="81"/>
      <c r="B37" s="81"/>
      <c r="C37" s="81"/>
    </row>
    <row r="38">
      <c r="A38" s="81"/>
      <c r="B38" s="81"/>
      <c r="C38" s="81"/>
    </row>
    <row r="39">
      <c r="A39" s="81"/>
      <c r="B39" s="81"/>
      <c r="C39" s="81"/>
    </row>
    <row r="40">
      <c r="A40" s="81"/>
      <c r="B40" s="81"/>
      <c r="C40" s="81"/>
    </row>
    <row r="41">
      <c r="A41" s="81"/>
      <c r="B41" s="81"/>
      <c r="C41" s="81"/>
    </row>
    <row r="42">
      <c r="A42" s="81"/>
      <c r="B42" s="81"/>
      <c r="C42" s="81"/>
    </row>
    <row r="43">
      <c r="A43" s="81"/>
      <c r="B43" s="81"/>
      <c r="C43" s="81"/>
    </row>
    <row r="44">
      <c r="A44" s="81"/>
      <c r="B44" s="81"/>
      <c r="C44" s="81"/>
    </row>
    <row r="45">
      <c r="A45" s="81"/>
      <c r="B45" s="81"/>
      <c r="C45" s="81"/>
    </row>
    <row r="46">
      <c r="A46" s="81"/>
      <c r="B46" s="81"/>
      <c r="C46" s="81"/>
    </row>
    <row r="47">
      <c r="A47" s="81"/>
      <c r="B47" s="81"/>
      <c r="C47" s="81"/>
    </row>
    <row r="48">
      <c r="A48" s="81"/>
      <c r="B48" s="81"/>
      <c r="C48" s="81"/>
    </row>
    <row r="49">
      <c r="A49" s="81"/>
      <c r="B49" s="81"/>
      <c r="C49" s="81"/>
    </row>
    <row r="50">
      <c r="A50" s="81"/>
      <c r="B50" s="81"/>
      <c r="C50" s="81"/>
    </row>
    <row r="51">
      <c r="A51" s="81"/>
      <c r="B51" s="81"/>
      <c r="C51" s="81"/>
    </row>
    <row r="52">
      <c r="A52" s="81"/>
      <c r="B52" s="81"/>
      <c r="C52" s="81"/>
    </row>
    <row r="53">
      <c r="A53" s="81"/>
      <c r="B53" s="81"/>
      <c r="C53" s="81"/>
    </row>
    <row r="54">
      <c r="A54" s="81"/>
      <c r="B54" s="81"/>
      <c r="C54" s="81"/>
    </row>
    <row r="55">
      <c r="A55" s="81"/>
      <c r="B55" s="81"/>
      <c r="C55" s="81"/>
    </row>
    <row r="56">
      <c r="A56" s="81"/>
      <c r="B56" s="81"/>
      <c r="C56" s="81"/>
    </row>
    <row r="57">
      <c r="A57" s="81"/>
      <c r="B57" s="81"/>
      <c r="C57" s="81"/>
    </row>
    <row r="58">
      <c r="A58" s="81"/>
      <c r="B58" s="81"/>
      <c r="C58" s="81"/>
    </row>
    <row r="59">
      <c r="A59" s="81"/>
      <c r="B59" s="81"/>
      <c r="C59" s="81"/>
    </row>
    <row r="60">
      <c r="A60" s="81"/>
      <c r="B60" s="81"/>
      <c r="C60" s="81"/>
    </row>
    <row r="61">
      <c r="A61" s="81"/>
      <c r="B61" s="81"/>
      <c r="C61" s="81"/>
    </row>
    <row r="62">
      <c r="A62" s="81"/>
      <c r="B62" s="81"/>
      <c r="C62" s="81"/>
    </row>
    <row r="63">
      <c r="A63" s="81"/>
      <c r="B63" s="81"/>
      <c r="C63" s="81"/>
    </row>
    <row r="64">
      <c r="A64" s="81"/>
      <c r="B64" s="81"/>
      <c r="C64" s="81"/>
    </row>
    <row r="65">
      <c r="A65" s="81"/>
      <c r="B65" s="81"/>
      <c r="C65" s="81"/>
    </row>
    <row r="66">
      <c r="A66" s="81"/>
      <c r="B66" s="81"/>
      <c r="C66" s="81"/>
    </row>
    <row r="67">
      <c r="A67" s="81"/>
      <c r="B67" s="81"/>
      <c r="C67" s="81"/>
    </row>
    <row r="68">
      <c r="A68" s="81"/>
      <c r="B68" s="81"/>
      <c r="C68" s="81"/>
    </row>
    <row r="69">
      <c r="A69" s="81"/>
      <c r="B69" s="81"/>
      <c r="C69" s="81"/>
    </row>
    <row r="70">
      <c r="A70" s="81"/>
      <c r="B70" s="81"/>
      <c r="C70" s="81"/>
    </row>
    <row r="71">
      <c r="A71" s="81"/>
      <c r="B71" s="81"/>
      <c r="C71" s="81"/>
    </row>
    <row r="72">
      <c r="A72" s="81"/>
      <c r="B72" s="81"/>
      <c r="C72" s="81"/>
    </row>
    <row r="73">
      <c r="A73" s="81"/>
      <c r="B73" s="81"/>
      <c r="C73" s="81"/>
    </row>
    <row r="74">
      <c r="A74" s="81"/>
      <c r="B74" s="81"/>
      <c r="C74" s="81"/>
    </row>
    <row r="75">
      <c r="A75" s="81"/>
      <c r="B75" s="81"/>
      <c r="C75" s="81"/>
    </row>
    <row r="76">
      <c r="A76" s="81"/>
      <c r="B76" s="81"/>
      <c r="C76" s="81"/>
    </row>
    <row r="77">
      <c r="A77" s="81"/>
      <c r="B77" s="81"/>
      <c r="C77" s="81"/>
    </row>
    <row r="78">
      <c r="A78" s="81"/>
      <c r="B78" s="81"/>
      <c r="C78" s="81"/>
    </row>
    <row r="79">
      <c r="A79" s="81"/>
      <c r="B79" s="81"/>
      <c r="C79" s="81"/>
    </row>
    <row r="80">
      <c r="A80" s="81"/>
      <c r="B80" s="81"/>
      <c r="C80" s="81"/>
    </row>
    <row r="81">
      <c r="A81" s="81"/>
      <c r="B81" s="81"/>
      <c r="C81" s="81"/>
    </row>
    <row r="82">
      <c r="A82" s="81"/>
      <c r="B82" s="81"/>
      <c r="C82" s="81"/>
    </row>
    <row r="83">
      <c r="A83" s="81"/>
      <c r="B83" s="81"/>
      <c r="C83" s="81"/>
    </row>
    <row r="84">
      <c r="A84" s="81"/>
      <c r="B84" s="81"/>
      <c r="C84" s="81"/>
    </row>
    <row r="85">
      <c r="A85" s="81"/>
      <c r="B85" s="81"/>
      <c r="C85" s="81"/>
    </row>
    <row r="86">
      <c r="A86" s="81"/>
      <c r="B86" s="81"/>
      <c r="C86" s="81"/>
    </row>
    <row r="87">
      <c r="A87" s="81"/>
      <c r="B87" s="81"/>
      <c r="C87" s="81"/>
    </row>
    <row r="88">
      <c r="A88" s="81"/>
      <c r="B88" s="81"/>
      <c r="C88" s="81"/>
    </row>
    <row r="89">
      <c r="A89" s="81"/>
      <c r="B89" s="81"/>
      <c r="C89" s="81"/>
    </row>
    <row r="90">
      <c r="A90" s="81"/>
      <c r="B90" s="81"/>
      <c r="C90" s="81"/>
    </row>
    <row r="91">
      <c r="A91" s="81"/>
      <c r="B91" s="81"/>
      <c r="C91" s="81"/>
    </row>
    <row r="92">
      <c r="A92" s="81"/>
      <c r="B92" s="81"/>
      <c r="C92" s="81"/>
    </row>
    <row r="93">
      <c r="A93" s="81"/>
      <c r="B93" s="81"/>
      <c r="C93" s="81"/>
    </row>
    <row r="94">
      <c r="A94" s="81"/>
      <c r="B94" s="81"/>
      <c r="C94" s="81"/>
    </row>
    <row r="95">
      <c r="A95" s="81"/>
      <c r="B95" s="81"/>
      <c r="C95" s="81"/>
    </row>
    <row r="96">
      <c r="A96" s="81"/>
      <c r="B96" s="81"/>
      <c r="C96" s="81"/>
    </row>
    <row r="97">
      <c r="A97" s="81"/>
      <c r="B97" s="81"/>
      <c r="C97" s="81"/>
    </row>
    <row r="98">
      <c r="A98" s="81"/>
      <c r="B98" s="81"/>
      <c r="C98" s="81"/>
    </row>
    <row r="99">
      <c r="A99" s="81"/>
      <c r="B99" s="81"/>
      <c r="C99" s="81"/>
    </row>
    <row r="100">
      <c r="A100" s="81"/>
      <c r="B100" s="81"/>
      <c r="C100" s="81"/>
    </row>
    <row r="101">
      <c r="A101" s="81"/>
      <c r="B101" s="81"/>
      <c r="C101" s="81"/>
    </row>
    <row r="102">
      <c r="A102" s="81"/>
      <c r="B102" s="81"/>
      <c r="C102" s="81"/>
    </row>
    <row r="103">
      <c r="A103" s="81"/>
      <c r="B103" s="81"/>
      <c r="C103" s="81"/>
    </row>
    <row r="104">
      <c r="A104" s="81"/>
      <c r="B104" s="81"/>
      <c r="C104" s="81"/>
    </row>
    <row r="105">
      <c r="A105" s="81"/>
      <c r="B105" s="81"/>
      <c r="C105" s="81"/>
    </row>
    <row r="106">
      <c r="A106" s="81"/>
      <c r="B106" s="81"/>
      <c r="C106" s="81"/>
    </row>
    <row r="107">
      <c r="A107" s="81"/>
      <c r="B107" s="81"/>
      <c r="C107" s="81"/>
    </row>
    <row r="108">
      <c r="A108" s="81"/>
      <c r="B108" s="81"/>
      <c r="C108" s="81"/>
    </row>
    <row r="109">
      <c r="A109" s="81"/>
      <c r="B109" s="81"/>
      <c r="C109" s="81"/>
    </row>
    <row r="110">
      <c r="A110" s="81"/>
      <c r="B110" s="81"/>
      <c r="C110" s="81"/>
    </row>
    <row r="111">
      <c r="A111" s="81"/>
      <c r="B111" s="81"/>
      <c r="C111" s="81"/>
    </row>
    <row r="112">
      <c r="A112" s="81"/>
      <c r="B112" s="81"/>
      <c r="C112" s="81"/>
    </row>
    <row r="113">
      <c r="A113" s="81"/>
      <c r="B113" s="81"/>
      <c r="C113" s="81"/>
    </row>
    <row r="114">
      <c r="A114" s="81"/>
      <c r="B114" s="81"/>
      <c r="C114" s="81"/>
    </row>
    <row r="115">
      <c r="A115" s="81"/>
      <c r="B115" s="81"/>
      <c r="C115" s="81"/>
    </row>
    <row r="116">
      <c r="A116" s="81"/>
      <c r="B116" s="81"/>
      <c r="C116" s="81"/>
    </row>
    <row r="117">
      <c r="A117" s="81"/>
      <c r="B117" s="81"/>
      <c r="C117" s="81"/>
    </row>
    <row r="118">
      <c r="A118" s="81"/>
      <c r="B118" s="81"/>
      <c r="C118" s="81"/>
    </row>
    <row r="119">
      <c r="A119" s="81"/>
      <c r="B119" s="81"/>
      <c r="C119" s="81"/>
    </row>
    <row r="120">
      <c r="A120" s="81"/>
      <c r="B120" s="81"/>
      <c r="C120" s="81"/>
    </row>
    <row r="121">
      <c r="A121" s="81"/>
      <c r="B121" s="81"/>
      <c r="C121" s="81"/>
    </row>
    <row r="122">
      <c r="A122" s="81"/>
      <c r="B122" s="81"/>
      <c r="C122" s="81"/>
    </row>
    <row r="123">
      <c r="A123" s="81"/>
      <c r="B123" s="81"/>
      <c r="C123" s="81"/>
    </row>
    <row r="124">
      <c r="A124" s="81"/>
      <c r="B124" s="81"/>
      <c r="C124" s="81"/>
    </row>
    <row r="125">
      <c r="A125" s="81"/>
      <c r="B125" s="81"/>
      <c r="C125" s="81"/>
    </row>
    <row r="126">
      <c r="A126" s="81"/>
      <c r="B126" s="81"/>
      <c r="C126" s="81"/>
    </row>
    <row r="127">
      <c r="A127" s="81"/>
      <c r="B127" s="81"/>
      <c r="C127" s="81"/>
    </row>
    <row r="128">
      <c r="A128" s="81"/>
      <c r="B128" s="81"/>
      <c r="C128" s="81"/>
    </row>
    <row r="129">
      <c r="A129" s="81"/>
      <c r="B129" s="81"/>
      <c r="C129" s="81"/>
    </row>
    <row r="130">
      <c r="A130" s="81"/>
      <c r="B130" s="81"/>
      <c r="C130" s="81"/>
    </row>
    <row r="131">
      <c r="A131" s="81"/>
      <c r="B131" s="81"/>
      <c r="C131" s="81"/>
    </row>
    <row r="132">
      <c r="A132" s="81"/>
      <c r="B132" s="81"/>
      <c r="C132" s="81"/>
    </row>
    <row r="133">
      <c r="A133" s="81"/>
      <c r="B133" s="81"/>
      <c r="C133" s="81"/>
    </row>
    <row r="134">
      <c r="A134" s="81"/>
      <c r="B134" s="81"/>
      <c r="C134" s="81"/>
    </row>
    <row r="135">
      <c r="A135" s="81"/>
      <c r="B135" s="81"/>
      <c r="C135" s="81"/>
    </row>
    <row r="136">
      <c r="A136" s="81"/>
      <c r="B136" s="81"/>
      <c r="C136" s="81"/>
    </row>
    <row r="137">
      <c r="A137" s="81"/>
      <c r="B137" s="81"/>
      <c r="C137" s="81"/>
    </row>
    <row r="138">
      <c r="A138" s="81"/>
      <c r="B138" s="81"/>
      <c r="C138" s="81"/>
    </row>
    <row r="139">
      <c r="A139" s="81"/>
      <c r="B139" s="81"/>
      <c r="C139" s="81"/>
    </row>
    <row r="140">
      <c r="A140" s="81"/>
      <c r="B140" s="81"/>
      <c r="C140" s="81"/>
    </row>
    <row r="141">
      <c r="A141" s="81"/>
      <c r="B141" s="81"/>
      <c r="C141" s="81"/>
    </row>
    <row r="142">
      <c r="A142" s="81"/>
      <c r="B142" s="81"/>
      <c r="C142" s="81"/>
    </row>
    <row r="143">
      <c r="A143" s="81"/>
      <c r="B143" s="81"/>
      <c r="C143" s="81"/>
    </row>
    <row r="144">
      <c r="A144" s="81"/>
      <c r="B144" s="81"/>
      <c r="C144" s="81"/>
    </row>
    <row r="145">
      <c r="A145" s="81"/>
      <c r="B145" s="81"/>
      <c r="C145" s="81"/>
    </row>
    <row r="146">
      <c r="A146" s="81"/>
      <c r="B146" s="81"/>
      <c r="C146" s="81"/>
    </row>
    <row r="147">
      <c r="A147" s="81"/>
      <c r="B147" s="81"/>
      <c r="C147" s="81"/>
    </row>
    <row r="148">
      <c r="A148" s="81"/>
      <c r="B148" s="81"/>
      <c r="C148" s="81"/>
    </row>
    <row r="149">
      <c r="A149" s="81"/>
      <c r="B149" s="81"/>
      <c r="C149" s="81"/>
    </row>
    <row r="150">
      <c r="A150" s="81"/>
      <c r="B150" s="81"/>
      <c r="C150" s="81"/>
    </row>
    <row r="151">
      <c r="A151" s="81"/>
      <c r="B151" s="81"/>
      <c r="C151" s="81"/>
    </row>
    <row r="152">
      <c r="A152" s="81"/>
      <c r="B152" s="81"/>
      <c r="C152" s="81"/>
    </row>
    <row r="153">
      <c r="A153" s="81"/>
      <c r="B153" s="81"/>
      <c r="C153" s="81"/>
    </row>
    <row r="154">
      <c r="A154" s="81"/>
      <c r="B154" s="81"/>
      <c r="C154" s="81"/>
    </row>
    <row r="155">
      <c r="A155" s="81"/>
      <c r="B155" s="81"/>
      <c r="C155" s="81"/>
    </row>
    <row r="156">
      <c r="A156" s="81"/>
      <c r="B156" s="81"/>
      <c r="C156" s="81"/>
    </row>
    <row r="157">
      <c r="A157" s="81"/>
      <c r="B157" s="81"/>
      <c r="C157" s="81"/>
    </row>
    <row r="158">
      <c r="A158" s="81"/>
      <c r="B158" s="81"/>
      <c r="C158" s="81"/>
    </row>
    <row r="159">
      <c r="A159" s="81"/>
      <c r="B159" s="81"/>
      <c r="C159" s="81"/>
    </row>
    <row r="160">
      <c r="A160" s="81"/>
      <c r="B160" s="81"/>
      <c r="C160" s="81"/>
    </row>
    <row r="161">
      <c r="A161" s="81"/>
      <c r="B161" s="81"/>
      <c r="C161" s="81"/>
    </row>
    <row r="162">
      <c r="A162" s="81"/>
      <c r="B162" s="81"/>
      <c r="C162" s="81"/>
    </row>
    <row r="163">
      <c r="A163" s="81"/>
      <c r="B163" s="81"/>
      <c r="C163" s="81"/>
    </row>
    <row r="164">
      <c r="A164" s="81"/>
      <c r="B164" s="81"/>
      <c r="C164" s="81"/>
    </row>
    <row r="165">
      <c r="A165" s="81"/>
      <c r="B165" s="81"/>
      <c r="C165" s="81"/>
    </row>
    <row r="166">
      <c r="A166" s="81"/>
      <c r="B166" s="81"/>
      <c r="C166" s="81"/>
    </row>
    <row r="167">
      <c r="A167" s="81"/>
      <c r="B167" s="81"/>
      <c r="C167" s="81"/>
    </row>
    <row r="168">
      <c r="A168" s="81"/>
      <c r="B168" s="81"/>
      <c r="C168" s="81"/>
    </row>
    <row r="169">
      <c r="A169" s="81"/>
      <c r="B169" s="81"/>
      <c r="C169" s="81"/>
    </row>
    <row r="170">
      <c r="A170" s="81"/>
      <c r="B170" s="81"/>
      <c r="C170" s="81"/>
    </row>
    <row r="171">
      <c r="A171" s="81"/>
      <c r="B171" s="81"/>
      <c r="C171" s="81"/>
    </row>
    <row r="172">
      <c r="A172" s="81"/>
      <c r="B172" s="81"/>
      <c r="C172" s="81"/>
    </row>
    <row r="173">
      <c r="A173" s="81"/>
      <c r="B173" s="81"/>
      <c r="C173" s="81"/>
    </row>
    <row r="174">
      <c r="A174" s="81"/>
      <c r="B174" s="81"/>
      <c r="C174" s="81"/>
    </row>
    <row r="175">
      <c r="A175" s="81"/>
      <c r="B175" s="81"/>
      <c r="C175" s="81"/>
    </row>
    <row r="176">
      <c r="A176" s="81"/>
      <c r="B176" s="81"/>
      <c r="C176" s="81"/>
    </row>
    <row r="177">
      <c r="A177" s="81"/>
      <c r="B177" s="81"/>
      <c r="C177" s="81"/>
    </row>
    <row r="178">
      <c r="A178" s="81"/>
      <c r="B178" s="81"/>
      <c r="C178" s="81"/>
    </row>
    <row r="179">
      <c r="A179" s="81"/>
      <c r="B179" s="81"/>
      <c r="C179" s="81"/>
    </row>
    <row r="180">
      <c r="A180" s="81"/>
      <c r="B180" s="81"/>
      <c r="C180" s="81"/>
    </row>
    <row r="181">
      <c r="A181" s="81"/>
      <c r="B181" s="81"/>
      <c r="C181" s="81"/>
    </row>
    <row r="182">
      <c r="A182" s="81"/>
      <c r="B182" s="81"/>
      <c r="C182" s="81"/>
    </row>
    <row r="183">
      <c r="A183" s="81"/>
      <c r="B183" s="81"/>
      <c r="C183" s="81"/>
    </row>
    <row r="184">
      <c r="A184" s="81"/>
      <c r="B184" s="81"/>
      <c r="C184" s="81"/>
    </row>
    <row r="185">
      <c r="A185" s="81"/>
      <c r="B185" s="81"/>
      <c r="C185" s="81"/>
    </row>
    <row r="186">
      <c r="A186" s="81"/>
      <c r="B186" s="81"/>
      <c r="C186" s="81"/>
    </row>
    <row r="187">
      <c r="A187" s="81"/>
      <c r="B187" s="81"/>
      <c r="C187" s="81"/>
    </row>
    <row r="188">
      <c r="A188" s="81"/>
      <c r="B188" s="81"/>
      <c r="C188" s="81"/>
    </row>
    <row r="189">
      <c r="A189" s="81"/>
      <c r="B189" s="81"/>
      <c r="C189" s="81"/>
    </row>
    <row r="190">
      <c r="A190" s="81"/>
      <c r="B190" s="81"/>
      <c r="C190" s="81"/>
    </row>
    <row r="191">
      <c r="A191" s="81"/>
      <c r="B191" s="81"/>
      <c r="C191" s="81"/>
    </row>
    <row r="192">
      <c r="A192" s="81"/>
      <c r="B192" s="81"/>
      <c r="C192" s="81"/>
    </row>
    <row r="193">
      <c r="A193" s="81"/>
      <c r="B193" s="81"/>
      <c r="C193" s="81"/>
    </row>
    <row r="194">
      <c r="A194" s="81"/>
      <c r="B194" s="81"/>
      <c r="C194" s="81"/>
    </row>
    <row r="195">
      <c r="A195" s="81"/>
      <c r="B195" s="81"/>
      <c r="C195" s="81"/>
    </row>
    <row r="196">
      <c r="A196" s="81"/>
      <c r="B196" s="81"/>
      <c r="C196" s="81"/>
    </row>
    <row r="197">
      <c r="A197" s="81"/>
      <c r="B197" s="81"/>
      <c r="C197" s="81"/>
    </row>
    <row r="198">
      <c r="A198" s="81"/>
      <c r="B198" s="81"/>
      <c r="C198" s="81"/>
    </row>
    <row r="199">
      <c r="A199" s="81"/>
      <c r="B199" s="81"/>
      <c r="C199" s="81"/>
    </row>
    <row r="200">
      <c r="A200" s="81"/>
      <c r="B200" s="81"/>
      <c r="C200" s="81"/>
    </row>
    <row r="201">
      <c r="A201" s="81"/>
      <c r="B201" s="81"/>
      <c r="C201" s="81"/>
    </row>
    <row r="202">
      <c r="A202" s="81"/>
      <c r="B202" s="81"/>
      <c r="C202" s="81"/>
    </row>
    <row r="203">
      <c r="A203" s="81"/>
      <c r="B203" s="81"/>
      <c r="C203" s="81"/>
    </row>
    <row r="204">
      <c r="A204" s="81"/>
      <c r="B204" s="81"/>
      <c r="C204" s="81"/>
    </row>
    <row r="205">
      <c r="A205" s="81"/>
      <c r="B205" s="81"/>
      <c r="C205" s="81"/>
    </row>
    <row r="206">
      <c r="A206" s="81"/>
      <c r="B206" s="81"/>
      <c r="C206" s="81"/>
    </row>
    <row r="207">
      <c r="A207" s="81"/>
      <c r="B207" s="81"/>
      <c r="C207" s="81"/>
    </row>
    <row r="208">
      <c r="A208" s="81"/>
      <c r="B208" s="81"/>
      <c r="C208" s="81"/>
    </row>
    <row r="209">
      <c r="A209" s="81"/>
      <c r="B209" s="81"/>
      <c r="C209" s="81"/>
    </row>
    <row r="210">
      <c r="A210" s="81"/>
      <c r="B210" s="81"/>
      <c r="C210" s="81"/>
    </row>
    <row r="211">
      <c r="A211" s="81"/>
      <c r="B211" s="81"/>
      <c r="C211" s="81"/>
    </row>
    <row r="212">
      <c r="A212" s="81"/>
      <c r="B212" s="81"/>
      <c r="C212" s="81"/>
    </row>
    <row r="213">
      <c r="A213" s="81"/>
      <c r="B213" s="81"/>
      <c r="C213" s="81"/>
    </row>
    <row r="214">
      <c r="A214" s="81"/>
      <c r="B214" s="81"/>
      <c r="C214" s="81"/>
    </row>
    <row r="215">
      <c r="A215" s="81"/>
      <c r="B215" s="81"/>
      <c r="C215" s="81"/>
    </row>
    <row r="216">
      <c r="A216" s="81"/>
      <c r="B216" s="81"/>
      <c r="C216" s="81"/>
    </row>
    <row r="217">
      <c r="A217" s="81"/>
      <c r="B217" s="81"/>
      <c r="C217" s="81"/>
    </row>
    <row r="218">
      <c r="A218" s="81"/>
      <c r="B218" s="81"/>
      <c r="C218" s="81"/>
    </row>
    <row r="219">
      <c r="A219" s="81"/>
      <c r="B219" s="81"/>
      <c r="C219" s="81"/>
    </row>
    <row r="220">
      <c r="A220" s="81"/>
      <c r="B220" s="81"/>
      <c r="C220" s="81"/>
    </row>
    <row r="221">
      <c r="A221" s="81"/>
      <c r="B221" s="81"/>
      <c r="C221" s="81"/>
    </row>
    <row r="222">
      <c r="A222" s="81"/>
      <c r="B222" s="81"/>
      <c r="C222" s="81"/>
    </row>
    <row r="223">
      <c r="A223" s="81"/>
      <c r="B223" s="81"/>
      <c r="C223" s="81"/>
    </row>
    <row r="224">
      <c r="A224" s="81"/>
      <c r="B224" s="81"/>
      <c r="C224" s="81"/>
    </row>
    <row r="225">
      <c r="A225" s="81"/>
      <c r="B225" s="81"/>
      <c r="C225" s="81"/>
    </row>
    <row r="226">
      <c r="A226" s="81"/>
      <c r="B226" s="81"/>
      <c r="C226" s="81"/>
    </row>
    <row r="227">
      <c r="A227" s="81"/>
      <c r="B227" s="81"/>
      <c r="C227" s="81"/>
    </row>
    <row r="228">
      <c r="A228" s="81"/>
      <c r="B228" s="81"/>
      <c r="C228" s="81"/>
    </row>
    <row r="229">
      <c r="A229" s="81"/>
      <c r="B229" s="81"/>
      <c r="C229" s="81"/>
    </row>
    <row r="230">
      <c r="A230" s="81"/>
      <c r="B230" s="81"/>
      <c r="C230" s="81"/>
    </row>
    <row r="231">
      <c r="A231" s="81"/>
      <c r="B231" s="81"/>
      <c r="C231" s="81"/>
    </row>
    <row r="232">
      <c r="A232" s="81"/>
      <c r="B232" s="81"/>
      <c r="C232" s="81"/>
    </row>
    <row r="233">
      <c r="A233" s="81"/>
      <c r="B233" s="81"/>
      <c r="C233" s="81"/>
    </row>
    <row r="234">
      <c r="A234" s="81"/>
      <c r="B234" s="81"/>
      <c r="C234" s="81"/>
    </row>
    <row r="235">
      <c r="A235" s="81"/>
      <c r="B235" s="81"/>
      <c r="C235" s="81"/>
    </row>
    <row r="236">
      <c r="A236" s="81"/>
      <c r="B236" s="81"/>
      <c r="C236" s="81"/>
    </row>
    <row r="237">
      <c r="A237" s="81"/>
      <c r="B237" s="81"/>
      <c r="C237" s="81"/>
    </row>
    <row r="238">
      <c r="A238" s="81"/>
      <c r="B238" s="81"/>
      <c r="C238" s="81"/>
    </row>
    <row r="239">
      <c r="A239" s="81"/>
      <c r="B239" s="81"/>
      <c r="C239" s="81"/>
    </row>
    <row r="240">
      <c r="A240" s="81"/>
      <c r="B240" s="81"/>
      <c r="C240" s="81"/>
    </row>
    <row r="241">
      <c r="A241" s="81"/>
      <c r="B241" s="81"/>
      <c r="C241" s="81"/>
    </row>
    <row r="242">
      <c r="A242" s="81"/>
      <c r="B242" s="81"/>
      <c r="C242" s="81"/>
    </row>
    <row r="243">
      <c r="A243" s="81"/>
      <c r="B243" s="81"/>
      <c r="C243" s="81"/>
    </row>
    <row r="244">
      <c r="A244" s="81"/>
      <c r="B244" s="81"/>
      <c r="C244" s="81"/>
    </row>
    <row r="245">
      <c r="A245" s="81"/>
      <c r="B245" s="81"/>
      <c r="C245" s="81"/>
    </row>
    <row r="246">
      <c r="A246" s="81"/>
      <c r="B246" s="81"/>
      <c r="C246" s="81"/>
    </row>
    <row r="247">
      <c r="A247" s="81"/>
      <c r="B247" s="81"/>
      <c r="C247" s="81"/>
    </row>
    <row r="248">
      <c r="A248" s="81"/>
      <c r="B248" s="81"/>
      <c r="C248" s="81"/>
    </row>
    <row r="249">
      <c r="A249" s="81"/>
      <c r="B249" s="81"/>
      <c r="C249" s="81"/>
    </row>
    <row r="250">
      <c r="A250" s="81"/>
      <c r="B250" s="81"/>
      <c r="C250" s="81"/>
    </row>
    <row r="251">
      <c r="A251" s="81"/>
      <c r="B251" s="81"/>
      <c r="C251" s="81"/>
    </row>
    <row r="252">
      <c r="A252" s="81"/>
      <c r="B252" s="81"/>
      <c r="C252" s="81"/>
    </row>
    <row r="253">
      <c r="A253" s="81"/>
      <c r="B253" s="81"/>
      <c r="C253" s="81"/>
    </row>
    <row r="254">
      <c r="A254" s="81"/>
      <c r="B254" s="81"/>
      <c r="C254" s="81"/>
    </row>
    <row r="255">
      <c r="A255" s="81"/>
      <c r="B255" s="81"/>
      <c r="C255" s="81"/>
    </row>
    <row r="256">
      <c r="A256" s="81"/>
      <c r="B256" s="81"/>
      <c r="C256" s="81"/>
    </row>
    <row r="257">
      <c r="A257" s="81"/>
      <c r="B257" s="81"/>
      <c r="C257" s="81"/>
    </row>
    <row r="258">
      <c r="A258" s="81"/>
      <c r="B258" s="81"/>
      <c r="C258" s="81"/>
    </row>
    <row r="259">
      <c r="A259" s="81"/>
      <c r="B259" s="81"/>
      <c r="C259" s="81"/>
    </row>
    <row r="260">
      <c r="A260" s="81"/>
      <c r="B260" s="81"/>
      <c r="C260" s="81"/>
    </row>
    <row r="261">
      <c r="A261" s="81"/>
      <c r="B261" s="81"/>
      <c r="C261" s="81"/>
    </row>
    <row r="262">
      <c r="A262" s="81"/>
      <c r="B262" s="81"/>
      <c r="C262" s="81"/>
    </row>
    <row r="263">
      <c r="A263" s="81"/>
      <c r="B263" s="81"/>
      <c r="C263" s="81"/>
    </row>
    <row r="264">
      <c r="A264" s="81"/>
      <c r="B264" s="81"/>
      <c r="C264" s="81"/>
    </row>
    <row r="265">
      <c r="A265" s="81"/>
      <c r="B265" s="81"/>
      <c r="C265" s="81"/>
    </row>
    <row r="266">
      <c r="A266" s="81"/>
      <c r="B266" s="81"/>
      <c r="C266" s="81"/>
    </row>
    <row r="267">
      <c r="A267" s="81"/>
      <c r="B267" s="81"/>
      <c r="C267" s="81"/>
    </row>
    <row r="268">
      <c r="A268" s="81"/>
      <c r="B268" s="81"/>
      <c r="C268" s="81"/>
    </row>
    <row r="269">
      <c r="A269" s="81"/>
      <c r="B269" s="81"/>
      <c r="C269" s="81"/>
    </row>
    <row r="270">
      <c r="A270" s="81"/>
      <c r="B270" s="81"/>
      <c r="C270" s="81"/>
    </row>
    <row r="271">
      <c r="A271" s="81"/>
      <c r="B271" s="81"/>
      <c r="C271" s="81"/>
    </row>
    <row r="272">
      <c r="A272" s="81"/>
      <c r="B272" s="81"/>
      <c r="C272" s="81"/>
    </row>
    <row r="273">
      <c r="A273" s="81"/>
      <c r="B273" s="81"/>
      <c r="C273" s="81"/>
    </row>
    <row r="274">
      <c r="A274" s="81"/>
      <c r="B274" s="81"/>
      <c r="C274" s="81"/>
    </row>
    <row r="275">
      <c r="A275" s="81"/>
      <c r="B275" s="81"/>
      <c r="C275" s="81"/>
    </row>
    <row r="276">
      <c r="A276" s="81"/>
      <c r="B276" s="81"/>
      <c r="C276" s="81"/>
    </row>
    <row r="277">
      <c r="A277" s="81"/>
      <c r="B277" s="81"/>
      <c r="C277" s="81"/>
    </row>
    <row r="278">
      <c r="A278" s="81"/>
      <c r="B278" s="81"/>
      <c r="C278" s="81"/>
    </row>
    <row r="279">
      <c r="A279" s="81"/>
      <c r="B279" s="81"/>
      <c r="C279" s="81"/>
    </row>
    <row r="280">
      <c r="A280" s="81"/>
      <c r="B280" s="81"/>
      <c r="C280" s="81"/>
    </row>
    <row r="281">
      <c r="A281" s="81"/>
      <c r="B281" s="81"/>
      <c r="C281" s="81"/>
    </row>
    <row r="282">
      <c r="A282" s="81"/>
      <c r="B282" s="81"/>
      <c r="C282" s="81"/>
    </row>
    <row r="283">
      <c r="A283" s="81"/>
      <c r="B283" s="81"/>
      <c r="C283" s="81"/>
    </row>
    <row r="284">
      <c r="A284" s="81"/>
      <c r="B284" s="81"/>
      <c r="C284" s="81"/>
    </row>
    <row r="285">
      <c r="A285" s="81"/>
      <c r="B285" s="81"/>
      <c r="C285" s="81"/>
    </row>
    <row r="286">
      <c r="A286" s="81"/>
      <c r="B286" s="81"/>
      <c r="C286" s="81"/>
    </row>
    <row r="287">
      <c r="A287" s="81"/>
      <c r="B287" s="81"/>
      <c r="C287" s="81"/>
    </row>
    <row r="288">
      <c r="A288" s="81"/>
      <c r="B288" s="81"/>
      <c r="C288" s="81"/>
    </row>
    <row r="289">
      <c r="A289" s="81"/>
      <c r="B289" s="81"/>
      <c r="C289" s="81"/>
    </row>
    <row r="290">
      <c r="A290" s="81"/>
      <c r="B290" s="81"/>
      <c r="C290" s="81"/>
    </row>
    <row r="291">
      <c r="A291" s="81"/>
      <c r="B291" s="81"/>
      <c r="C291" s="81"/>
    </row>
    <row r="292">
      <c r="A292" s="81"/>
      <c r="B292" s="81"/>
      <c r="C292" s="81"/>
    </row>
    <row r="293">
      <c r="A293" s="81"/>
      <c r="B293" s="81"/>
      <c r="C293" s="81"/>
    </row>
    <row r="294">
      <c r="A294" s="81"/>
      <c r="B294" s="81"/>
      <c r="C294" s="81"/>
    </row>
    <row r="295">
      <c r="A295" s="81"/>
      <c r="B295" s="81"/>
      <c r="C295" s="81"/>
    </row>
    <row r="296">
      <c r="A296" s="81"/>
      <c r="B296" s="81"/>
      <c r="C296" s="81"/>
    </row>
    <row r="297">
      <c r="A297" s="81"/>
      <c r="B297" s="81"/>
      <c r="C297" s="81"/>
    </row>
    <row r="298">
      <c r="A298" s="81"/>
      <c r="B298" s="81"/>
      <c r="C298" s="81"/>
    </row>
    <row r="299">
      <c r="A299" s="81"/>
      <c r="B299" s="81"/>
      <c r="C299" s="81"/>
    </row>
    <row r="300">
      <c r="A300" s="81"/>
      <c r="B300" s="81"/>
      <c r="C300" s="81"/>
    </row>
    <row r="301">
      <c r="A301" s="81"/>
      <c r="B301" s="81"/>
      <c r="C301" s="81"/>
    </row>
    <row r="302">
      <c r="A302" s="81"/>
      <c r="B302" s="81"/>
      <c r="C302" s="81"/>
    </row>
    <row r="303">
      <c r="A303" s="81"/>
      <c r="B303" s="81"/>
      <c r="C303" s="81"/>
    </row>
    <row r="304">
      <c r="A304" s="81"/>
      <c r="B304" s="81"/>
      <c r="C304" s="81"/>
    </row>
    <row r="305">
      <c r="A305" s="81"/>
      <c r="B305" s="81"/>
      <c r="C305" s="81"/>
    </row>
    <row r="306">
      <c r="A306" s="81"/>
      <c r="B306" s="81"/>
      <c r="C306" s="81"/>
    </row>
    <row r="307">
      <c r="A307" s="81"/>
      <c r="B307" s="81"/>
      <c r="C307" s="81"/>
    </row>
    <row r="308">
      <c r="A308" s="81"/>
      <c r="B308" s="81"/>
      <c r="C308" s="81"/>
    </row>
    <row r="309">
      <c r="A309" s="81"/>
      <c r="B309" s="81"/>
      <c r="C309" s="81"/>
    </row>
    <row r="310">
      <c r="A310" s="81"/>
      <c r="B310" s="81"/>
      <c r="C310" s="81"/>
    </row>
    <row r="311">
      <c r="A311" s="81"/>
      <c r="B311" s="81"/>
      <c r="C311" s="81"/>
    </row>
    <row r="312">
      <c r="A312" s="81"/>
      <c r="B312" s="81"/>
      <c r="C312" s="81"/>
    </row>
    <row r="313">
      <c r="A313" s="81"/>
      <c r="B313" s="81"/>
      <c r="C313" s="81"/>
    </row>
    <row r="314">
      <c r="A314" s="81"/>
      <c r="B314" s="81"/>
      <c r="C314" s="81"/>
    </row>
    <row r="315">
      <c r="A315" s="81"/>
      <c r="B315" s="81"/>
      <c r="C315" s="81"/>
    </row>
    <row r="316">
      <c r="A316" s="81"/>
      <c r="B316" s="81"/>
      <c r="C316" s="81"/>
    </row>
    <row r="317">
      <c r="A317" s="81"/>
      <c r="B317" s="81"/>
      <c r="C317" s="81"/>
    </row>
    <row r="318">
      <c r="A318" s="81"/>
      <c r="B318" s="81"/>
      <c r="C318" s="81"/>
    </row>
    <row r="319">
      <c r="A319" s="81"/>
      <c r="B319" s="81"/>
      <c r="C319" s="81"/>
    </row>
    <row r="320">
      <c r="A320" s="81"/>
      <c r="B320" s="81"/>
      <c r="C320" s="81"/>
    </row>
    <row r="321">
      <c r="A321" s="81"/>
      <c r="B321" s="81"/>
      <c r="C321" s="81"/>
    </row>
    <row r="322">
      <c r="A322" s="81"/>
      <c r="B322" s="81"/>
      <c r="C322" s="81"/>
    </row>
    <row r="323">
      <c r="A323" s="81"/>
      <c r="B323" s="81"/>
      <c r="C323" s="81"/>
    </row>
    <row r="324">
      <c r="A324" s="81"/>
      <c r="B324" s="81"/>
      <c r="C324" s="81"/>
    </row>
    <row r="325">
      <c r="A325" s="81"/>
      <c r="B325" s="81"/>
      <c r="C325" s="81"/>
    </row>
    <row r="326">
      <c r="A326" s="81"/>
      <c r="B326" s="81"/>
      <c r="C326" s="81"/>
    </row>
    <row r="327">
      <c r="A327" s="81"/>
      <c r="B327" s="81"/>
      <c r="C327" s="81"/>
    </row>
    <row r="328">
      <c r="A328" s="81"/>
      <c r="B328" s="81"/>
      <c r="C328" s="81"/>
    </row>
    <row r="329">
      <c r="A329" s="81"/>
      <c r="B329" s="81"/>
      <c r="C329" s="81"/>
    </row>
    <row r="330">
      <c r="A330" s="81"/>
      <c r="B330" s="81"/>
      <c r="C330" s="81"/>
    </row>
    <row r="331">
      <c r="A331" s="81"/>
      <c r="B331" s="81"/>
      <c r="C331" s="81"/>
    </row>
    <row r="332">
      <c r="A332" s="81"/>
      <c r="B332" s="81"/>
      <c r="C332" s="81"/>
    </row>
    <row r="333">
      <c r="A333" s="81"/>
      <c r="B333" s="81"/>
      <c r="C333" s="81"/>
    </row>
    <row r="334">
      <c r="A334" s="81"/>
      <c r="B334" s="81"/>
      <c r="C334" s="81"/>
    </row>
    <row r="335">
      <c r="A335" s="81"/>
      <c r="B335" s="81"/>
      <c r="C335" s="81"/>
    </row>
    <row r="336">
      <c r="A336" s="81"/>
      <c r="B336" s="81"/>
      <c r="C336" s="81"/>
    </row>
    <row r="337">
      <c r="A337" s="81"/>
      <c r="B337" s="81"/>
      <c r="C337" s="81"/>
    </row>
    <row r="338">
      <c r="A338" s="81"/>
      <c r="B338" s="81"/>
      <c r="C338" s="81"/>
    </row>
    <row r="339">
      <c r="A339" s="81"/>
      <c r="B339" s="81"/>
      <c r="C339" s="81"/>
    </row>
    <row r="340">
      <c r="A340" s="81"/>
      <c r="B340" s="81"/>
      <c r="C340" s="81"/>
    </row>
    <row r="341">
      <c r="A341" s="81"/>
      <c r="B341" s="81"/>
      <c r="C341" s="81"/>
    </row>
    <row r="342">
      <c r="A342" s="81"/>
      <c r="B342" s="81"/>
      <c r="C342" s="81"/>
    </row>
    <row r="343">
      <c r="A343" s="81"/>
      <c r="B343" s="81"/>
      <c r="C343" s="81"/>
    </row>
    <row r="344">
      <c r="A344" s="81"/>
      <c r="B344" s="81"/>
      <c r="C344" s="81"/>
    </row>
    <row r="345">
      <c r="A345" s="81"/>
      <c r="B345" s="81"/>
      <c r="C345" s="81"/>
    </row>
    <row r="346">
      <c r="A346" s="81"/>
      <c r="B346" s="81"/>
      <c r="C346" s="81"/>
    </row>
    <row r="347">
      <c r="A347" s="81"/>
      <c r="B347" s="81"/>
      <c r="C347" s="81"/>
    </row>
    <row r="348">
      <c r="A348" s="81"/>
      <c r="B348" s="81"/>
      <c r="C348" s="81"/>
    </row>
    <row r="349">
      <c r="A349" s="81"/>
      <c r="B349" s="81"/>
      <c r="C349" s="81"/>
    </row>
    <row r="350">
      <c r="A350" s="81"/>
      <c r="B350" s="81"/>
      <c r="C350" s="81"/>
    </row>
    <row r="351">
      <c r="A351" s="81"/>
      <c r="B351" s="81"/>
      <c r="C351" s="81"/>
    </row>
    <row r="352">
      <c r="A352" s="81"/>
      <c r="B352" s="81"/>
      <c r="C352" s="81"/>
    </row>
    <row r="353">
      <c r="A353" s="81"/>
      <c r="B353" s="81"/>
      <c r="C353" s="81"/>
    </row>
    <row r="354">
      <c r="A354" s="81"/>
      <c r="B354" s="81"/>
      <c r="C354" s="81"/>
    </row>
    <row r="355">
      <c r="A355" s="81"/>
      <c r="B355" s="81"/>
      <c r="C355" s="81"/>
    </row>
    <row r="356">
      <c r="A356" s="81"/>
      <c r="B356" s="81"/>
      <c r="C356" s="81"/>
    </row>
    <row r="357">
      <c r="A357" s="81"/>
      <c r="B357" s="81"/>
      <c r="C357" s="81"/>
    </row>
    <row r="358">
      <c r="A358" s="81"/>
      <c r="B358" s="81"/>
      <c r="C358" s="81"/>
    </row>
    <row r="359">
      <c r="A359" s="81"/>
      <c r="B359" s="81"/>
      <c r="C359" s="81"/>
    </row>
    <row r="360">
      <c r="A360" s="81"/>
      <c r="B360" s="81"/>
      <c r="C360" s="81"/>
    </row>
    <row r="361">
      <c r="A361" s="81"/>
      <c r="B361" s="81"/>
      <c r="C361" s="81"/>
    </row>
    <row r="362">
      <c r="A362" s="81"/>
      <c r="B362" s="81"/>
      <c r="C362" s="81"/>
    </row>
    <row r="363">
      <c r="A363" s="81"/>
      <c r="B363" s="81"/>
      <c r="C363" s="81"/>
    </row>
    <row r="364">
      <c r="A364" s="81"/>
      <c r="B364" s="81"/>
      <c r="C364" s="81"/>
    </row>
    <row r="365">
      <c r="A365" s="81"/>
      <c r="B365" s="81"/>
      <c r="C365" s="81"/>
    </row>
    <row r="366">
      <c r="A366" s="81"/>
      <c r="B366" s="81"/>
      <c r="C366" s="81"/>
    </row>
    <row r="367">
      <c r="A367" s="81"/>
      <c r="B367" s="81"/>
      <c r="C367" s="81"/>
    </row>
    <row r="368">
      <c r="A368" s="81"/>
      <c r="B368" s="81"/>
      <c r="C368" s="81"/>
    </row>
    <row r="369">
      <c r="A369" s="81"/>
      <c r="B369" s="81"/>
      <c r="C369" s="81"/>
    </row>
    <row r="370">
      <c r="A370" s="81"/>
      <c r="B370" s="81"/>
      <c r="C370" s="81"/>
    </row>
    <row r="371">
      <c r="A371" s="81"/>
      <c r="B371" s="81"/>
      <c r="C371" s="81"/>
    </row>
    <row r="372">
      <c r="A372" s="81"/>
      <c r="B372" s="81"/>
      <c r="C372" s="81"/>
    </row>
    <row r="373">
      <c r="A373" s="81"/>
      <c r="B373" s="81"/>
      <c r="C373" s="81"/>
    </row>
    <row r="374">
      <c r="A374" s="81"/>
      <c r="B374" s="81"/>
      <c r="C374" s="81"/>
    </row>
    <row r="375">
      <c r="A375" s="81"/>
      <c r="B375" s="81"/>
      <c r="C375" s="81"/>
    </row>
    <row r="376">
      <c r="A376" s="81"/>
      <c r="B376" s="81"/>
      <c r="C376" s="81"/>
    </row>
    <row r="377">
      <c r="A377" s="81"/>
      <c r="B377" s="81"/>
      <c r="C377" s="81"/>
    </row>
    <row r="378">
      <c r="A378" s="81"/>
      <c r="B378" s="81"/>
      <c r="C378" s="81"/>
    </row>
    <row r="379">
      <c r="A379" s="81"/>
      <c r="B379" s="81"/>
      <c r="C379" s="81"/>
    </row>
    <row r="380">
      <c r="A380" s="81"/>
      <c r="B380" s="81"/>
      <c r="C380" s="81"/>
    </row>
    <row r="381">
      <c r="A381" s="81"/>
      <c r="B381" s="81"/>
      <c r="C381" s="81"/>
    </row>
    <row r="382">
      <c r="A382" s="81"/>
      <c r="B382" s="81"/>
      <c r="C382" s="81"/>
    </row>
    <row r="383">
      <c r="A383" s="81"/>
      <c r="B383" s="81"/>
      <c r="C383" s="81"/>
    </row>
    <row r="384">
      <c r="A384" s="81"/>
      <c r="B384" s="81"/>
      <c r="C384" s="81"/>
    </row>
    <row r="385">
      <c r="A385" s="81"/>
      <c r="B385" s="81"/>
      <c r="C385" s="81"/>
    </row>
    <row r="386">
      <c r="A386" s="81"/>
      <c r="B386" s="81"/>
      <c r="C386" s="81"/>
    </row>
    <row r="387">
      <c r="A387" s="81"/>
      <c r="B387" s="81"/>
      <c r="C387" s="81"/>
    </row>
    <row r="388">
      <c r="A388" s="81"/>
      <c r="B388" s="81"/>
      <c r="C388" s="81"/>
    </row>
    <row r="389">
      <c r="A389" s="81"/>
      <c r="B389" s="81"/>
      <c r="C389" s="81"/>
    </row>
    <row r="390">
      <c r="A390" s="81"/>
      <c r="B390" s="81"/>
      <c r="C390" s="81"/>
    </row>
    <row r="391">
      <c r="A391" s="81"/>
      <c r="B391" s="81"/>
      <c r="C391" s="81"/>
    </row>
    <row r="392">
      <c r="A392" s="81"/>
      <c r="B392" s="81"/>
      <c r="C392" s="81"/>
    </row>
    <row r="393">
      <c r="A393" s="81"/>
      <c r="B393" s="81"/>
      <c r="C393" s="81"/>
    </row>
    <row r="394">
      <c r="A394" s="81"/>
      <c r="B394" s="81"/>
      <c r="C394" s="81"/>
    </row>
    <row r="395">
      <c r="A395" s="81"/>
      <c r="B395" s="81"/>
      <c r="C395" s="81"/>
    </row>
    <row r="396">
      <c r="A396" s="81"/>
      <c r="B396" s="81"/>
      <c r="C396" s="81"/>
    </row>
    <row r="397">
      <c r="A397" s="81"/>
      <c r="B397" s="81"/>
      <c r="C397" s="81"/>
    </row>
    <row r="398">
      <c r="A398" s="81"/>
      <c r="B398" s="81"/>
      <c r="C398" s="81"/>
    </row>
    <row r="399">
      <c r="A399" s="81"/>
      <c r="B399" s="81"/>
      <c r="C399" s="81"/>
    </row>
    <row r="400">
      <c r="A400" s="81"/>
      <c r="B400" s="81"/>
      <c r="C400" s="81"/>
    </row>
    <row r="401">
      <c r="A401" s="81"/>
      <c r="B401" s="81"/>
      <c r="C401" s="81"/>
    </row>
    <row r="402">
      <c r="A402" s="81"/>
      <c r="B402" s="81"/>
      <c r="C402" s="81"/>
    </row>
    <row r="403">
      <c r="A403" s="81"/>
      <c r="B403" s="81"/>
      <c r="C403" s="81"/>
    </row>
    <row r="404">
      <c r="A404" s="81"/>
      <c r="B404" s="81"/>
      <c r="C404" s="81"/>
    </row>
    <row r="405">
      <c r="A405" s="81"/>
      <c r="B405" s="81"/>
      <c r="C405" s="81"/>
    </row>
    <row r="406">
      <c r="A406" s="81"/>
      <c r="B406" s="81"/>
      <c r="C406" s="81"/>
    </row>
    <row r="407">
      <c r="A407" s="81"/>
      <c r="B407" s="81"/>
      <c r="C407" s="81"/>
    </row>
    <row r="408">
      <c r="A408" s="81"/>
      <c r="B408" s="81"/>
      <c r="C408" s="81"/>
    </row>
    <row r="409">
      <c r="A409" s="81"/>
      <c r="B409" s="81"/>
      <c r="C409" s="81"/>
    </row>
    <row r="410">
      <c r="A410" s="81"/>
      <c r="B410" s="81"/>
      <c r="C410" s="81"/>
    </row>
    <row r="411">
      <c r="A411" s="81"/>
      <c r="B411" s="81"/>
      <c r="C411" s="81"/>
    </row>
    <row r="412">
      <c r="A412" s="81"/>
      <c r="B412" s="81"/>
      <c r="C412" s="81"/>
    </row>
    <row r="413">
      <c r="A413" s="81"/>
      <c r="B413" s="81"/>
      <c r="C413" s="81"/>
    </row>
    <row r="414">
      <c r="A414" s="81"/>
      <c r="B414" s="81"/>
      <c r="C414" s="81"/>
    </row>
    <row r="415">
      <c r="A415" s="81"/>
      <c r="B415" s="81"/>
      <c r="C415" s="81"/>
    </row>
    <row r="416">
      <c r="A416" s="81"/>
      <c r="B416" s="81"/>
      <c r="C416" s="81"/>
    </row>
    <row r="417">
      <c r="A417" s="81"/>
      <c r="B417" s="81"/>
      <c r="C417" s="81"/>
    </row>
    <row r="418">
      <c r="A418" s="81"/>
      <c r="B418" s="81"/>
      <c r="C418" s="81"/>
    </row>
    <row r="419">
      <c r="A419" s="81"/>
      <c r="B419" s="81"/>
      <c r="C419" s="81"/>
    </row>
    <row r="420">
      <c r="A420" s="81"/>
      <c r="B420" s="81"/>
      <c r="C420" s="81"/>
    </row>
    <row r="421">
      <c r="A421" s="81"/>
      <c r="B421" s="81"/>
      <c r="C421" s="81"/>
    </row>
    <row r="422">
      <c r="A422" s="81"/>
      <c r="B422" s="81"/>
      <c r="C422" s="81"/>
    </row>
    <row r="423">
      <c r="A423" s="81"/>
      <c r="B423" s="81"/>
      <c r="C423" s="81"/>
    </row>
    <row r="424">
      <c r="A424" s="81"/>
      <c r="B424" s="81"/>
      <c r="C424" s="81"/>
    </row>
    <row r="425">
      <c r="A425" s="81"/>
      <c r="B425" s="81"/>
      <c r="C425" s="81"/>
    </row>
    <row r="426">
      <c r="A426" s="81"/>
      <c r="B426" s="81"/>
      <c r="C426" s="81"/>
    </row>
    <row r="427">
      <c r="A427" s="81"/>
      <c r="B427" s="81"/>
      <c r="C427" s="81"/>
    </row>
    <row r="428">
      <c r="A428" s="81"/>
      <c r="B428" s="81"/>
      <c r="C428" s="81"/>
    </row>
    <row r="429">
      <c r="A429" s="81"/>
      <c r="B429" s="81"/>
      <c r="C429" s="81"/>
    </row>
    <row r="430">
      <c r="A430" s="81"/>
      <c r="B430" s="81"/>
      <c r="C430" s="81"/>
    </row>
    <row r="431">
      <c r="A431" s="81"/>
      <c r="B431" s="81"/>
      <c r="C431" s="81"/>
    </row>
    <row r="432">
      <c r="A432" s="81"/>
      <c r="B432" s="81"/>
      <c r="C432" s="81"/>
    </row>
    <row r="433">
      <c r="A433" s="81"/>
      <c r="B433" s="81"/>
      <c r="C433" s="81"/>
    </row>
    <row r="434">
      <c r="A434" s="81"/>
      <c r="B434" s="81"/>
      <c r="C434" s="81"/>
    </row>
    <row r="435">
      <c r="A435" s="81"/>
      <c r="B435" s="81"/>
      <c r="C435" s="81"/>
    </row>
    <row r="436">
      <c r="A436" s="81"/>
      <c r="B436" s="81"/>
      <c r="C436" s="81"/>
    </row>
    <row r="437">
      <c r="A437" s="81"/>
      <c r="B437" s="81"/>
      <c r="C437" s="81"/>
    </row>
    <row r="438">
      <c r="A438" s="81"/>
      <c r="B438" s="81"/>
      <c r="C438" s="81"/>
    </row>
    <row r="439">
      <c r="A439" s="81"/>
      <c r="B439" s="81"/>
      <c r="C439" s="81"/>
    </row>
    <row r="440">
      <c r="A440" s="81"/>
      <c r="B440" s="81"/>
      <c r="C440" s="81"/>
    </row>
    <row r="441">
      <c r="A441" s="81"/>
      <c r="B441" s="81"/>
      <c r="C441" s="81"/>
    </row>
    <row r="442">
      <c r="A442" s="81"/>
      <c r="B442" s="81"/>
      <c r="C442" s="81"/>
    </row>
    <row r="443">
      <c r="A443" s="81"/>
      <c r="B443" s="81"/>
      <c r="C443" s="81"/>
    </row>
    <row r="444">
      <c r="A444" s="81"/>
      <c r="B444" s="81"/>
      <c r="C444" s="81"/>
    </row>
    <row r="445">
      <c r="A445" s="81"/>
      <c r="B445" s="81"/>
      <c r="C445" s="81"/>
    </row>
    <row r="446">
      <c r="A446" s="81"/>
      <c r="B446" s="81"/>
      <c r="C446" s="81"/>
    </row>
    <row r="447">
      <c r="A447" s="81"/>
      <c r="B447" s="81"/>
      <c r="C447" s="81"/>
    </row>
    <row r="448">
      <c r="A448" s="81"/>
      <c r="B448" s="81"/>
      <c r="C448" s="81"/>
    </row>
    <row r="449">
      <c r="A449" s="81"/>
      <c r="B449" s="81"/>
      <c r="C449" s="81"/>
    </row>
    <row r="450">
      <c r="A450" s="81"/>
      <c r="B450" s="81"/>
      <c r="C450" s="81"/>
    </row>
    <row r="451">
      <c r="A451" s="81"/>
      <c r="B451" s="81"/>
      <c r="C451" s="81"/>
    </row>
    <row r="452">
      <c r="A452" s="81"/>
      <c r="B452" s="81"/>
      <c r="C452" s="81"/>
    </row>
    <row r="453">
      <c r="A453" s="81"/>
      <c r="B453" s="81"/>
      <c r="C453" s="81"/>
    </row>
    <row r="454">
      <c r="A454" s="81"/>
      <c r="B454" s="81"/>
      <c r="C454" s="81"/>
    </row>
    <row r="455">
      <c r="A455" s="81"/>
      <c r="B455" s="81"/>
      <c r="C455" s="81"/>
    </row>
    <row r="456">
      <c r="A456" s="81"/>
      <c r="B456" s="81"/>
      <c r="C456" s="81"/>
    </row>
    <row r="457">
      <c r="A457" s="81"/>
      <c r="B457" s="81"/>
      <c r="C457" s="81"/>
    </row>
    <row r="458">
      <c r="A458" s="81"/>
      <c r="B458" s="81"/>
      <c r="C458" s="81"/>
    </row>
    <row r="459">
      <c r="A459" s="81"/>
      <c r="B459" s="81"/>
      <c r="C459" s="81"/>
    </row>
    <row r="460">
      <c r="A460" s="81"/>
      <c r="B460" s="81"/>
      <c r="C460" s="81"/>
    </row>
    <row r="461">
      <c r="A461" s="81"/>
      <c r="B461" s="81"/>
      <c r="C461" s="81"/>
    </row>
    <row r="462">
      <c r="A462" s="81"/>
      <c r="B462" s="81"/>
      <c r="C462" s="81"/>
    </row>
    <row r="463">
      <c r="A463" s="81"/>
      <c r="B463" s="81"/>
      <c r="C463" s="81"/>
    </row>
    <row r="464">
      <c r="A464" s="81"/>
      <c r="B464" s="81"/>
      <c r="C464" s="81"/>
    </row>
    <row r="465">
      <c r="A465" s="81"/>
      <c r="B465" s="81"/>
      <c r="C465" s="81"/>
    </row>
    <row r="466">
      <c r="A466" s="81"/>
      <c r="B466" s="81"/>
      <c r="C466" s="81"/>
    </row>
    <row r="467">
      <c r="A467" s="81"/>
      <c r="B467" s="81"/>
      <c r="C467" s="81"/>
    </row>
    <row r="468">
      <c r="A468" s="81"/>
      <c r="B468" s="81"/>
      <c r="C468" s="81"/>
    </row>
    <row r="469">
      <c r="A469" s="81"/>
      <c r="B469" s="81"/>
      <c r="C469" s="81"/>
    </row>
    <row r="470">
      <c r="A470" s="81"/>
      <c r="B470" s="81"/>
      <c r="C470" s="81"/>
    </row>
    <row r="471">
      <c r="A471" s="81"/>
      <c r="B471" s="81"/>
      <c r="C471" s="81"/>
    </row>
    <row r="472">
      <c r="A472" s="81"/>
      <c r="B472" s="81"/>
      <c r="C472" s="81"/>
    </row>
    <row r="473">
      <c r="A473" s="81"/>
      <c r="B473" s="81"/>
      <c r="C473" s="81"/>
    </row>
    <row r="474">
      <c r="A474" s="81"/>
      <c r="B474" s="81"/>
      <c r="C474" s="81"/>
    </row>
    <row r="475">
      <c r="A475" s="81"/>
      <c r="B475" s="81"/>
      <c r="C475" s="81"/>
    </row>
    <row r="476">
      <c r="A476" s="81"/>
      <c r="B476" s="81"/>
      <c r="C476" s="81"/>
    </row>
    <row r="477">
      <c r="A477" s="81"/>
      <c r="B477" s="81"/>
      <c r="C477" s="81"/>
    </row>
    <row r="478">
      <c r="A478" s="81"/>
      <c r="B478" s="81"/>
      <c r="C478" s="81"/>
    </row>
    <row r="479">
      <c r="A479" s="81"/>
      <c r="B479" s="81"/>
      <c r="C479" s="81"/>
    </row>
    <row r="480">
      <c r="A480" s="81"/>
      <c r="B480" s="81"/>
      <c r="C480" s="81"/>
    </row>
    <row r="481">
      <c r="A481" s="81"/>
      <c r="B481" s="81"/>
      <c r="C481" s="81"/>
    </row>
    <row r="482">
      <c r="A482" s="81"/>
      <c r="B482" s="81"/>
      <c r="C482" s="81"/>
    </row>
    <row r="483">
      <c r="A483" s="81"/>
      <c r="B483" s="81"/>
      <c r="C483" s="81"/>
    </row>
    <row r="484">
      <c r="A484" s="81"/>
      <c r="B484" s="81"/>
      <c r="C484" s="81"/>
    </row>
    <row r="485">
      <c r="A485" s="81"/>
      <c r="B485" s="81"/>
      <c r="C485" s="81"/>
    </row>
    <row r="486">
      <c r="A486" s="81"/>
      <c r="B486" s="81"/>
      <c r="C486" s="81"/>
    </row>
    <row r="487">
      <c r="A487" s="81"/>
      <c r="B487" s="81"/>
      <c r="C487" s="81"/>
    </row>
    <row r="488">
      <c r="A488" s="81"/>
      <c r="B488" s="81"/>
      <c r="C488" s="81"/>
    </row>
    <row r="489">
      <c r="A489" s="81"/>
      <c r="B489" s="81"/>
      <c r="C489" s="81"/>
    </row>
    <row r="490">
      <c r="A490" s="81"/>
      <c r="B490" s="81"/>
      <c r="C490" s="81"/>
    </row>
    <row r="491">
      <c r="A491" s="81"/>
      <c r="B491" s="81"/>
      <c r="C491" s="81"/>
    </row>
    <row r="492">
      <c r="A492" s="81"/>
      <c r="B492" s="81"/>
      <c r="C492" s="81"/>
    </row>
    <row r="493">
      <c r="A493" s="81"/>
      <c r="B493" s="81"/>
      <c r="C493" s="81"/>
    </row>
    <row r="494">
      <c r="A494" s="81"/>
      <c r="B494" s="81"/>
      <c r="C494" s="81"/>
    </row>
    <row r="495">
      <c r="A495" s="81"/>
      <c r="B495" s="81"/>
      <c r="C495" s="81"/>
    </row>
    <row r="496">
      <c r="A496" s="81"/>
      <c r="B496" s="81"/>
      <c r="C496" s="81"/>
    </row>
    <row r="497">
      <c r="A497" s="81"/>
      <c r="B497" s="81"/>
      <c r="C497" s="81"/>
    </row>
    <row r="498">
      <c r="A498" s="81"/>
      <c r="B498" s="81"/>
      <c r="C498" s="81"/>
    </row>
    <row r="499">
      <c r="A499" s="81"/>
      <c r="B499" s="81"/>
      <c r="C499" s="81"/>
    </row>
    <row r="500">
      <c r="A500" s="81"/>
      <c r="B500" s="81"/>
      <c r="C500" s="81"/>
    </row>
    <row r="501">
      <c r="A501" s="81"/>
      <c r="B501" s="81"/>
      <c r="C501" s="81"/>
    </row>
    <row r="502">
      <c r="A502" s="81"/>
      <c r="B502" s="81"/>
      <c r="C502" s="81"/>
    </row>
    <row r="503">
      <c r="A503" s="81"/>
      <c r="B503" s="81"/>
      <c r="C503" s="81"/>
    </row>
    <row r="504">
      <c r="A504" s="81"/>
      <c r="B504" s="81"/>
      <c r="C504" s="81"/>
    </row>
    <row r="505">
      <c r="A505" s="81"/>
      <c r="B505" s="81"/>
      <c r="C505" s="81"/>
    </row>
    <row r="506">
      <c r="A506" s="81"/>
      <c r="B506" s="81"/>
      <c r="C506" s="81"/>
    </row>
    <row r="507">
      <c r="A507" s="81"/>
      <c r="B507" s="81"/>
      <c r="C507" s="81"/>
    </row>
    <row r="508">
      <c r="A508" s="81"/>
      <c r="B508" s="81"/>
      <c r="C508" s="81"/>
    </row>
    <row r="509">
      <c r="A509" s="81"/>
      <c r="B509" s="81"/>
      <c r="C509" s="81"/>
    </row>
    <row r="510">
      <c r="A510" s="81"/>
      <c r="B510" s="81"/>
      <c r="C510" s="81"/>
    </row>
    <row r="511">
      <c r="A511" s="81"/>
      <c r="B511" s="81"/>
      <c r="C511" s="81"/>
    </row>
    <row r="512">
      <c r="A512" s="81"/>
      <c r="B512" s="81"/>
      <c r="C512" s="81"/>
    </row>
    <row r="513">
      <c r="A513" s="81"/>
      <c r="B513" s="81"/>
      <c r="C513" s="81"/>
    </row>
    <row r="514">
      <c r="A514" s="81"/>
      <c r="B514" s="81"/>
      <c r="C514" s="81"/>
    </row>
    <row r="515">
      <c r="A515" s="81"/>
      <c r="B515" s="81"/>
      <c r="C515" s="81"/>
    </row>
    <row r="516">
      <c r="A516" s="81"/>
      <c r="B516" s="81"/>
      <c r="C516" s="81"/>
    </row>
    <row r="517">
      <c r="A517" s="81"/>
      <c r="B517" s="81"/>
      <c r="C517" s="81"/>
    </row>
    <row r="518">
      <c r="A518" s="81"/>
      <c r="B518" s="81"/>
      <c r="C518" s="81"/>
    </row>
    <row r="519">
      <c r="A519" s="81"/>
      <c r="B519" s="81"/>
      <c r="C519" s="81"/>
    </row>
    <row r="520">
      <c r="A520" s="81"/>
      <c r="B520" s="81"/>
      <c r="C520" s="81"/>
    </row>
    <row r="521">
      <c r="A521" s="81"/>
      <c r="B521" s="81"/>
      <c r="C521" s="81"/>
    </row>
    <row r="522">
      <c r="A522" s="81"/>
      <c r="B522" s="81"/>
      <c r="C522" s="81"/>
    </row>
    <row r="523">
      <c r="A523" s="81"/>
      <c r="B523" s="81"/>
      <c r="C523" s="81"/>
    </row>
    <row r="524">
      <c r="A524" s="81"/>
      <c r="B524" s="81"/>
      <c r="C524" s="81"/>
    </row>
    <row r="525">
      <c r="A525" s="81"/>
      <c r="B525" s="81"/>
      <c r="C525" s="81"/>
    </row>
    <row r="526">
      <c r="A526" s="81"/>
      <c r="B526" s="81"/>
      <c r="C526" s="81"/>
    </row>
    <row r="527">
      <c r="A527" s="81"/>
      <c r="B527" s="81"/>
      <c r="C527" s="81"/>
    </row>
    <row r="528">
      <c r="A528" s="81"/>
      <c r="B528" s="81"/>
      <c r="C528" s="81"/>
    </row>
    <row r="529">
      <c r="A529" s="81"/>
      <c r="B529" s="81"/>
      <c r="C529" s="81"/>
    </row>
    <row r="530">
      <c r="A530" s="81"/>
      <c r="B530" s="81"/>
      <c r="C530" s="81"/>
    </row>
    <row r="531">
      <c r="A531" s="81"/>
      <c r="B531" s="81"/>
      <c r="C531" s="81"/>
    </row>
    <row r="532">
      <c r="A532" s="81"/>
      <c r="B532" s="81"/>
      <c r="C532" s="81"/>
    </row>
    <row r="533">
      <c r="A533" s="81"/>
      <c r="B533" s="81"/>
      <c r="C533" s="81"/>
    </row>
    <row r="534">
      <c r="A534" s="81"/>
      <c r="B534" s="81"/>
      <c r="C534" s="81"/>
    </row>
    <row r="535">
      <c r="A535" s="81"/>
      <c r="B535" s="81"/>
      <c r="C535" s="81"/>
    </row>
    <row r="536">
      <c r="A536" s="81"/>
      <c r="B536" s="81"/>
      <c r="C536" s="81"/>
    </row>
    <row r="537">
      <c r="A537" s="81"/>
      <c r="B537" s="81"/>
      <c r="C537" s="81"/>
    </row>
    <row r="538">
      <c r="A538" s="81"/>
      <c r="B538" s="81"/>
      <c r="C538" s="81"/>
    </row>
    <row r="539">
      <c r="A539" s="81"/>
      <c r="B539" s="81"/>
      <c r="C539" s="81"/>
    </row>
    <row r="540">
      <c r="A540" s="81"/>
      <c r="B540" s="81"/>
      <c r="C540" s="81"/>
    </row>
    <row r="541">
      <c r="A541" s="81"/>
      <c r="B541" s="81"/>
      <c r="C541" s="81"/>
    </row>
    <row r="542">
      <c r="A542" s="81"/>
      <c r="B542" s="81"/>
      <c r="C542" s="81"/>
    </row>
    <row r="543">
      <c r="A543" s="81"/>
      <c r="B543" s="81"/>
      <c r="C543" s="81"/>
    </row>
    <row r="544">
      <c r="A544" s="81"/>
      <c r="B544" s="81"/>
      <c r="C544" s="81"/>
    </row>
    <row r="545">
      <c r="A545" s="81"/>
      <c r="B545" s="81"/>
      <c r="C545" s="81"/>
    </row>
    <row r="546">
      <c r="A546" s="81"/>
      <c r="B546" s="81"/>
      <c r="C546" s="81"/>
    </row>
    <row r="547">
      <c r="A547" s="81"/>
      <c r="B547" s="81"/>
      <c r="C547" s="81"/>
    </row>
    <row r="548">
      <c r="A548" s="81"/>
      <c r="B548" s="81"/>
      <c r="C548" s="81"/>
    </row>
    <row r="549">
      <c r="A549" s="81"/>
      <c r="B549" s="81"/>
      <c r="C549" s="81"/>
    </row>
    <row r="550">
      <c r="A550" s="81"/>
      <c r="B550" s="81"/>
      <c r="C550" s="81"/>
    </row>
    <row r="551">
      <c r="A551" s="81"/>
      <c r="B551" s="81"/>
      <c r="C551" s="81"/>
    </row>
    <row r="552">
      <c r="A552" s="81"/>
      <c r="B552" s="81"/>
      <c r="C552" s="81"/>
    </row>
    <row r="553">
      <c r="A553" s="81"/>
      <c r="B553" s="81"/>
      <c r="C553" s="81"/>
    </row>
    <row r="554">
      <c r="A554" s="81"/>
      <c r="B554" s="81"/>
      <c r="C554" s="81"/>
    </row>
    <row r="555">
      <c r="A555" s="81"/>
      <c r="B555" s="81"/>
      <c r="C555" s="81"/>
    </row>
    <row r="556">
      <c r="A556" s="81"/>
      <c r="B556" s="81"/>
      <c r="C556" s="81"/>
    </row>
    <row r="557">
      <c r="A557" s="81"/>
      <c r="B557" s="81"/>
      <c r="C557" s="81"/>
    </row>
    <row r="558">
      <c r="A558" s="81"/>
      <c r="B558" s="81"/>
      <c r="C558" s="81"/>
    </row>
    <row r="559">
      <c r="A559" s="81"/>
      <c r="B559" s="81"/>
      <c r="C559" s="81"/>
    </row>
    <row r="560">
      <c r="A560" s="81"/>
      <c r="B560" s="81"/>
      <c r="C560" s="81"/>
    </row>
    <row r="561">
      <c r="A561" s="81"/>
      <c r="B561" s="81"/>
      <c r="C561" s="81"/>
    </row>
    <row r="562">
      <c r="A562" s="81"/>
      <c r="B562" s="81"/>
      <c r="C562" s="81"/>
    </row>
    <row r="563">
      <c r="A563" s="81"/>
      <c r="B563" s="81"/>
      <c r="C563" s="81"/>
    </row>
    <row r="564">
      <c r="A564" s="81"/>
      <c r="B564" s="81"/>
      <c r="C564" s="81"/>
    </row>
    <row r="565">
      <c r="A565" s="81"/>
      <c r="B565" s="81"/>
      <c r="C565" s="81"/>
    </row>
    <row r="566">
      <c r="A566" s="81"/>
      <c r="B566" s="81"/>
      <c r="C566" s="81"/>
    </row>
    <row r="567">
      <c r="A567" s="81"/>
      <c r="B567" s="81"/>
      <c r="C567" s="81"/>
    </row>
    <row r="568">
      <c r="A568" s="81"/>
      <c r="B568" s="81"/>
      <c r="C568" s="81"/>
    </row>
    <row r="569">
      <c r="A569" s="81"/>
      <c r="B569" s="81"/>
      <c r="C569" s="81"/>
    </row>
    <row r="570">
      <c r="A570" s="81"/>
      <c r="B570" s="81"/>
      <c r="C570" s="81"/>
    </row>
    <row r="571">
      <c r="A571" s="81"/>
      <c r="B571" s="81"/>
      <c r="C571" s="81"/>
    </row>
    <row r="572">
      <c r="A572" s="81"/>
      <c r="B572" s="81"/>
      <c r="C572" s="81"/>
    </row>
    <row r="573">
      <c r="A573" s="81"/>
      <c r="B573" s="81"/>
      <c r="C573" s="81"/>
    </row>
    <row r="574">
      <c r="A574" s="81"/>
      <c r="B574" s="81"/>
      <c r="C574" s="81"/>
    </row>
    <row r="575">
      <c r="A575" s="81"/>
      <c r="B575" s="81"/>
      <c r="C575" s="81"/>
    </row>
    <row r="576">
      <c r="A576" s="81"/>
      <c r="B576" s="81"/>
      <c r="C576" s="81"/>
    </row>
    <row r="577">
      <c r="A577" s="81"/>
      <c r="B577" s="81"/>
      <c r="C577" s="81"/>
    </row>
    <row r="578">
      <c r="A578" s="81"/>
      <c r="B578" s="81"/>
      <c r="C578" s="81"/>
    </row>
    <row r="579">
      <c r="A579" s="81"/>
      <c r="B579" s="81"/>
      <c r="C579" s="81"/>
    </row>
    <row r="580">
      <c r="A580" s="81"/>
      <c r="B580" s="81"/>
      <c r="C580" s="81"/>
    </row>
    <row r="581">
      <c r="A581" s="81"/>
      <c r="B581" s="81"/>
      <c r="C581" s="81"/>
    </row>
    <row r="582">
      <c r="A582" s="81"/>
      <c r="B582" s="81"/>
      <c r="C582" s="81"/>
    </row>
    <row r="583">
      <c r="A583" s="81"/>
      <c r="B583" s="81"/>
      <c r="C583" s="81"/>
    </row>
    <row r="584">
      <c r="A584" s="81"/>
      <c r="B584" s="81"/>
      <c r="C584" s="81"/>
    </row>
    <row r="585">
      <c r="A585" s="81"/>
      <c r="B585" s="81"/>
      <c r="C585" s="81"/>
    </row>
    <row r="586">
      <c r="A586" s="81"/>
      <c r="B586" s="81"/>
      <c r="C586" s="81"/>
    </row>
    <row r="587">
      <c r="A587" s="81"/>
      <c r="B587" s="81"/>
      <c r="C587" s="81"/>
    </row>
    <row r="588">
      <c r="A588" s="81"/>
      <c r="B588" s="81"/>
      <c r="C588" s="81"/>
    </row>
    <row r="589">
      <c r="A589" s="81"/>
      <c r="B589" s="81"/>
      <c r="C589" s="81"/>
    </row>
    <row r="590">
      <c r="A590" s="81"/>
      <c r="B590" s="81"/>
      <c r="C590" s="81"/>
    </row>
    <row r="591">
      <c r="A591" s="81"/>
      <c r="B591" s="81"/>
      <c r="C591" s="81"/>
    </row>
    <row r="592">
      <c r="A592" s="81"/>
      <c r="B592" s="81"/>
      <c r="C592" s="81"/>
    </row>
    <row r="593">
      <c r="A593" s="81"/>
      <c r="B593" s="81"/>
      <c r="C593" s="81"/>
    </row>
    <row r="594">
      <c r="A594" s="81"/>
      <c r="B594" s="81"/>
      <c r="C594" s="81"/>
    </row>
    <row r="595">
      <c r="A595" s="81"/>
      <c r="B595" s="81"/>
      <c r="C595" s="81"/>
    </row>
    <row r="596">
      <c r="A596" s="81"/>
      <c r="B596" s="81"/>
      <c r="C596" s="81"/>
    </row>
    <row r="597">
      <c r="A597" s="81"/>
      <c r="B597" s="81"/>
      <c r="C597" s="81"/>
    </row>
    <row r="598">
      <c r="A598" s="81"/>
      <c r="B598" s="81"/>
      <c r="C598" s="81"/>
    </row>
    <row r="599">
      <c r="A599" s="81"/>
      <c r="B599" s="81"/>
      <c r="C599" s="81"/>
    </row>
    <row r="600">
      <c r="A600" s="81"/>
      <c r="B600" s="81"/>
      <c r="C600" s="81"/>
    </row>
    <row r="601">
      <c r="A601" s="81"/>
      <c r="B601" s="81"/>
      <c r="C601" s="81"/>
    </row>
    <row r="602">
      <c r="A602" s="81"/>
      <c r="B602" s="81"/>
      <c r="C602" s="81"/>
    </row>
    <row r="603">
      <c r="A603" s="81"/>
      <c r="B603" s="81"/>
      <c r="C603" s="81"/>
    </row>
    <row r="604">
      <c r="A604" s="81"/>
      <c r="B604" s="81"/>
      <c r="C604" s="81"/>
    </row>
    <row r="605">
      <c r="A605" s="81"/>
      <c r="B605" s="81"/>
      <c r="C605" s="81"/>
    </row>
    <row r="606">
      <c r="A606" s="81"/>
      <c r="B606" s="81"/>
      <c r="C606" s="81"/>
    </row>
    <row r="607">
      <c r="A607" s="81"/>
      <c r="B607" s="81"/>
      <c r="C607" s="81"/>
    </row>
    <row r="608">
      <c r="A608" s="81"/>
      <c r="B608" s="81"/>
      <c r="C608" s="81"/>
    </row>
    <row r="609">
      <c r="A609" s="81"/>
      <c r="B609" s="81"/>
      <c r="C609" s="81"/>
    </row>
    <row r="610">
      <c r="A610" s="81"/>
      <c r="B610" s="81"/>
      <c r="C610" s="81"/>
    </row>
    <row r="611">
      <c r="A611" s="81"/>
      <c r="B611" s="81"/>
      <c r="C611" s="81"/>
    </row>
    <row r="612">
      <c r="A612" s="81"/>
      <c r="B612" s="81"/>
      <c r="C612" s="81"/>
    </row>
    <row r="613">
      <c r="A613" s="81"/>
      <c r="B613" s="81"/>
      <c r="C613" s="81"/>
    </row>
    <row r="614">
      <c r="A614" s="81"/>
      <c r="B614" s="81"/>
      <c r="C614" s="81"/>
    </row>
    <row r="615">
      <c r="A615" s="81"/>
      <c r="B615" s="81"/>
      <c r="C615" s="81"/>
    </row>
    <row r="616">
      <c r="A616" s="81"/>
      <c r="B616" s="81"/>
      <c r="C616" s="81"/>
    </row>
    <row r="617">
      <c r="A617" s="81"/>
      <c r="B617" s="81"/>
      <c r="C617" s="81"/>
    </row>
    <row r="618">
      <c r="A618" s="81"/>
      <c r="B618" s="81"/>
      <c r="C618" s="81"/>
    </row>
    <row r="619">
      <c r="A619" s="81"/>
      <c r="B619" s="81"/>
      <c r="C619" s="81"/>
    </row>
    <row r="620">
      <c r="A620" s="81"/>
      <c r="B620" s="81"/>
      <c r="C620" s="81"/>
    </row>
    <row r="621">
      <c r="A621" s="81"/>
      <c r="B621" s="81"/>
      <c r="C621" s="81"/>
    </row>
    <row r="622">
      <c r="A622" s="81"/>
      <c r="B622" s="81"/>
      <c r="C622" s="81"/>
    </row>
    <row r="623">
      <c r="A623" s="81"/>
      <c r="B623" s="81"/>
      <c r="C623" s="81"/>
    </row>
    <row r="624">
      <c r="A624" s="81"/>
      <c r="B624" s="81"/>
      <c r="C624" s="81"/>
    </row>
    <row r="625">
      <c r="A625" s="81"/>
      <c r="B625" s="81"/>
      <c r="C625" s="81"/>
    </row>
    <row r="626">
      <c r="A626" s="81"/>
      <c r="B626" s="81"/>
      <c r="C626" s="81"/>
    </row>
    <row r="627">
      <c r="A627" s="81"/>
      <c r="B627" s="81"/>
      <c r="C627" s="81"/>
    </row>
    <row r="628">
      <c r="A628" s="81"/>
      <c r="B628" s="81"/>
      <c r="C628" s="81"/>
    </row>
    <row r="629">
      <c r="A629" s="81"/>
      <c r="B629" s="81"/>
      <c r="C629" s="81"/>
    </row>
    <row r="630">
      <c r="A630" s="81"/>
      <c r="B630" s="81"/>
      <c r="C630" s="81"/>
    </row>
    <row r="631">
      <c r="A631" s="81"/>
      <c r="B631" s="81"/>
      <c r="C631" s="81"/>
    </row>
    <row r="632">
      <c r="A632" s="81"/>
      <c r="B632" s="81"/>
      <c r="C632" s="81"/>
    </row>
    <row r="633">
      <c r="A633" s="81"/>
      <c r="B633" s="81"/>
      <c r="C633" s="81"/>
    </row>
    <row r="634">
      <c r="A634" s="81"/>
      <c r="B634" s="81"/>
      <c r="C634" s="81"/>
    </row>
    <row r="635">
      <c r="A635" s="81"/>
      <c r="B635" s="81"/>
      <c r="C635" s="81"/>
    </row>
    <row r="636">
      <c r="A636" s="81"/>
      <c r="B636" s="81"/>
      <c r="C636" s="81"/>
    </row>
    <row r="637">
      <c r="A637" s="81"/>
      <c r="B637" s="81"/>
      <c r="C637" s="81"/>
    </row>
    <row r="638">
      <c r="A638" s="81"/>
      <c r="B638" s="81"/>
      <c r="C638" s="81"/>
    </row>
    <row r="639">
      <c r="A639" s="81"/>
      <c r="B639" s="81"/>
      <c r="C639" s="81"/>
    </row>
    <row r="640">
      <c r="A640" s="81"/>
      <c r="B640" s="81"/>
      <c r="C640" s="81"/>
    </row>
    <row r="641">
      <c r="A641" s="81"/>
      <c r="B641" s="81"/>
      <c r="C641" s="81"/>
    </row>
    <row r="642">
      <c r="A642" s="81"/>
      <c r="B642" s="81"/>
      <c r="C642" s="81"/>
    </row>
    <row r="643">
      <c r="A643" s="81"/>
      <c r="B643" s="81"/>
      <c r="C643" s="81"/>
    </row>
    <row r="644">
      <c r="A644" s="81"/>
      <c r="B644" s="81"/>
      <c r="C644" s="81"/>
    </row>
    <row r="645">
      <c r="A645" s="81"/>
      <c r="B645" s="81"/>
      <c r="C645" s="81"/>
    </row>
    <row r="646">
      <c r="A646" s="81"/>
      <c r="B646" s="81"/>
      <c r="C646" s="81"/>
    </row>
    <row r="647">
      <c r="A647" s="81"/>
      <c r="B647" s="81"/>
      <c r="C647" s="81"/>
    </row>
    <row r="648">
      <c r="A648" s="81"/>
      <c r="B648" s="81"/>
      <c r="C648" s="81"/>
    </row>
    <row r="649">
      <c r="A649" s="81"/>
      <c r="B649" s="81"/>
      <c r="C649" s="81"/>
    </row>
    <row r="650">
      <c r="A650" s="81"/>
      <c r="B650" s="81"/>
      <c r="C650" s="81"/>
    </row>
    <row r="651">
      <c r="A651" s="81"/>
      <c r="B651" s="81"/>
      <c r="C651" s="81"/>
    </row>
    <row r="652">
      <c r="A652" s="81"/>
      <c r="B652" s="81"/>
      <c r="C652" s="81"/>
    </row>
    <row r="653">
      <c r="A653" s="81"/>
      <c r="B653" s="81"/>
      <c r="C653" s="81"/>
    </row>
    <row r="654">
      <c r="A654" s="81"/>
      <c r="B654" s="81"/>
      <c r="C654" s="81"/>
    </row>
    <row r="655">
      <c r="A655" s="81"/>
      <c r="B655" s="81"/>
      <c r="C655" s="81"/>
    </row>
    <row r="656">
      <c r="A656" s="81"/>
      <c r="B656" s="81"/>
      <c r="C656" s="81"/>
    </row>
    <row r="657">
      <c r="A657" s="81"/>
      <c r="B657" s="81"/>
      <c r="C657" s="81"/>
    </row>
    <row r="658">
      <c r="A658" s="81"/>
      <c r="B658" s="81"/>
      <c r="C658" s="81"/>
    </row>
    <row r="659">
      <c r="A659" s="81"/>
      <c r="B659" s="81"/>
      <c r="C659" s="81"/>
    </row>
    <row r="660">
      <c r="A660" s="81"/>
      <c r="B660" s="81"/>
      <c r="C660" s="81"/>
    </row>
    <row r="661">
      <c r="A661" s="81"/>
      <c r="B661" s="81"/>
      <c r="C661" s="81"/>
    </row>
    <row r="662">
      <c r="A662" s="81"/>
      <c r="B662" s="81"/>
      <c r="C662" s="81"/>
    </row>
    <row r="663">
      <c r="A663" s="81"/>
      <c r="B663" s="81"/>
      <c r="C663" s="81"/>
    </row>
    <row r="664">
      <c r="A664" s="81"/>
      <c r="B664" s="81"/>
      <c r="C664" s="81"/>
    </row>
    <row r="665">
      <c r="A665" s="81"/>
      <c r="B665" s="81"/>
      <c r="C665" s="81"/>
    </row>
    <row r="666">
      <c r="A666" s="81"/>
      <c r="B666" s="81"/>
      <c r="C666" s="81"/>
    </row>
    <row r="667">
      <c r="A667" s="81"/>
      <c r="B667" s="81"/>
      <c r="C667" s="81"/>
    </row>
    <row r="668">
      <c r="A668" s="81"/>
      <c r="B668" s="81"/>
      <c r="C668" s="81"/>
    </row>
    <row r="669">
      <c r="A669" s="81"/>
      <c r="B669" s="81"/>
      <c r="C669" s="81"/>
    </row>
    <row r="670">
      <c r="A670" s="81"/>
      <c r="B670" s="81"/>
      <c r="C670" s="81"/>
    </row>
    <row r="671">
      <c r="A671" s="81"/>
      <c r="B671" s="81"/>
      <c r="C671" s="81"/>
    </row>
    <row r="672">
      <c r="A672" s="81"/>
      <c r="B672" s="81"/>
      <c r="C672" s="81"/>
    </row>
    <row r="673">
      <c r="A673" s="81"/>
      <c r="B673" s="81"/>
      <c r="C673" s="81"/>
    </row>
    <row r="674">
      <c r="A674" s="81"/>
      <c r="B674" s="81"/>
      <c r="C674" s="81"/>
    </row>
    <row r="675">
      <c r="A675" s="81"/>
      <c r="B675" s="81"/>
      <c r="C675" s="81"/>
    </row>
    <row r="676">
      <c r="A676" s="81"/>
      <c r="B676" s="81"/>
      <c r="C676" s="81"/>
    </row>
    <row r="677">
      <c r="A677" s="81"/>
      <c r="B677" s="81"/>
      <c r="C677" s="81"/>
    </row>
    <row r="678">
      <c r="A678" s="81"/>
      <c r="B678" s="81"/>
      <c r="C678" s="81"/>
    </row>
    <row r="679">
      <c r="A679" s="81"/>
      <c r="B679" s="81"/>
      <c r="C679" s="81"/>
    </row>
    <row r="680">
      <c r="A680" s="81"/>
      <c r="B680" s="81"/>
      <c r="C680" s="81"/>
    </row>
    <row r="681">
      <c r="A681" s="81"/>
      <c r="B681" s="81"/>
      <c r="C681" s="81"/>
    </row>
    <row r="682">
      <c r="A682" s="81"/>
      <c r="B682" s="81"/>
      <c r="C682" s="81"/>
    </row>
    <row r="683">
      <c r="A683" s="81"/>
      <c r="B683" s="81"/>
      <c r="C683" s="81"/>
    </row>
    <row r="684">
      <c r="A684" s="81"/>
      <c r="B684" s="81"/>
      <c r="C684" s="81"/>
    </row>
    <row r="685">
      <c r="A685" s="81"/>
      <c r="B685" s="81"/>
      <c r="C685" s="81"/>
    </row>
    <row r="686">
      <c r="A686" s="81"/>
      <c r="B686" s="81"/>
      <c r="C686" s="81"/>
    </row>
    <row r="687">
      <c r="A687" s="81"/>
      <c r="B687" s="81"/>
      <c r="C687" s="81"/>
    </row>
    <row r="688">
      <c r="A688" s="81"/>
      <c r="B688" s="81"/>
      <c r="C688" s="81"/>
    </row>
    <row r="689">
      <c r="A689" s="81"/>
      <c r="B689" s="81"/>
      <c r="C689" s="81"/>
    </row>
    <row r="690">
      <c r="A690" s="81"/>
      <c r="B690" s="81"/>
      <c r="C690" s="81"/>
    </row>
    <row r="691">
      <c r="A691" s="81"/>
      <c r="B691" s="81"/>
      <c r="C691" s="81"/>
    </row>
    <row r="692">
      <c r="A692" s="81"/>
      <c r="B692" s="81"/>
      <c r="C692" s="81"/>
    </row>
    <row r="693">
      <c r="A693" s="81"/>
      <c r="B693" s="81"/>
      <c r="C693" s="81"/>
    </row>
    <row r="694">
      <c r="A694" s="81"/>
      <c r="B694" s="81"/>
      <c r="C694" s="81"/>
    </row>
    <row r="695">
      <c r="A695" s="81"/>
      <c r="B695" s="81"/>
      <c r="C695" s="81"/>
    </row>
    <row r="696">
      <c r="A696" s="81"/>
      <c r="B696" s="81"/>
      <c r="C696" s="81"/>
    </row>
    <row r="697">
      <c r="A697" s="81"/>
      <c r="B697" s="81"/>
      <c r="C697" s="81"/>
    </row>
    <row r="698">
      <c r="A698" s="81"/>
      <c r="B698" s="81"/>
      <c r="C698" s="81"/>
    </row>
    <row r="699">
      <c r="A699" s="81"/>
      <c r="B699" s="81"/>
      <c r="C699" s="81"/>
    </row>
    <row r="700">
      <c r="A700" s="81"/>
      <c r="B700" s="81"/>
      <c r="C700" s="81"/>
    </row>
    <row r="701">
      <c r="A701" s="81"/>
      <c r="B701" s="81"/>
      <c r="C701" s="81"/>
    </row>
    <row r="702">
      <c r="A702" s="81"/>
      <c r="B702" s="81"/>
      <c r="C702" s="81"/>
    </row>
    <row r="703">
      <c r="A703" s="81"/>
      <c r="B703" s="81"/>
      <c r="C703" s="81"/>
    </row>
    <row r="704">
      <c r="A704" s="81"/>
      <c r="B704" s="81"/>
      <c r="C704" s="81"/>
    </row>
    <row r="705">
      <c r="A705" s="81"/>
      <c r="B705" s="81"/>
      <c r="C705" s="81"/>
    </row>
    <row r="706">
      <c r="A706" s="81"/>
      <c r="B706" s="81"/>
      <c r="C706" s="81"/>
    </row>
    <row r="707">
      <c r="A707" s="81"/>
      <c r="B707" s="81"/>
      <c r="C707" s="81"/>
    </row>
    <row r="708">
      <c r="A708" s="81"/>
      <c r="B708" s="81"/>
      <c r="C708" s="81"/>
    </row>
    <row r="709">
      <c r="A709" s="81"/>
      <c r="B709" s="81"/>
      <c r="C709" s="81"/>
    </row>
    <row r="710">
      <c r="A710" s="81"/>
      <c r="B710" s="81"/>
      <c r="C710" s="81"/>
    </row>
    <row r="711">
      <c r="A711" s="81"/>
      <c r="B711" s="81"/>
      <c r="C711" s="81"/>
    </row>
    <row r="712">
      <c r="A712" s="81"/>
      <c r="B712" s="81"/>
      <c r="C712" s="81"/>
    </row>
    <row r="713">
      <c r="A713" s="81"/>
      <c r="B713" s="81"/>
      <c r="C713" s="81"/>
    </row>
    <row r="714">
      <c r="A714" s="81"/>
      <c r="B714" s="81"/>
      <c r="C714" s="81"/>
    </row>
    <row r="715">
      <c r="A715" s="81"/>
      <c r="B715" s="81"/>
      <c r="C715" s="81"/>
    </row>
    <row r="716">
      <c r="A716" s="81"/>
      <c r="B716" s="81"/>
      <c r="C716" s="81"/>
    </row>
    <row r="717">
      <c r="A717" s="81"/>
      <c r="B717" s="81"/>
      <c r="C717" s="81"/>
    </row>
    <row r="718">
      <c r="A718" s="81"/>
      <c r="B718" s="81"/>
      <c r="C718" s="81"/>
    </row>
    <row r="719">
      <c r="A719" s="81"/>
      <c r="B719" s="81"/>
      <c r="C719" s="81"/>
    </row>
    <row r="720">
      <c r="A720" s="81"/>
      <c r="B720" s="81"/>
      <c r="C720" s="81"/>
    </row>
    <row r="721">
      <c r="A721" s="81"/>
      <c r="B721" s="81"/>
      <c r="C721" s="81"/>
    </row>
    <row r="722">
      <c r="A722" s="81"/>
      <c r="B722" s="81"/>
      <c r="C722" s="81"/>
    </row>
    <row r="723">
      <c r="A723" s="81"/>
      <c r="B723" s="81"/>
      <c r="C723" s="81"/>
    </row>
    <row r="724">
      <c r="A724" s="81"/>
      <c r="B724" s="81"/>
      <c r="C724" s="81"/>
    </row>
    <row r="725">
      <c r="A725" s="81"/>
      <c r="B725" s="81"/>
      <c r="C725" s="81"/>
    </row>
    <row r="726">
      <c r="A726" s="81"/>
      <c r="B726" s="81"/>
      <c r="C726" s="81"/>
    </row>
    <row r="727">
      <c r="A727" s="81"/>
      <c r="B727" s="81"/>
      <c r="C727" s="81"/>
    </row>
    <row r="728">
      <c r="A728" s="81"/>
      <c r="B728" s="81"/>
      <c r="C728" s="81"/>
    </row>
    <row r="729">
      <c r="A729" s="81"/>
      <c r="B729" s="81"/>
      <c r="C729" s="81"/>
    </row>
    <row r="730">
      <c r="A730" s="81"/>
      <c r="B730" s="81"/>
      <c r="C730" s="81"/>
    </row>
    <row r="731">
      <c r="A731" s="81"/>
      <c r="B731" s="81"/>
      <c r="C731" s="81"/>
    </row>
    <row r="732">
      <c r="A732" s="81"/>
      <c r="B732" s="81"/>
      <c r="C732" s="81"/>
    </row>
    <row r="733">
      <c r="A733" s="81"/>
      <c r="B733" s="81"/>
      <c r="C733" s="81"/>
    </row>
    <row r="734">
      <c r="A734" s="81"/>
      <c r="B734" s="81"/>
      <c r="C734" s="81"/>
    </row>
    <row r="735">
      <c r="A735" s="81"/>
      <c r="B735" s="81"/>
      <c r="C735" s="81"/>
    </row>
    <row r="736">
      <c r="A736" s="81"/>
      <c r="B736" s="81"/>
      <c r="C736" s="81"/>
    </row>
    <row r="737">
      <c r="A737" s="81"/>
      <c r="B737" s="81"/>
      <c r="C737" s="81"/>
    </row>
    <row r="738">
      <c r="A738" s="81"/>
      <c r="B738" s="81"/>
      <c r="C738" s="81"/>
    </row>
    <row r="739">
      <c r="A739" s="81"/>
      <c r="B739" s="81"/>
      <c r="C739" s="81"/>
    </row>
    <row r="740">
      <c r="A740" s="81"/>
      <c r="B740" s="81"/>
      <c r="C740" s="81"/>
    </row>
    <row r="741">
      <c r="A741" s="81"/>
      <c r="B741" s="81"/>
      <c r="C741" s="81"/>
    </row>
    <row r="742">
      <c r="A742" s="81"/>
      <c r="B742" s="81"/>
      <c r="C742" s="81"/>
    </row>
    <row r="743">
      <c r="A743" s="81"/>
      <c r="B743" s="81"/>
      <c r="C743" s="81"/>
    </row>
    <row r="744">
      <c r="A744" s="81"/>
      <c r="B744" s="81"/>
      <c r="C744" s="81"/>
    </row>
    <row r="745">
      <c r="A745" s="81"/>
      <c r="B745" s="81"/>
      <c r="C745" s="81"/>
    </row>
    <row r="746">
      <c r="A746" s="81"/>
      <c r="B746" s="81"/>
      <c r="C746" s="81"/>
    </row>
    <row r="747">
      <c r="A747" s="81"/>
      <c r="B747" s="81"/>
      <c r="C747" s="81"/>
    </row>
    <row r="748">
      <c r="A748" s="81"/>
      <c r="B748" s="81"/>
      <c r="C748" s="81"/>
    </row>
    <row r="749">
      <c r="A749" s="81"/>
      <c r="B749" s="81"/>
      <c r="C749" s="81"/>
    </row>
    <row r="750">
      <c r="A750" s="81"/>
      <c r="B750" s="81"/>
      <c r="C750" s="81"/>
    </row>
    <row r="751">
      <c r="A751" s="81"/>
      <c r="B751" s="81"/>
      <c r="C751" s="81"/>
    </row>
    <row r="752">
      <c r="A752" s="81"/>
      <c r="B752" s="81"/>
      <c r="C752" s="81"/>
    </row>
    <row r="753">
      <c r="A753" s="81"/>
      <c r="B753" s="81"/>
      <c r="C753" s="81"/>
    </row>
    <row r="754">
      <c r="A754" s="81"/>
      <c r="B754" s="81"/>
      <c r="C754" s="81"/>
    </row>
    <row r="755">
      <c r="A755" s="81"/>
      <c r="B755" s="81"/>
      <c r="C755" s="81"/>
    </row>
    <row r="756">
      <c r="A756" s="81"/>
      <c r="B756" s="81"/>
      <c r="C756" s="81"/>
    </row>
    <row r="757">
      <c r="A757" s="81"/>
      <c r="B757" s="81"/>
      <c r="C757" s="81"/>
    </row>
    <row r="758">
      <c r="A758" s="81"/>
      <c r="B758" s="81"/>
      <c r="C758" s="81"/>
    </row>
    <row r="759">
      <c r="A759" s="81"/>
      <c r="B759" s="81"/>
      <c r="C759" s="81"/>
    </row>
    <row r="760">
      <c r="A760" s="81"/>
      <c r="B760" s="81"/>
      <c r="C760" s="81"/>
    </row>
    <row r="761">
      <c r="A761" s="81"/>
      <c r="B761" s="81"/>
      <c r="C761" s="81"/>
    </row>
    <row r="762">
      <c r="A762" s="81"/>
      <c r="B762" s="81"/>
      <c r="C762" s="81"/>
    </row>
    <row r="763">
      <c r="A763" s="81"/>
      <c r="B763" s="81"/>
      <c r="C763" s="81"/>
    </row>
    <row r="764">
      <c r="A764" s="81"/>
      <c r="B764" s="81"/>
      <c r="C764" s="81"/>
    </row>
    <row r="765">
      <c r="A765" s="81"/>
      <c r="B765" s="81"/>
      <c r="C765" s="81"/>
    </row>
    <row r="766">
      <c r="A766" s="81"/>
      <c r="B766" s="81"/>
      <c r="C766" s="81"/>
    </row>
    <row r="767">
      <c r="A767" s="81"/>
      <c r="B767" s="81"/>
      <c r="C767" s="81"/>
    </row>
    <row r="768">
      <c r="A768" s="81"/>
      <c r="B768" s="81"/>
      <c r="C768" s="81"/>
    </row>
    <row r="769">
      <c r="A769" s="81"/>
      <c r="B769" s="81"/>
      <c r="C769" s="81"/>
    </row>
    <row r="770">
      <c r="A770" s="81"/>
      <c r="B770" s="81"/>
      <c r="C770" s="81"/>
    </row>
    <row r="771">
      <c r="A771" s="81"/>
      <c r="B771" s="81"/>
      <c r="C771" s="81"/>
    </row>
    <row r="772">
      <c r="A772" s="81"/>
      <c r="B772" s="81"/>
      <c r="C772" s="81"/>
    </row>
    <row r="773">
      <c r="A773" s="81"/>
      <c r="B773" s="81"/>
      <c r="C773" s="81"/>
    </row>
    <row r="774">
      <c r="A774" s="81"/>
      <c r="B774" s="81"/>
      <c r="C774" s="81"/>
    </row>
    <row r="775">
      <c r="A775" s="81"/>
      <c r="B775" s="81"/>
      <c r="C775" s="81"/>
    </row>
    <row r="776">
      <c r="A776" s="81"/>
      <c r="B776" s="81"/>
      <c r="C776" s="81"/>
    </row>
    <row r="777">
      <c r="A777" s="81"/>
      <c r="B777" s="81"/>
      <c r="C777" s="81"/>
    </row>
    <row r="778">
      <c r="A778" s="81"/>
      <c r="B778" s="81"/>
      <c r="C778" s="81"/>
    </row>
    <row r="779">
      <c r="A779" s="81"/>
      <c r="B779" s="81"/>
      <c r="C779" s="81"/>
    </row>
    <row r="780">
      <c r="A780" s="81"/>
      <c r="B780" s="81"/>
      <c r="C780" s="81"/>
    </row>
    <row r="781">
      <c r="A781" s="81"/>
      <c r="B781" s="81"/>
      <c r="C781" s="81"/>
    </row>
    <row r="782">
      <c r="A782" s="81"/>
      <c r="B782" s="81"/>
      <c r="C782" s="81"/>
    </row>
    <row r="783">
      <c r="A783" s="81"/>
      <c r="B783" s="81"/>
      <c r="C783" s="81"/>
    </row>
    <row r="784">
      <c r="A784" s="81"/>
      <c r="B784" s="81"/>
      <c r="C784" s="81"/>
    </row>
    <row r="785">
      <c r="A785" s="81"/>
      <c r="B785" s="81"/>
      <c r="C785" s="81"/>
    </row>
    <row r="786">
      <c r="A786" s="81"/>
      <c r="B786" s="81"/>
      <c r="C786" s="81"/>
    </row>
    <row r="787">
      <c r="A787" s="81"/>
      <c r="B787" s="81"/>
      <c r="C787" s="81"/>
    </row>
    <row r="788">
      <c r="A788" s="81"/>
      <c r="B788" s="81"/>
      <c r="C788" s="81"/>
    </row>
    <row r="789">
      <c r="A789" s="81"/>
      <c r="B789" s="81"/>
      <c r="C789" s="81"/>
    </row>
    <row r="790">
      <c r="A790" s="81"/>
      <c r="B790" s="81"/>
      <c r="C790" s="81"/>
    </row>
    <row r="791">
      <c r="A791" s="81"/>
      <c r="B791" s="81"/>
      <c r="C791" s="81"/>
    </row>
    <row r="792">
      <c r="A792" s="81"/>
      <c r="B792" s="81"/>
      <c r="C792" s="81"/>
    </row>
    <row r="793">
      <c r="A793" s="81"/>
      <c r="B793" s="81"/>
      <c r="C793" s="81"/>
    </row>
    <row r="794">
      <c r="A794" s="81"/>
      <c r="B794" s="81"/>
      <c r="C794" s="81"/>
    </row>
    <row r="795">
      <c r="A795" s="81"/>
      <c r="B795" s="81"/>
      <c r="C795" s="81"/>
    </row>
    <row r="796">
      <c r="A796" s="81"/>
      <c r="B796" s="81"/>
      <c r="C796" s="81"/>
    </row>
    <row r="797">
      <c r="A797" s="81"/>
      <c r="B797" s="81"/>
      <c r="C797" s="81"/>
    </row>
    <row r="798">
      <c r="A798" s="81"/>
      <c r="B798" s="81"/>
      <c r="C798" s="81"/>
    </row>
    <row r="799">
      <c r="A799" s="81"/>
      <c r="B799" s="81"/>
      <c r="C799" s="81"/>
    </row>
    <row r="800">
      <c r="A800" s="81"/>
      <c r="B800" s="81"/>
      <c r="C800" s="81"/>
    </row>
    <row r="801">
      <c r="A801" s="81"/>
      <c r="B801" s="81"/>
      <c r="C801" s="81"/>
    </row>
    <row r="802">
      <c r="A802" s="81"/>
      <c r="B802" s="81"/>
      <c r="C802" s="81"/>
    </row>
    <row r="803">
      <c r="A803" s="81"/>
      <c r="B803" s="81"/>
      <c r="C803" s="81"/>
    </row>
    <row r="804">
      <c r="A804" s="81"/>
      <c r="B804" s="81"/>
      <c r="C804" s="81"/>
    </row>
    <row r="805">
      <c r="A805" s="81"/>
      <c r="B805" s="81"/>
      <c r="C805" s="81"/>
    </row>
    <row r="806">
      <c r="A806" s="81"/>
      <c r="B806" s="81"/>
      <c r="C806" s="81"/>
    </row>
    <row r="807">
      <c r="A807" s="81"/>
      <c r="B807" s="81"/>
      <c r="C807" s="81"/>
    </row>
    <row r="808">
      <c r="A808" s="81"/>
      <c r="B808" s="81"/>
      <c r="C808" s="81"/>
    </row>
    <row r="809">
      <c r="A809" s="81"/>
      <c r="B809" s="81"/>
      <c r="C809" s="81"/>
    </row>
    <row r="810">
      <c r="A810" s="81"/>
      <c r="B810" s="81"/>
      <c r="C810" s="81"/>
    </row>
    <row r="811">
      <c r="A811" s="81"/>
      <c r="B811" s="81"/>
      <c r="C811" s="81"/>
    </row>
    <row r="812">
      <c r="A812" s="81"/>
      <c r="B812" s="81"/>
      <c r="C812" s="81"/>
    </row>
    <row r="813">
      <c r="A813" s="81"/>
      <c r="B813" s="81"/>
      <c r="C813" s="81"/>
    </row>
    <row r="814">
      <c r="A814" s="81"/>
      <c r="B814" s="81"/>
      <c r="C814" s="81"/>
    </row>
    <row r="815">
      <c r="A815" s="81"/>
      <c r="B815" s="81"/>
      <c r="C815" s="81"/>
    </row>
    <row r="816">
      <c r="A816" s="81"/>
      <c r="B816" s="81"/>
      <c r="C816" s="81"/>
    </row>
    <row r="817">
      <c r="A817" s="81"/>
      <c r="B817" s="81"/>
      <c r="C817" s="81"/>
    </row>
    <row r="818">
      <c r="A818" s="81"/>
      <c r="B818" s="81"/>
      <c r="C818" s="81"/>
    </row>
    <row r="819">
      <c r="A819" s="81"/>
      <c r="B819" s="81"/>
      <c r="C819" s="81"/>
    </row>
    <row r="820">
      <c r="A820" s="81"/>
      <c r="B820" s="81"/>
      <c r="C820" s="81"/>
    </row>
    <row r="821">
      <c r="A821" s="81"/>
      <c r="B821" s="81"/>
      <c r="C821" s="81"/>
    </row>
    <row r="822">
      <c r="A822" s="81"/>
      <c r="B822" s="81"/>
      <c r="C822" s="81"/>
    </row>
    <row r="823">
      <c r="A823" s="81"/>
      <c r="B823" s="81"/>
      <c r="C823" s="81"/>
    </row>
    <row r="824">
      <c r="A824" s="81"/>
      <c r="B824" s="81"/>
      <c r="C824" s="81"/>
    </row>
    <row r="825">
      <c r="A825" s="81"/>
      <c r="B825" s="81"/>
      <c r="C825" s="81"/>
    </row>
    <row r="826">
      <c r="A826" s="81"/>
      <c r="B826" s="81"/>
      <c r="C826" s="81"/>
    </row>
    <row r="827">
      <c r="A827" s="81"/>
      <c r="B827" s="81"/>
      <c r="C827" s="81"/>
    </row>
    <row r="828">
      <c r="A828" s="81"/>
      <c r="B828" s="81"/>
      <c r="C828" s="81"/>
    </row>
    <row r="829">
      <c r="A829" s="81"/>
      <c r="B829" s="81"/>
      <c r="C829" s="81"/>
    </row>
    <row r="830">
      <c r="A830" s="81"/>
      <c r="B830" s="81"/>
      <c r="C830" s="81"/>
    </row>
    <row r="831">
      <c r="A831" s="81"/>
      <c r="B831" s="81"/>
      <c r="C831" s="81"/>
    </row>
    <row r="832">
      <c r="A832" s="81"/>
      <c r="B832" s="81"/>
      <c r="C832" s="81"/>
    </row>
    <row r="833">
      <c r="A833" s="81"/>
      <c r="B833" s="81"/>
      <c r="C833" s="81"/>
    </row>
    <row r="834">
      <c r="A834" s="81"/>
      <c r="B834" s="81"/>
      <c r="C834" s="81"/>
    </row>
    <row r="835">
      <c r="A835" s="81"/>
      <c r="B835" s="81"/>
      <c r="C835" s="81"/>
    </row>
    <row r="836">
      <c r="A836" s="81"/>
      <c r="B836" s="81"/>
      <c r="C836" s="81"/>
    </row>
    <row r="837">
      <c r="A837" s="81"/>
      <c r="B837" s="81"/>
      <c r="C837" s="81"/>
    </row>
    <row r="838">
      <c r="A838" s="81"/>
      <c r="B838" s="81"/>
      <c r="C838" s="81"/>
    </row>
    <row r="839">
      <c r="A839" s="81"/>
      <c r="B839" s="81"/>
      <c r="C839" s="81"/>
    </row>
    <row r="840">
      <c r="A840" s="81"/>
      <c r="B840" s="81"/>
      <c r="C840" s="81"/>
    </row>
    <row r="841">
      <c r="A841" s="81"/>
      <c r="B841" s="81"/>
      <c r="C841" s="81"/>
    </row>
    <row r="842">
      <c r="A842" s="81"/>
      <c r="B842" s="81"/>
      <c r="C842" s="81"/>
    </row>
    <row r="843">
      <c r="A843" s="81"/>
      <c r="B843" s="81"/>
      <c r="C843" s="81"/>
    </row>
    <row r="844">
      <c r="A844" s="81"/>
      <c r="B844" s="81"/>
      <c r="C844" s="81"/>
    </row>
    <row r="845">
      <c r="A845" s="81"/>
      <c r="B845" s="81"/>
      <c r="C845" s="81"/>
    </row>
    <row r="846">
      <c r="A846" s="81"/>
      <c r="B846" s="81"/>
      <c r="C846" s="81"/>
    </row>
    <row r="847">
      <c r="A847" s="81"/>
      <c r="B847" s="81"/>
      <c r="C847" s="81"/>
    </row>
    <row r="848">
      <c r="A848" s="81"/>
      <c r="B848" s="81"/>
      <c r="C848" s="81"/>
    </row>
    <row r="849">
      <c r="A849" s="81"/>
      <c r="B849" s="81"/>
      <c r="C849" s="81"/>
    </row>
    <row r="850">
      <c r="A850" s="81"/>
      <c r="B850" s="81"/>
      <c r="C850" s="81"/>
    </row>
    <row r="851">
      <c r="A851" s="81"/>
      <c r="B851" s="81"/>
      <c r="C851" s="81"/>
    </row>
    <row r="852">
      <c r="A852" s="81"/>
      <c r="B852" s="81"/>
      <c r="C852" s="81"/>
    </row>
    <row r="853">
      <c r="A853" s="81"/>
      <c r="B853" s="81"/>
      <c r="C853" s="81"/>
    </row>
    <row r="854">
      <c r="A854" s="81"/>
      <c r="B854" s="81"/>
      <c r="C854" s="81"/>
    </row>
    <row r="855">
      <c r="A855" s="81"/>
      <c r="B855" s="81"/>
      <c r="C855" s="81"/>
    </row>
    <row r="856">
      <c r="A856" s="81"/>
      <c r="B856" s="81"/>
      <c r="C856" s="81"/>
    </row>
    <row r="857">
      <c r="A857" s="81"/>
      <c r="B857" s="81"/>
      <c r="C857" s="81"/>
    </row>
    <row r="858">
      <c r="A858" s="81"/>
      <c r="B858" s="81"/>
      <c r="C858" s="81"/>
    </row>
    <row r="859">
      <c r="A859" s="81"/>
      <c r="B859" s="81"/>
      <c r="C859" s="81"/>
    </row>
    <row r="860">
      <c r="A860" s="81"/>
      <c r="B860" s="81"/>
      <c r="C860" s="81"/>
    </row>
    <row r="861">
      <c r="A861" s="81"/>
      <c r="B861" s="81"/>
      <c r="C861" s="81"/>
    </row>
    <row r="862">
      <c r="A862" s="81"/>
      <c r="B862" s="81"/>
      <c r="C862" s="81"/>
    </row>
    <row r="863">
      <c r="A863" s="81"/>
      <c r="B863" s="81"/>
      <c r="C863" s="81"/>
    </row>
    <row r="864">
      <c r="A864" s="81"/>
      <c r="B864" s="81"/>
      <c r="C864" s="81"/>
    </row>
    <row r="865">
      <c r="A865" s="81"/>
      <c r="B865" s="81"/>
      <c r="C865" s="81"/>
    </row>
    <row r="866">
      <c r="A866" s="81"/>
      <c r="B866" s="81"/>
      <c r="C866" s="81"/>
    </row>
    <row r="867">
      <c r="A867" s="81"/>
      <c r="B867" s="81"/>
      <c r="C867" s="81"/>
    </row>
    <row r="868">
      <c r="A868" s="81"/>
      <c r="B868" s="81"/>
      <c r="C868" s="81"/>
    </row>
    <row r="869">
      <c r="A869" s="81"/>
      <c r="B869" s="81"/>
      <c r="C869" s="81"/>
    </row>
    <row r="870">
      <c r="A870" s="81"/>
      <c r="B870" s="81"/>
      <c r="C870" s="81"/>
    </row>
    <row r="871">
      <c r="A871" s="81"/>
      <c r="B871" s="81"/>
      <c r="C871" s="81"/>
    </row>
    <row r="872">
      <c r="A872" s="81"/>
      <c r="B872" s="81"/>
      <c r="C872" s="81"/>
    </row>
    <row r="873">
      <c r="A873" s="81"/>
      <c r="B873" s="81"/>
      <c r="C873" s="81"/>
    </row>
    <row r="874">
      <c r="A874" s="81"/>
      <c r="B874" s="81"/>
      <c r="C874" s="81"/>
    </row>
    <row r="875">
      <c r="A875" s="81"/>
      <c r="B875" s="81"/>
      <c r="C875" s="81"/>
    </row>
    <row r="876">
      <c r="A876" s="81"/>
      <c r="B876" s="81"/>
      <c r="C876" s="81"/>
    </row>
    <row r="877">
      <c r="A877" s="81"/>
      <c r="B877" s="81"/>
      <c r="C877" s="81"/>
    </row>
    <row r="878">
      <c r="A878" s="81"/>
      <c r="B878" s="81"/>
      <c r="C878" s="81"/>
    </row>
    <row r="879">
      <c r="A879" s="81"/>
      <c r="B879" s="81"/>
      <c r="C879" s="81"/>
    </row>
    <row r="880">
      <c r="A880" s="81"/>
      <c r="B880" s="81"/>
      <c r="C880" s="81"/>
    </row>
    <row r="881">
      <c r="A881" s="81"/>
      <c r="B881" s="81"/>
      <c r="C881" s="81"/>
    </row>
    <row r="882">
      <c r="A882" s="81"/>
      <c r="B882" s="81"/>
      <c r="C882" s="81"/>
    </row>
    <row r="883">
      <c r="A883" s="81"/>
      <c r="B883" s="81"/>
      <c r="C883" s="81"/>
    </row>
    <row r="884">
      <c r="A884" s="81"/>
      <c r="B884" s="81"/>
      <c r="C884" s="81"/>
    </row>
    <row r="885">
      <c r="A885" s="81"/>
      <c r="B885" s="81"/>
      <c r="C885" s="81"/>
    </row>
    <row r="886">
      <c r="A886" s="81"/>
      <c r="B886" s="81"/>
      <c r="C886" s="81"/>
    </row>
    <row r="887">
      <c r="A887" s="81"/>
      <c r="B887" s="81"/>
      <c r="C887" s="81"/>
    </row>
    <row r="888">
      <c r="A888" s="81"/>
      <c r="B888" s="81"/>
      <c r="C888" s="81"/>
    </row>
    <row r="889">
      <c r="A889" s="81"/>
      <c r="B889" s="81"/>
      <c r="C889" s="81"/>
    </row>
    <row r="890">
      <c r="A890" s="81"/>
      <c r="B890" s="81"/>
      <c r="C890" s="81"/>
    </row>
    <row r="891">
      <c r="A891" s="81"/>
      <c r="B891" s="81"/>
      <c r="C891" s="81"/>
    </row>
    <row r="892">
      <c r="A892" s="81"/>
      <c r="B892" s="81"/>
      <c r="C892" s="81"/>
    </row>
    <row r="893">
      <c r="A893" s="81"/>
      <c r="B893" s="81"/>
      <c r="C893" s="81"/>
    </row>
    <row r="894">
      <c r="A894" s="81"/>
      <c r="B894" s="81"/>
      <c r="C894" s="81"/>
    </row>
    <row r="895">
      <c r="A895" s="81"/>
      <c r="B895" s="81"/>
      <c r="C895" s="81"/>
    </row>
    <row r="896">
      <c r="A896" s="81"/>
      <c r="B896" s="81"/>
      <c r="C896" s="81"/>
    </row>
    <row r="897">
      <c r="A897" s="81"/>
      <c r="B897" s="81"/>
      <c r="C897" s="81"/>
    </row>
    <row r="898">
      <c r="A898" s="81"/>
      <c r="B898" s="81"/>
      <c r="C898" s="81"/>
    </row>
    <row r="899">
      <c r="A899" s="81"/>
      <c r="B899" s="81"/>
      <c r="C899" s="81"/>
    </row>
    <row r="900">
      <c r="A900" s="81"/>
      <c r="B900" s="81"/>
      <c r="C900" s="81"/>
    </row>
    <row r="901">
      <c r="A901" s="81"/>
      <c r="B901" s="81"/>
      <c r="C901" s="81"/>
    </row>
    <row r="902">
      <c r="A902" s="81"/>
      <c r="B902" s="81"/>
      <c r="C902" s="81"/>
    </row>
    <row r="903">
      <c r="A903" s="81"/>
      <c r="B903" s="81"/>
      <c r="C903" s="81"/>
    </row>
    <row r="904">
      <c r="A904" s="81"/>
      <c r="B904" s="81"/>
      <c r="C904" s="81"/>
    </row>
    <row r="905">
      <c r="A905" s="81"/>
      <c r="B905" s="81"/>
      <c r="C905" s="81"/>
    </row>
    <row r="906">
      <c r="A906" s="81"/>
      <c r="B906" s="81"/>
      <c r="C906" s="81"/>
    </row>
    <row r="907">
      <c r="A907" s="81"/>
      <c r="B907" s="81"/>
      <c r="C907" s="81"/>
    </row>
    <row r="908">
      <c r="A908" s="81"/>
      <c r="B908" s="81"/>
      <c r="C908" s="81"/>
    </row>
    <row r="909">
      <c r="A909" s="81"/>
      <c r="B909" s="81"/>
      <c r="C909" s="81"/>
    </row>
    <row r="910">
      <c r="A910" s="81"/>
      <c r="B910" s="81"/>
      <c r="C910" s="81"/>
    </row>
    <row r="911">
      <c r="A911" s="81"/>
      <c r="B911" s="81"/>
      <c r="C911" s="81"/>
    </row>
    <row r="912">
      <c r="A912" s="81"/>
      <c r="B912" s="81"/>
      <c r="C912" s="81"/>
    </row>
    <row r="913">
      <c r="A913" s="81"/>
      <c r="B913" s="81"/>
      <c r="C913" s="81"/>
    </row>
    <row r="914">
      <c r="A914" s="81"/>
      <c r="B914" s="81"/>
      <c r="C914" s="81"/>
    </row>
    <row r="915">
      <c r="A915" s="81"/>
      <c r="B915" s="81"/>
      <c r="C915" s="81"/>
    </row>
    <row r="916">
      <c r="A916" s="81"/>
      <c r="B916" s="81"/>
      <c r="C916" s="81"/>
    </row>
    <row r="917">
      <c r="A917" s="81"/>
      <c r="B917" s="81"/>
      <c r="C917" s="81"/>
    </row>
    <row r="918">
      <c r="A918" s="81"/>
      <c r="B918" s="81"/>
      <c r="C918" s="81"/>
    </row>
    <row r="919">
      <c r="A919" s="81"/>
      <c r="B919" s="81"/>
      <c r="C919" s="81"/>
    </row>
    <row r="920">
      <c r="A920" s="81"/>
      <c r="B920" s="81"/>
      <c r="C920" s="81"/>
    </row>
    <row r="921">
      <c r="A921" s="81"/>
      <c r="B921" s="81"/>
      <c r="C921" s="81"/>
    </row>
    <row r="922">
      <c r="A922" s="81"/>
      <c r="B922" s="81"/>
      <c r="C922" s="81"/>
    </row>
    <row r="923">
      <c r="A923" s="81"/>
      <c r="B923" s="81"/>
      <c r="C923" s="81"/>
    </row>
    <row r="924">
      <c r="A924" s="81"/>
      <c r="B924" s="81"/>
      <c r="C924" s="81"/>
    </row>
    <row r="925">
      <c r="A925" s="81"/>
      <c r="B925" s="81"/>
      <c r="C925" s="81"/>
    </row>
    <row r="926">
      <c r="A926" s="81"/>
      <c r="B926" s="81"/>
      <c r="C926" s="81"/>
    </row>
    <row r="927">
      <c r="A927" s="81"/>
      <c r="B927" s="81"/>
      <c r="C927" s="81"/>
    </row>
    <row r="928">
      <c r="A928" s="81"/>
      <c r="B928" s="81"/>
      <c r="C928" s="81"/>
    </row>
    <row r="929">
      <c r="A929" s="81"/>
      <c r="B929" s="81"/>
      <c r="C929" s="81"/>
    </row>
    <row r="930">
      <c r="A930" s="81"/>
      <c r="B930" s="81"/>
      <c r="C930" s="81"/>
    </row>
    <row r="931">
      <c r="A931" s="81"/>
      <c r="B931" s="81"/>
      <c r="C931" s="81"/>
    </row>
    <row r="932">
      <c r="A932" s="81"/>
      <c r="B932" s="81"/>
      <c r="C932" s="81"/>
    </row>
    <row r="933">
      <c r="A933" s="81"/>
      <c r="B933" s="81"/>
      <c r="C933" s="81"/>
    </row>
    <row r="934">
      <c r="A934" s="81"/>
      <c r="B934" s="81"/>
      <c r="C934" s="81"/>
    </row>
    <row r="935">
      <c r="A935" s="81"/>
      <c r="B935" s="81"/>
      <c r="C935" s="81"/>
    </row>
    <row r="936">
      <c r="A936" s="81"/>
      <c r="B936" s="81"/>
      <c r="C936" s="81"/>
    </row>
    <row r="937">
      <c r="A937" s="81"/>
      <c r="B937" s="81"/>
      <c r="C937" s="81"/>
    </row>
    <row r="938">
      <c r="A938" s="81"/>
      <c r="B938" s="81"/>
      <c r="C938" s="81"/>
    </row>
    <row r="939">
      <c r="A939" s="81"/>
      <c r="B939" s="81"/>
      <c r="C939" s="81"/>
    </row>
    <row r="940">
      <c r="A940" s="81"/>
      <c r="B940" s="81"/>
      <c r="C940" s="81"/>
    </row>
    <row r="941">
      <c r="A941" s="81"/>
      <c r="B941" s="81"/>
      <c r="C941" s="81"/>
    </row>
    <row r="942">
      <c r="A942" s="81"/>
      <c r="B942" s="81"/>
      <c r="C942" s="81"/>
    </row>
    <row r="943">
      <c r="A943" s="81"/>
      <c r="B943" s="81"/>
      <c r="C943" s="81"/>
    </row>
    <row r="944">
      <c r="A944" s="81"/>
      <c r="B944" s="81"/>
      <c r="C944" s="81"/>
    </row>
    <row r="945">
      <c r="A945" s="81"/>
      <c r="B945" s="81"/>
      <c r="C945" s="81"/>
    </row>
    <row r="946">
      <c r="A946" s="81"/>
      <c r="B946" s="81"/>
      <c r="C946" s="81"/>
    </row>
    <row r="947">
      <c r="A947" s="81"/>
      <c r="B947" s="81"/>
      <c r="C947" s="81"/>
    </row>
    <row r="948">
      <c r="A948" s="81"/>
      <c r="B948" s="81"/>
      <c r="C948" s="81"/>
    </row>
    <row r="949">
      <c r="A949" s="81"/>
      <c r="B949" s="81"/>
      <c r="C949" s="81"/>
    </row>
    <row r="950">
      <c r="A950" s="81"/>
      <c r="B950" s="81"/>
      <c r="C950" s="81"/>
    </row>
    <row r="951">
      <c r="A951" s="81"/>
      <c r="B951" s="81"/>
      <c r="C951" s="81"/>
    </row>
    <row r="952">
      <c r="A952" s="81"/>
      <c r="B952" s="81"/>
      <c r="C952" s="81"/>
    </row>
    <row r="953">
      <c r="A953" s="81"/>
      <c r="B953" s="81"/>
      <c r="C953" s="81"/>
    </row>
    <row r="954">
      <c r="A954" s="81"/>
      <c r="B954" s="81"/>
      <c r="C954" s="81"/>
    </row>
    <row r="955">
      <c r="A955" s="81"/>
      <c r="B955" s="81"/>
      <c r="C955" s="81"/>
    </row>
    <row r="956">
      <c r="A956" s="81"/>
      <c r="B956" s="81"/>
      <c r="C956" s="81"/>
    </row>
    <row r="957">
      <c r="A957" s="81"/>
      <c r="B957" s="81"/>
      <c r="C957" s="81"/>
    </row>
    <row r="958">
      <c r="A958" s="81"/>
      <c r="B958" s="81"/>
      <c r="C958" s="81"/>
    </row>
    <row r="959">
      <c r="A959" s="81"/>
      <c r="B959" s="81"/>
      <c r="C959" s="81"/>
    </row>
    <row r="960">
      <c r="A960" s="81"/>
      <c r="B960" s="81"/>
      <c r="C960" s="81"/>
    </row>
    <row r="961">
      <c r="A961" s="81"/>
      <c r="B961" s="81"/>
      <c r="C961" s="81"/>
    </row>
    <row r="962">
      <c r="A962" s="81"/>
      <c r="B962" s="81"/>
      <c r="C962" s="81"/>
    </row>
    <row r="963">
      <c r="A963" s="81"/>
      <c r="B963" s="81"/>
      <c r="C963" s="81"/>
    </row>
    <row r="964">
      <c r="A964" s="81"/>
      <c r="B964" s="81"/>
      <c r="C964" s="81"/>
    </row>
    <row r="965">
      <c r="A965" s="81"/>
      <c r="B965" s="81"/>
      <c r="C965" s="81"/>
    </row>
    <row r="966">
      <c r="A966" s="81"/>
      <c r="B966" s="81"/>
      <c r="C966" s="81"/>
    </row>
    <row r="967">
      <c r="A967" s="81"/>
      <c r="B967" s="81"/>
      <c r="C967" s="81"/>
    </row>
    <row r="968">
      <c r="A968" s="81"/>
      <c r="B968" s="81"/>
      <c r="C968" s="81"/>
    </row>
    <row r="969">
      <c r="A969" s="81"/>
      <c r="B969" s="81"/>
      <c r="C969" s="81"/>
    </row>
    <row r="970">
      <c r="A970" s="81"/>
      <c r="B970" s="81"/>
      <c r="C970" s="81"/>
    </row>
    <row r="971">
      <c r="A971" s="81"/>
      <c r="B971" s="81"/>
      <c r="C971" s="81"/>
    </row>
    <row r="972">
      <c r="A972" s="81"/>
      <c r="B972" s="81"/>
      <c r="C972" s="81"/>
    </row>
    <row r="973">
      <c r="A973" s="81"/>
      <c r="B973" s="81"/>
      <c r="C973" s="81"/>
    </row>
    <row r="974">
      <c r="A974" s="81"/>
      <c r="B974" s="81"/>
      <c r="C974" s="81"/>
    </row>
    <row r="975">
      <c r="A975" s="81"/>
      <c r="B975" s="81"/>
      <c r="C975" s="81"/>
    </row>
    <row r="976">
      <c r="A976" s="81"/>
      <c r="B976" s="81"/>
      <c r="C976" s="81"/>
    </row>
    <row r="977">
      <c r="A977" s="81"/>
      <c r="B977" s="81"/>
      <c r="C977" s="81"/>
    </row>
    <row r="978">
      <c r="A978" s="81"/>
      <c r="B978" s="81"/>
      <c r="C978" s="81"/>
    </row>
    <row r="979">
      <c r="A979" s="81"/>
      <c r="B979" s="81"/>
      <c r="C979" s="81"/>
    </row>
    <row r="980">
      <c r="A980" s="81"/>
      <c r="B980" s="81"/>
      <c r="C980" s="81"/>
    </row>
    <row r="981">
      <c r="A981" s="81"/>
      <c r="B981" s="81"/>
      <c r="C981" s="81"/>
    </row>
    <row r="982">
      <c r="A982" s="81"/>
      <c r="B982" s="81"/>
      <c r="C982" s="81"/>
    </row>
    <row r="983">
      <c r="A983" s="81"/>
      <c r="B983" s="81"/>
      <c r="C983" s="81"/>
    </row>
    <row r="984">
      <c r="A984" s="81"/>
      <c r="B984" s="81"/>
      <c r="C984" s="81"/>
    </row>
    <row r="985">
      <c r="A985" s="81"/>
      <c r="B985" s="81"/>
      <c r="C985" s="81"/>
    </row>
    <row r="986">
      <c r="A986" s="81"/>
      <c r="B986" s="81"/>
      <c r="C986" s="81"/>
    </row>
    <row r="987">
      <c r="A987" s="81"/>
      <c r="B987" s="81"/>
      <c r="C987" s="81"/>
    </row>
    <row r="988">
      <c r="A988" s="81"/>
      <c r="B988" s="81"/>
      <c r="C988" s="81"/>
    </row>
    <row r="989">
      <c r="A989" s="81"/>
      <c r="B989" s="81"/>
      <c r="C989" s="81"/>
    </row>
    <row r="990">
      <c r="A990" s="81"/>
      <c r="B990" s="81"/>
      <c r="C990" s="81"/>
    </row>
    <row r="991">
      <c r="A991" s="81"/>
      <c r="B991" s="81"/>
      <c r="C991" s="81"/>
    </row>
    <row r="992">
      <c r="A992" s="81"/>
      <c r="B992" s="81"/>
      <c r="C992" s="81"/>
    </row>
    <row r="993">
      <c r="A993" s="81"/>
      <c r="B993" s="81"/>
      <c r="C993" s="81"/>
    </row>
  </sheetData>
  <mergeCells count="3">
    <mergeCell ref="A2:B2"/>
    <mergeCell ref="A8:B8"/>
    <mergeCell ref="A13:B13"/>
  </mergeCells>
  <conditionalFormatting sqref="D3:F7 D9:F12 D14:F15">
    <cfRule type="containsText" dxfId="1" priority="1" operator="containsText" text="Mayor a 5">
      <formula>NOT(ISERROR(SEARCH(("Mayor a 5"),(D3))))</formula>
    </cfRule>
  </conditionalFormatting>
  <conditionalFormatting sqref="D3:F7 D9:F12 D14:F15">
    <cfRule type="containsText" dxfId="2" priority="2" operator="containsText" text="Menor a 5">
      <formula>NOT(ISERROR(SEARCH(("Menor a 5"),(D3))))</formula>
    </cfRule>
  </conditionalFormatting>
  <conditionalFormatting sqref="D3:F7 D9:F12 D14:F15">
    <cfRule type="containsText" dxfId="3" priority="3" operator="containsText" text="Sin stock">
      <formula>NOT(ISERROR(SEARCH(("Sin stock"),(D3))))</formula>
    </cfRule>
  </conditionalFormatting>
  <conditionalFormatting sqref="G1:G999">
    <cfRule type="containsText" dxfId="1" priority="4" operator="containsText" text="Mayor a 5">
      <formula>NOT(ISERROR(SEARCH(("Mayor a 5"),(G1))))</formula>
    </cfRule>
  </conditionalFormatting>
  <conditionalFormatting sqref="G1:G999">
    <cfRule type="containsText" dxfId="3" priority="5" operator="containsText" text="sin stock">
      <formula>NOT(ISERROR(SEARCH(("sin stock"),(G1))))</formula>
    </cfRule>
  </conditionalFormatting>
  <conditionalFormatting sqref="G1:G999">
    <cfRule type="containsText" dxfId="2" priority="6" operator="containsText" text="Menor a 5">
      <formula>NOT(ISERROR(SEARCH(("Menor a 5"),(G1))))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pageSetUpPr/>
  </sheetPr>
  <sheetViews>
    <sheetView workbookViewId="0"/>
  </sheetViews>
  <sheetFormatPr customHeight="1" defaultColWidth="12.63" defaultRowHeight="15.0"/>
  <cols>
    <col customWidth="1" min="1" max="1" width="13.25"/>
    <col customWidth="1" min="2" max="2" width="21.5"/>
    <col customWidth="1" min="3" max="3" width="69.25"/>
    <col customWidth="1" min="4" max="4" width="15.0"/>
    <col customWidth="1" min="5" max="6" width="14.25"/>
    <col customWidth="1" min="7" max="26" width="9.25"/>
  </cols>
  <sheetData>
    <row r="1" ht="15.75" customHeight="1">
      <c r="A1" s="82" t="s">
        <v>23</v>
      </c>
      <c r="B1" s="82" t="s">
        <v>24</v>
      </c>
      <c r="C1" s="82" t="s">
        <v>25</v>
      </c>
      <c r="D1" s="26" t="s">
        <v>26</v>
      </c>
      <c r="E1" s="26" t="s">
        <v>27</v>
      </c>
      <c r="F1" s="83" t="s">
        <v>28</v>
      </c>
      <c r="G1" s="84" t="s">
        <v>29</v>
      </c>
      <c r="H1" s="85"/>
      <c r="I1" s="85"/>
      <c r="J1" s="85"/>
      <c r="K1" s="85"/>
      <c r="L1" s="85"/>
      <c r="M1" s="85"/>
      <c r="N1" s="85"/>
      <c r="O1" s="85"/>
      <c r="P1" s="85"/>
      <c r="Q1" s="85"/>
      <c r="R1" s="85"/>
      <c r="S1" s="85"/>
      <c r="T1" s="85"/>
      <c r="U1" s="85"/>
      <c r="V1" s="85"/>
      <c r="W1" s="85"/>
      <c r="X1" s="85"/>
      <c r="Y1" s="85"/>
      <c r="Z1" s="85"/>
    </row>
    <row r="2" ht="15.75" customHeight="1">
      <c r="A2" s="86" t="s">
        <v>1746</v>
      </c>
      <c r="B2" s="87"/>
      <c r="C2" s="87"/>
      <c r="D2" s="88"/>
      <c r="E2" s="88"/>
      <c r="F2" s="89"/>
      <c r="G2" s="90"/>
      <c r="H2" s="27"/>
      <c r="I2" s="27"/>
      <c r="J2" s="27"/>
      <c r="K2" s="27"/>
      <c r="L2" s="27"/>
      <c r="M2" s="27"/>
      <c r="N2" s="27"/>
      <c r="O2" s="27"/>
      <c r="P2" s="27"/>
      <c r="Q2" s="27"/>
      <c r="R2" s="27"/>
      <c r="S2" s="27"/>
      <c r="T2" s="27"/>
      <c r="U2" s="27"/>
      <c r="V2" s="27"/>
      <c r="W2" s="27"/>
      <c r="X2" s="27"/>
      <c r="Y2" s="27"/>
      <c r="Z2" s="27"/>
    </row>
    <row r="3" ht="15.75" customHeight="1">
      <c r="A3" s="91" t="s">
        <v>1747</v>
      </c>
      <c r="C3" s="92"/>
      <c r="D3" s="51"/>
      <c r="E3" s="51"/>
      <c r="F3" s="93"/>
      <c r="G3" s="31"/>
      <c r="H3" s="27"/>
      <c r="I3" s="27"/>
      <c r="J3" s="27"/>
      <c r="K3" s="27"/>
      <c r="L3" s="27"/>
      <c r="M3" s="27"/>
      <c r="N3" s="27"/>
      <c r="O3" s="27"/>
      <c r="P3" s="27"/>
      <c r="Q3" s="27"/>
      <c r="R3" s="27"/>
      <c r="S3" s="27"/>
      <c r="T3" s="27"/>
      <c r="U3" s="27"/>
      <c r="V3" s="27"/>
      <c r="W3" s="27"/>
      <c r="X3" s="27"/>
      <c r="Y3" s="27"/>
      <c r="Z3" s="27"/>
    </row>
    <row r="4" ht="15.75" customHeight="1">
      <c r="A4" s="94" t="s">
        <v>1748</v>
      </c>
      <c r="B4" s="95" t="s">
        <v>1749</v>
      </c>
      <c r="C4" s="94" t="s">
        <v>1750</v>
      </c>
      <c r="D4" s="96" t="s">
        <v>1751</v>
      </c>
      <c r="E4" s="96" t="s">
        <v>1752</v>
      </c>
      <c r="F4" s="97">
        <v>0.21</v>
      </c>
      <c r="G4" s="98" t="str">
        <f>VLOOKUP("ZLX-8P-G2",STOCK!$B$2:$Q$3653,3,FALSE)</f>
        <v>Menor a 5</v>
      </c>
      <c r="H4" s="27"/>
      <c r="I4" s="27"/>
      <c r="J4" s="27"/>
      <c r="K4" s="27"/>
      <c r="L4" s="27"/>
      <c r="M4" s="27"/>
      <c r="N4" s="27"/>
      <c r="O4" s="27"/>
      <c r="P4" s="27"/>
      <c r="Q4" s="27"/>
      <c r="R4" s="27"/>
      <c r="S4" s="27"/>
      <c r="T4" s="27"/>
      <c r="U4" s="27"/>
      <c r="V4" s="27"/>
      <c r="W4" s="27"/>
      <c r="X4" s="27"/>
      <c r="Y4" s="27"/>
      <c r="Z4" s="27"/>
    </row>
    <row r="5" ht="15.75" customHeight="1">
      <c r="A5" s="99" t="s">
        <v>1748</v>
      </c>
      <c r="B5" s="100" t="s">
        <v>1753</v>
      </c>
      <c r="C5" s="99" t="s">
        <v>1754</v>
      </c>
      <c r="D5" s="101" t="s">
        <v>1755</v>
      </c>
      <c r="E5" s="101" t="s">
        <v>1756</v>
      </c>
      <c r="F5" s="102">
        <v>0.21</v>
      </c>
      <c r="G5" s="103" t="str">
        <f>VLOOKUP("ZLX-12P-G2",STOCK!$B$2:$Q$3653,3,FALSE)</f>
        <v>Mayor a 5</v>
      </c>
      <c r="H5" s="27"/>
      <c r="I5" s="27"/>
      <c r="J5" s="27"/>
      <c r="K5" s="27"/>
      <c r="L5" s="27"/>
      <c r="M5" s="27"/>
      <c r="N5" s="27"/>
      <c r="O5" s="27"/>
      <c r="P5" s="27"/>
      <c r="Q5" s="27"/>
      <c r="R5" s="27"/>
      <c r="S5" s="27"/>
      <c r="T5" s="27"/>
      <c r="U5" s="27"/>
      <c r="V5" s="27"/>
      <c r="W5" s="27"/>
      <c r="X5" s="27"/>
      <c r="Y5" s="27"/>
      <c r="Z5" s="27"/>
    </row>
    <row r="6" ht="15.75" customHeight="1">
      <c r="A6" s="94" t="s">
        <v>1748</v>
      </c>
      <c r="B6" s="95" t="s">
        <v>1757</v>
      </c>
      <c r="C6" s="94" t="s">
        <v>1758</v>
      </c>
      <c r="D6" s="96" t="s">
        <v>1759</v>
      </c>
      <c r="E6" s="96" t="s">
        <v>1760</v>
      </c>
      <c r="F6" s="97">
        <v>0.21</v>
      </c>
      <c r="G6" s="103" t="str">
        <f>VLOOKUP("ZLX-15P-G2",STOCK!$B$2:$Q$3653,3,FALSE)</f>
        <v>Mayor a 5</v>
      </c>
      <c r="H6" s="27"/>
      <c r="I6" s="27"/>
      <c r="J6" s="27"/>
      <c r="K6" s="27"/>
      <c r="L6" s="27"/>
      <c r="M6" s="27"/>
      <c r="N6" s="27"/>
      <c r="O6" s="27"/>
      <c r="P6" s="27"/>
      <c r="Q6" s="27"/>
      <c r="R6" s="27"/>
      <c r="S6" s="27"/>
      <c r="T6" s="27"/>
      <c r="U6" s="27"/>
      <c r="V6" s="27"/>
      <c r="W6" s="27"/>
      <c r="X6" s="27"/>
      <c r="Y6" s="27"/>
      <c r="Z6" s="27"/>
    </row>
    <row r="7">
      <c r="A7" s="91" t="s">
        <v>1761</v>
      </c>
      <c r="C7" s="92"/>
      <c r="D7" s="31"/>
      <c r="E7" s="31"/>
      <c r="F7" s="92"/>
      <c r="G7" s="31"/>
      <c r="H7" s="27"/>
      <c r="I7" s="27"/>
      <c r="J7" s="27"/>
      <c r="K7" s="27"/>
      <c r="L7" s="27"/>
      <c r="M7" s="27"/>
      <c r="N7" s="27"/>
      <c r="O7" s="27"/>
      <c r="P7" s="27"/>
      <c r="Q7" s="27"/>
      <c r="R7" s="27"/>
      <c r="S7" s="27"/>
      <c r="T7" s="27"/>
      <c r="U7" s="27"/>
      <c r="V7" s="27"/>
      <c r="W7" s="27"/>
      <c r="X7" s="27"/>
      <c r="Y7" s="27"/>
      <c r="Z7" s="27"/>
    </row>
    <row r="8" ht="15.75" customHeight="1">
      <c r="A8" s="94" t="s">
        <v>1748</v>
      </c>
      <c r="B8" s="95" t="s">
        <v>1762</v>
      </c>
      <c r="C8" s="94" t="s">
        <v>1763</v>
      </c>
      <c r="D8" s="96" t="s">
        <v>1764</v>
      </c>
      <c r="E8" s="96" t="s">
        <v>1765</v>
      </c>
      <c r="F8" s="97">
        <v>0.21</v>
      </c>
      <c r="G8" s="103" t="str">
        <f>VLOOKUP("ELX200-10p",STOCK!$B$2:$Q$3653,3,FALSE)</f>
        <v>Mayor a 5</v>
      </c>
      <c r="H8" s="27"/>
      <c r="I8" s="27"/>
      <c r="J8" s="27"/>
      <c r="K8" s="27"/>
      <c r="L8" s="27"/>
      <c r="M8" s="27"/>
      <c r="N8" s="27"/>
      <c r="O8" s="27"/>
      <c r="P8" s="27"/>
      <c r="Q8" s="27"/>
      <c r="R8" s="27"/>
      <c r="S8" s="27"/>
      <c r="T8" s="27"/>
      <c r="U8" s="27"/>
      <c r="V8" s="27"/>
      <c r="W8" s="27"/>
      <c r="X8" s="27"/>
      <c r="Y8" s="27"/>
      <c r="Z8" s="27"/>
    </row>
    <row r="9" ht="15.75" customHeight="1">
      <c r="A9" s="99" t="s">
        <v>1748</v>
      </c>
      <c r="B9" s="100" t="s">
        <v>1766</v>
      </c>
      <c r="C9" s="99" t="s">
        <v>1767</v>
      </c>
      <c r="D9" s="101" t="s">
        <v>1768</v>
      </c>
      <c r="E9" s="101" t="s">
        <v>1769</v>
      </c>
      <c r="F9" s="102">
        <v>0.21</v>
      </c>
      <c r="G9" s="103" t="str">
        <f>VLOOKUP("ELX200-12p",STOCK!$B$2:$Q$3653,3,FALSE)</f>
        <v>Mayor a 5</v>
      </c>
      <c r="H9" s="27"/>
      <c r="I9" s="27"/>
      <c r="J9" s="27"/>
      <c r="K9" s="27"/>
      <c r="L9" s="27"/>
      <c r="M9" s="27"/>
      <c r="N9" s="27"/>
      <c r="O9" s="27"/>
      <c r="P9" s="27"/>
      <c r="Q9" s="27"/>
      <c r="R9" s="27"/>
      <c r="S9" s="27"/>
      <c r="T9" s="27"/>
      <c r="U9" s="27"/>
      <c r="V9" s="27"/>
      <c r="W9" s="27"/>
      <c r="X9" s="27"/>
      <c r="Y9" s="27"/>
      <c r="Z9" s="27"/>
    </row>
    <row r="10" ht="15.75" customHeight="1">
      <c r="A10" s="94" t="s">
        <v>1748</v>
      </c>
      <c r="B10" s="95" t="s">
        <v>1770</v>
      </c>
      <c r="C10" s="94" t="s">
        <v>1771</v>
      </c>
      <c r="D10" s="96" t="s">
        <v>1772</v>
      </c>
      <c r="E10" s="96" t="s">
        <v>1773</v>
      </c>
      <c r="F10" s="97">
        <v>0.21</v>
      </c>
      <c r="G10" s="103" t="str">
        <f>VLOOKUP("ELX200-15p",STOCK!$B$2:$Q$3653,3,FALSE)</f>
        <v>Mayor a 5</v>
      </c>
      <c r="H10" s="27"/>
      <c r="I10" s="27"/>
      <c r="J10" s="27"/>
      <c r="K10" s="27"/>
      <c r="L10" s="27"/>
      <c r="M10" s="27"/>
      <c r="N10" s="27"/>
      <c r="O10" s="27"/>
      <c r="P10" s="27"/>
      <c r="Q10" s="27"/>
      <c r="R10" s="27"/>
      <c r="S10" s="27"/>
      <c r="T10" s="27"/>
      <c r="U10" s="27"/>
      <c r="V10" s="27"/>
      <c r="W10" s="27"/>
      <c r="X10" s="27"/>
      <c r="Y10" s="27"/>
      <c r="Z10" s="27"/>
    </row>
    <row r="11" ht="15.75" customHeight="1">
      <c r="A11" s="99" t="s">
        <v>1748</v>
      </c>
      <c r="B11" s="100" t="s">
        <v>1774</v>
      </c>
      <c r="C11" s="99" t="s">
        <v>1775</v>
      </c>
      <c r="D11" s="101" t="s">
        <v>1776</v>
      </c>
      <c r="E11" s="101" t="s">
        <v>1777</v>
      </c>
      <c r="F11" s="102">
        <v>0.21</v>
      </c>
      <c r="G11" s="103" t="str">
        <f>VLOOKUP("ELX200-12Sp",STOCK!$B$2:$Q$3653,3,FALSE)</f>
        <v>Mayor a 5</v>
      </c>
      <c r="H11" s="27"/>
      <c r="I11" s="27"/>
      <c r="J11" s="27"/>
      <c r="K11" s="27"/>
      <c r="L11" s="27"/>
      <c r="M11" s="27"/>
      <c r="N11" s="27"/>
      <c r="O11" s="27"/>
      <c r="P11" s="27"/>
      <c r="Q11" s="27"/>
      <c r="R11" s="27"/>
      <c r="S11" s="27"/>
      <c r="T11" s="27"/>
      <c r="U11" s="27"/>
      <c r="V11" s="27"/>
      <c r="W11" s="27"/>
      <c r="X11" s="27"/>
      <c r="Y11" s="27"/>
      <c r="Z11" s="27"/>
    </row>
    <row r="12" ht="15.75" customHeight="1">
      <c r="A12" s="94" t="s">
        <v>1748</v>
      </c>
      <c r="B12" s="95" t="s">
        <v>1778</v>
      </c>
      <c r="C12" s="94" t="s">
        <v>1779</v>
      </c>
      <c r="D12" s="96" t="s">
        <v>1780</v>
      </c>
      <c r="E12" s="96" t="s">
        <v>1781</v>
      </c>
      <c r="F12" s="97">
        <v>0.21</v>
      </c>
      <c r="G12" s="103" t="str">
        <f>VLOOKUP("ELX200-18Sp",STOCK!$B$2:$Q$3653,3,FALSE)</f>
        <v>Mayor a 5</v>
      </c>
      <c r="H12" s="27"/>
      <c r="I12" s="27"/>
      <c r="J12" s="27"/>
      <c r="K12" s="27"/>
      <c r="L12" s="27"/>
      <c r="M12" s="27"/>
      <c r="N12" s="27"/>
      <c r="O12" s="27"/>
      <c r="P12" s="27"/>
      <c r="Q12" s="27"/>
      <c r="R12" s="27"/>
      <c r="S12" s="27"/>
      <c r="T12" s="27"/>
      <c r="U12" s="27"/>
      <c r="V12" s="27"/>
      <c r="W12" s="27"/>
      <c r="X12" s="27"/>
      <c r="Y12" s="27"/>
      <c r="Z12" s="27"/>
    </row>
    <row r="13" ht="15.75" customHeight="1">
      <c r="A13" s="91" t="s">
        <v>1782</v>
      </c>
      <c r="C13" s="104"/>
      <c r="D13" s="105"/>
      <c r="E13" s="105"/>
      <c r="F13" s="104"/>
      <c r="G13" s="31"/>
      <c r="H13" s="27"/>
      <c r="I13" s="27"/>
      <c r="J13" s="27"/>
      <c r="K13" s="27"/>
      <c r="L13" s="27"/>
      <c r="M13" s="27"/>
      <c r="N13" s="27"/>
      <c r="O13" s="27"/>
      <c r="P13" s="27"/>
      <c r="Q13" s="27"/>
      <c r="R13" s="27"/>
      <c r="S13" s="27"/>
      <c r="T13" s="27"/>
      <c r="U13" s="27"/>
      <c r="V13" s="27"/>
      <c r="W13" s="27"/>
      <c r="X13" s="27"/>
      <c r="Y13" s="27"/>
      <c r="Z13" s="27"/>
    </row>
    <row r="14" ht="15.75" customHeight="1">
      <c r="A14" s="94" t="s">
        <v>1748</v>
      </c>
      <c r="B14" s="95" t="s">
        <v>1783</v>
      </c>
      <c r="C14" s="94" t="s">
        <v>1784</v>
      </c>
      <c r="D14" s="96" t="s">
        <v>1785</v>
      </c>
      <c r="E14" s="96" t="s">
        <v>1786</v>
      </c>
      <c r="F14" s="97">
        <v>0.21</v>
      </c>
      <c r="G14" s="98" t="str">
        <f>VLOOKUP("ELX200-10",STOCK!$B$2:$Q$3653,3,FALSE)</f>
        <v>Menor a 5</v>
      </c>
      <c r="H14" s="27"/>
      <c r="I14" s="27"/>
      <c r="J14" s="27"/>
      <c r="K14" s="27"/>
      <c r="L14" s="27"/>
      <c r="M14" s="27"/>
      <c r="N14" s="27"/>
      <c r="O14" s="27"/>
      <c r="P14" s="27"/>
      <c r="Q14" s="27"/>
      <c r="R14" s="27"/>
      <c r="S14" s="27"/>
      <c r="T14" s="27"/>
      <c r="U14" s="27"/>
      <c r="V14" s="27"/>
      <c r="W14" s="27"/>
      <c r="X14" s="27"/>
      <c r="Y14" s="27"/>
      <c r="Z14" s="27"/>
    </row>
    <row r="15" ht="15.75" customHeight="1">
      <c r="A15" s="99" t="s">
        <v>1748</v>
      </c>
      <c r="B15" s="100" t="s">
        <v>1787</v>
      </c>
      <c r="C15" s="99" t="s">
        <v>1788</v>
      </c>
      <c r="D15" s="101" t="s">
        <v>1789</v>
      </c>
      <c r="E15" s="101" t="s">
        <v>1790</v>
      </c>
      <c r="F15" s="102">
        <v>0.21</v>
      </c>
      <c r="G15" s="103" t="str">
        <f>VLOOKUP("ELX200-12",STOCK!$B$2:$Q$3653,3,FALSE)</f>
        <v>Mayor a 5</v>
      </c>
      <c r="H15" s="27"/>
      <c r="I15" s="27"/>
      <c r="J15" s="27"/>
      <c r="K15" s="27"/>
      <c r="L15" s="27"/>
      <c r="M15" s="27"/>
      <c r="N15" s="27"/>
      <c r="O15" s="27"/>
      <c r="P15" s="27"/>
      <c r="Q15" s="27"/>
      <c r="R15" s="27"/>
      <c r="S15" s="27"/>
      <c r="T15" s="27"/>
      <c r="U15" s="27"/>
      <c r="V15" s="27"/>
      <c r="W15" s="27"/>
      <c r="X15" s="27"/>
      <c r="Y15" s="27"/>
      <c r="Z15" s="27"/>
    </row>
    <row r="16" ht="15.75" customHeight="1">
      <c r="A16" s="94" t="s">
        <v>1748</v>
      </c>
      <c r="B16" s="95" t="s">
        <v>1791</v>
      </c>
      <c r="C16" s="94" t="s">
        <v>1792</v>
      </c>
      <c r="D16" s="96" t="s">
        <v>1793</v>
      </c>
      <c r="E16" s="96" t="s">
        <v>1794</v>
      </c>
      <c r="F16" s="97">
        <v>0.21</v>
      </c>
      <c r="G16" s="103" t="str">
        <f>VLOOKUP("ELX200-15",STOCK!$B$2:$Q$3653,3,FALSE)</f>
        <v>Mayor a 5</v>
      </c>
      <c r="H16" s="27"/>
      <c r="I16" s="27"/>
      <c r="J16" s="27"/>
      <c r="K16" s="27"/>
      <c r="L16" s="27"/>
      <c r="M16" s="27"/>
      <c r="N16" s="27"/>
      <c r="O16" s="27"/>
      <c r="P16" s="27"/>
      <c r="Q16" s="27"/>
      <c r="R16" s="27"/>
      <c r="S16" s="27"/>
      <c r="T16" s="27"/>
      <c r="U16" s="27"/>
      <c r="V16" s="27"/>
      <c r="W16" s="27"/>
      <c r="X16" s="27"/>
      <c r="Y16" s="27"/>
      <c r="Z16" s="27"/>
    </row>
    <row r="17" ht="15.75" customHeight="1">
      <c r="A17" s="99" t="s">
        <v>1748</v>
      </c>
      <c r="B17" s="100" t="s">
        <v>1795</v>
      </c>
      <c r="C17" s="99" t="s">
        <v>1796</v>
      </c>
      <c r="D17" s="101" t="s">
        <v>1797</v>
      </c>
      <c r="E17" s="101" t="s">
        <v>1798</v>
      </c>
      <c r="F17" s="102">
        <v>0.21</v>
      </c>
      <c r="G17" s="98" t="str">
        <f>VLOOKUP("ELX200-12S",STOCK!$B$2:$Q$3653,3,FALSE)</f>
        <v>Menor a 5</v>
      </c>
      <c r="H17" s="27"/>
      <c r="I17" s="27"/>
      <c r="J17" s="27"/>
      <c r="K17" s="27"/>
      <c r="L17" s="27"/>
      <c r="M17" s="27"/>
      <c r="N17" s="27"/>
      <c r="O17" s="27"/>
      <c r="P17" s="27"/>
      <c r="Q17" s="27"/>
      <c r="R17" s="27"/>
      <c r="S17" s="27"/>
      <c r="T17" s="27"/>
      <c r="U17" s="27"/>
      <c r="V17" s="27"/>
      <c r="W17" s="27"/>
      <c r="X17" s="27"/>
      <c r="Y17" s="27"/>
      <c r="Z17" s="27"/>
    </row>
    <row r="18" ht="15.75" customHeight="1">
      <c r="A18" s="91" t="s">
        <v>1799</v>
      </c>
      <c r="C18" s="92"/>
      <c r="D18" s="51"/>
      <c r="E18" s="51"/>
      <c r="F18" s="106"/>
      <c r="G18" s="31"/>
      <c r="H18" s="27"/>
      <c r="I18" s="27"/>
      <c r="J18" s="27"/>
      <c r="K18" s="27"/>
      <c r="L18" s="27"/>
      <c r="M18" s="27"/>
      <c r="N18" s="27"/>
      <c r="O18" s="27"/>
      <c r="P18" s="27"/>
      <c r="Q18" s="27"/>
      <c r="R18" s="27"/>
      <c r="S18" s="27"/>
      <c r="T18" s="27"/>
      <c r="U18" s="27"/>
      <c r="V18" s="27"/>
      <c r="W18" s="27"/>
      <c r="X18" s="27"/>
      <c r="Y18" s="27"/>
      <c r="Z18" s="27"/>
    </row>
    <row r="19" ht="15.75" customHeight="1">
      <c r="A19" s="94" t="s">
        <v>1748</v>
      </c>
      <c r="B19" s="95" t="s">
        <v>1800</v>
      </c>
      <c r="C19" s="94" t="s">
        <v>1767</v>
      </c>
      <c r="D19" s="96" t="s">
        <v>1801</v>
      </c>
      <c r="E19" s="96" t="s">
        <v>1802</v>
      </c>
      <c r="F19" s="97">
        <v>0.21</v>
      </c>
      <c r="G19" s="103" t="str">
        <f>VLOOKUP("EKX-12P",STOCK!$B$2:$Q$3653,3,FALSE)</f>
        <v>Mayor a 5</v>
      </c>
      <c r="H19" s="27"/>
      <c r="I19" s="27"/>
      <c r="J19" s="27"/>
      <c r="K19" s="27"/>
      <c r="L19" s="27"/>
      <c r="M19" s="27"/>
      <c r="N19" s="27"/>
      <c r="O19" s="27"/>
      <c r="P19" s="27"/>
      <c r="Q19" s="27"/>
      <c r="R19" s="27"/>
      <c r="S19" s="27"/>
      <c r="T19" s="27"/>
      <c r="U19" s="27"/>
      <c r="V19" s="27"/>
      <c r="W19" s="27"/>
      <c r="X19" s="27"/>
      <c r="Y19" s="27"/>
      <c r="Z19" s="27"/>
    </row>
    <row r="20" ht="15.75" customHeight="1">
      <c r="A20" s="99" t="s">
        <v>1748</v>
      </c>
      <c r="B20" s="100" t="s">
        <v>1803</v>
      </c>
      <c r="C20" s="99" t="s">
        <v>1771</v>
      </c>
      <c r="D20" s="101" t="s">
        <v>1804</v>
      </c>
      <c r="E20" s="101" t="s">
        <v>1805</v>
      </c>
      <c r="F20" s="102">
        <v>0.21</v>
      </c>
      <c r="G20" s="103" t="str">
        <f>VLOOKUP("EKX-15P",STOCK!$B$2:$Q$3653,3,FALSE)</f>
        <v>Mayor a 5</v>
      </c>
      <c r="H20" s="27"/>
      <c r="I20" s="27"/>
      <c r="J20" s="27"/>
      <c r="K20" s="27"/>
      <c r="L20" s="27"/>
      <c r="M20" s="27"/>
      <c r="N20" s="27"/>
      <c r="O20" s="27"/>
      <c r="P20" s="27"/>
      <c r="Q20" s="27"/>
      <c r="R20" s="27"/>
      <c r="S20" s="27"/>
      <c r="T20" s="27"/>
      <c r="U20" s="27"/>
      <c r="V20" s="27"/>
      <c r="W20" s="27"/>
      <c r="X20" s="27"/>
      <c r="Y20" s="27"/>
      <c r="Z20" s="27"/>
    </row>
    <row r="21" ht="15.75" customHeight="1">
      <c r="A21" s="94" t="s">
        <v>1748</v>
      </c>
      <c r="B21" s="95" t="s">
        <v>1806</v>
      </c>
      <c r="C21" s="94" t="s">
        <v>1807</v>
      </c>
      <c r="D21" s="96" t="s">
        <v>1808</v>
      </c>
      <c r="E21" s="96" t="s">
        <v>1809</v>
      </c>
      <c r="F21" s="97">
        <v>0.21</v>
      </c>
      <c r="G21" s="103" t="str">
        <f>VLOOKUP("EKX-15SP",STOCK!$B$2:$Q$3653,3,FALSE)</f>
        <v>Mayor a 5</v>
      </c>
      <c r="H21" s="27"/>
      <c r="I21" s="27"/>
      <c r="J21" s="27"/>
      <c r="K21" s="27"/>
      <c r="L21" s="27"/>
      <c r="M21" s="27"/>
      <c r="N21" s="27"/>
      <c r="O21" s="27"/>
      <c r="P21" s="27"/>
      <c r="Q21" s="27"/>
      <c r="R21" s="27"/>
      <c r="S21" s="27"/>
      <c r="T21" s="27"/>
      <c r="U21" s="27"/>
      <c r="V21" s="27"/>
      <c r="W21" s="27"/>
      <c r="X21" s="27"/>
      <c r="Y21" s="27"/>
      <c r="Z21" s="27"/>
    </row>
    <row r="22" ht="15.75" customHeight="1">
      <c r="A22" s="99" t="s">
        <v>1748</v>
      </c>
      <c r="B22" s="100" t="s">
        <v>1810</v>
      </c>
      <c r="C22" s="99" t="s">
        <v>1779</v>
      </c>
      <c r="D22" s="101" t="s">
        <v>1811</v>
      </c>
      <c r="E22" s="101" t="s">
        <v>1812</v>
      </c>
      <c r="F22" s="102">
        <v>0.21</v>
      </c>
      <c r="G22" s="103" t="str">
        <f>VLOOKUP("EKX-18SP",STOCK!$B$2:$Q$3653,3,FALSE)</f>
        <v>Mayor a 5</v>
      </c>
      <c r="H22" s="27"/>
      <c r="I22" s="27"/>
      <c r="J22" s="27"/>
      <c r="K22" s="27"/>
      <c r="L22" s="27"/>
      <c r="M22" s="27"/>
      <c r="N22" s="27"/>
      <c r="O22" s="27"/>
      <c r="P22" s="27"/>
      <c r="Q22" s="27"/>
      <c r="R22" s="27"/>
      <c r="S22" s="27"/>
      <c r="T22" s="27"/>
      <c r="U22" s="27"/>
      <c r="V22" s="27"/>
      <c r="W22" s="27"/>
      <c r="X22" s="27"/>
      <c r="Y22" s="27"/>
      <c r="Z22" s="27"/>
    </row>
    <row r="23" ht="15.75" customHeight="1">
      <c r="A23" s="91" t="s">
        <v>1813</v>
      </c>
      <c r="C23" s="104"/>
      <c r="D23" s="51"/>
      <c r="E23" s="51"/>
      <c r="F23" s="106"/>
      <c r="G23" s="31"/>
      <c r="H23" s="27"/>
      <c r="I23" s="27"/>
      <c r="J23" s="27"/>
      <c r="K23" s="27"/>
      <c r="L23" s="27"/>
      <c r="M23" s="27"/>
      <c r="N23" s="27"/>
      <c r="O23" s="27"/>
      <c r="P23" s="27"/>
      <c r="Q23" s="27"/>
      <c r="R23" s="27"/>
      <c r="S23" s="27"/>
      <c r="T23" s="27"/>
      <c r="U23" s="27"/>
      <c r="V23" s="27"/>
      <c r="W23" s="27"/>
      <c r="X23" s="27"/>
      <c r="Y23" s="27"/>
      <c r="Z23" s="27"/>
    </row>
    <row r="24" ht="15.75" customHeight="1">
      <c r="A24" s="94" t="s">
        <v>1748</v>
      </c>
      <c r="B24" s="95" t="s">
        <v>1814</v>
      </c>
      <c r="C24" s="94" t="s">
        <v>1763</v>
      </c>
      <c r="D24" s="96" t="s">
        <v>1815</v>
      </c>
      <c r="E24" s="96" t="s">
        <v>1816</v>
      </c>
      <c r="F24" s="97">
        <v>0.21</v>
      </c>
      <c r="G24" s="98" t="str">
        <f>VLOOKUP("ETX-10P",STOCK!$B$2:$Q$3653,3,FALSE)</f>
        <v>Menor a 5</v>
      </c>
      <c r="H24" s="27"/>
      <c r="I24" s="27"/>
      <c r="J24" s="27"/>
      <c r="K24" s="27"/>
      <c r="L24" s="27"/>
      <c r="M24" s="27"/>
      <c r="N24" s="27"/>
      <c r="O24" s="27"/>
      <c r="P24" s="27"/>
      <c r="Q24" s="27"/>
      <c r="R24" s="27"/>
      <c r="S24" s="27"/>
      <c r="T24" s="27"/>
      <c r="U24" s="27"/>
      <c r="V24" s="27"/>
      <c r="W24" s="27"/>
      <c r="X24" s="27"/>
      <c r="Y24" s="27"/>
      <c r="Z24" s="27"/>
    </row>
    <row r="25" ht="15.75" customHeight="1">
      <c r="A25" s="99" t="s">
        <v>1748</v>
      </c>
      <c r="B25" s="100" t="s">
        <v>1817</v>
      </c>
      <c r="C25" s="99" t="s">
        <v>1767</v>
      </c>
      <c r="D25" s="101" t="s">
        <v>1818</v>
      </c>
      <c r="E25" s="101" t="s">
        <v>1819</v>
      </c>
      <c r="F25" s="102">
        <v>0.21</v>
      </c>
      <c r="G25" s="103" t="str">
        <f>VLOOKUP("ETX-12P",STOCK!$B$2:$Q$3653,3,FALSE)</f>
        <v>Mayor a 5</v>
      </c>
      <c r="H25" s="27"/>
      <c r="I25" s="27"/>
      <c r="J25" s="27"/>
      <c r="K25" s="27"/>
      <c r="L25" s="27"/>
      <c r="M25" s="27"/>
      <c r="N25" s="27"/>
      <c r="O25" s="27"/>
      <c r="P25" s="27"/>
      <c r="Q25" s="27"/>
      <c r="R25" s="27"/>
      <c r="S25" s="27"/>
      <c r="T25" s="27"/>
      <c r="U25" s="27"/>
      <c r="V25" s="27"/>
      <c r="W25" s="27"/>
      <c r="X25" s="27"/>
      <c r="Y25" s="27"/>
      <c r="Z25" s="27"/>
    </row>
    <row r="26" ht="15.75" customHeight="1">
      <c r="A26" s="94" t="s">
        <v>1748</v>
      </c>
      <c r="B26" s="95" t="s">
        <v>1820</v>
      </c>
      <c r="C26" s="94" t="s">
        <v>1771</v>
      </c>
      <c r="D26" s="96" t="s">
        <v>1821</v>
      </c>
      <c r="E26" s="96" t="s">
        <v>1822</v>
      </c>
      <c r="F26" s="97">
        <v>0.21</v>
      </c>
      <c r="G26" s="98" t="str">
        <f>VLOOKUP("ETX-15P",STOCK!$B$2:$Q$3653,3,FALSE)</f>
        <v>Menor a 5</v>
      </c>
      <c r="H26" s="27"/>
      <c r="I26" s="27"/>
      <c r="J26" s="27"/>
      <c r="K26" s="27"/>
      <c r="L26" s="27"/>
      <c r="M26" s="27"/>
      <c r="N26" s="27"/>
      <c r="O26" s="27"/>
      <c r="P26" s="27"/>
      <c r="Q26" s="27"/>
      <c r="R26" s="27"/>
      <c r="S26" s="27"/>
      <c r="T26" s="27"/>
      <c r="U26" s="27"/>
      <c r="V26" s="27"/>
      <c r="W26" s="27"/>
      <c r="X26" s="27"/>
      <c r="Y26" s="27"/>
      <c r="Z26" s="27"/>
    </row>
    <row r="27" ht="15.75" customHeight="1">
      <c r="A27" s="99" t="s">
        <v>1748</v>
      </c>
      <c r="B27" s="100" t="s">
        <v>1823</v>
      </c>
      <c r="C27" s="99" t="s">
        <v>1824</v>
      </c>
      <c r="D27" s="101" t="s">
        <v>1825</v>
      </c>
      <c r="E27" s="101" t="s">
        <v>1826</v>
      </c>
      <c r="F27" s="102">
        <v>0.21</v>
      </c>
      <c r="G27" s="98" t="str">
        <f>VLOOKUP("ETX-35p",STOCK!$B$2:$Q$3653,3,FALSE)</f>
        <v>Menor a 5</v>
      </c>
      <c r="H27" s="27"/>
      <c r="I27" s="27"/>
      <c r="J27" s="27"/>
      <c r="K27" s="27"/>
      <c r="L27" s="27"/>
      <c r="M27" s="27"/>
      <c r="N27" s="27"/>
      <c r="O27" s="27"/>
      <c r="P27" s="27"/>
      <c r="Q27" s="27"/>
      <c r="R27" s="27"/>
      <c r="S27" s="27"/>
      <c r="T27" s="27"/>
      <c r="U27" s="27"/>
      <c r="V27" s="27"/>
      <c r="W27" s="27"/>
      <c r="X27" s="27"/>
      <c r="Y27" s="27"/>
      <c r="Z27" s="27"/>
    </row>
    <row r="28" ht="15.75" customHeight="1">
      <c r="A28" s="94" t="s">
        <v>1748</v>
      </c>
      <c r="B28" s="95" t="s">
        <v>1827</v>
      </c>
      <c r="C28" s="94" t="s">
        <v>1779</v>
      </c>
      <c r="D28" s="96" t="s">
        <v>1828</v>
      </c>
      <c r="E28" s="96" t="s">
        <v>1829</v>
      </c>
      <c r="F28" s="97">
        <v>0.21</v>
      </c>
      <c r="G28" s="107" t="str">
        <f>VLOOKUP("ETX-18SP",STOCK!$B$2:$Q$3653,3,FALSE)</f>
        <v>Menor a 5</v>
      </c>
      <c r="H28" s="27"/>
      <c r="I28" s="27"/>
      <c r="J28" s="27"/>
      <c r="K28" s="27"/>
      <c r="L28" s="27"/>
      <c r="M28" s="27"/>
      <c r="N28" s="27"/>
      <c r="O28" s="27"/>
      <c r="P28" s="27"/>
      <c r="Q28" s="27"/>
      <c r="R28" s="27"/>
      <c r="S28" s="27"/>
      <c r="T28" s="27"/>
      <c r="U28" s="27"/>
      <c r="V28" s="27"/>
      <c r="W28" s="27"/>
      <c r="X28" s="27"/>
      <c r="Y28" s="27"/>
      <c r="Z28" s="27"/>
    </row>
    <row r="29" ht="15.75" customHeight="1">
      <c r="A29" s="91" t="s">
        <v>1830</v>
      </c>
      <c r="C29" s="104"/>
      <c r="D29" s="51"/>
      <c r="E29" s="51"/>
      <c r="F29" s="106"/>
      <c r="G29" s="31"/>
      <c r="H29" s="27"/>
      <c r="I29" s="27"/>
      <c r="J29" s="27"/>
      <c r="K29" s="27"/>
      <c r="L29" s="27"/>
      <c r="M29" s="27"/>
      <c r="N29" s="27"/>
      <c r="O29" s="27"/>
      <c r="P29" s="27"/>
      <c r="Q29" s="27"/>
      <c r="R29" s="27"/>
      <c r="S29" s="27"/>
      <c r="T29" s="27"/>
      <c r="U29" s="27"/>
      <c r="V29" s="27"/>
      <c r="W29" s="27"/>
      <c r="X29" s="27"/>
      <c r="Y29" s="27"/>
      <c r="Z29" s="27"/>
    </row>
    <row r="30" ht="15.75" customHeight="1">
      <c r="A30" s="94" t="s">
        <v>1748</v>
      </c>
      <c r="B30" s="95" t="s">
        <v>1831</v>
      </c>
      <c r="C30" s="94" t="s">
        <v>1832</v>
      </c>
      <c r="D30" s="96" t="s">
        <v>1833</v>
      </c>
      <c r="E30" s="96" t="s">
        <v>1834</v>
      </c>
      <c r="F30" s="97">
        <v>0.21</v>
      </c>
      <c r="G30" s="107" t="str">
        <f>VLOOKUP("EVOLVE50TB",STOCK!$B$2:$Q$3653,3,FALSE)</f>
        <v>Menor a 5</v>
      </c>
      <c r="H30" s="27"/>
      <c r="I30" s="27"/>
      <c r="J30" s="27"/>
      <c r="K30" s="27"/>
      <c r="L30" s="27"/>
      <c r="M30" s="27"/>
      <c r="N30" s="27"/>
      <c r="O30" s="27"/>
      <c r="P30" s="27"/>
      <c r="Q30" s="27"/>
      <c r="R30" s="27"/>
      <c r="S30" s="27"/>
      <c r="T30" s="27"/>
      <c r="U30" s="27"/>
      <c r="V30" s="27"/>
      <c r="W30" s="27"/>
      <c r="X30" s="27"/>
      <c r="Y30" s="27"/>
      <c r="Z30" s="27"/>
    </row>
    <row r="31" ht="15.75" customHeight="1">
      <c r="A31" s="99" t="s">
        <v>1748</v>
      </c>
      <c r="B31" s="100" t="s">
        <v>1835</v>
      </c>
      <c r="C31" s="99" t="s">
        <v>1836</v>
      </c>
      <c r="D31" s="101" t="s">
        <v>1837</v>
      </c>
      <c r="E31" s="101" t="s">
        <v>1838</v>
      </c>
      <c r="F31" s="102">
        <v>0.21</v>
      </c>
      <c r="G31" s="107" t="str">
        <f>VLOOKUP("EVOLVE50M-SB-US",STOCK!$B$2:$Q$3653,3,FALSE)</f>
        <v>Menor a 5</v>
      </c>
      <c r="H31" s="27"/>
      <c r="I31" s="27"/>
      <c r="J31" s="27"/>
      <c r="K31" s="27"/>
      <c r="L31" s="27"/>
      <c r="M31" s="27"/>
      <c r="N31" s="27"/>
      <c r="O31" s="27"/>
      <c r="P31" s="27"/>
      <c r="Q31" s="27"/>
      <c r="R31" s="27"/>
      <c r="S31" s="27"/>
      <c r="T31" s="27"/>
      <c r="U31" s="27"/>
      <c r="V31" s="27"/>
      <c r="W31" s="27"/>
      <c r="X31" s="27"/>
      <c r="Y31" s="27"/>
      <c r="Z31" s="27"/>
    </row>
    <row r="32" ht="15.75" customHeight="1">
      <c r="A32" s="94" t="s">
        <v>1748</v>
      </c>
      <c r="B32" s="94" t="s">
        <v>1839</v>
      </c>
      <c r="C32" s="94" t="s">
        <v>1836</v>
      </c>
      <c r="D32" s="96" t="s">
        <v>1840</v>
      </c>
      <c r="E32" s="96" t="s">
        <v>1841</v>
      </c>
      <c r="F32" s="97">
        <v>0.21</v>
      </c>
      <c r="G32" s="98" t="str">
        <f>VLOOKUP("EVOLVE50SB-US",STOCK!$B$2:$Q$3653,3,FALSE)</f>
        <v>Menor a 5</v>
      </c>
      <c r="H32" s="27"/>
      <c r="I32" s="27"/>
      <c r="J32" s="27"/>
      <c r="K32" s="27"/>
      <c r="L32" s="27"/>
      <c r="M32" s="27"/>
      <c r="N32" s="27"/>
      <c r="O32" s="27"/>
      <c r="P32" s="27"/>
      <c r="Q32" s="27"/>
      <c r="R32" s="27"/>
      <c r="S32" s="27"/>
      <c r="T32" s="27"/>
      <c r="U32" s="27"/>
      <c r="V32" s="27"/>
      <c r="W32" s="27"/>
      <c r="X32" s="27"/>
      <c r="Y32" s="27"/>
      <c r="Z32" s="27"/>
    </row>
    <row r="33" ht="15.75" customHeight="1">
      <c r="A33" s="99" t="s">
        <v>1748</v>
      </c>
      <c r="B33" s="99" t="s">
        <v>1842</v>
      </c>
      <c r="C33" s="99" t="s">
        <v>1843</v>
      </c>
      <c r="D33" s="101" t="s">
        <v>1844</v>
      </c>
      <c r="E33" s="101" t="s">
        <v>1845</v>
      </c>
      <c r="F33" s="102">
        <v>0.21</v>
      </c>
      <c r="G33" s="107" t="str">
        <f>VLOOKUP("EVOLVE50PL-SB",STOCK!$B$2:$Q$3653,3,FALSE)</f>
        <v>Menor a 5</v>
      </c>
      <c r="H33" s="27"/>
      <c r="I33" s="27"/>
      <c r="J33" s="27"/>
      <c r="K33" s="27"/>
      <c r="L33" s="27"/>
      <c r="M33" s="27"/>
      <c r="N33" s="27"/>
      <c r="O33" s="27"/>
      <c r="P33" s="27"/>
      <c r="Q33" s="27"/>
      <c r="R33" s="27"/>
      <c r="S33" s="27"/>
      <c r="T33" s="27"/>
      <c r="U33" s="27"/>
      <c r="V33" s="27"/>
      <c r="W33" s="27"/>
      <c r="X33" s="27"/>
      <c r="Y33" s="27"/>
      <c r="Z33" s="27"/>
    </row>
    <row r="34" ht="15.75" customHeight="1">
      <c r="A34" s="94" t="s">
        <v>1748</v>
      </c>
      <c r="B34" s="95" t="s">
        <v>1846</v>
      </c>
      <c r="C34" s="94" t="s">
        <v>1847</v>
      </c>
      <c r="D34" s="96" t="s">
        <v>1848</v>
      </c>
      <c r="E34" s="96" t="s">
        <v>1849</v>
      </c>
      <c r="F34" s="97">
        <v>0.21</v>
      </c>
      <c r="G34" s="107" t="str">
        <f>VLOOKUP("EVOLVE50-CASE",STOCK!$B$2:$Q$3653,3,FALSE)</f>
        <v>Menor a 5</v>
      </c>
      <c r="H34" s="27"/>
      <c r="I34" s="27"/>
      <c r="J34" s="27"/>
      <c r="K34" s="27"/>
      <c r="L34" s="27"/>
      <c r="M34" s="27"/>
      <c r="N34" s="27"/>
      <c r="O34" s="27"/>
      <c r="P34" s="27"/>
      <c r="Q34" s="27"/>
      <c r="R34" s="27"/>
      <c r="S34" s="27"/>
      <c r="T34" s="27"/>
      <c r="U34" s="27"/>
      <c r="V34" s="27"/>
      <c r="W34" s="27"/>
      <c r="X34" s="27"/>
      <c r="Y34" s="27"/>
      <c r="Z34" s="27"/>
    </row>
    <row r="35" ht="15.75" customHeight="1">
      <c r="A35" s="99" t="s">
        <v>1748</v>
      </c>
      <c r="B35" s="100" t="s">
        <v>1850</v>
      </c>
      <c r="C35" s="99" t="s">
        <v>1851</v>
      </c>
      <c r="D35" s="101" t="s">
        <v>1852</v>
      </c>
      <c r="E35" s="101" t="s">
        <v>1853</v>
      </c>
      <c r="F35" s="102">
        <v>0.21</v>
      </c>
      <c r="G35" s="98" t="str">
        <f>VLOOKUP("EVOLVE30M",STOCK!$B$2:$Q$3653,3,FALSE)</f>
        <v>Menor a 5</v>
      </c>
      <c r="H35" s="27"/>
      <c r="I35" s="27"/>
      <c r="J35" s="27"/>
      <c r="K35" s="27"/>
      <c r="L35" s="27"/>
      <c r="M35" s="27"/>
      <c r="N35" s="27"/>
      <c r="O35" s="27"/>
      <c r="P35" s="27"/>
      <c r="Q35" s="27"/>
      <c r="R35" s="27"/>
      <c r="S35" s="27"/>
      <c r="T35" s="27"/>
      <c r="U35" s="27"/>
      <c r="V35" s="27"/>
      <c r="W35" s="27"/>
      <c r="X35" s="27"/>
      <c r="Y35" s="27"/>
      <c r="Z35" s="27"/>
    </row>
    <row r="36" ht="15.75" customHeight="1">
      <c r="A36" s="94" t="s">
        <v>1748</v>
      </c>
      <c r="B36" s="94" t="s">
        <v>1854</v>
      </c>
      <c r="C36" s="94" t="s">
        <v>1855</v>
      </c>
      <c r="D36" s="96" t="s">
        <v>1856</v>
      </c>
      <c r="E36" s="96" t="s">
        <v>1857</v>
      </c>
      <c r="F36" s="97">
        <v>0.21</v>
      </c>
      <c r="G36" s="108" t="str">
        <f>VLOOKUP("EVOLVE30M-SUBCVR",STOCK!$B$2:$Q$3653,3,FALSE)</f>
        <v>#N/A</v>
      </c>
      <c r="H36" s="27"/>
      <c r="I36" s="27"/>
      <c r="J36" s="27"/>
      <c r="K36" s="27"/>
      <c r="L36" s="27"/>
      <c r="M36" s="27"/>
      <c r="N36" s="27"/>
      <c r="O36" s="27"/>
      <c r="P36" s="27"/>
      <c r="Q36" s="27"/>
      <c r="R36" s="27"/>
      <c r="S36" s="27"/>
      <c r="T36" s="27"/>
      <c r="U36" s="27"/>
      <c r="V36" s="27"/>
      <c r="W36" s="27"/>
      <c r="X36" s="27"/>
      <c r="Y36" s="27"/>
      <c r="Z36" s="27"/>
    </row>
    <row r="37" ht="15.75" customHeight="1">
      <c r="A37" s="99" t="s">
        <v>1748</v>
      </c>
      <c r="B37" s="99" t="s">
        <v>1858</v>
      </c>
      <c r="C37" s="99" t="s">
        <v>1859</v>
      </c>
      <c r="D37" s="101" t="s">
        <v>1848</v>
      </c>
      <c r="E37" s="101" t="s">
        <v>1849</v>
      </c>
      <c r="F37" s="102">
        <v>0.21</v>
      </c>
      <c r="G37" s="108" t="str">
        <f>VLOOKUP("EVOLVE-CASE",STOCK!$B$2:$Q$3653,3,FALSE)</f>
        <v>#N/A</v>
      </c>
      <c r="H37" s="27"/>
      <c r="I37" s="27"/>
      <c r="J37" s="27"/>
      <c r="K37" s="27"/>
      <c r="L37" s="27"/>
      <c r="M37" s="27"/>
      <c r="N37" s="27"/>
      <c r="O37" s="27"/>
      <c r="P37" s="27"/>
      <c r="Q37" s="27"/>
      <c r="R37" s="27"/>
      <c r="S37" s="27"/>
      <c r="T37" s="27"/>
      <c r="U37" s="27"/>
      <c r="V37" s="27"/>
      <c r="W37" s="27"/>
      <c r="X37" s="27"/>
      <c r="Y37" s="27"/>
      <c r="Z37" s="27"/>
    </row>
    <row r="38" ht="15.75" customHeight="1">
      <c r="A38" s="91" t="s">
        <v>1860</v>
      </c>
      <c r="C38" s="92"/>
      <c r="D38" s="51"/>
      <c r="E38" s="51"/>
      <c r="F38" s="106"/>
      <c r="G38" s="31"/>
      <c r="H38" s="27"/>
      <c r="I38" s="27"/>
      <c r="J38" s="27"/>
      <c r="K38" s="27"/>
      <c r="L38" s="27"/>
      <c r="M38" s="27"/>
      <c r="N38" s="27"/>
      <c r="O38" s="27"/>
      <c r="P38" s="27"/>
      <c r="Q38" s="27"/>
      <c r="R38" s="27"/>
      <c r="S38" s="27"/>
      <c r="T38" s="27"/>
      <c r="U38" s="27"/>
      <c r="V38" s="27"/>
      <c r="W38" s="27"/>
      <c r="X38" s="27"/>
      <c r="Y38" s="27"/>
      <c r="Z38" s="27"/>
    </row>
    <row r="39" ht="15.75" customHeight="1">
      <c r="A39" s="94" t="s">
        <v>1748</v>
      </c>
      <c r="B39" s="95" t="s">
        <v>1861</v>
      </c>
      <c r="C39" s="94" t="s">
        <v>1862</v>
      </c>
      <c r="D39" s="96" t="s">
        <v>1863</v>
      </c>
      <c r="E39" s="96" t="s">
        <v>1864</v>
      </c>
      <c r="F39" s="97">
        <v>0.21</v>
      </c>
      <c r="G39" s="107" t="str">
        <f>VLOOKUP("EVERSE 8",STOCK!$B$2:$Q$3653,3,FALSE)</f>
        <v>Menor a 5</v>
      </c>
      <c r="I39" s="27"/>
      <c r="J39" s="27"/>
      <c r="K39" s="27"/>
      <c r="L39" s="27"/>
      <c r="M39" s="27"/>
      <c r="N39" s="27"/>
      <c r="O39" s="27"/>
      <c r="P39" s="27"/>
      <c r="Q39" s="27"/>
      <c r="R39" s="27"/>
      <c r="S39" s="27"/>
      <c r="T39" s="27"/>
      <c r="U39" s="27"/>
      <c r="V39" s="27"/>
      <c r="W39" s="27"/>
      <c r="X39" s="27"/>
      <c r="Y39" s="27"/>
      <c r="Z39" s="27"/>
    </row>
    <row r="40" ht="15.75" customHeight="1">
      <c r="A40" s="99" t="s">
        <v>1748</v>
      </c>
      <c r="B40" s="100" t="s">
        <v>1865</v>
      </c>
      <c r="C40" s="99" t="s">
        <v>1866</v>
      </c>
      <c r="D40" s="101" t="s">
        <v>1867</v>
      </c>
      <c r="E40" s="101" t="s">
        <v>1868</v>
      </c>
      <c r="F40" s="102">
        <v>0.21</v>
      </c>
      <c r="G40" s="108" t="str">
        <f>VLOOKUP("EVERSE 12",STOCK!$B$2:$Q$3653,3,FALSE)</f>
        <v>Mayor a 5</v>
      </c>
      <c r="I40" s="27"/>
      <c r="J40" s="27"/>
      <c r="K40" s="27"/>
      <c r="L40" s="27"/>
      <c r="M40" s="27"/>
      <c r="N40" s="27"/>
      <c r="O40" s="27"/>
      <c r="P40" s="27"/>
      <c r="Q40" s="27"/>
      <c r="R40" s="27"/>
      <c r="S40" s="27"/>
      <c r="T40" s="27"/>
      <c r="U40" s="27"/>
      <c r="V40" s="27"/>
      <c r="W40" s="27"/>
      <c r="X40" s="27"/>
      <c r="Y40" s="27"/>
      <c r="Z40" s="27"/>
    </row>
    <row r="41" ht="15.75" customHeight="1">
      <c r="A41" s="91" t="s">
        <v>1869</v>
      </c>
      <c r="C41" s="104"/>
      <c r="D41" s="51"/>
      <c r="E41" s="51"/>
      <c r="F41" s="93"/>
      <c r="G41" s="31"/>
      <c r="H41" s="27"/>
      <c r="I41" s="27"/>
      <c r="J41" s="27"/>
      <c r="K41" s="27"/>
      <c r="L41" s="27"/>
      <c r="M41" s="27"/>
      <c r="N41" s="27"/>
      <c r="O41" s="27"/>
      <c r="P41" s="27"/>
      <c r="Q41" s="27"/>
      <c r="R41" s="27"/>
      <c r="S41" s="27"/>
      <c r="T41" s="27"/>
      <c r="U41" s="27"/>
      <c r="V41" s="27"/>
      <c r="W41" s="27"/>
      <c r="X41" s="27"/>
      <c r="Y41" s="27"/>
      <c r="Z41" s="27"/>
    </row>
    <row r="42" ht="15.75" customHeight="1">
      <c r="A42" s="94" t="s">
        <v>1748</v>
      </c>
      <c r="B42" s="95" t="s">
        <v>1870</v>
      </c>
      <c r="C42" s="94" t="s">
        <v>1871</v>
      </c>
      <c r="D42" s="96" t="s">
        <v>1872</v>
      </c>
      <c r="E42" s="96" t="s">
        <v>1873</v>
      </c>
      <c r="F42" s="97">
        <v>0.21</v>
      </c>
      <c r="G42" s="98" t="str">
        <f>VLOOKUP("PXM-12MP",STOCK!$B$2:$Q$3653,3,FALSE)</f>
        <v>Menor a 5</v>
      </c>
      <c r="H42" s="27"/>
      <c r="I42" s="27"/>
      <c r="J42" s="27"/>
      <c r="K42" s="27"/>
      <c r="L42" s="27"/>
      <c r="M42" s="27"/>
      <c r="N42" s="27"/>
      <c r="O42" s="27"/>
      <c r="P42" s="27"/>
      <c r="Q42" s="27"/>
      <c r="R42" s="27"/>
      <c r="S42" s="27"/>
      <c r="T42" s="27"/>
      <c r="U42" s="27"/>
      <c r="V42" s="27"/>
      <c r="W42" s="27"/>
      <c r="X42" s="27"/>
      <c r="Y42" s="27"/>
      <c r="Z42" s="27"/>
    </row>
    <row r="43" ht="15.75" customHeight="1">
      <c r="A43" s="91" t="s">
        <v>1874</v>
      </c>
      <c r="C43" s="92"/>
      <c r="D43" s="51"/>
      <c r="E43" s="51"/>
      <c r="F43" s="106"/>
      <c r="G43" s="31"/>
      <c r="H43" s="27"/>
      <c r="I43" s="27"/>
      <c r="J43" s="27"/>
      <c r="K43" s="27"/>
      <c r="L43" s="27"/>
      <c r="M43" s="27"/>
      <c r="N43" s="27"/>
      <c r="O43" s="27"/>
      <c r="P43" s="27"/>
      <c r="Q43" s="27"/>
      <c r="R43" s="27"/>
      <c r="S43" s="27"/>
      <c r="T43" s="27"/>
      <c r="U43" s="27"/>
      <c r="V43" s="27"/>
      <c r="W43" s="27"/>
      <c r="X43" s="27"/>
      <c r="Y43" s="27"/>
      <c r="Z43" s="27"/>
    </row>
    <row r="44" ht="15.75" customHeight="1">
      <c r="A44" s="94" t="s">
        <v>1748</v>
      </c>
      <c r="B44" s="94" t="s">
        <v>1875</v>
      </c>
      <c r="C44" s="94" t="s">
        <v>1876</v>
      </c>
      <c r="D44" s="96" t="s">
        <v>1877</v>
      </c>
      <c r="E44" s="96" t="s">
        <v>1878</v>
      </c>
      <c r="F44" s="97">
        <v>0.21</v>
      </c>
      <c r="G44" s="103" t="str">
        <f>VLOOKUP("ASP-58",STOCK!$B$2:$Q$3653,3,FALSE)</f>
        <v>Mayor a 5</v>
      </c>
      <c r="H44" s="27"/>
      <c r="I44" s="27"/>
      <c r="J44" s="27"/>
      <c r="K44" s="27"/>
      <c r="L44" s="27"/>
      <c r="M44" s="27"/>
      <c r="N44" s="27"/>
      <c r="O44" s="27"/>
      <c r="P44" s="27"/>
      <c r="Q44" s="27"/>
      <c r="R44" s="27"/>
      <c r="S44" s="27"/>
      <c r="T44" s="27"/>
      <c r="U44" s="27"/>
      <c r="V44" s="27"/>
      <c r="W44" s="27"/>
      <c r="X44" s="27"/>
      <c r="Y44" s="27"/>
      <c r="Z44" s="27"/>
    </row>
    <row r="45" ht="15.75" customHeight="1">
      <c r="A45" s="99" t="s">
        <v>1748</v>
      </c>
      <c r="B45" s="99" t="s">
        <v>1879</v>
      </c>
      <c r="C45" s="99" t="s">
        <v>1880</v>
      </c>
      <c r="D45" s="101" t="s">
        <v>1881</v>
      </c>
      <c r="E45" s="101" t="s">
        <v>1882</v>
      </c>
      <c r="F45" s="102">
        <v>0.21</v>
      </c>
      <c r="G45" s="107" t="str">
        <f>VLOOKUP("ZLX-BRKT",STOCK!$B$2:$Q$3653,3,FALSE)</f>
        <v>Menor a 5</v>
      </c>
      <c r="H45" s="27"/>
      <c r="I45" s="27"/>
      <c r="J45" s="27"/>
      <c r="K45" s="27"/>
      <c r="L45" s="27"/>
      <c r="M45" s="27"/>
      <c r="N45" s="27"/>
      <c r="O45" s="27"/>
      <c r="P45" s="27"/>
      <c r="Q45" s="27"/>
      <c r="R45" s="27"/>
      <c r="S45" s="27"/>
      <c r="T45" s="27"/>
      <c r="U45" s="27"/>
      <c r="V45" s="27"/>
      <c r="W45" s="27"/>
      <c r="X45" s="27"/>
      <c r="Y45" s="27"/>
      <c r="Z45" s="27"/>
    </row>
    <row r="46" ht="15.75" customHeight="1">
      <c r="A46" s="94" t="s">
        <v>1748</v>
      </c>
      <c r="B46" s="94" t="s">
        <v>1883</v>
      </c>
      <c r="C46" s="94" t="s">
        <v>1884</v>
      </c>
      <c r="D46" s="96" t="s">
        <v>1885</v>
      </c>
      <c r="E46" s="96" t="s">
        <v>1886</v>
      </c>
      <c r="F46" s="97">
        <v>0.21</v>
      </c>
      <c r="G46" s="108" t="str">
        <f>VLOOKUP("ELX200-BRKT",STOCK!$B$2:$Q$3653,3,FALSE)</f>
        <v>#N/A</v>
      </c>
      <c r="H46" s="27"/>
      <c r="I46" s="27"/>
      <c r="J46" s="27"/>
      <c r="K46" s="27"/>
      <c r="L46" s="27"/>
      <c r="M46" s="27"/>
      <c r="N46" s="27"/>
      <c r="O46" s="27"/>
      <c r="P46" s="27"/>
      <c r="Q46" s="27"/>
      <c r="R46" s="27"/>
      <c r="S46" s="27"/>
      <c r="T46" s="27"/>
      <c r="U46" s="27"/>
      <c r="V46" s="27"/>
      <c r="W46" s="27"/>
      <c r="X46" s="27"/>
      <c r="Y46" s="27"/>
      <c r="Z46" s="27"/>
    </row>
    <row r="47" ht="15.75" customHeight="1">
      <c r="A47" s="99" t="s">
        <v>1748</v>
      </c>
      <c r="B47" s="99" t="s">
        <v>1887</v>
      </c>
      <c r="C47" s="99" t="s">
        <v>1888</v>
      </c>
      <c r="D47" s="101" t="s">
        <v>1889</v>
      </c>
      <c r="E47" s="101" t="s">
        <v>1890</v>
      </c>
      <c r="F47" s="102">
        <v>0.21</v>
      </c>
      <c r="G47" s="108" t="str">
        <f>VLOOKUP("EKX-BRKT12",STOCK!$B$2:$Q$3653,3,FALSE)</f>
        <v>#N/A</v>
      </c>
      <c r="H47" s="27"/>
      <c r="I47" s="27"/>
      <c r="J47" s="27"/>
      <c r="K47" s="27"/>
      <c r="L47" s="27"/>
      <c r="M47" s="27"/>
      <c r="N47" s="27"/>
      <c r="O47" s="27"/>
      <c r="P47" s="27"/>
      <c r="Q47" s="27"/>
      <c r="R47" s="27"/>
      <c r="S47" s="27"/>
      <c r="T47" s="27"/>
      <c r="U47" s="27"/>
      <c r="V47" s="27"/>
      <c r="W47" s="27"/>
      <c r="X47" s="27"/>
      <c r="Y47" s="27"/>
      <c r="Z47" s="27"/>
    </row>
    <row r="48" ht="15.75" customHeight="1">
      <c r="A48" s="94" t="s">
        <v>1748</v>
      </c>
      <c r="B48" s="94" t="s">
        <v>1891</v>
      </c>
      <c r="C48" s="94" t="s">
        <v>1892</v>
      </c>
      <c r="D48" s="96" t="s">
        <v>1893</v>
      </c>
      <c r="E48" s="96" t="s">
        <v>1894</v>
      </c>
      <c r="F48" s="97">
        <v>0.21</v>
      </c>
      <c r="G48" s="107" t="str">
        <f>VLOOKUP("ZLX-12BT",STOCK!$B$2:$Q$3653,3,FALSE)</f>
        <v>Menor a 5</v>
      </c>
      <c r="H48" s="27"/>
      <c r="I48" s="27"/>
      <c r="J48" s="27"/>
      <c r="K48" s="27"/>
      <c r="L48" s="27"/>
      <c r="M48" s="27"/>
      <c r="N48" s="27"/>
      <c r="O48" s="27"/>
      <c r="P48" s="27"/>
      <c r="Q48" s="27"/>
      <c r="R48" s="27"/>
      <c r="S48" s="27"/>
      <c r="T48" s="27"/>
      <c r="U48" s="27"/>
      <c r="V48" s="27"/>
      <c r="W48" s="27"/>
      <c r="X48" s="27"/>
      <c r="Y48" s="27"/>
      <c r="Z48" s="27"/>
    </row>
    <row r="49" ht="15.75" customHeight="1">
      <c r="A49" s="99" t="s">
        <v>1748</v>
      </c>
      <c r="B49" s="99" t="s">
        <v>1895</v>
      </c>
      <c r="C49" s="99" t="s">
        <v>1896</v>
      </c>
      <c r="D49" s="101" t="s">
        <v>1897</v>
      </c>
      <c r="E49" s="101" t="s">
        <v>1898</v>
      </c>
      <c r="F49" s="102">
        <v>0.21</v>
      </c>
      <c r="G49" s="107" t="str">
        <f>VLOOKUP("ZLX-12BT",STOCK!$B$2:$Q$3653,3,FALSE)</f>
        <v>Menor a 5</v>
      </c>
      <c r="I49" s="27"/>
      <c r="J49" s="27"/>
      <c r="K49" s="27"/>
      <c r="L49" s="27"/>
      <c r="M49" s="27"/>
      <c r="N49" s="27"/>
      <c r="O49" s="27"/>
      <c r="P49" s="27"/>
      <c r="Q49" s="27"/>
      <c r="R49" s="27"/>
      <c r="S49" s="27"/>
      <c r="T49" s="27"/>
      <c r="U49" s="27"/>
      <c r="V49" s="27"/>
      <c r="W49" s="27"/>
      <c r="X49" s="27"/>
      <c r="Y49" s="27"/>
      <c r="Z49" s="27"/>
    </row>
    <row r="50" ht="15.75" customHeight="1">
      <c r="A50" s="94" t="s">
        <v>1748</v>
      </c>
      <c r="B50" s="94" t="s">
        <v>1899</v>
      </c>
      <c r="C50" s="94" t="s">
        <v>1900</v>
      </c>
      <c r="D50" s="96" t="s">
        <v>1901</v>
      </c>
      <c r="E50" s="96" t="s">
        <v>1902</v>
      </c>
      <c r="F50" s="97">
        <v>0.21</v>
      </c>
      <c r="G50" s="107" t="str">
        <f>VLOOKUP("ZLX-12BT",STOCK!$B$2:$Q$3653,3,FALSE)</f>
        <v>Menor a 5</v>
      </c>
      <c r="I50" s="27"/>
      <c r="J50" s="27"/>
      <c r="K50" s="27"/>
      <c r="L50" s="27"/>
      <c r="M50" s="27"/>
      <c r="N50" s="27"/>
      <c r="O50" s="27"/>
      <c r="P50" s="27"/>
      <c r="Q50" s="27"/>
      <c r="R50" s="27"/>
      <c r="S50" s="27"/>
      <c r="T50" s="27"/>
      <c r="U50" s="27"/>
      <c r="V50" s="27"/>
      <c r="W50" s="27"/>
      <c r="X50" s="27"/>
      <c r="Y50" s="27"/>
      <c r="Z50" s="27"/>
    </row>
    <row r="51" ht="15.75" customHeight="1">
      <c r="A51" s="99" t="s">
        <v>1748</v>
      </c>
      <c r="B51" s="99" t="s">
        <v>1903</v>
      </c>
      <c r="C51" s="99" t="s">
        <v>1904</v>
      </c>
      <c r="D51" s="101" t="s">
        <v>1905</v>
      </c>
      <c r="E51" s="101" t="s">
        <v>1906</v>
      </c>
      <c r="F51" s="102">
        <v>0.21</v>
      </c>
      <c r="G51" s="107" t="str">
        <f>VLOOKUP("ZLX-12BT",STOCK!$B$2:$Q$3653,3,FALSE)</f>
        <v>Menor a 5</v>
      </c>
      <c r="H51" s="27"/>
      <c r="I51" s="27"/>
      <c r="J51" s="27"/>
      <c r="K51" s="27"/>
      <c r="L51" s="27"/>
      <c r="M51" s="27"/>
      <c r="N51" s="27"/>
      <c r="O51" s="27"/>
      <c r="P51" s="27"/>
      <c r="Q51" s="27"/>
      <c r="R51" s="27"/>
      <c r="S51" s="27"/>
      <c r="T51" s="27"/>
      <c r="U51" s="27"/>
      <c r="V51" s="27"/>
      <c r="W51" s="27"/>
      <c r="X51" s="27"/>
      <c r="Y51" s="27"/>
      <c r="Z51" s="27"/>
    </row>
    <row r="52" ht="15.75" customHeight="1">
      <c r="A52" s="94" t="s">
        <v>1748</v>
      </c>
      <c r="B52" s="94" t="s">
        <v>1907</v>
      </c>
      <c r="C52" s="94" t="s">
        <v>1908</v>
      </c>
      <c r="D52" s="96" t="s">
        <v>1909</v>
      </c>
      <c r="E52" s="96" t="s">
        <v>1910</v>
      </c>
      <c r="F52" s="97">
        <v>0.21</v>
      </c>
      <c r="G52" s="107" t="str">
        <f>VLOOKUP("ZLX-12BT",STOCK!$B$2:$Q$3653,3,FALSE)</f>
        <v>Menor a 5</v>
      </c>
      <c r="H52" s="27"/>
      <c r="I52" s="27"/>
      <c r="J52" s="27"/>
      <c r="K52" s="27"/>
      <c r="L52" s="27"/>
      <c r="M52" s="27"/>
      <c r="N52" s="27"/>
      <c r="O52" s="27"/>
      <c r="P52" s="27"/>
      <c r="Q52" s="27"/>
      <c r="R52" s="27"/>
      <c r="S52" s="27"/>
      <c r="T52" s="27"/>
      <c r="U52" s="27"/>
      <c r="V52" s="27"/>
      <c r="W52" s="27"/>
      <c r="X52" s="27"/>
      <c r="Y52" s="27"/>
      <c r="Z52" s="27"/>
    </row>
    <row r="53" ht="15.75" customHeight="1">
      <c r="A53" s="99" t="s">
        <v>1748</v>
      </c>
      <c r="B53" s="99" t="s">
        <v>1911</v>
      </c>
      <c r="C53" s="99" t="s">
        <v>1912</v>
      </c>
      <c r="D53" s="101" t="s">
        <v>1901</v>
      </c>
      <c r="E53" s="101" t="s">
        <v>1902</v>
      </c>
      <c r="F53" s="102">
        <v>0.21</v>
      </c>
      <c r="G53" s="107" t="str">
        <f>VLOOKUP("ZLX-12BT",STOCK!$B$2:$Q$3653,3,FALSE)</f>
        <v>Menor a 5</v>
      </c>
      <c r="H53" s="27"/>
      <c r="I53" s="27"/>
      <c r="J53" s="27"/>
      <c r="K53" s="27"/>
      <c r="L53" s="27"/>
      <c r="M53" s="27"/>
      <c r="N53" s="27"/>
      <c r="O53" s="27"/>
      <c r="P53" s="27"/>
      <c r="Q53" s="27"/>
      <c r="R53" s="27"/>
      <c r="S53" s="27"/>
      <c r="T53" s="27"/>
      <c r="U53" s="27"/>
      <c r="V53" s="27"/>
      <c r="W53" s="27"/>
      <c r="X53" s="27"/>
      <c r="Y53" s="27"/>
      <c r="Z53" s="27"/>
    </row>
    <row r="54" ht="15.75" customHeight="1">
      <c r="A54" s="94" t="s">
        <v>1748</v>
      </c>
      <c r="B54" s="94" t="s">
        <v>1899</v>
      </c>
      <c r="C54" s="94" t="s">
        <v>1900</v>
      </c>
      <c r="D54" s="96" t="s">
        <v>1901</v>
      </c>
      <c r="E54" s="96" t="s">
        <v>1902</v>
      </c>
      <c r="F54" s="97">
        <v>0.21</v>
      </c>
      <c r="G54" s="107" t="str">
        <f>VLOOKUP("ZLX-12BT",STOCK!$B$2:$Q$3653,3,FALSE)</f>
        <v>Menor a 5</v>
      </c>
      <c r="H54" s="27"/>
      <c r="I54" s="27"/>
      <c r="J54" s="27"/>
      <c r="K54" s="27"/>
      <c r="L54" s="27"/>
      <c r="M54" s="27"/>
      <c r="N54" s="27"/>
      <c r="O54" s="27"/>
      <c r="P54" s="27"/>
      <c r="Q54" s="27"/>
      <c r="R54" s="27"/>
      <c r="S54" s="27"/>
      <c r="T54" s="27"/>
      <c r="U54" s="27"/>
      <c r="V54" s="27"/>
      <c r="W54" s="27"/>
      <c r="X54" s="27"/>
      <c r="Y54" s="27"/>
      <c r="Z54" s="27"/>
    </row>
    <row r="55" ht="15.75" customHeight="1">
      <c r="A55" s="99" t="s">
        <v>1748</v>
      </c>
      <c r="B55" s="99" t="s">
        <v>1903</v>
      </c>
      <c r="C55" s="99" t="s">
        <v>1904</v>
      </c>
      <c r="D55" s="101" t="s">
        <v>1905</v>
      </c>
      <c r="E55" s="101" t="s">
        <v>1906</v>
      </c>
      <c r="F55" s="102">
        <v>0.21</v>
      </c>
      <c r="G55" s="107" t="str">
        <f>VLOOKUP("ZLX-12BT",STOCK!$B$2:$Q$3653,3,FALSE)</f>
        <v>Menor a 5</v>
      </c>
      <c r="H55" s="27"/>
      <c r="I55" s="27"/>
      <c r="J55" s="27"/>
      <c r="K55" s="27"/>
      <c r="L55" s="27"/>
      <c r="M55" s="27"/>
      <c r="N55" s="27"/>
      <c r="O55" s="27"/>
      <c r="P55" s="27"/>
      <c r="Q55" s="27"/>
      <c r="R55" s="27"/>
      <c r="S55" s="27"/>
      <c r="T55" s="27"/>
      <c r="U55" s="27"/>
      <c r="V55" s="27"/>
      <c r="W55" s="27"/>
      <c r="X55" s="27"/>
      <c r="Y55" s="27"/>
      <c r="Z55" s="27"/>
    </row>
    <row r="56" ht="15.75" customHeight="1">
      <c r="A56" s="94" t="s">
        <v>1748</v>
      </c>
      <c r="B56" s="94" t="s">
        <v>1907</v>
      </c>
      <c r="C56" s="94" t="s">
        <v>1908</v>
      </c>
      <c r="D56" s="96" t="s">
        <v>1909</v>
      </c>
      <c r="E56" s="96" t="s">
        <v>1910</v>
      </c>
      <c r="F56" s="97">
        <v>0.21</v>
      </c>
      <c r="G56" s="107" t="str">
        <f>VLOOKUP("ZLX-12BT",STOCK!$B$2:$Q$3653,3,FALSE)</f>
        <v>Menor a 5</v>
      </c>
      <c r="H56" s="27"/>
      <c r="I56" s="27"/>
      <c r="J56" s="27"/>
      <c r="K56" s="27"/>
      <c r="L56" s="27"/>
      <c r="M56" s="27"/>
      <c r="N56" s="27"/>
      <c r="O56" s="27"/>
      <c r="P56" s="27"/>
      <c r="Q56" s="27"/>
      <c r="R56" s="27"/>
      <c r="S56" s="27"/>
      <c r="T56" s="27"/>
      <c r="U56" s="27"/>
      <c r="V56" s="27"/>
      <c r="W56" s="27"/>
      <c r="X56" s="27"/>
      <c r="Y56" s="27"/>
      <c r="Z56" s="27"/>
    </row>
    <row r="57" ht="15.75" customHeight="1">
      <c r="A57" s="99" t="s">
        <v>1748</v>
      </c>
      <c r="B57" s="99" t="s">
        <v>1911</v>
      </c>
      <c r="C57" s="99" t="s">
        <v>1912</v>
      </c>
      <c r="D57" s="101" t="s">
        <v>1901</v>
      </c>
      <c r="E57" s="101" t="s">
        <v>1902</v>
      </c>
      <c r="F57" s="102">
        <v>0.21</v>
      </c>
      <c r="G57" s="107" t="str">
        <f>VLOOKUP("ZLX-12BT",STOCK!$B$2:$Q$3653,3,FALSE)</f>
        <v>Menor a 5</v>
      </c>
      <c r="H57" s="27"/>
      <c r="I57" s="27"/>
      <c r="J57" s="27"/>
      <c r="K57" s="27"/>
      <c r="L57" s="27"/>
      <c r="M57" s="27"/>
      <c r="N57" s="27"/>
      <c r="O57" s="27"/>
      <c r="P57" s="27"/>
      <c r="Q57" s="27"/>
      <c r="R57" s="27"/>
      <c r="S57" s="27"/>
      <c r="T57" s="27"/>
      <c r="U57" s="27"/>
      <c r="V57" s="27"/>
      <c r="W57" s="27"/>
      <c r="X57" s="27"/>
      <c r="Y57" s="27"/>
      <c r="Z57" s="27"/>
    </row>
    <row r="58" ht="15.75" customHeight="1">
      <c r="A58" s="94" t="s">
        <v>1748</v>
      </c>
      <c r="B58" s="94" t="s">
        <v>1913</v>
      </c>
      <c r="C58" s="94" t="s">
        <v>1914</v>
      </c>
      <c r="D58" s="96" t="s">
        <v>1915</v>
      </c>
      <c r="E58" s="96" t="s">
        <v>1916</v>
      </c>
      <c r="F58" s="97">
        <v>0.21</v>
      </c>
      <c r="G58" s="107" t="str">
        <f>VLOOKUP("ZLX-12BT",STOCK!$B$2:$Q$3653,3,FALSE)</f>
        <v>Menor a 5</v>
      </c>
      <c r="H58" s="27"/>
      <c r="I58" s="27"/>
      <c r="J58" s="27"/>
      <c r="K58" s="27"/>
      <c r="L58" s="27"/>
      <c r="M58" s="27"/>
      <c r="N58" s="27"/>
      <c r="O58" s="27"/>
      <c r="P58" s="27"/>
      <c r="Q58" s="27"/>
      <c r="R58" s="27"/>
      <c r="S58" s="27"/>
      <c r="T58" s="27"/>
      <c r="U58" s="27"/>
      <c r="V58" s="27"/>
      <c r="W58" s="27"/>
      <c r="X58" s="27"/>
      <c r="Y58" s="27"/>
      <c r="Z58" s="27"/>
    </row>
    <row r="59" ht="15.75" customHeight="1">
      <c r="A59" s="99" t="s">
        <v>1748</v>
      </c>
      <c r="B59" s="99" t="s">
        <v>1917</v>
      </c>
      <c r="C59" s="99" t="s">
        <v>1918</v>
      </c>
      <c r="D59" s="101" t="s">
        <v>1919</v>
      </c>
      <c r="E59" s="101" t="s">
        <v>1920</v>
      </c>
      <c r="F59" s="102">
        <v>0.21</v>
      </c>
      <c r="G59" s="107" t="str">
        <f>VLOOKUP("ZLX-12BT",STOCK!$B$2:$Q$3653,3,FALSE)</f>
        <v>Menor a 5</v>
      </c>
      <c r="H59" s="27"/>
      <c r="I59" s="27"/>
      <c r="J59" s="27"/>
      <c r="K59" s="27"/>
      <c r="L59" s="27"/>
      <c r="M59" s="27"/>
      <c r="N59" s="27"/>
      <c r="O59" s="27"/>
      <c r="P59" s="27"/>
      <c r="Q59" s="27"/>
      <c r="R59" s="27"/>
      <c r="S59" s="27"/>
      <c r="T59" s="27"/>
      <c r="U59" s="27"/>
      <c r="V59" s="27"/>
      <c r="W59" s="27"/>
      <c r="X59" s="27"/>
      <c r="Y59" s="27"/>
      <c r="Z59" s="27"/>
    </row>
    <row r="60" ht="15.75" customHeight="1">
      <c r="A60" s="86" t="s">
        <v>1921</v>
      </c>
      <c r="B60" s="87"/>
      <c r="C60" s="87"/>
      <c r="D60" s="88"/>
      <c r="E60" s="88"/>
      <c r="F60" s="109"/>
      <c r="G60" s="90"/>
      <c r="H60" s="27"/>
      <c r="I60" s="27"/>
      <c r="J60" s="27"/>
      <c r="K60" s="27"/>
      <c r="L60" s="27"/>
      <c r="M60" s="27"/>
      <c r="N60" s="27"/>
      <c r="O60" s="27"/>
      <c r="P60" s="27"/>
      <c r="Q60" s="27"/>
      <c r="R60" s="27"/>
      <c r="S60" s="27"/>
      <c r="T60" s="27"/>
      <c r="U60" s="27"/>
      <c r="V60" s="27"/>
      <c r="W60" s="27"/>
      <c r="X60" s="27"/>
      <c r="Y60" s="27"/>
      <c r="Z60" s="27"/>
    </row>
    <row r="61" ht="15.75" customHeight="1">
      <c r="A61" s="91" t="s">
        <v>1922</v>
      </c>
      <c r="C61" s="92"/>
      <c r="D61" s="51"/>
      <c r="E61" s="51"/>
      <c r="F61" s="106"/>
      <c r="G61" s="31"/>
      <c r="H61" s="27"/>
      <c r="I61" s="27"/>
      <c r="J61" s="27"/>
      <c r="K61" s="27"/>
      <c r="L61" s="27"/>
      <c r="M61" s="27"/>
      <c r="N61" s="27"/>
      <c r="O61" s="27"/>
      <c r="P61" s="27"/>
      <c r="Q61" s="27"/>
      <c r="R61" s="27"/>
      <c r="S61" s="27"/>
      <c r="T61" s="27"/>
      <c r="U61" s="27"/>
      <c r="V61" s="27"/>
      <c r="W61" s="27"/>
      <c r="X61" s="27"/>
      <c r="Y61" s="27"/>
      <c r="Z61" s="27"/>
    </row>
    <row r="62" ht="15.75" customHeight="1">
      <c r="A62" s="94" t="s">
        <v>1748</v>
      </c>
      <c r="B62" s="95" t="s">
        <v>1923</v>
      </c>
      <c r="C62" s="94" t="s">
        <v>1924</v>
      </c>
      <c r="D62" s="96" t="s">
        <v>1925</v>
      </c>
      <c r="E62" s="96" t="s">
        <v>1926</v>
      </c>
      <c r="F62" s="97">
        <v>0.21</v>
      </c>
      <c r="G62" s="108" t="str">
        <f>VLOOKUP("EVID-S4.2B",STOCK!$B$2:$Q$3653,3,FALSE)</f>
        <v>#N/A</v>
      </c>
      <c r="H62" s="27"/>
      <c r="I62" s="27"/>
      <c r="J62" s="27"/>
      <c r="K62" s="27"/>
      <c r="L62" s="27"/>
      <c r="M62" s="27"/>
      <c r="N62" s="27"/>
      <c r="O62" s="27"/>
      <c r="P62" s="27"/>
      <c r="Q62" s="27"/>
      <c r="R62" s="27"/>
      <c r="S62" s="27"/>
      <c r="T62" s="27"/>
      <c r="U62" s="27"/>
      <c r="V62" s="27"/>
      <c r="W62" s="27"/>
      <c r="X62" s="27"/>
      <c r="Y62" s="27"/>
      <c r="Z62" s="27"/>
    </row>
    <row r="63" ht="15.75" customHeight="1">
      <c r="A63" s="99" t="s">
        <v>1748</v>
      </c>
      <c r="B63" s="100" t="s">
        <v>1927</v>
      </c>
      <c r="C63" s="99" t="s">
        <v>1928</v>
      </c>
      <c r="D63" s="101" t="s">
        <v>1925</v>
      </c>
      <c r="E63" s="101" t="s">
        <v>1926</v>
      </c>
      <c r="F63" s="102">
        <v>0.21</v>
      </c>
      <c r="G63" s="108" t="str">
        <f>VLOOKUP("EVID-S4.2B",STOCK!$B$2:$Q$3653,3,FALSE)</f>
        <v>#N/A</v>
      </c>
      <c r="H63" s="27"/>
      <c r="I63" s="27"/>
      <c r="J63" s="27"/>
      <c r="K63" s="27"/>
      <c r="L63" s="27"/>
      <c r="M63" s="27"/>
      <c r="N63" s="27"/>
      <c r="O63" s="27"/>
      <c r="P63" s="27"/>
      <c r="Q63" s="27"/>
      <c r="R63" s="27"/>
      <c r="S63" s="27"/>
      <c r="T63" s="27"/>
      <c r="U63" s="27"/>
      <c r="V63" s="27"/>
      <c r="W63" s="27"/>
      <c r="X63" s="27"/>
      <c r="Y63" s="27"/>
      <c r="Z63" s="27"/>
    </row>
    <row r="64" ht="15.75" customHeight="1">
      <c r="A64" s="94" t="s">
        <v>1748</v>
      </c>
      <c r="B64" s="95" t="s">
        <v>1929</v>
      </c>
      <c r="C64" s="94" t="s">
        <v>1930</v>
      </c>
      <c r="D64" s="96" t="s">
        <v>1931</v>
      </c>
      <c r="E64" s="96" t="s">
        <v>1932</v>
      </c>
      <c r="F64" s="97">
        <v>0.21</v>
      </c>
      <c r="G64" s="108" t="str">
        <f>VLOOKUP("EVID-S4.2B",STOCK!$B$2:$Q$3653,3,FALSE)</f>
        <v>#N/A</v>
      </c>
      <c r="H64" s="27"/>
      <c r="I64" s="27"/>
      <c r="J64" s="27"/>
      <c r="K64" s="27"/>
      <c r="L64" s="27"/>
      <c r="M64" s="27"/>
      <c r="N64" s="27"/>
      <c r="O64" s="27"/>
      <c r="P64" s="27"/>
      <c r="Q64" s="27"/>
      <c r="R64" s="27"/>
      <c r="S64" s="27"/>
      <c r="T64" s="27"/>
      <c r="U64" s="27"/>
      <c r="V64" s="27"/>
      <c r="W64" s="27"/>
      <c r="X64" s="27"/>
      <c r="Y64" s="27"/>
      <c r="Z64" s="27"/>
    </row>
    <row r="65" ht="15.75" customHeight="1">
      <c r="A65" s="99" t="s">
        <v>1748</v>
      </c>
      <c r="B65" s="100" t="s">
        <v>1933</v>
      </c>
      <c r="C65" s="99" t="s">
        <v>1934</v>
      </c>
      <c r="D65" s="101" t="s">
        <v>1931</v>
      </c>
      <c r="E65" s="101" t="s">
        <v>1932</v>
      </c>
      <c r="F65" s="102">
        <v>0.21</v>
      </c>
      <c r="G65" s="108" t="str">
        <f>VLOOKUP("EVID-S4.2B",STOCK!$B$2:$Q$3653,3,FALSE)</f>
        <v>#N/A</v>
      </c>
      <c r="H65" s="27"/>
      <c r="I65" s="27"/>
      <c r="J65" s="27"/>
      <c r="K65" s="27"/>
      <c r="L65" s="27"/>
      <c r="M65" s="27"/>
      <c r="N65" s="27"/>
      <c r="O65" s="27"/>
      <c r="P65" s="27"/>
      <c r="Q65" s="27"/>
      <c r="R65" s="27"/>
      <c r="S65" s="27"/>
      <c r="T65" s="27"/>
      <c r="U65" s="27"/>
      <c r="V65" s="27"/>
      <c r="W65" s="27"/>
      <c r="X65" s="27"/>
      <c r="Y65" s="27"/>
      <c r="Z65" s="27"/>
    </row>
    <row r="66" ht="15.75" customHeight="1">
      <c r="A66" s="94" t="s">
        <v>1748</v>
      </c>
      <c r="B66" s="95" t="s">
        <v>1935</v>
      </c>
      <c r="C66" s="94" t="s">
        <v>1936</v>
      </c>
      <c r="D66" s="96" t="s">
        <v>1937</v>
      </c>
      <c r="E66" s="96" t="s">
        <v>1938</v>
      </c>
      <c r="F66" s="97">
        <v>0.21</v>
      </c>
      <c r="G66" s="108" t="str">
        <f>VLOOKUP("EVID-S5.2B",STOCK!$B$2:$Q$3653,3,FALSE)</f>
        <v>#N/A</v>
      </c>
      <c r="H66" s="27"/>
      <c r="I66" s="27"/>
      <c r="J66" s="27"/>
      <c r="K66" s="27"/>
      <c r="L66" s="27"/>
      <c r="M66" s="27"/>
      <c r="N66" s="27"/>
      <c r="O66" s="27"/>
      <c r="P66" s="27"/>
      <c r="Q66" s="27"/>
      <c r="R66" s="27"/>
      <c r="S66" s="27"/>
      <c r="T66" s="27"/>
      <c r="U66" s="27"/>
      <c r="V66" s="27"/>
      <c r="W66" s="27"/>
      <c r="X66" s="27"/>
      <c r="Y66" s="27"/>
      <c r="Z66" s="27"/>
    </row>
    <row r="67" ht="15.75" customHeight="1">
      <c r="A67" s="99" t="s">
        <v>1748</v>
      </c>
      <c r="B67" s="100" t="s">
        <v>1939</v>
      </c>
      <c r="C67" s="99" t="s">
        <v>1940</v>
      </c>
      <c r="D67" s="101" t="s">
        <v>1937</v>
      </c>
      <c r="E67" s="101" t="s">
        <v>1938</v>
      </c>
      <c r="F67" s="102">
        <v>0.21</v>
      </c>
      <c r="G67" s="108" t="str">
        <f>VLOOKUP("EVID-S5.2W",STOCK!$B$2:$Q$3653,3,FALSE)</f>
        <v>#N/A</v>
      </c>
      <c r="H67" s="27"/>
      <c r="I67" s="27"/>
      <c r="J67" s="27"/>
      <c r="K67" s="27"/>
      <c r="L67" s="27"/>
      <c r="M67" s="27"/>
      <c r="N67" s="27"/>
      <c r="O67" s="27"/>
      <c r="P67" s="27"/>
      <c r="Q67" s="27"/>
      <c r="R67" s="27"/>
      <c r="S67" s="27"/>
      <c r="T67" s="27"/>
      <c r="U67" s="27"/>
      <c r="V67" s="27"/>
      <c r="W67" s="27"/>
      <c r="X67" s="27"/>
      <c r="Y67" s="27"/>
      <c r="Z67" s="27"/>
    </row>
    <row r="68" ht="15.75" customHeight="1">
      <c r="A68" s="94" t="s">
        <v>1748</v>
      </c>
      <c r="B68" s="95" t="s">
        <v>1941</v>
      </c>
      <c r="C68" s="94" t="s">
        <v>1942</v>
      </c>
      <c r="D68" s="96" t="s">
        <v>1943</v>
      </c>
      <c r="E68" s="96" t="s">
        <v>1944</v>
      </c>
      <c r="F68" s="97">
        <v>0.21</v>
      </c>
      <c r="G68" s="108" t="str">
        <f>VLOOKUP("EVID-S5.2TB",STOCK!$B$2:$Q$3653,3,FALSE)</f>
        <v>#N/A</v>
      </c>
      <c r="H68" s="27"/>
      <c r="I68" s="27"/>
      <c r="J68" s="27"/>
      <c r="K68" s="27"/>
      <c r="L68" s="27"/>
      <c r="M68" s="27"/>
      <c r="N68" s="27"/>
      <c r="O68" s="27"/>
      <c r="P68" s="27"/>
      <c r="Q68" s="27"/>
      <c r="R68" s="27"/>
      <c r="S68" s="27"/>
      <c r="T68" s="27"/>
      <c r="U68" s="27"/>
      <c r="V68" s="27"/>
      <c r="W68" s="27"/>
      <c r="X68" s="27"/>
      <c r="Y68" s="27"/>
      <c r="Z68" s="27"/>
    </row>
    <row r="69" ht="15.75" customHeight="1">
      <c r="A69" s="99" t="s">
        <v>1748</v>
      </c>
      <c r="B69" s="100" t="s">
        <v>1945</v>
      </c>
      <c r="C69" s="99" t="s">
        <v>1946</v>
      </c>
      <c r="D69" s="101" t="s">
        <v>1943</v>
      </c>
      <c r="E69" s="101" t="s">
        <v>1944</v>
      </c>
      <c r="F69" s="102">
        <v>0.21</v>
      </c>
      <c r="G69" s="108" t="str">
        <f>VLOOKUP("EVID-S5.2TW",STOCK!$B$2:$Q$3653,3,FALSE)</f>
        <v>#N/A</v>
      </c>
      <c r="H69" s="27"/>
      <c r="I69" s="27"/>
      <c r="J69" s="27"/>
      <c r="K69" s="27"/>
      <c r="L69" s="27"/>
      <c r="M69" s="27"/>
      <c r="N69" s="27"/>
      <c r="O69" s="27"/>
      <c r="P69" s="27"/>
      <c r="Q69" s="27"/>
      <c r="R69" s="27"/>
      <c r="S69" s="27"/>
      <c r="T69" s="27"/>
      <c r="U69" s="27"/>
      <c r="V69" s="27"/>
      <c r="W69" s="27"/>
      <c r="X69" s="27"/>
      <c r="Y69" s="27"/>
      <c r="Z69" s="27"/>
    </row>
    <row r="70" ht="15.75" customHeight="1">
      <c r="A70" s="94" t="s">
        <v>1748</v>
      </c>
      <c r="B70" s="95" t="s">
        <v>1947</v>
      </c>
      <c r="C70" s="94" t="s">
        <v>1948</v>
      </c>
      <c r="D70" s="96" t="s">
        <v>1949</v>
      </c>
      <c r="E70" s="96" t="s">
        <v>1950</v>
      </c>
      <c r="F70" s="97">
        <v>0.21</v>
      </c>
      <c r="G70" s="103" t="str">
        <f>VLOOKUP("EVID-S5.2XB",STOCK!$B$2:$Q$3653,3,FALSE)</f>
        <v>Mayor a 5</v>
      </c>
      <c r="H70" s="27"/>
      <c r="I70" s="27"/>
      <c r="J70" s="27"/>
      <c r="K70" s="27"/>
      <c r="L70" s="27"/>
      <c r="M70" s="27"/>
      <c r="N70" s="27"/>
      <c r="O70" s="27"/>
      <c r="P70" s="27"/>
      <c r="Q70" s="27"/>
      <c r="R70" s="27"/>
      <c r="S70" s="27"/>
      <c r="T70" s="27"/>
      <c r="U70" s="27"/>
      <c r="V70" s="27"/>
      <c r="W70" s="27"/>
      <c r="X70" s="27"/>
      <c r="Y70" s="27"/>
      <c r="Z70" s="27"/>
    </row>
    <row r="71" ht="15.75" customHeight="1">
      <c r="A71" s="99" t="s">
        <v>1748</v>
      </c>
      <c r="B71" s="100" t="s">
        <v>1951</v>
      </c>
      <c r="C71" s="99" t="s">
        <v>1952</v>
      </c>
      <c r="D71" s="101" t="s">
        <v>1949</v>
      </c>
      <c r="E71" s="101" t="s">
        <v>1950</v>
      </c>
      <c r="F71" s="102">
        <v>0.21</v>
      </c>
      <c r="G71" s="108" t="str">
        <f>VLOOKUP("EVID-S5.2XW",STOCK!$B$2:$Q$3653,3,FALSE)</f>
        <v>#N/A</v>
      </c>
      <c r="H71" s="27"/>
      <c r="I71" s="27"/>
      <c r="J71" s="27"/>
      <c r="K71" s="27"/>
      <c r="L71" s="27"/>
      <c r="M71" s="27"/>
      <c r="N71" s="27"/>
      <c r="O71" s="27"/>
      <c r="P71" s="27"/>
      <c r="Q71" s="27"/>
      <c r="R71" s="27"/>
      <c r="S71" s="27"/>
      <c r="T71" s="27"/>
      <c r="U71" s="27"/>
      <c r="V71" s="27"/>
      <c r="W71" s="27"/>
      <c r="X71" s="27"/>
      <c r="Y71" s="27"/>
      <c r="Z71" s="27"/>
    </row>
    <row r="72" ht="15.75" customHeight="1">
      <c r="A72" s="94" t="s">
        <v>1748</v>
      </c>
      <c r="B72" s="95" t="s">
        <v>1953</v>
      </c>
      <c r="C72" s="94" t="s">
        <v>1954</v>
      </c>
      <c r="D72" s="96" t="s">
        <v>1955</v>
      </c>
      <c r="E72" s="96" t="s">
        <v>1956</v>
      </c>
      <c r="F72" s="97">
        <v>0.21</v>
      </c>
      <c r="G72" s="108" t="str">
        <f>VLOOKUP("EVID-S8.2B",STOCK!$B$2:$Q$3653,3,FALSE)</f>
        <v>#N/A</v>
      </c>
      <c r="H72" s="27"/>
      <c r="I72" s="27"/>
      <c r="J72" s="27"/>
      <c r="K72" s="27"/>
      <c r="L72" s="27"/>
      <c r="M72" s="27"/>
      <c r="N72" s="27"/>
      <c r="O72" s="27"/>
      <c r="P72" s="27"/>
      <c r="Q72" s="27"/>
      <c r="R72" s="27"/>
      <c r="S72" s="27"/>
      <c r="T72" s="27"/>
      <c r="U72" s="27"/>
      <c r="V72" s="27"/>
      <c r="W72" s="27"/>
      <c r="X72" s="27"/>
      <c r="Y72" s="27"/>
      <c r="Z72" s="27"/>
    </row>
    <row r="73" ht="15.75" customHeight="1">
      <c r="A73" s="99" t="s">
        <v>1748</v>
      </c>
      <c r="B73" s="100" t="s">
        <v>1957</v>
      </c>
      <c r="C73" s="99" t="s">
        <v>1958</v>
      </c>
      <c r="D73" s="101" t="s">
        <v>1955</v>
      </c>
      <c r="E73" s="101" t="s">
        <v>1956</v>
      </c>
      <c r="F73" s="102">
        <v>0.21</v>
      </c>
      <c r="G73" s="108" t="str">
        <f>VLOOKUP("EVID-S8.2W",STOCK!$B$2:$Q$3653,3,FALSE)</f>
        <v>#N/A</v>
      </c>
      <c r="H73" s="27"/>
      <c r="I73" s="27"/>
      <c r="J73" s="27"/>
      <c r="K73" s="27"/>
      <c r="L73" s="27"/>
      <c r="M73" s="27"/>
      <c r="N73" s="27"/>
      <c r="O73" s="27"/>
      <c r="P73" s="27"/>
      <c r="Q73" s="27"/>
      <c r="R73" s="27"/>
      <c r="S73" s="27"/>
      <c r="T73" s="27"/>
      <c r="U73" s="27"/>
      <c r="V73" s="27"/>
      <c r="W73" s="27"/>
      <c r="X73" s="27"/>
      <c r="Y73" s="27"/>
      <c r="Z73" s="27"/>
    </row>
    <row r="74" ht="15.75" customHeight="1">
      <c r="A74" s="94" t="s">
        <v>1748</v>
      </c>
      <c r="B74" s="95" t="s">
        <v>1959</v>
      </c>
      <c r="C74" s="94" t="s">
        <v>1960</v>
      </c>
      <c r="D74" s="96" t="s">
        <v>1961</v>
      </c>
      <c r="E74" s="96" t="s">
        <v>1962</v>
      </c>
      <c r="F74" s="97">
        <v>0.21</v>
      </c>
      <c r="G74" s="108" t="str">
        <f>VLOOKUP("EVID-S8.2TB",STOCK!$B$2:$Q$3653,3,FALSE)</f>
        <v>#N/A</v>
      </c>
      <c r="H74" s="27"/>
      <c r="I74" s="27"/>
      <c r="J74" s="27"/>
      <c r="K74" s="27"/>
      <c r="L74" s="27"/>
      <c r="M74" s="27"/>
      <c r="N74" s="27"/>
      <c r="O74" s="27"/>
      <c r="P74" s="27"/>
      <c r="Q74" s="27"/>
      <c r="R74" s="27"/>
      <c r="S74" s="27"/>
      <c r="T74" s="27"/>
      <c r="U74" s="27"/>
      <c r="V74" s="27"/>
      <c r="W74" s="27"/>
      <c r="X74" s="27"/>
      <c r="Y74" s="27"/>
      <c r="Z74" s="27"/>
    </row>
    <row r="75" ht="15.75" customHeight="1">
      <c r="A75" s="99" t="s">
        <v>1748</v>
      </c>
      <c r="B75" s="100" t="s">
        <v>1963</v>
      </c>
      <c r="C75" s="99" t="s">
        <v>1964</v>
      </c>
      <c r="D75" s="101" t="s">
        <v>1961</v>
      </c>
      <c r="E75" s="101" t="s">
        <v>1962</v>
      </c>
      <c r="F75" s="102">
        <v>0.21</v>
      </c>
      <c r="G75" s="108" t="str">
        <f>VLOOKUP("EVID-S8.2TW",STOCK!$B$2:$Q$3653,3,FALSE)</f>
        <v>#N/A</v>
      </c>
      <c r="H75" s="27"/>
      <c r="I75" s="27"/>
      <c r="J75" s="27"/>
      <c r="K75" s="27"/>
      <c r="L75" s="27"/>
      <c r="M75" s="27"/>
      <c r="N75" s="27"/>
      <c r="O75" s="27"/>
      <c r="P75" s="27"/>
      <c r="Q75" s="27"/>
      <c r="R75" s="27"/>
      <c r="S75" s="27"/>
      <c r="T75" s="27"/>
      <c r="U75" s="27"/>
      <c r="V75" s="27"/>
      <c r="W75" s="27"/>
      <c r="X75" s="27"/>
      <c r="Y75" s="27"/>
      <c r="Z75" s="27"/>
    </row>
    <row r="76" ht="15.75" customHeight="1">
      <c r="A76" s="94" t="s">
        <v>1748</v>
      </c>
      <c r="B76" s="95" t="s">
        <v>1965</v>
      </c>
      <c r="C76" s="94" t="s">
        <v>1966</v>
      </c>
      <c r="D76" s="96" t="s">
        <v>1967</v>
      </c>
      <c r="E76" s="96" t="s">
        <v>1968</v>
      </c>
      <c r="F76" s="97">
        <v>0.21</v>
      </c>
      <c r="G76" s="108" t="str">
        <f>VLOOKUP("EVID-S10.1DB",STOCK!$B$2:$Q$3653,3,FALSE)</f>
        <v>#N/A</v>
      </c>
      <c r="H76" s="27"/>
      <c r="I76" s="27"/>
      <c r="J76" s="27"/>
      <c r="K76" s="27"/>
      <c r="L76" s="27"/>
      <c r="M76" s="27"/>
      <c r="N76" s="27"/>
      <c r="O76" s="27"/>
      <c r="P76" s="27"/>
      <c r="Q76" s="27"/>
      <c r="R76" s="27"/>
      <c r="S76" s="27"/>
      <c r="T76" s="27"/>
      <c r="U76" s="27"/>
      <c r="V76" s="27"/>
      <c r="W76" s="27"/>
      <c r="X76" s="27"/>
      <c r="Y76" s="27"/>
      <c r="Z76" s="27"/>
    </row>
    <row r="77" ht="15.75" customHeight="1">
      <c r="A77" s="99" t="s">
        <v>1748</v>
      </c>
      <c r="B77" s="100" t="s">
        <v>1969</v>
      </c>
      <c r="C77" s="99" t="s">
        <v>1970</v>
      </c>
      <c r="D77" s="101" t="s">
        <v>1971</v>
      </c>
      <c r="E77" s="101" t="s">
        <v>1972</v>
      </c>
      <c r="F77" s="102">
        <v>0.21</v>
      </c>
      <c r="G77" s="108" t="str">
        <f>VLOOKUP("EVID-S12.1B",STOCK!$B$2:$Q$3653,3,FALSE)</f>
        <v>#N/A</v>
      </c>
      <c r="H77" s="27"/>
      <c r="I77" s="27"/>
      <c r="J77" s="27"/>
      <c r="K77" s="27"/>
      <c r="L77" s="27"/>
      <c r="M77" s="27"/>
      <c r="N77" s="27"/>
      <c r="O77" s="27"/>
      <c r="P77" s="27"/>
      <c r="Q77" s="27"/>
      <c r="R77" s="27"/>
      <c r="S77" s="27"/>
      <c r="T77" s="27"/>
      <c r="U77" s="27"/>
      <c r="V77" s="27"/>
      <c r="W77" s="27"/>
      <c r="X77" s="27"/>
      <c r="Y77" s="27"/>
      <c r="Z77" s="27"/>
    </row>
    <row r="78" ht="15.75" customHeight="1">
      <c r="A78" s="91" t="s">
        <v>1973</v>
      </c>
      <c r="C78" s="92"/>
      <c r="D78" s="51"/>
      <c r="E78" s="51"/>
      <c r="F78" s="106"/>
      <c r="G78" s="31"/>
      <c r="H78" s="27"/>
      <c r="I78" s="27"/>
      <c r="J78" s="27"/>
      <c r="K78" s="27"/>
      <c r="L78" s="27"/>
      <c r="M78" s="27"/>
      <c r="N78" s="27"/>
      <c r="O78" s="27"/>
      <c r="P78" s="27"/>
      <c r="Q78" s="27"/>
      <c r="R78" s="27"/>
      <c r="S78" s="27"/>
      <c r="T78" s="27"/>
      <c r="U78" s="27"/>
      <c r="V78" s="27"/>
      <c r="W78" s="27"/>
      <c r="X78" s="27"/>
      <c r="Y78" s="27"/>
      <c r="Z78" s="27"/>
    </row>
    <row r="79" ht="15.75" customHeight="1">
      <c r="A79" s="94" t="s">
        <v>1748</v>
      </c>
      <c r="B79" s="94" t="s">
        <v>1974</v>
      </c>
      <c r="C79" s="94" t="s">
        <v>1975</v>
      </c>
      <c r="D79" s="96" t="s">
        <v>1976</v>
      </c>
      <c r="E79" s="96" t="s">
        <v>1977</v>
      </c>
      <c r="F79" s="97">
        <v>0.21</v>
      </c>
      <c r="G79" s="108" t="str">
        <f>VLOOKUP("EVID2.1",STOCK!$B$2:$Q$3653,3,FALSE)</f>
        <v>#N/A</v>
      </c>
      <c r="H79" s="27"/>
      <c r="I79" s="27"/>
      <c r="J79" s="27"/>
      <c r="K79" s="27"/>
      <c r="L79" s="27"/>
      <c r="M79" s="27"/>
      <c r="N79" s="27"/>
      <c r="O79" s="27"/>
      <c r="P79" s="27"/>
      <c r="Q79" s="27"/>
      <c r="R79" s="27"/>
      <c r="S79" s="27"/>
      <c r="T79" s="27"/>
      <c r="U79" s="27"/>
      <c r="V79" s="27"/>
      <c r="W79" s="27"/>
      <c r="X79" s="27"/>
      <c r="Y79" s="27"/>
      <c r="Z79" s="27"/>
    </row>
    <row r="80" ht="15.75" customHeight="1">
      <c r="A80" s="99" t="s">
        <v>1748</v>
      </c>
      <c r="B80" s="99" t="s">
        <v>1978</v>
      </c>
      <c r="C80" s="99" t="s">
        <v>1979</v>
      </c>
      <c r="D80" s="101" t="s">
        <v>1980</v>
      </c>
      <c r="E80" s="101" t="s">
        <v>1981</v>
      </c>
      <c r="F80" s="102">
        <v>0.21</v>
      </c>
      <c r="G80" s="98" t="str">
        <f>VLOOKUP("EVID3.2",STOCK!$B$2:$Q$3653,3,FALSE)</f>
        <v>Menor a 5</v>
      </c>
      <c r="H80" s="27"/>
      <c r="I80" s="27"/>
      <c r="J80" s="27"/>
      <c r="K80" s="27"/>
      <c r="L80" s="27"/>
      <c r="M80" s="27"/>
      <c r="N80" s="27"/>
      <c r="O80" s="27"/>
      <c r="P80" s="27"/>
      <c r="Q80" s="27"/>
      <c r="R80" s="27"/>
      <c r="S80" s="27"/>
      <c r="T80" s="27"/>
      <c r="U80" s="27"/>
      <c r="V80" s="27"/>
      <c r="W80" s="27"/>
      <c r="X80" s="27"/>
      <c r="Y80" s="27"/>
      <c r="Z80" s="27"/>
    </row>
    <row r="81" ht="15.75" customHeight="1">
      <c r="A81" s="94" t="s">
        <v>1748</v>
      </c>
      <c r="B81" s="94" t="s">
        <v>1982</v>
      </c>
      <c r="C81" s="94" t="s">
        <v>1983</v>
      </c>
      <c r="D81" s="96" t="s">
        <v>1980</v>
      </c>
      <c r="E81" s="96" t="s">
        <v>1981</v>
      </c>
      <c r="F81" s="97">
        <v>0.21</v>
      </c>
      <c r="G81" s="103" t="str">
        <f>VLOOKUP("EVID3.2W",STOCK!$B$2:$Q$3653,3,FALSE)</f>
        <v>Mayor a 5</v>
      </c>
      <c r="H81" s="27"/>
      <c r="I81" s="27"/>
      <c r="J81" s="27"/>
      <c r="K81" s="27"/>
      <c r="L81" s="27"/>
      <c r="M81" s="27"/>
      <c r="N81" s="27"/>
      <c r="O81" s="27"/>
      <c r="P81" s="27"/>
      <c r="Q81" s="27"/>
      <c r="R81" s="27"/>
      <c r="S81" s="27"/>
      <c r="T81" s="27"/>
      <c r="U81" s="27"/>
      <c r="V81" s="27"/>
      <c r="W81" s="27"/>
      <c r="X81" s="27"/>
      <c r="Y81" s="27"/>
      <c r="Z81" s="27"/>
    </row>
    <row r="82" ht="15.75" customHeight="1">
      <c r="A82" s="99" t="s">
        <v>1748</v>
      </c>
      <c r="B82" s="99" t="s">
        <v>1984</v>
      </c>
      <c r="C82" s="99" t="s">
        <v>1985</v>
      </c>
      <c r="D82" s="101" t="s">
        <v>1986</v>
      </c>
      <c r="E82" s="101" t="s">
        <v>1987</v>
      </c>
      <c r="F82" s="102">
        <v>0.21</v>
      </c>
      <c r="G82" s="103" t="str">
        <f>VLOOKUP("EVID3.2T",STOCK!$B$2:$Q$3653,3,FALSE)</f>
        <v>Mayor a 5</v>
      </c>
      <c r="I82" s="27"/>
      <c r="J82" s="27"/>
      <c r="K82" s="27"/>
      <c r="L82" s="27"/>
      <c r="M82" s="27"/>
      <c r="N82" s="27"/>
      <c r="O82" s="27"/>
      <c r="P82" s="27"/>
      <c r="Q82" s="27"/>
      <c r="R82" s="27"/>
      <c r="S82" s="27"/>
      <c r="T82" s="27"/>
      <c r="U82" s="27"/>
      <c r="V82" s="27"/>
      <c r="W82" s="27"/>
      <c r="X82" s="27"/>
      <c r="Y82" s="27"/>
      <c r="Z82" s="27"/>
    </row>
    <row r="83" ht="15.75" customHeight="1">
      <c r="A83" s="94" t="s">
        <v>1748</v>
      </c>
      <c r="B83" s="94" t="s">
        <v>1988</v>
      </c>
      <c r="C83" s="94" t="s">
        <v>1989</v>
      </c>
      <c r="D83" s="96" t="s">
        <v>1986</v>
      </c>
      <c r="E83" s="96" t="s">
        <v>1987</v>
      </c>
      <c r="F83" s="97">
        <v>0.21</v>
      </c>
      <c r="G83" s="103" t="str">
        <f>VLOOKUP("EVID3.2TW",STOCK!$B$2:$Q$3653,3,FALSE)</f>
        <v>Mayor a 5</v>
      </c>
      <c r="H83" s="27"/>
      <c r="I83" s="27"/>
      <c r="J83" s="27"/>
      <c r="K83" s="27"/>
      <c r="L83" s="27"/>
      <c r="M83" s="27"/>
      <c r="N83" s="27"/>
      <c r="O83" s="27"/>
      <c r="P83" s="27"/>
      <c r="Q83" s="27"/>
      <c r="R83" s="27"/>
      <c r="S83" s="27"/>
      <c r="T83" s="27"/>
      <c r="U83" s="27"/>
      <c r="V83" s="27"/>
      <c r="W83" s="27"/>
      <c r="X83" s="27"/>
      <c r="Y83" s="27"/>
      <c r="Z83" s="27"/>
    </row>
    <row r="84" ht="15.75" customHeight="1">
      <c r="A84" s="99" t="s">
        <v>1748</v>
      </c>
      <c r="B84" s="100" t="s">
        <v>1990</v>
      </c>
      <c r="C84" s="99" t="s">
        <v>1924</v>
      </c>
      <c r="D84" s="101" t="s">
        <v>1991</v>
      </c>
      <c r="E84" s="101" t="s">
        <v>1992</v>
      </c>
      <c r="F84" s="102">
        <v>0.21</v>
      </c>
      <c r="G84" s="103" t="str">
        <f>VLOOKUP("EVID4.2",STOCK!$B$2:$Q$3653,3,FALSE)</f>
        <v>Mayor a 5</v>
      </c>
      <c r="H84" s="27"/>
      <c r="I84" s="27"/>
      <c r="J84" s="27"/>
      <c r="K84" s="27"/>
      <c r="L84" s="27"/>
      <c r="M84" s="27"/>
      <c r="N84" s="27"/>
      <c r="O84" s="27"/>
      <c r="P84" s="27"/>
      <c r="Q84" s="27"/>
      <c r="R84" s="27"/>
      <c r="S84" s="27"/>
      <c r="T84" s="27"/>
      <c r="U84" s="27"/>
      <c r="V84" s="27"/>
      <c r="W84" s="27"/>
      <c r="X84" s="27"/>
      <c r="Y84" s="27"/>
      <c r="Z84" s="27"/>
    </row>
    <row r="85" ht="15.75" customHeight="1">
      <c r="A85" s="94" t="s">
        <v>1748</v>
      </c>
      <c r="B85" s="95" t="s">
        <v>1993</v>
      </c>
      <c r="C85" s="94" t="s">
        <v>1928</v>
      </c>
      <c r="D85" s="96" t="s">
        <v>1991</v>
      </c>
      <c r="E85" s="96" t="s">
        <v>1992</v>
      </c>
      <c r="F85" s="97">
        <v>0.21</v>
      </c>
      <c r="G85" s="103" t="str">
        <f>VLOOKUP("EVID4.2W",STOCK!$B$2:$Q$3653,3,FALSE)</f>
        <v>Mayor a 5</v>
      </c>
      <c r="H85" s="27"/>
      <c r="I85" s="27"/>
      <c r="J85" s="27"/>
      <c r="K85" s="27"/>
      <c r="L85" s="27"/>
      <c r="M85" s="27"/>
      <c r="N85" s="27"/>
      <c r="O85" s="27"/>
      <c r="P85" s="27"/>
      <c r="Q85" s="27"/>
      <c r="R85" s="27"/>
      <c r="S85" s="27"/>
      <c r="T85" s="27"/>
      <c r="U85" s="27"/>
      <c r="V85" s="27"/>
      <c r="W85" s="27"/>
      <c r="X85" s="27"/>
      <c r="Y85" s="27"/>
      <c r="Z85" s="27"/>
    </row>
    <row r="86" ht="15.75" customHeight="1">
      <c r="A86" s="99" t="s">
        <v>1748</v>
      </c>
      <c r="B86" s="100" t="s">
        <v>1994</v>
      </c>
      <c r="C86" s="99" t="s">
        <v>1930</v>
      </c>
      <c r="D86" s="101" t="s">
        <v>1995</v>
      </c>
      <c r="E86" s="101" t="s">
        <v>1996</v>
      </c>
      <c r="F86" s="102">
        <v>0.21</v>
      </c>
      <c r="G86" s="110" t="str">
        <f>VLOOKUP("EVID4.2T",STOCK!$B$2:$Q$3653,3,FALSE)</f>
        <v>Mayor a 5</v>
      </c>
      <c r="H86" s="27"/>
      <c r="I86" s="27"/>
      <c r="J86" s="27"/>
      <c r="K86" s="27"/>
      <c r="L86" s="27"/>
      <c r="M86" s="27"/>
      <c r="N86" s="27"/>
      <c r="O86" s="27"/>
      <c r="P86" s="27"/>
      <c r="Q86" s="27"/>
      <c r="R86" s="27"/>
      <c r="S86" s="27"/>
      <c r="T86" s="27"/>
      <c r="U86" s="27"/>
      <c r="V86" s="27"/>
      <c r="W86" s="27"/>
      <c r="X86" s="27"/>
      <c r="Y86" s="27"/>
      <c r="Z86" s="27"/>
    </row>
    <row r="87" ht="15.75" customHeight="1">
      <c r="A87" s="94" t="s">
        <v>1748</v>
      </c>
      <c r="B87" s="95" t="s">
        <v>1997</v>
      </c>
      <c r="C87" s="94" t="s">
        <v>1934</v>
      </c>
      <c r="D87" s="96" t="s">
        <v>1995</v>
      </c>
      <c r="E87" s="96" t="s">
        <v>1996</v>
      </c>
      <c r="F87" s="97">
        <v>0.21</v>
      </c>
      <c r="G87" s="103" t="str">
        <f>VLOOKUP("EVID4.2TW",STOCK!$B$2:$Q$3653,3,FALSE)</f>
        <v>Mayor a 5</v>
      </c>
      <c r="H87" s="27"/>
      <c r="I87" s="27"/>
      <c r="J87" s="27"/>
      <c r="K87" s="27"/>
      <c r="L87" s="27"/>
      <c r="M87" s="27"/>
      <c r="N87" s="27"/>
      <c r="O87" s="27"/>
      <c r="P87" s="27"/>
      <c r="Q87" s="27"/>
      <c r="R87" s="27"/>
      <c r="S87" s="27"/>
      <c r="T87" s="27"/>
      <c r="U87" s="27"/>
      <c r="V87" s="27"/>
      <c r="W87" s="27"/>
      <c r="X87" s="27"/>
      <c r="Y87" s="27"/>
      <c r="Z87" s="27"/>
    </row>
    <row r="88" ht="15.75" customHeight="1">
      <c r="A88" s="99" t="s">
        <v>1748</v>
      </c>
      <c r="B88" s="100" t="s">
        <v>1998</v>
      </c>
      <c r="C88" s="99" t="s">
        <v>1999</v>
      </c>
      <c r="D88" s="101" t="s">
        <v>2000</v>
      </c>
      <c r="E88" s="101" t="s">
        <v>2001</v>
      </c>
      <c r="F88" s="102">
        <v>0.21</v>
      </c>
      <c r="G88" s="103" t="str">
        <f>VLOOKUP("EVID6.2",STOCK!$B$2:$Q$3653,3,FALSE)</f>
        <v>Mayor a 5</v>
      </c>
      <c r="H88" s="27"/>
      <c r="I88" s="27"/>
      <c r="J88" s="27"/>
      <c r="K88" s="27"/>
      <c r="L88" s="27"/>
      <c r="M88" s="27"/>
      <c r="N88" s="27"/>
      <c r="O88" s="27"/>
      <c r="P88" s="27"/>
      <c r="Q88" s="27"/>
      <c r="R88" s="27"/>
      <c r="S88" s="27"/>
      <c r="T88" s="27"/>
      <c r="U88" s="27"/>
      <c r="V88" s="27"/>
      <c r="W88" s="27"/>
      <c r="X88" s="27"/>
      <c r="Y88" s="27"/>
      <c r="Z88" s="27"/>
    </row>
    <row r="89" ht="15.75" customHeight="1">
      <c r="A89" s="94" t="s">
        <v>1748</v>
      </c>
      <c r="B89" s="95" t="s">
        <v>2002</v>
      </c>
      <c r="C89" s="94" t="s">
        <v>2003</v>
      </c>
      <c r="D89" s="96" t="s">
        <v>2000</v>
      </c>
      <c r="E89" s="96" t="s">
        <v>2001</v>
      </c>
      <c r="F89" s="97">
        <v>0.21</v>
      </c>
      <c r="G89" s="103" t="str">
        <f>VLOOKUP("EVID6.2W",STOCK!$B$2:$Q$3653,3,FALSE)</f>
        <v>Mayor a 5</v>
      </c>
      <c r="H89" s="27"/>
      <c r="I89" s="27"/>
      <c r="J89" s="27"/>
      <c r="K89" s="27"/>
      <c r="L89" s="27"/>
      <c r="M89" s="27"/>
      <c r="N89" s="27"/>
      <c r="O89" s="27"/>
      <c r="P89" s="27"/>
      <c r="Q89" s="27"/>
      <c r="R89" s="27"/>
      <c r="S89" s="27"/>
      <c r="T89" s="27"/>
      <c r="U89" s="27"/>
      <c r="V89" s="27"/>
      <c r="W89" s="27"/>
      <c r="X89" s="27"/>
      <c r="Y89" s="27"/>
      <c r="Z89" s="27"/>
    </row>
    <row r="90" ht="15.75" customHeight="1">
      <c r="A90" s="99" t="s">
        <v>1748</v>
      </c>
      <c r="B90" s="100" t="s">
        <v>2004</v>
      </c>
      <c r="C90" s="99" t="s">
        <v>2005</v>
      </c>
      <c r="D90" s="101" t="s">
        <v>2006</v>
      </c>
      <c r="E90" s="101" t="s">
        <v>2007</v>
      </c>
      <c r="F90" s="102">
        <v>0.21</v>
      </c>
      <c r="G90" s="103" t="str">
        <f>VLOOKUP("EVID6.2T",STOCK!$B$2:$Q$3653,3,FALSE)</f>
        <v>Mayor a 5</v>
      </c>
      <c r="H90" s="27"/>
      <c r="I90" s="27"/>
      <c r="J90" s="27"/>
      <c r="K90" s="27"/>
      <c r="L90" s="27"/>
      <c r="M90" s="27"/>
      <c r="N90" s="27"/>
      <c r="O90" s="27"/>
      <c r="P90" s="27"/>
      <c r="Q90" s="27"/>
      <c r="R90" s="27"/>
      <c r="S90" s="27"/>
      <c r="T90" s="27"/>
      <c r="U90" s="27"/>
      <c r="V90" s="27"/>
      <c r="W90" s="27"/>
      <c r="X90" s="27"/>
      <c r="Y90" s="27"/>
      <c r="Z90" s="27"/>
    </row>
    <row r="91" ht="15.75" customHeight="1">
      <c r="A91" s="94" t="s">
        <v>1748</v>
      </c>
      <c r="B91" s="95" t="s">
        <v>2008</v>
      </c>
      <c r="C91" s="94" t="s">
        <v>2009</v>
      </c>
      <c r="D91" s="96" t="s">
        <v>2006</v>
      </c>
      <c r="E91" s="96" t="s">
        <v>2007</v>
      </c>
      <c r="F91" s="97">
        <v>0.21</v>
      </c>
      <c r="G91" s="103" t="str">
        <f>VLOOKUP("EVID6.2TW",STOCK!$B$2:$Q$3653,3,FALSE)</f>
        <v>Mayor a 5</v>
      </c>
      <c r="H91" s="27"/>
      <c r="I91" s="27"/>
      <c r="J91" s="27"/>
      <c r="K91" s="27"/>
      <c r="L91" s="27"/>
      <c r="M91" s="27"/>
      <c r="N91" s="27"/>
      <c r="O91" s="27"/>
      <c r="P91" s="27"/>
      <c r="Q91" s="27"/>
      <c r="R91" s="27"/>
      <c r="S91" s="27"/>
      <c r="T91" s="27"/>
      <c r="U91" s="27"/>
      <c r="V91" s="27"/>
      <c r="W91" s="27"/>
      <c r="X91" s="27"/>
      <c r="Y91" s="27"/>
      <c r="Z91" s="27"/>
    </row>
    <row r="92" ht="15.75" customHeight="1">
      <c r="A92" s="91" t="s">
        <v>2010</v>
      </c>
      <c r="C92" s="92"/>
      <c r="D92" s="51"/>
      <c r="E92" s="51"/>
      <c r="F92" s="106"/>
      <c r="G92" s="31"/>
      <c r="H92" s="27"/>
      <c r="I92" s="27"/>
      <c r="J92" s="27"/>
      <c r="K92" s="27"/>
      <c r="L92" s="27"/>
      <c r="M92" s="27"/>
      <c r="N92" s="27"/>
      <c r="O92" s="27"/>
      <c r="P92" s="27"/>
      <c r="Q92" s="27"/>
      <c r="R92" s="27"/>
      <c r="S92" s="27"/>
      <c r="T92" s="27"/>
      <c r="U92" s="27"/>
      <c r="V92" s="27"/>
      <c r="W92" s="27"/>
      <c r="X92" s="27"/>
      <c r="Y92" s="27"/>
      <c r="Z92" s="27"/>
    </row>
    <row r="93" ht="15.75" customHeight="1">
      <c r="A93" s="94" t="s">
        <v>1748</v>
      </c>
      <c r="B93" s="95" t="s">
        <v>2011</v>
      </c>
      <c r="C93" s="94" t="s">
        <v>2012</v>
      </c>
      <c r="D93" s="96" t="s">
        <v>1996</v>
      </c>
      <c r="E93" s="96" t="s">
        <v>2013</v>
      </c>
      <c r="F93" s="97">
        <v>0.21</v>
      </c>
      <c r="G93" s="98" t="str">
        <f>VLOOKUP("EVID-P6.2B",STOCK!$B$2:$Q$3653,3,FALSE)</f>
        <v>Menor a 5</v>
      </c>
      <c r="H93" s="27"/>
      <c r="I93" s="27"/>
      <c r="J93" s="27"/>
      <c r="K93" s="27"/>
      <c r="L93" s="27"/>
      <c r="M93" s="27"/>
      <c r="N93" s="27"/>
      <c r="O93" s="27"/>
      <c r="P93" s="27"/>
      <c r="Q93" s="27"/>
      <c r="R93" s="27"/>
      <c r="S93" s="27"/>
      <c r="T93" s="27"/>
      <c r="U93" s="27"/>
      <c r="V93" s="27"/>
      <c r="W93" s="27"/>
      <c r="X93" s="27"/>
      <c r="Y93" s="27"/>
      <c r="Z93" s="27"/>
    </row>
    <row r="94" ht="15.75" customHeight="1">
      <c r="A94" s="99" t="s">
        <v>1748</v>
      </c>
      <c r="B94" s="100" t="s">
        <v>2014</v>
      </c>
      <c r="C94" s="99" t="s">
        <v>2015</v>
      </c>
      <c r="D94" s="101" t="s">
        <v>1996</v>
      </c>
      <c r="E94" s="101" t="s">
        <v>2013</v>
      </c>
      <c r="F94" s="102">
        <v>0.21</v>
      </c>
      <c r="G94" s="107" t="str">
        <f>VLOOKUP("EVID-P6.2W",STOCK!$B$2:$Q$3653,3,FALSE)</f>
        <v>Menor a 5</v>
      </c>
      <c r="H94" s="27"/>
      <c r="I94" s="27"/>
      <c r="J94" s="27"/>
      <c r="K94" s="27"/>
      <c r="L94" s="27"/>
      <c r="M94" s="27"/>
      <c r="N94" s="27"/>
      <c r="O94" s="27"/>
      <c r="P94" s="27"/>
      <c r="Q94" s="27"/>
      <c r="R94" s="27"/>
      <c r="S94" s="27"/>
      <c r="T94" s="27"/>
      <c r="U94" s="27"/>
      <c r="V94" s="27"/>
      <c r="W94" s="27"/>
      <c r="X94" s="27"/>
      <c r="Y94" s="27"/>
      <c r="Z94" s="27"/>
    </row>
    <row r="95" ht="15.75" customHeight="1">
      <c r="A95" s="94" t="s">
        <v>1748</v>
      </c>
      <c r="B95" s="94" t="s">
        <v>2016</v>
      </c>
      <c r="C95" s="94" t="s">
        <v>2017</v>
      </c>
      <c r="D95" s="96" t="s">
        <v>2018</v>
      </c>
      <c r="E95" s="96" t="s">
        <v>2019</v>
      </c>
      <c r="F95" s="97">
        <v>0.21</v>
      </c>
      <c r="G95" s="108" t="str">
        <f>VLOOKUP("EVID-40C",STOCK!$B$2:$Q$3653,3,FALSE)</f>
        <v>#N/A</v>
      </c>
      <c r="H95" s="27"/>
      <c r="I95" s="27"/>
      <c r="J95" s="27"/>
      <c r="K95" s="27"/>
      <c r="L95" s="27"/>
      <c r="M95" s="27"/>
      <c r="N95" s="27"/>
      <c r="O95" s="27"/>
      <c r="P95" s="27"/>
      <c r="Q95" s="27"/>
      <c r="R95" s="27"/>
      <c r="S95" s="27"/>
      <c r="T95" s="27"/>
      <c r="U95" s="27"/>
      <c r="V95" s="27"/>
      <c r="W95" s="27"/>
      <c r="X95" s="27"/>
      <c r="Y95" s="27"/>
      <c r="Z95" s="27"/>
    </row>
    <row r="96" ht="15.75" customHeight="1">
      <c r="A96" s="99" t="s">
        <v>1748</v>
      </c>
      <c r="B96" s="99" t="s">
        <v>2020</v>
      </c>
      <c r="C96" s="99" t="s">
        <v>2021</v>
      </c>
      <c r="D96" s="101" t="s">
        <v>2022</v>
      </c>
      <c r="E96" s="101" t="s">
        <v>2023</v>
      </c>
      <c r="F96" s="102">
        <v>0.21</v>
      </c>
      <c r="G96" s="103" t="str">
        <f>VLOOKUP("EVID-C2.1",STOCK!$B$2:$Q$3653,3,FALSE)</f>
        <v>Mayor a 5</v>
      </c>
      <c r="H96" s="27"/>
      <c r="I96" s="27"/>
      <c r="J96" s="27"/>
      <c r="K96" s="27"/>
      <c r="L96" s="27"/>
      <c r="M96" s="27"/>
      <c r="N96" s="27"/>
      <c r="O96" s="27"/>
      <c r="P96" s="27"/>
      <c r="Q96" s="27"/>
      <c r="R96" s="27"/>
      <c r="S96" s="27"/>
      <c r="T96" s="27"/>
      <c r="U96" s="27"/>
      <c r="V96" s="27"/>
      <c r="W96" s="27"/>
      <c r="X96" s="27"/>
      <c r="Y96" s="27"/>
      <c r="Z96" s="27"/>
    </row>
    <row r="97" ht="15.75" customHeight="1">
      <c r="A97" s="94" t="s">
        <v>1748</v>
      </c>
      <c r="B97" s="95" t="s">
        <v>2024</v>
      </c>
      <c r="C97" s="94" t="s">
        <v>2025</v>
      </c>
      <c r="D97" s="96" t="s">
        <v>2026</v>
      </c>
      <c r="E97" s="96" t="s">
        <v>1478</v>
      </c>
      <c r="F97" s="97">
        <v>0.21</v>
      </c>
      <c r="G97" s="108" t="str">
        <f>VLOOKUP("EVID-C4.2",STOCK!$B$2:$Q$3653,3,FALSE)</f>
        <v>#N/A</v>
      </c>
      <c r="H97" s="27"/>
      <c r="I97" s="27"/>
      <c r="J97" s="27"/>
      <c r="K97" s="27"/>
      <c r="L97" s="27"/>
      <c r="M97" s="27"/>
      <c r="N97" s="27"/>
      <c r="O97" s="27"/>
      <c r="P97" s="27"/>
      <c r="Q97" s="27"/>
      <c r="R97" s="27"/>
      <c r="S97" s="27"/>
      <c r="T97" s="27"/>
      <c r="U97" s="27"/>
      <c r="V97" s="27"/>
      <c r="W97" s="27"/>
      <c r="X97" s="27"/>
      <c r="Y97" s="27"/>
      <c r="Z97" s="27"/>
    </row>
    <row r="98" ht="15.75" customHeight="1">
      <c r="A98" s="99" t="s">
        <v>1748</v>
      </c>
      <c r="B98" s="100" t="s">
        <v>2027</v>
      </c>
      <c r="C98" s="99" t="s">
        <v>2028</v>
      </c>
      <c r="D98" s="101" t="s">
        <v>2029</v>
      </c>
      <c r="E98" s="101" t="s">
        <v>2030</v>
      </c>
      <c r="F98" s="102">
        <v>0.21</v>
      </c>
      <c r="G98" s="108" t="str">
        <f>VLOOKUP("EVID-C6.2",STOCK!$B$2:$Q$3653,3,FALSE)</f>
        <v>#N/A</v>
      </c>
      <c r="H98" s="27"/>
      <c r="I98" s="27"/>
      <c r="J98" s="27"/>
      <c r="K98" s="27"/>
      <c r="L98" s="27"/>
      <c r="M98" s="27"/>
      <c r="N98" s="27"/>
      <c r="O98" s="27"/>
      <c r="P98" s="27"/>
      <c r="Q98" s="27"/>
      <c r="R98" s="27"/>
      <c r="S98" s="27"/>
      <c r="T98" s="27"/>
      <c r="U98" s="27"/>
      <c r="V98" s="27"/>
      <c r="W98" s="27"/>
      <c r="X98" s="27"/>
      <c r="Y98" s="27"/>
      <c r="Z98" s="27"/>
    </row>
    <row r="99" ht="15.75" customHeight="1">
      <c r="A99" s="94" t="s">
        <v>1748</v>
      </c>
      <c r="B99" s="95" t="s">
        <v>2031</v>
      </c>
      <c r="C99" s="94" t="s">
        <v>2032</v>
      </c>
      <c r="D99" s="96" t="s">
        <v>2033</v>
      </c>
      <c r="E99" s="96" t="s">
        <v>2034</v>
      </c>
      <c r="F99" s="97">
        <v>0.21</v>
      </c>
      <c r="G99" s="108" t="str">
        <f>VLOOKUP("EVID-C8.2",STOCK!$B$2:$Q$3653,3,FALSE)</f>
        <v>#N/A</v>
      </c>
      <c r="H99" s="27"/>
      <c r="I99" s="27"/>
      <c r="J99" s="27"/>
      <c r="K99" s="27"/>
      <c r="L99" s="27"/>
      <c r="M99" s="27"/>
      <c r="N99" s="27"/>
      <c r="O99" s="27"/>
      <c r="P99" s="27"/>
      <c r="Q99" s="27"/>
      <c r="R99" s="27"/>
      <c r="S99" s="27"/>
      <c r="T99" s="27"/>
      <c r="U99" s="27"/>
      <c r="V99" s="27"/>
      <c r="W99" s="27"/>
      <c r="X99" s="27"/>
      <c r="Y99" s="27"/>
      <c r="Z99" s="27"/>
    </row>
    <row r="100" ht="15.75" customHeight="1">
      <c r="A100" s="99" t="s">
        <v>1748</v>
      </c>
      <c r="B100" s="100" t="s">
        <v>2035</v>
      </c>
      <c r="C100" s="99" t="s">
        <v>2036</v>
      </c>
      <c r="D100" s="101" t="s">
        <v>2033</v>
      </c>
      <c r="E100" s="101" t="s">
        <v>2034</v>
      </c>
      <c r="F100" s="102">
        <v>0.21</v>
      </c>
      <c r="G100" s="98" t="str">
        <f>VLOOKUP("FM4.2",STOCK!$B$2:$Q$3653,3,FALSE)</f>
        <v>Menor a 5</v>
      </c>
      <c r="H100" s="27"/>
      <c r="I100" s="27"/>
      <c r="J100" s="27"/>
      <c r="K100" s="27"/>
      <c r="L100" s="27"/>
      <c r="M100" s="27"/>
      <c r="N100" s="27"/>
      <c r="O100" s="27"/>
      <c r="P100" s="27"/>
      <c r="Q100" s="27"/>
      <c r="R100" s="27"/>
      <c r="S100" s="27"/>
      <c r="T100" s="27"/>
      <c r="U100" s="27"/>
      <c r="V100" s="27"/>
      <c r="W100" s="27"/>
      <c r="X100" s="27"/>
      <c r="Y100" s="27"/>
      <c r="Z100" s="27"/>
    </row>
    <row r="101" ht="15.75" customHeight="1">
      <c r="A101" s="94" t="s">
        <v>1748</v>
      </c>
      <c r="B101" s="95" t="s">
        <v>2037</v>
      </c>
      <c r="C101" s="94" t="s">
        <v>2038</v>
      </c>
      <c r="D101" s="96" t="s">
        <v>2039</v>
      </c>
      <c r="E101" s="96" t="s">
        <v>2040</v>
      </c>
      <c r="F101" s="97">
        <v>0.21</v>
      </c>
      <c r="G101" s="98" t="str">
        <f>VLOOKUP("FM6.2",STOCK!$B$2:$Q$3653,3,FALSE)</f>
        <v>Menor a 5</v>
      </c>
      <c r="I101" s="27"/>
      <c r="J101" s="27"/>
      <c r="K101" s="27"/>
      <c r="L101" s="27"/>
      <c r="M101" s="27"/>
      <c r="N101" s="27"/>
      <c r="O101" s="27"/>
      <c r="P101" s="27"/>
      <c r="Q101" s="27"/>
      <c r="R101" s="27"/>
      <c r="S101" s="27"/>
      <c r="T101" s="27"/>
      <c r="U101" s="27"/>
      <c r="V101" s="27"/>
      <c r="W101" s="27"/>
      <c r="X101" s="27"/>
      <c r="Y101" s="27"/>
      <c r="Z101" s="27"/>
    </row>
    <row r="102" ht="15.75" customHeight="1">
      <c r="A102" s="99" t="s">
        <v>2041</v>
      </c>
      <c r="B102" s="100" t="s">
        <v>2042</v>
      </c>
      <c r="C102" s="111" t="s">
        <v>2043</v>
      </c>
      <c r="D102" s="101" t="s">
        <v>2044</v>
      </c>
      <c r="E102" s="101" t="s">
        <v>2045</v>
      </c>
      <c r="F102" s="102">
        <v>0.21</v>
      </c>
      <c r="G102" s="103" t="str">
        <f>VLOOKUP("LHM0606/10",STOCK!$B$2:$Q$3653,3,FALSE)</f>
        <v>Mayor a 5</v>
      </c>
      <c r="H102" s="27"/>
      <c r="I102" s="27"/>
      <c r="J102" s="27"/>
      <c r="K102" s="27"/>
      <c r="L102" s="27"/>
      <c r="M102" s="27"/>
      <c r="N102" s="27"/>
      <c r="O102" s="27"/>
      <c r="P102" s="27"/>
      <c r="Q102" s="27"/>
      <c r="R102" s="27"/>
      <c r="S102" s="27"/>
      <c r="T102" s="27"/>
      <c r="U102" s="27"/>
      <c r="V102" s="27"/>
      <c r="W102" s="27"/>
      <c r="X102" s="27"/>
      <c r="Y102" s="27"/>
      <c r="Z102" s="27"/>
    </row>
    <row r="103" ht="15.75" customHeight="1">
      <c r="A103" s="86" t="s">
        <v>2046</v>
      </c>
      <c r="B103" s="87"/>
      <c r="C103" s="87"/>
      <c r="D103" s="88"/>
      <c r="E103" s="88"/>
      <c r="F103" s="109"/>
      <c r="G103" s="90"/>
      <c r="H103" s="27"/>
      <c r="I103" s="27"/>
      <c r="J103" s="27"/>
      <c r="K103" s="27"/>
      <c r="L103" s="27"/>
      <c r="M103" s="27"/>
      <c r="N103" s="27"/>
      <c r="O103" s="27"/>
      <c r="P103" s="27"/>
      <c r="Q103" s="27"/>
      <c r="R103" s="27"/>
      <c r="S103" s="27"/>
      <c r="T103" s="27"/>
      <c r="U103" s="27"/>
      <c r="V103" s="27"/>
      <c r="W103" s="27"/>
      <c r="X103" s="27"/>
      <c r="Y103" s="27"/>
      <c r="Z103" s="27"/>
    </row>
    <row r="104" ht="15.75" customHeight="1">
      <c r="A104" s="91" t="s">
        <v>2047</v>
      </c>
      <c r="C104" s="92"/>
      <c r="D104" s="51"/>
      <c r="E104" s="51"/>
      <c r="F104" s="106"/>
      <c r="G104" s="31"/>
      <c r="H104" s="27"/>
      <c r="I104" s="27"/>
      <c r="J104" s="27"/>
      <c r="K104" s="27"/>
      <c r="L104" s="27"/>
      <c r="M104" s="27"/>
      <c r="N104" s="27"/>
      <c r="O104" s="27"/>
      <c r="P104" s="27"/>
      <c r="Q104" s="27"/>
      <c r="R104" s="27"/>
      <c r="S104" s="27"/>
      <c r="T104" s="27"/>
      <c r="U104" s="27"/>
      <c r="V104" s="27"/>
      <c r="W104" s="27"/>
      <c r="X104" s="27"/>
      <c r="Y104" s="27"/>
      <c r="Z104" s="27"/>
    </row>
    <row r="105" ht="15.75" customHeight="1">
      <c r="A105" s="94" t="s">
        <v>2048</v>
      </c>
      <c r="B105" s="95" t="s">
        <v>2049</v>
      </c>
      <c r="C105" s="94" t="s">
        <v>2050</v>
      </c>
      <c r="D105" s="96" t="s">
        <v>2051</v>
      </c>
      <c r="E105" s="96" t="s">
        <v>2052</v>
      </c>
      <c r="F105" s="97">
        <v>0.21</v>
      </c>
      <c r="G105" s="103" t="str">
        <f>VLOOKUP("C1300FDi-EU",STOCK!$B$2:$Q$3653,3,FALSE)</f>
        <v>Mayor a 5</v>
      </c>
      <c r="H105" s="27"/>
      <c r="I105" s="27"/>
      <c r="J105" s="27"/>
      <c r="K105" s="27"/>
      <c r="L105" s="27"/>
      <c r="M105" s="27"/>
      <c r="N105" s="27"/>
      <c r="O105" s="27"/>
      <c r="P105" s="27"/>
      <c r="Q105" s="27"/>
      <c r="R105" s="27"/>
      <c r="S105" s="27"/>
      <c r="T105" s="27"/>
      <c r="U105" s="27"/>
      <c r="V105" s="27"/>
      <c r="W105" s="27"/>
      <c r="X105" s="27"/>
      <c r="Y105" s="27"/>
      <c r="Z105" s="27"/>
    </row>
    <row r="106" ht="15.75" customHeight="1">
      <c r="A106" s="99" t="s">
        <v>2048</v>
      </c>
      <c r="B106" s="100" t="s">
        <v>2053</v>
      </c>
      <c r="C106" s="99" t="s">
        <v>2054</v>
      </c>
      <c r="D106" s="101" t="s">
        <v>2055</v>
      </c>
      <c r="E106" s="101" t="s">
        <v>2056</v>
      </c>
      <c r="F106" s="102">
        <v>0.21</v>
      </c>
      <c r="G106" s="103" t="str">
        <f>VLOOKUP("C1800FDi-EU",STOCK!$B$2:$Q$3653,3,FALSE)</f>
        <v>Mayor a 5</v>
      </c>
      <c r="H106" s="27"/>
      <c r="I106" s="27"/>
      <c r="J106" s="27"/>
      <c r="K106" s="27"/>
      <c r="L106" s="27"/>
      <c r="M106" s="27"/>
      <c r="N106" s="27"/>
      <c r="O106" s="27"/>
      <c r="P106" s="27"/>
      <c r="Q106" s="27"/>
      <c r="R106" s="27"/>
      <c r="S106" s="27"/>
      <c r="T106" s="27"/>
      <c r="U106" s="27"/>
      <c r="V106" s="27"/>
      <c r="W106" s="27"/>
      <c r="X106" s="27"/>
      <c r="Y106" s="27"/>
      <c r="Z106" s="27"/>
    </row>
    <row r="107" ht="15.75" customHeight="1">
      <c r="A107" s="94" t="s">
        <v>2048</v>
      </c>
      <c r="B107" s="95" t="s">
        <v>2057</v>
      </c>
      <c r="C107" s="94" t="s">
        <v>2058</v>
      </c>
      <c r="D107" s="96" t="s">
        <v>2059</v>
      </c>
      <c r="E107" s="96" t="s">
        <v>2060</v>
      </c>
      <c r="F107" s="97">
        <v>0.21</v>
      </c>
      <c r="G107" s="103" t="str">
        <f>VLOOKUP("C1800FDi-EU",STOCK!$B$2:$Q$3653,3,FALSE)</f>
        <v>Mayor a 5</v>
      </c>
      <c r="H107" s="27"/>
      <c r="I107" s="27"/>
      <c r="J107" s="27"/>
      <c r="K107" s="27"/>
      <c r="L107" s="27"/>
      <c r="M107" s="27"/>
      <c r="N107" s="27"/>
      <c r="O107" s="27"/>
      <c r="P107" s="27"/>
      <c r="Q107" s="27"/>
      <c r="R107" s="27"/>
      <c r="S107" s="27"/>
      <c r="T107" s="27"/>
      <c r="U107" s="27"/>
      <c r="V107" s="27"/>
      <c r="W107" s="27"/>
      <c r="X107" s="27"/>
      <c r="Y107" s="27"/>
      <c r="Z107" s="27"/>
    </row>
    <row r="108" ht="15.75" customHeight="1">
      <c r="A108" s="99" t="s">
        <v>2048</v>
      </c>
      <c r="B108" s="100" t="s">
        <v>2061</v>
      </c>
      <c r="C108" s="99" t="s">
        <v>2062</v>
      </c>
      <c r="D108" s="101" t="s">
        <v>2063</v>
      </c>
      <c r="E108" s="101" t="s">
        <v>2064</v>
      </c>
      <c r="F108" s="102">
        <v>0.21</v>
      </c>
      <c r="G108" s="98" t="str">
        <f>VLOOKUP("C3600FDi-EU",STOCK!$B$2:$Q$3653,3,FALSE)</f>
        <v>Menor a 5</v>
      </c>
      <c r="H108" s="27"/>
      <c r="I108" s="27"/>
      <c r="J108" s="27"/>
      <c r="K108" s="27"/>
      <c r="L108" s="27"/>
      <c r="M108" s="27"/>
      <c r="N108" s="27"/>
      <c r="O108" s="27"/>
      <c r="P108" s="27"/>
      <c r="Q108" s="27"/>
      <c r="R108" s="27"/>
      <c r="S108" s="27"/>
      <c r="T108" s="27"/>
      <c r="U108" s="27"/>
      <c r="V108" s="27"/>
      <c r="W108" s="27"/>
      <c r="X108" s="27"/>
      <c r="Y108" s="27"/>
      <c r="Z108" s="27"/>
    </row>
    <row r="109" ht="15.75" customHeight="1">
      <c r="A109" s="91" t="s">
        <v>2065</v>
      </c>
      <c r="C109" s="92"/>
      <c r="D109" s="51"/>
      <c r="E109" s="51"/>
      <c r="F109" s="106"/>
      <c r="G109" s="31"/>
      <c r="H109" s="27"/>
      <c r="I109" s="27"/>
      <c r="J109" s="27"/>
      <c r="K109" s="27"/>
      <c r="L109" s="27"/>
      <c r="M109" s="27"/>
      <c r="N109" s="27"/>
      <c r="O109" s="27"/>
      <c r="P109" s="27"/>
      <c r="Q109" s="27"/>
      <c r="R109" s="27"/>
      <c r="S109" s="27"/>
      <c r="T109" s="27"/>
      <c r="U109" s="27"/>
      <c r="V109" s="27"/>
      <c r="W109" s="27"/>
      <c r="X109" s="27"/>
      <c r="Y109" s="27"/>
      <c r="Z109" s="27"/>
    </row>
    <row r="110" ht="15.75" customHeight="1">
      <c r="A110" s="94" t="s">
        <v>1748</v>
      </c>
      <c r="B110" s="94" t="s">
        <v>2066</v>
      </c>
      <c r="C110" s="94" t="s">
        <v>2067</v>
      </c>
      <c r="D110" s="96" t="s">
        <v>2068</v>
      </c>
      <c r="E110" s="96" t="s">
        <v>2068</v>
      </c>
      <c r="F110" s="97">
        <v>0.21</v>
      </c>
      <c r="G110" s="98" t="str">
        <f>VLOOKUP("Q1212",STOCK!$B$2:$Q$3653,3,FALSE)</f>
        <v>Menor a 5</v>
      </c>
      <c r="H110" s="27"/>
      <c r="I110" s="27"/>
      <c r="J110" s="27"/>
      <c r="K110" s="27"/>
      <c r="L110" s="27"/>
      <c r="M110" s="27"/>
      <c r="N110" s="27"/>
      <c r="O110" s="27"/>
      <c r="P110" s="27"/>
      <c r="Q110" s="27"/>
      <c r="R110" s="27"/>
      <c r="S110" s="27"/>
      <c r="T110" s="27"/>
      <c r="U110" s="27"/>
      <c r="V110" s="27"/>
      <c r="W110" s="27"/>
      <c r="X110" s="27"/>
      <c r="Y110" s="27"/>
      <c r="Z110" s="27"/>
    </row>
    <row r="111" ht="15.75" customHeight="1">
      <c r="A111" s="91" t="s">
        <v>2069</v>
      </c>
      <c r="C111" s="92"/>
      <c r="D111" s="51"/>
      <c r="E111" s="51"/>
      <c r="F111" s="106"/>
      <c r="G111" s="31"/>
      <c r="H111" s="27"/>
      <c r="I111" s="27"/>
      <c r="J111" s="27"/>
      <c r="K111" s="27"/>
      <c r="L111" s="27"/>
      <c r="M111" s="27"/>
      <c r="N111" s="27"/>
      <c r="O111" s="27"/>
      <c r="P111" s="27"/>
      <c r="Q111" s="27"/>
      <c r="R111" s="27"/>
      <c r="S111" s="27"/>
      <c r="T111" s="27"/>
      <c r="U111" s="27"/>
      <c r="V111" s="27"/>
      <c r="W111" s="27"/>
      <c r="X111" s="27"/>
      <c r="Y111" s="27"/>
      <c r="Z111" s="27"/>
    </row>
    <row r="112" ht="15.75" customHeight="1">
      <c r="A112" s="94" t="s">
        <v>2048</v>
      </c>
      <c r="B112" s="95" t="s">
        <v>2070</v>
      </c>
      <c r="C112" s="94" t="s">
        <v>2071</v>
      </c>
      <c r="D112" s="96" t="s">
        <v>2072</v>
      </c>
      <c r="E112" s="96" t="s">
        <v>2073</v>
      </c>
      <c r="F112" s="97">
        <v>0.21</v>
      </c>
      <c r="G112" s="98" t="str">
        <f>VLOOKUP("Q1212",STOCK!$B$2:$Q$3653,3,FALSE)</f>
        <v>Menor a 5</v>
      </c>
      <c r="H112" s="27"/>
      <c r="I112" s="27"/>
      <c r="J112" s="27"/>
      <c r="K112" s="27"/>
      <c r="L112" s="27"/>
      <c r="M112" s="27"/>
      <c r="N112" s="27"/>
      <c r="O112" s="27"/>
      <c r="P112" s="27"/>
      <c r="Q112" s="27"/>
      <c r="R112" s="27"/>
      <c r="S112" s="27"/>
      <c r="T112" s="27"/>
      <c r="U112" s="27"/>
      <c r="V112" s="27"/>
      <c r="W112" s="27"/>
      <c r="X112" s="27"/>
      <c r="Y112" s="27"/>
      <c r="Z112" s="27"/>
    </row>
    <row r="113" ht="15.75" customHeight="1">
      <c r="A113" s="86" t="s">
        <v>2074</v>
      </c>
      <c r="B113" s="87"/>
      <c r="C113" s="87"/>
      <c r="D113" s="88"/>
      <c r="E113" s="88"/>
      <c r="F113" s="109"/>
      <c r="G113" s="90"/>
      <c r="H113" s="27"/>
      <c r="I113" s="27"/>
      <c r="J113" s="27"/>
      <c r="K113" s="27"/>
      <c r="L113" s="27"/>
      <c r="M113" s="27"/>
      <c r="N113" s="27"/>
      <c r="O113" s="27"/>
      <c r="P113" s="27"/>
      <c r="Q113" s="27"/>
      <c r="R113" s="27"/>
      <c r="S113" s="27"/>
      <c r="T113" s="27"/>
      <c r="U113" s="27"/>
      <c r="V113" s="27"/>
      <c r="W113" s="27"/>
      <c r="X113" s="27"/>
      <c r="Y113" s="27"/>
      <c r="Z113" s="27"/>
    </row>
    <row r="114" ht="15.75" customHeight="1">
      <c r="A114" s="91" t="s">
        <v>2075</v>
      </c>
      <c r="C114" s="92"/>
      <c r="D114" s="51"/>
      <c r="E114" s="51"/>
      <c r="F114" s="93"/>
      <c r="G114" s="31"/>
      <c r="H114" s="27"/>
      <c r="I114" s="27"/>
      <c r="J114" s="27"/>
      <c r="K114" s="27"/>
      <c r="L114" s="27"/>
      <c r="M114" s="27"/>
      <c r="N114" s="27"/>
      <c r="O114" s="27"/>
      <c r="P114" s="27"/>
      <c r="Q114" s="27"/>
      <c r="R114" s="27"/>
      <c r="S114" s="27"/>
      <c r="T114" s="27"/>
      <c r="U114" s="27"/>
      <c r="V114" s="27"/>
      <c r="W114" s="27"/>
      <c r="X114" s="27"/>
      <c r="Y114" s="27"/>
      <c r="Z114" s="27"/>
    </row>
    <row r="115" ht="15.75" customHeight="1">
      <c r="A115" s="94" t="s">
        <v>1748</v>
      </c>
      <c r="B115" s="95" t="s">
        <v>2076</v>
      </c>
      <c r="C115" s="94" t="s">
        <v>2077</v>
      </c>
      <c r="D115" s="96" t="s">
        <v>2078</v>
      </c>
      <c r="E115" s="96" t="s">
        <v>2079</v>
      </c>
      <c r="F115" s="97">
        <v>0.21</v>
      </c>
      <c r="G115" s="103" t="str">
        <f>VLOOKUP("ND76",STOCK!$B$2:$Q$3653,3,FALSE)</f>
        <v>Menor a 5</v>
      </c>
      <c r="H115" s="27"/>
      <c r="I115" s="27"/>
      <c r="J115" s="27"/>
      <c r="K115" s="27"/>
      <c r="L115" s="27"/>
      <c r="M115" s="27"/>
      <c r="N115" s="27"/>
      <c r="O115" s="27"/>
      <c r="P115" s="27"/>
      <c r="Q115" s="27"/>
      <c r="R115" s="27"/>
      <c r="S115" s="27"/>
      <c r="T115" s="27"/>
      <c r="U115" s="27"/>
      <c r="V115" s="27"/>
      <c r="W115" s="27"/>
      <c r="X115" s="27"/>
      <c r="Y115" s="27"/>
      <c r="Z115" s="27"/>
    </row>
    <row r="116" ht="15.75" customHeight="1">
      <c r="A116" s="99" t="s">
        <v>1748</v>
      </c>
      <c r="B116" s="100" t="s">
        <v>2080</v>
      </c>
      <c r="C116" s="99" t="s">
        <v>2081</v>
      </c>
      <c r="D116" s="101" t="s">
        <v>2082</v>
      </c>
      <c r="E116" s="101" t="s">
        <v>2083</v>
      </c>
      <c r="F116" s="102">
        <v>0.21</v>
      </c>
      <c r="G116" s="98" t="str">
        <f>VLOOKUP("ND76S",STOCK!$B$2:$Q$3653,3,FALSE)</f>
        <v>Menor a 5</v>
      </c>
      <c r="H116" s="27"/>
      <c r="I116" s="27"/>
      <c r="J116" s="27"/>
      <c r="K116" s="27"/>
      <c r="L116" s="27"/>
      <c r="M116" s="27"/>
      <c r="N116" s="27"/>
      <c r="O116" s="27"/>
      <c r="P116" s="27"/>
      <c r="Q116" s="27"/>
      <c r="R116" s="27"/>
      <c r="S116" s="27"/>
      <c r="T116" s="27"/>
      <c r="U116" s="27"/>
      <c r="V116" s="27"/>
      <c r="W116" s="27"/>
      <c r="X116" s="27"/>
      <c r="Y116" s="27"/>
      <c r="Z116" s="27"/>
    </row>
    <row r="117" ht="15.75" customHeight="1">
      <c r="A117" s="94" t="s">
        <v>1748</v>
      </c>
      <c r="B117" s="95" t="s">
        <v>2084</v>
      </c>
      <c r="C117" s="94" t="s">
        <v>2085</v>
      </c>
      <c r="D117" s="96" t="s">
        <v>2086</v>
      </c>
      <c r="E117" s="96" t="s">
        <v>2087</v>
      </c>
      <c r="F117" s="97">
        <v>0.21</v>
      </c>
      <c r="G117" s="107" t="str">
        <f>VLOOKUP("ND86",STOCK!$B$2:$Q$3653,3,FALSE)</f>
        <v>Menor a 5</v>
      </c>
      <c r="H117" s="27"/>
      <c r="I117" s="27"/>
      <c r="J117" s="27"/>
      <c r="K117" s="27"/>
      <c r="L117" s="27"/>
      <c r="M117" s="27"/>
      <c r="N117" s="27"/>
      <c r="O117" s="27"/>
      <c r="P117" s="27"/>
      <c r="Q117" s="27"/>
      <c r="R117" s="27"/>
      <c r="S117" s="27"/>
      <c r="T117" s="27"/>
      <c r="U117" s="27"/>
      <c r="V117" s="27"/>
      <c r="W117" s="27"/>
      <c r="X117" s="27"/>
      <c r="Y117" s="27"/>
      <c r="Z117" s="27"/>
    </row>
    <row r="118" ht="15.75" customHeight="1">
      <c r="A118" s="99" t="s">
        <v>1748</v>
      </c>
      <c r="B118" s="100" t="s">
        <v>2088</v>
      </c>
      <c r="C118" s="99" t="s">
        <v>2089</v>
      </c>
      <c r="D118" s="101" t="s">
        <v>2090</v>
      </c>
      <c r="E118" s="101" t="s">
        <v>2091</v>
      </c>
      <c r="F118" s="102">
        <v>0.21</v>
      </c>
      <c r="G118" s="98" t="str">
        <f>VLOOKUP("ND96",STOCK!$B$2:$Q$3653,3,FALSE)</f>
        <v>Menor a 5</v>
      </c>
      <c r="H118" s="27"/>
      <c r="I118" s="27"/>
      <c r="J118" s="27"/>
      <c r="K118" s="27"/>
      <c r="L118" s="27"/>
      <c r="M118" s="27"/>
      <c r="N118" s="27"/>
      <c r="O118" s="27"/>
      <c r="P118" s="27"/>
      <c r="Q118" s="27"/>
      <c r="R118" s="27"/>
      <c r="S118" s="27"/>
      <c r="T118" s="27"/>
      <c r="U118" s="27"/>
      <c r="V118" s="27"/>
      <c r="W118" s="27"/>
      <c r="X118" s="27"/>
      <c r="Y118" s="27"/>
      <c r="Z118" s="27"/>
    </row>
    <row r="119" ht="15.75" customHeight="1">
      <c r="A119" s="94" t="s">
        <v>1748</v>
      </c>
      <c r="B119" s="95" t="s">
        <v>2092</v>
      </c>
      <c r="C119" s="94" t="s">
        <v>2093</v>
      </c>
      <c r="D119" s="96" t="s">
        <v>2078</v>
      </c>
      <c r="E119" s="96" t="s">
        <v>2079</v>
      </c>
      <c r="F119" s="97">
        <v>0.21</v>
      </c>
      <c r="G119" s="98" t="str">
        <f>VLOOKUP("ND44",STOCK!$B$2:$Q$3653,3,FALSE)</f>
        <v>Menor a 5</v>
      </c>
      <c r="H119" s="27"/>
      <c r="I119" s="27"/>
      <c r="J119" s="27"/>
      <c r="K119" s="27"/>
      <c r="L119" s="27"/>
      <c r="M119" s="27"/>
      <c r="N119" s="27"/>
      <c r="O119" s="27"/>
      <c r="P119" s="27"/>
      <c r="Q119" s="27"/>
      <c r="R119" s="27"/>
      <c r="S119" s="27"/>
      <c r="T119" s="27"/>
      <c r="U119" s="27"/>
      <c r="V119" s="27"/>
      <c r="W119" s="27"/>
      <c r="X119" s="27"/>
      <c r="Y119" s="27"/>
      <c r="Z119" s="27"/>
    </row>
    <row r="120" ht="15.75" customHeight="1">
      <c r="A120" s="99" t="s">
        <v>1748</v>
      </c>
      <c r="B120" s="100" t="s">
        <v>2094</v>
      </c>
      <c r="C120" s="99" t="s">
        <v>2095</v>
      </c>
      <c r="D120" s="101" t="s">
        <v>2086</v>
      </c>
      <c r="E120" s="101" t="s">
        <v>2087</v>
      </c>
      <c r="F120" s="102">
        <v>0.21</v>
      </c>
      <c r="G120" s="98" t="str">
        <f>VLOOKUP("ND46",STOCK!$B$2:$Q$3653,3,FALSE)</f>
        <v>Menor a 5</v>
      </c>
      <c r="H120" s="27"/>
      <c r="I120" s="27"/>
      <c r="J120" s="27"/>
      <c r="K120" s="27"/>
      <c r="L120" s="27"/>
      <c r="M120" s="27"/>
      <c r="N120" s="27"/>
      <c r="O120" s="27"/>
      <c r="P120" s="27"/>
      <c r="Q120" s="27"/>
      <c r="R120" s="27"/>
      <c r="S120" s="27"/>
      <c r="T120" s="27"/>
      <c r="U120" s="27"/>
      <c r="V120" s="27"/>
      <c r="W120" s="27"/>
      <c r="X120" s="27"/>
      <c r="Y120" s="27"/>
      <c r="Z120" s="27"/>
    </row>
    <row r="121" ht="15.75" customHeight="1">
      <c r="A121" s="94" t="s">
        <v>1748</v>
      </c>
      <c r="B121" s="95" t="s">
        <v>2096</v>
      </c>
      <c r="C121" s="94" t="s">
        <v>2097</v>
      </c>
      <c r="D121" s="96" t="s">
        <v>2090</v>
      </c>
      <c r="E121" s="96" t="s">
        <v>2091</v>
      </c>
      <c r="F121" s="97">
        <v>0.21</v>
      </c>
      <c r="G121" s="103" t="str">
        <f>VLOOKUP("ND66",STOCK!$B$2:$Q$3653,3,FALSE)</f>
        <v>Menor a 5</v>
      </c>
      <c r="H121" s="27"/>
      <c r="I121" s="27"/>
      <c r="J121" s="27"/>
      <c r="K121" s="27"/>
      <c r="L121" s="27"/>
      <c r="M121" s="27"/>
      <c r="N121" s="27"/>
      <c r="O121" s="27"/>
      <c r="P121" s="27"/>
      <c r="Q121" s="27"/>
      <c r="R121" s="27"/>
      <c r="S121" s="27"/>
      <c r="T121" s="27"/>
      <c r="U121" s="27"/>
      <c r="V121" s="27"/>
      <c r="W121" s="27"/>
      <c r="X121" s="27"/>
      <c r="Y121" s="27"/>
      <c r="Z121" s="27"/>
    </row>
    <row r="122" ht="15.75" customHeight="1">
      <c r="A122" s="99" t="s">
        <v>1748</v>
      </c>
      <c r="B122" s="100" t="s">
        <v>2098</v>
      </c>
      <c r="C122" s="99" t="s">
        <v>2099</v>
      </c>
      <c r="D122" s="101" t="s">
        <v>2090</v>
      </c>
      <c r="E122" s="101" t="s">
        <v>2091</v>
      </c>
      <c r="F122" s="102">
        <v>0.21</v>
      </c>
      <c r="G122" s="103" t="str">
        <f>VLOOKUP("ND68",STOCK!$B$2:$Q$3653,3,FALSE)</f>
        <v>Menor a 5</v>
      </c>
      <c r="H122" s="27"/>
      <c r="I122" s="27"/>
      <c r="J122" s="27"/>
      <c r="K122" s="27"/>
      <c r="L122" s="27"/>
      <c r="M122" s="27"/>
      <c r="N122" s="27"/>
      <c r="O122" s="27"/>
      <c r="P122" s="27"/>
      <c r="Q122" s="27"/>
      <c r="R122" s="27"/>
      <c r="S122" s="27"/>
      <c r="T122" s="27"/>
      <c r="U122" s="27"/>
      <c r="V122" s="27"/>
      <c r="W122" s="27"/>
      <c r="X122" s="27"/>
      <c r="Y122" s="27"/>
      <c r="Z122" s="27"/>
    </row>
    <row r="123" ht="15.75" customHeight="1">
      <c r="A123" s="91" t="s">
        <v>2100</v>
      </c>
      <c r="C123" s="92"/>
      <c r="D123" s="51"/>
      <c r="E123" s="51"/>
      <c r="F123" s="106"/>
      <c r="G123" s="31"/>
      <c r="H123" s="27"/>
      <c r="I123" s="27"/>
      <c r="J123" s="27"/>
      <c r="K123" s="27"/>
      <c r="L123" s="27"/>
      <c r="M123" s="27"/>
      <c r="N123" s="27"/>
      <c r="O123" s="27"/>
      <c r="P123" s="27"/>
      <c r="Q123" s="27"/>
      <c r="R123" s="27"/>
      <c r="S123" s="27"/>
      <c r="T123" s="27"/>
      <c r="U123" s="27"/>
      <c r="V123" s="27"/>
      <c r="W123" s="27"/>
      <c r="X123" s="27"/>
      <c r="Y123" s="27"/>
      <c r="Z123" s="27"/>
    </row>
    <row r="124" ht="15.75" customHeight="1">
      <c r="A124" s="94" t="s">
        <v>1748</v>
      </c>
      <c r="B124" s="95" t="s">
        <v>2101</v>
      </c>
      <c r="C124" s="94" t="s">
        <v>2102</v>
      </c>
      <c r="D124" s="96" t="s">
        <v>2103</v>
      </c>
      <c r="E124" s="96" t="s">
        <v>1844</v>
      </c>
      <c r="F124" s="97">
        <v>0.21</v>
      </c>
      <c r="G124" s="107" t="str">
        <f>VLOOKUP("PL80A",STOCK!$B$2:$Q$3653,3,FALSE)</f>
        <v>Menor a 5</v>
      </c>
      <c r="H124" s="27"/>
      <c r="I124" s="27"/>
      <c r="J124" s="27"/>
      <c r="K124" s="27"/>
      <c r="L124" s="27"/>
      <c r="M124" s="27"/>
      <c r="N124" s="27"/>
      <c r="O124" s="27"/>
      <c r="P124" s="27"/>
      <c r="Q124" s="27"/>
      <c r="R124" s="27"/>
      <c r="S124" s="27"/>
      <c r="T124" s="27"/>
      <c r="U124" s="27"/>
      <c r="V124" s="27"/>
      <c r="W124" s="27"/>
      <c r="X124" s="27"/>
      <c r="Y124" s="27"/>
      <c r="Z124" s="27"/>
    </row>
    <row r="125" ht="15.75" customHeight="1">
      <c r="A125" s="99" t="s">
        <v>1748</v>
      </c>
      <c r="B125" s="100" t="s">
        <v>2104</v>
      </c>
      <c r="C125" s="99" t="s">
        <v>2105</v>
      </c>
      <c r="D125" s="101" t="s">
        <v>2103</v>
      </c>
      <c r="E125" s="101" t="s">
        <v>1844</v>
      </c>
      <c r="F125" s="102">
        <v>0.21</v>
      </c>
      <c r="G125" s="107" t="str">
        <f>VLOOKUP("PL80C",STOCK!$B$2:$Q$3653,3,FALSE)</f>
        <v>Menor a 5</v>
      </c>
      <c r="H125" s="27"/>
      <c r="I125" s="27"/>
      <c r="J125" s="27"/>
      <c r="K125" s="27"/>
      <c r="L125" s="27"/>
      <c r="M125" s="27"/>
      <c r="N125" s="27"/>
      <c r="O125" s="27"/>
      <c r="P125" s="27"/>
      <c r="Q125" s="27"/>
      <c r="R125" s="27"/>
      <c r="S125" s="27"/>
      <c r="T125" s="27"/>
      <c r="U125" s="27"/>
      <c r="V125" s="27"/>
      <c r="W125" s="27"/>
      <c r="X125" s="27"/>
      <c r="Y125" s="27"/>
      <c r="Z125" s="27"/>
    </row>
    <row r="126" ht="15.75" customHeight="1">
      <c r="A126" s="94" t="s">
        <v>1748</v>
      </c>
      <c r="B126" s="95" t="s">
        <v>2106</v>
      </c>
      <c r="C126" s="94" t="s">
        <v>2107</v>
      </c>
      <c r="D126" s="96" t="s">
        <v>2078</v>
      </c>
      <c r="E126" s="96" t="s">
        <v>2079</v>
      </c>
      <c r="F126" s="97">
        <v>0.21</v>
      </c>
      <c r="G126" s="107" t="str">
        <f>VLOOKUP("PL33",STOCK!$B$2:$Q$3653,3,FALSE)</f>
        <v>Menor a 5</v>
      </c>
      <c r="H126" s="27"/>
      <c r="I126" s="27"/>
      <c r="J126" s="27"/>
      <c r="K126" s="27"/>
      <c r="L126" s="27"/>
      <c r="M126" s="27"/>
      <c r="N126" s="27"/>
      <c r="O126" s="27"/>
      <c r="P126" s="27"/>
      <c r="Q126" s="27"/>
      <c r="R126" s="27"/>
      <c r="S126" s="27"/>
      <c r="T126" s="27"/>
      <c r="U126" s="27"/>
      <c r="V126" s="27"/>
      <c r="W126" s="27"/>
      <c r="X126" s="27"/>
      <c r="Y126" s="27"/>
      <c r="Z126" s="27"/>
    </row>
    <row r="127" ht="15.75" customHeight="1">
      <c r="A127" s="99" t="s">
        <v>1748</v>
      </c>
      <c r="B127" s="100" t="s">
        <v>2108</v>
      </c>
      <c r="C127" s="99" t="s">
        <v>2109</v>
      </c>
      <c r="D127" s="101" t="s">
        <v>2110</v>
      </c>
      <c r="E127" s="101" t="s">
        <v>1845</v>
      </c>
      <c r="F127" s="102">
        <v>0.21</v>
      </c>
      <c r="G127" s="107" t="str">
        <f>VLOOKUP("PL35",STOCK!$B$2:$Q$3653,3,FALSE)</f>
        <v>Menor a 5</v>
      </c>
      <c r="H127" s="27"/>
      <c r="I127" s="27"/>
      <c r="J127" s="27"/>
      <c r="K127" s="27"/>
      <c r="L127" s="27"/>
      <c r="M127" s="27"/>
      <c r="N127" s="27"/>
      <c r="O127" s="27"/>
      <c r="P127" s="27"/>
      <c r="Q127" s="27"/>
      <c r="R127" s="27"/>
      <c r="S127" s="27"/>
      <c r="T127" s="27"/>
      <c r="U127" s="27"/>
      <c r="V127" s="27"/>
      <c r="W127" s="27"/>
      <c r="X127" s="27"/>
      <c r="Y127" s="27"/>
      <c r="Z127" s="27"/>
    </row>
    <row r="128" ht="15.75" customHeight="1">
      <c r="A128" s="94" t="s">
        <v>1748</v>
      </c>
      <c r="B128" s="95" t="s">
        <v>2111</v>
      </c>
      <c r="C128" s="94" t="s">
        <v>2097</v>
      </c>
      <c r="D128" s="96" t="s">
        <v>2110</v>
      </c>
      <c r="E128" s="96" t="s">
        <v>1845</v>
      </c>
      <c r="F128" s="97">
        <v>0.21</v>
      </c>
      <c r="G128" s="98" t="str">
        <f>VLOOKUP("PL37",STOCK!$B$2:$Q$3653,3,FALSE)</f>
        <v>Menor a 5</v>
      </c>
      <c r="H128" s="27"/>
      <c r="I128" s="27"/>
      <c r="J128" s="27"/>
      <c r="K128" s="27"/>
      <c r="L128" s="27"/>
      <c r="M128" s="27"/>
      <c r="N128" s="27"/>
      <c r="O128" s="27"/>
      <c r="P128" s="27"/>
      <c r="Q128" s="27"/>
      <c r="R128" s="27"/>
      <c r="S128" s="27"/>
      <c r="T128" s="27"/>
      <c r="U128" s="27"/>
      <c r="V128" s="27"/>
      <c r="W128" s="27"/>
      <c r="X128" s="27"/>
      <c r="Y128" s="27"/>
      <c r="Z128" s="27"/>
    </row>
    <row r="129" ht="15.75" customHeight="1">
      <c r="A129" s="91" t="s">
        <v>2112</v>
      </c>
      <c r="C129" s="92"/>
      <c r="D129" s="51"/>
      <c r="E129" s="51"/>
      <c r="F129" s="106"/>
      <c r="G129" s="31"/>
      <c r="H129" s="27"/>
      <c r="I129" s="27"/>
      <c r="J129" s="27"/>
      <c r="K129" s="27"/>
      <c r="L129" s="27"/>
      <c r="M129" s="27"/>
      <c r="N129" s="27"/>
      <c r="O129" s="27"/>
      <c r="P129" s="27"/>
      <c r="Q129" s="27"/>
      <c r="R129" s="27"/>
      <c r="S129" s="27"/>
      <c r="T129" s="27"/>
      <c r="U129" s="27"/>
      <c r="V129" s="27"/>
      <c r="W129" s="27"/>
      <c r="X129" s="27"/>
      <c r="Y129" s="27"/>
      <c r="Z129" s="27"/>
    </row>
    <row r="130" ht="15.75" customHeight="1">
      <c r="A130" s="94" t="s">
        <v>1748</v>
      </c>
      <c r="B130" s="95" t="s">
        <v>2113</v>
      </c>
      <c r="C130" s="94" t="s">
        <v>2114</v>
      </c>
      <c r="D130" s="96" t="s">
        <v>2115</v>
      </c>
      <c r="E130" s="96" t="s">
        <v>2116</v>
      </c>
      <c r="F130" s="97">
        <v>0.21</v>
      </c>
      <c r="G130" s="98" t="str">
        <f>VLOOKUP("RE20",STOCK!$B$2:$Q$3653,3,FALSE)</f>
        <v>Menor a 5</v>
      </c>
      <c r="H130" s="27"/>
      <c r="I130" s="27"/>
      <c r="J130" s="27"/>
      <c r="K130" s="27"/>
      <c r="L130" s="27"/>
      <c r="M130" s="27"/>
      <c r="N130" s="27"/>
      <c r="O130" s="27"/>
      <c r="P130" s="27"/>
      <c r="Q130" s="27"/>
      <c r="R130" s="27"/>
      <c r="S130" s="27"/>
      <c r="T130" s="27"/>
      <c r="U130" s="27"/>
      <c r="V130" s="27"/>
      <c r="W130" s="27"/>
      <c r="X130" s="27"/>
      <c r="Y130" s="27"/>
      <c r="Z130" s="27"/>
    </row>
    <row r="131" ht="15.75" customHeight="1">
      <c r="A131" s="99" t="s">
        <v>1748</v>
      </c>
      <c r="B131" s="100" t="s">
        <v>2117</v>
      </c>
      <c r="C131" s="99" t="s">
        <v>2118</v>
      </c>
      <c r="D131" s="101" t="s">
        <v>2119</v>
      </c>
      <c r="E131" s="101" t="s">
        <v>2120</v>
      </c>
      <c r="F131" s="102">
        <v>0.21</v>
      </c>
      <c r="G131" s="98" t="str">
        <f>VLOOKUP("RE320",STOCK!$B$2:$Q$3653,3,FALSE)</f>
        <v>Menor a 5</v>
      </c>
      <c r="H131" s="27"/>
      <c r="I131" s="27"/>
      <c r="J131" s="27"/>
      <c r="K131" s="27"/>
      <c r="L131" s="27"/>
      <c r="M131" s="27"/>
      <c r="N131" s="27"/>
      <c r="O131" s="27"/>
      <c r="P131" s="27"/>
      <c r="Q131" s="27"/>
      <c r="R131" s="27"/>
      <c r="S131" s="27"/>
      <c r="T131" s="27"/>
      <c r="U131" s="27"/>
      <c r="V131" s="27"/>
      <c r="W131" s="27"/>
      <c r="X131" s="27"/>
      <c r="Y131" s="27"/>
      <c r="Z131" s="27"/>
    </row>
    <row r="132" ht="15.75" customHeight="1">
      <c r="A132" s="94" t="s">
        <v>1748</v>
      </c>
      <c r="B132" s="95" t="s">
        <v>2121</v>
      </c>
      <c r="C132" s="94" t="s">
        <v>2122</v>
      </c>
      <c r="D132" s="96" t="s">
        <v>2123</v>
      </c>
      <c r="E132" s="96" t="s">
        <v>2124</v>
      </c>
      <c r="F132" s="97">
        <v>0.21</v>
      </c>
      <c r="G132" s="112" t="str">
        <f>VLOOKUP("309A",STOCK!$B$2:$Q$3653,3,FALSE)</f>
        <v>Menor a 5</v>
      </c>
      <c r="H132" s="27"/>
      <c r="I132" s="27"/>
      <c r="J132" s="27"/>
      <c r="K132" s="27"/>
      <c r="L132" s="27"/>
      <c r="M132" s="27"/>
      <c r="N132" s="27"/>
      <c r="O132" s="27"/>
      <c r="P132" s="27"/>
      <c r="Q132" s="27"/>
      <c r="R132" s="27"/>
      <c r="S132" s="27"/>
      <c r="T132" s="27"/>
      <c r="U132" s="27"/>
      <c r="V132" s="27"/>
      <c r="W132" s="27"/>
      <c r="X132" s="27"/>
      <c r="Y132" s="27"/>
      <c r="Z132" s="27"/>
    </row>
    <row r="133" ht="15.75" customHeight="1">
      <c r="A133" s="91" t="s">
        <v>2125</v>
      </c>
      <c r="C133" s="92"/>
      <c r="D133" s="51"/>
      <c r="E133" s="51"/>
      <c r="F133" s="106"/>
      <c r="G133" s="31"/>
      <c r="H133" s="27"/>
      <c r="I133" s="27"/>
      <c r="J133" s="27"/>
      <c r="K133" s="27"/>
      <c r="L133" s="27"/>
      <c r="M133" s="27"/>
      <c r="N133" s="27"/>
      <c r="O133" s="27"/>
      <c r="P133" s="27"/>
      <c r="Q133" s="27"/>
      <c r="R133" s="27"/>
      <c r="S133" s="27"/>
      <c r="T133" s="27"/>
      <c r="U133" s="27"/>
      <c r="V133" s="27"/>
      <c r="W133" s="27"/>
      <c r="X133" s="27"/>
      <c r="Y133" s="27"/>
      <c r="Z133" s="27"/>
    </row>
    <row r="134" ht="15.75" customHeight="1">
      <c r="A134" s="94" t="s">
        <v>1748</v>
      </c>
      <c r="B134" s="95" t="s">
        <v>2126</v>
      </c>
      <c r="C134" s="94" t="s">
        <v>2127</v>
      </c>
      <c r="D134" s="96" t="s">
        <v>2128</v>
      </c>
      <c r="E134" s="96" t="s">
        <v>2129</v>
      </c>
      <c r="F134" s="97">
        <v>0.21</v>
      </c>
      <c r="G134" s="108" t="str">
        <f>VLOOKUP("RE90B",STOCK!$B$2:$Q$3653,3,FALSE)</f>
        <v>#N/A</v>
      </c>
      <c r="H134" s="27"/>
      <c r="I134" s="27"/>
      <c r="J134" s="27"/>
      <c r="K134" s="27"/>
      <c r="L134" s="27"/>
      <c r="M134" s="27"/>
      <c r="N134" s="27"/>
      <c r="O134" s="27"/>
      <c r="P134" s="27"/>
      <c r="Q134" s="27"/>
      <c r="R134" s="27"/>
      <c r="S134" s="27"/>
      <c r="T134" s="27"/>
      <c r="U134" s="27"/>
      <c r="V134" s="27"/>
      <c r="W134" s="27"/>
      <c r="X134" s="27"/>
      <c r="Y134" s="27"/>
      <c r="Z134" s="27"/>
    </row>
    <row r="135" ht="15.75" customHeight="1">
      <c r="A135" s="99" t="s">
        <v>1748</v>
      </c>
      <c r="B135" s="100" t="s">
        <v>2130</v>
      </c>
      <c r="C135" s="99" t="s">
        <v>2131</v>
      </c>
      <c r="D135" s="101" t="s">
        <v>2128</v>
      </c>
      <c r="E135" s="101" t="s">
        <v>2129</v>
      </c>
      <c r="F135" s="102">
        <v>0.21</v>
      </c>
      <c r="G135" s="108" t="str">
        <f>VLOOKUP("RE90H",STOCK!$B$2:$Q$3653,3,FALSE)</f>
        <v>#N/A</v>
      </c>
      <c r="H135" s="27"/>
      <c r="I135" s="27"/>
      <c r="J135" s="27"/>
      <c r="K135" s="27"/>
      <c r="L135" s="27"/>
      <c r="M135" s="27"/>
      <c r="N135" s="27"/>
      <c r="O135" s="27"/>
      <c r="P135" s="27"/>
      <c r="Q135" s="27"/>
      <c r="R135" s="27"/>
      <c r="S135" s="27"/>
      <c r="T135" s="27"/>
      <c r="U135" s="27"/>
      <c r="V135" s="27"/>
      <c r="W135" s="27"/>
      <c r="X135" s="27"/>
      <c r="Y135" s="27"/>
      <c r="Z135" s="27"/>
    </row>
    <row r="136" ht="15.75" customHeight="1">
      <c r="A136" s="94" t="s">
        <v>1748</v>
      </c>
      <c r="B136" s="95" t="s">
        <v>2132</v>
      </c>
      <c r="C136" s="94" t="s">
        <v>2133</v>
      </c>
      <c r="D136" s="96" t="s">
        <v>2128</v>
      </c>
      <c r="E136" s="96" t="s">
        <v>2129</v>
      </c>
      <c r="F136" s="97">
        <v>0.21</v>
      </c>
      <c r="G136" s="108" t="str">
        <f>VLOOKUP("RE90P-12",STOCK!$B$2:$Q$3653,3,FALSE)</f>
        <v>#N/A</v>
      </c>
      <c r="H136" s="27"/>
      <c r="I136" s="27"/>
      <c r="J136" s="27"/>
      <c r="K136" s="27"/>
      <c r="L136" s="27"/>
      <c r="M136" s="27"/>
      <c r="N136" s="27"/>
      <c r="O136" s="27"/>
      <c r="P136" s="27"/>
      <c r="Q136" s="27"/>
      <c r="R136" s="27"/>
      <c r="S136" s="27"/>
      <c r="T136" s="27"/>
      <c r="U136" s="27"/>
      <c r="V136" s="27"/>
      <c r="W136" s="27"/>
      <c r="X136" s="27"/>
      <c r="Y136" s="27"/>
      <c r="Z136" s="27"/>
    </row>
    <row r="137" ht="15.75" customHeight="1">
      <c r="A137" s="99" t="s">
        <v>1748</v>
      </c>
      <c r="B137" s="100" t="s">
        <v>2134</v>
      </c>
      <c r="C137" s="99" t="s">
        <v>2135</v>
      </c>
      <c r="D137" s="101" t="s">
        <v>2128</v>
      </c>
      <c r="E137" s="101" t="s">
        <v>2129</v>
      </c>
      <c r="F137" s="102">
        <v>0.21</v>
      </c>
      <c r="G137" s="107" t="str">
        <f>VLOOKUP("RE90P-18",STOCK!$B$2:$Q$3653,3,FALSE)</f>
        <v>Menor a 5</v>
      </c>
      <c r="I137" s="27"/>
      <c r="J137" s="27"/>
      <c r="K137" s="27"/>
      <c r="L137" s="27"/>
      <c r="M137" s="27"/>
      <c r="N137" s="27"/>
      <c r="O137" s="27"/>
      <c r="P137" s="27"/>
      <c r="Q137" s="27"/>
      <c r="R137" s="27"/>
      <c r="S137" s="27"/>
      <c r="T137" s="27"/>
      <c r="U137" s="27"/>
      <c r="V137" s="27"/>
      <c r="W137" s="27"/>
      <c r="X137" s="27"/>
      <c r="Y137" s="27"/>
      <c r="Z137" s="27"/>
    </row>
    <row r="138" ht="15.75" customHeight="1">
      <c r="A138" s="113"/>
      <c r="B138" s="113"/>
      <c r="C138" s="113"/>
      <c r="D138" s="101" t="s">
        <v>2068</v>
      </c>
      <c r="E138" s="101" t="s">
        <v>2068</v>
      </c>
      <c r="F138" s="37"/>
      <c r="G138" s="114"/>
      <c r="H138" s="27"/>
      <c r="I138" s="27"/>
      <c r="J138" s="27"/>
      <c r="K138" s="27"/>
      <c r="L138" s="27"/>
      <c r="M138" s="27"/>
      <c r="N138" s="27"/>
      <c r="O138" s="27"/>
      <c r="P138" s="27"/>
      <c r="Q138" s="27"/>
      <c r="R138" s="27"/>
      <c r="S138" s="27"/>
      <c r="T138" s="27"/>
      <c r="U138" s="27"/>
      <c r="V138" s="27"/>
      <c r="W138" s="27"/>
      <c r="X138" s="27"/>
      <c r="Y138" s="27"/>
      <c r="Z138" s="27"/>
    </row>
    <row r="139" ht="15.75" customHeight="1">
      <c r="A139" s="113"/>
      <c r="B139" s="113"/>
      <c r="C139" s="113"/>
      <c r="D139" s="115"/>
      <c r="E139" s="115"/>
      <c r="F139" s="37"/>
      <c r="G139" s="114"/>
      <c r="H139" s="27"/>
      <c r="I139" s="27"/>
      <c r="J139" s="27"/>
      <c r="K139" s="27"/>
      <c r="L139" s="27"/>
      <c r="M139" s="27"/>
      <c r="N139" s="27"/>
      <c r="O139" s="27"/>
      <c r="P139" s="27"/>
      <c r="Q139" s="27"/>
      <c r="R139" s="27"/>
      <c r="S139" s="27"/>
      <c r="T139" s="27"/>
      <c r="U139" s="27"/>
      <c r="V139" s="27"/>
      <c r="W139" s="27"/>
      <c r="X139" s="27"/>
      <c r="Y139" s="27"/>
      <c r="Z139" s="27"/>
    </row>
    <row r="140" ht="15.75" customHeight="1">
      <c r="A140" s="113"/>
      <c r="B140" s="113"/>
      <c r="C140" s="113"/>
      <c r="D140" s="115"/>
      <c r="E140" s="115"/>
      <c r="F140" s="37"/>
      <c r="G140" s="114"/>
      <c r="H140" s="27"/>
      <c r="I140" s="27"/>
      <c r="J140" s="27"/>
      <c r="K140" s="27"/>
      <c r="L140" s="27"/>
      <c r="M140" s="27"/>
      <c r="N140" s="27"/>
      <c r="O140" s="27"/>
      <c r="P140" s="27"/>
      <c r="Q140" s="27"/>
      <c r="R140" s="27"/>
      <c r="S140" s="27"/>
      <c r="T140" s="27"/>
      <c r="U140" s="27"/>
      <c r="V140" s="27"/>
      <c r="W140" s="27"/>
      <c r="X140" s="27"/>
      <c r="Y140" s="27"/>
      <c r="Z140" s="27"/>
    </row>
    <row r="141" ht="15.75" customHeight="1">
      <c r="A141" s="113"/>
      <c r="B141" s="113"/>
      <c r="C141" s="113"/>
      <c r="D141" s="115"/>
      <c r="E141" s="115"/>
      <c r="F141" s="37"/>
      <c r="G141" s="114"/>
      <c r="H141" s="27"/>
      <c r="I141" s="27"/>
      <c r="J141" s="27"/>
      <c r="K141" s="27"/>
      <c r="L141" s="27"/>
      <c r="M141" s="27"/>
      <c r="N141" s="27"/>
      <c r="O141" s="27"/>
      <c r="P141" s="27"/>
      <c r="Q141" s="27"/>
      <c r="R141" s="27"/>
      <c r="S141" s="27"/>
      <c r="T141" s="27"/>
      <c r="U141" s="27"/>
      <c r="V141" s="27"/>
      <c r="W141" s="27"/>
      <c r="X141" s="27"/>
      <c r="Y141" s="27"/>
      <c r="Z141" s="27"/>
    </row>
    <row r="142" ht="15.75" customHeight="1">
      <c r="A142" s="113"/>
      <c r="B142" s="113"/>
      <c r="C142" s="113"/>
      <c r="D142" s="96"/>
      <c r="E142" s="96"/>
      <c r="F142" s="37"/>
      <c r="G142" s="114"/>
      <c r="H142" s="27"/>
      <c r="I142" s="27"/>
      <c r="J142" s="27"/>
      <c r="K142" s="27"/>
      <c r="L142" s="27"/>
      <c r="M142" s="27"/>
      <c r="N142" s="27"/>
      <c r="O142" s="27"/>
      <c r="P142" s="27"/>
      <c r="Q142" s="27"/>
      <c r="R142" s="27"/>
      <c r="S142" s="27"/>
      <c r="T142" s="27"/>
      <c r="U142" s="27"/>
      <c r="V142" s="27"/>
      <c r="W142" s="27"/>
      <c r="X142" s="27"/>
      <c r="Y142" s="27"/>
      <c r="Z142" s="27"/>
    </row>
    <row r="143" ht="15.75" customHeight="1">
      <c r="A143" s="113"/>
      <c r="B143" s="113"/>
      <c r="C143" s="113"/>
      <c r="D143" s="101"/>
      <c r="E143" s="101"/>
      <c r="F143" s="37"/>
      <c r="G143" s="114"/>
      <c r="H143" s="27"/>
      <c r="I143" s="27"/>
      <c r="J143" s="27"/>
      <c r="K143" s="27"/>
      <c r="L143" s="27"/>
      <c r="M143" s="27"/>
      <c r="N143" s="27"/>
      <c r="O143" s="27"/>
      <c r="P143" s="27"/>
      <c r="Q143" s="27"/>
      <c r="R143" s="27"/>
      <c r="S143" s="27"/>
      <c r="T143" s="27"/>
      <c r="U143" s="27"/>
      <c r="V143" s="27"/>
      <c r="W143" s="27"/>
      <c r="X143" s="27"/>
      <c r="Y143" s="27"/>
      <c r="Z143" s="27"/>
    </row>
    <row r="144" ht="15.75" customHeight="1">
      <c r="A144" s="113"/>
      <c r="B144" s="113"/>
      <c r="C144" s="113"/>
      <c r="D144" s="101"/>
      <c r="E144" s="116"/>
      <c r="F144" s="37"/>
      <c r="G144" s="114"/>
      <c r="H144" s="27"/>
      <c r="I144" s="27"/>
      <c r="J144" s="27"/>
      <c r="K144" s="27"/>
      <c r="L144" s="27"/>
      <c r="M144" s="27"/>
      <c r="N144" s="27"/>
      <c r="O144" s="27"/>
      <c r="P144" s="27"/>
      <c r="Q144" s="27"/>
      <c r="R144" s="27"/>
      <c r="S144" s="27"/>
      <c r="T144" s="27"/>
      <c r="U144" s="27"/>
      <c r="V144" s="27"/>
      <c r="W144" s="27"/>
      <c r="X144" s="27"/>
      <c r="Y144" s="27"/>
      <c r="Z144" s="27"/>
    </row>
    <row r="145" ht="15.75" customHeight="1">
      <c r="A145" s="113"/>
      <c r="B145" s="113"/>
      <c r="C145" s="113"/>
      <c r="D145" s="101"/>
      <c r="E145" s="116"/>
      <c r="F145" s="37"/>
      <c r="G145" s="114"/>
      <c r="H145" s="27"/>
      <c r="I145" s="27"/>
      <c r="J145" s="27"/>
      <c r="K145" s="27"/>
      <c r="L145" s="27"/>
      <c r="M145" s="27"/>
      <c r="N145" s="27"/>
      <c r="O145" s="27"/>
      <c r="P145" s="27"/>
      <c r="Q145" s="27"/>
      <c r="R145" s="27"/>
      <c r="S145" s="27"/>
      <c r="T145" s="27"/>
      <c r="U145" s="27"/>
      <c r="V145" s="27"/>
      <c r="W145" s="27"/>
      <c r="X145" s="27"/>
      <c r="Y145" s="27"/>
      <c r="Z145" s="27"/>
    </row>
    <row r="146" ht="15.75" customHeight="1">
      <c r="A146" s="113"/>
      <c r="B146" s="113"/>
      <c r="C146" s="113"/>
      <c r="D146" s="101"/>
      <c r="E146" s="116"/>
      <c r="F146" s="37"/>
      <c r="G146" s="114"/>
      <c r="H146" s="27"/>
      <c r="I146" s="27"/>
      <c r="J146" s="27"/>
      <c r="K146" s="27"/>
      <c r="L146" s="27"/>
      <c r="M146" s="27"/>
      <c r="N146" s="27"/>
      <c r="O146" s="27"/>
      <c r="P146" s="27"/>
      <c r="Q146" s="27"/>
      <c r="R146" s="27"/>
      <c r="S146" s="27"/>
      <c r="T146" s="27"/>
      <c r="U146" s="27"/>
      <c r="V146" s="27"/>
      <c r="W146" s="27"/>
      <c r="X146" s="27"/>
      <c r="Y146" s="27"/>
      <c r="Z146" s="27"/>
    </row>
    <row r="147" ht="15.75" customHeight="1">
      <c r="A147" s="113"/>
      <c r="B147" s="113"/>
      <c r="C147" s="113"/>
      <c r="D147" s="115"/>
      <c r="E147" s="116"/>
      <c r="F147" s="37"/>
      <c r="G147" s="114"/>
      <c r="H147" s="27"/>
      <c r="I147" s="27"/>
      <c r="J147" s="27"/>
      <c r="K147" s="27"/>
      <c r="L147" s="27"/>
      <c r="M147" s="27"/>
      <c r="N147" s="27"/>
      <c r="O147" s="27"/>
      <c r="P147" s="27"/>
      <c r="Q147" s="27"/>
      <c r="R147" s="27"/>
      <c r="S147" s="27"/>
      <c r="T147" s="27"/>
      <c r="U147" s="27"/>
      <c r="V147" s="27"/>
      <c r="W147" s="27"/>
      <c r="X147" s="27"/>
      <c r="Y147" s="27"/>
      <c r="Z147" s="27"/>
    </row>
    <row r="148" ht="15.75" customHeight="1">
      <c r="A148" s="113"/>
      <c r="B148" s="113"/>
      <c r="C148" s="113"/>
      <c r="D148" s="115"/>
      <c r="E148" s="116"/>
      <c r="F148" s="37"/>
      <c r="G148" s="114"/>
      <c r="H148" s="27"/>
      <c r="I148" s="27"/>
      <c r="J148" s="27"/>
      <c r="K148" s="27"/>
      <c r="L148" s="27"/>
      <c r="M148" s="27"/>
      <c r="N148" s="27"/>
      <c r="O148" s="27"/>
      <c r="P148" s="27"/>
      <c r="Q148" s="27"/>
      <c r="R148" s="27"/>
      <c r="S148" s="27"/>
      <c r="T148" s="27"/>
      <c r="U148" s="27"/>
      <c r="V148" s="27"/>
      <c r="W148" s="27"/>
      <c r="X148" s="27"/>
      <c r="Y148" s="27"/>
      <c r="Z148" s="27"/>
    </row>
    <row r="149" ht="15.75" customHeight="1">
      <c r="A149" s="113"/>
      <c r="B149" s="113"/>
      <c r="C149" s="113"/>
      <c r="D149" s="115"/>
      <c r="E149" s="116"/>
      <c r="F149" s="37"/>
      <c r="G149" s="114"/>
      <c r="H149" s="27"/>
      <c r="I149" s="27"/>
      <c r="J149" s="27"/>
      <c r="K149" s="27"/>
      <c r="L149" s="27"/>
      <c r="M149" s="27"/>
      <c r="N149" s="27"/>
      <c r="O149" s="27"/>
      <c r="P149" s="27"/>
      <c r="Q149" s="27"/>
      <c r="R149" s="27"/>
      <c r="S149" s="27"/>
      <c r="T149" s="27"/>
      <c r="U149" s="27"/>
      <c r="V149" s="27"/>
      <c r="W149" s="27"/>
      <c r="X149" s="27"/>
      <c r="Y149" s="27"/>
      <c r="Z149" s="27"/>
    </row>
    <row r="150" ht="15.75" customHeight="1">
      <c r="A150" s="113"/>
      <c r="B150" s="113"/>
      <c r="C150" s="113"/>
      <c r="D150" s="115"/>
      <c r="E150" s="116"/>
      <c r="F150" s="37"/>
      <c r="G150" s="114"/>
      <c r="H150" s="27"/>
      <c r="I150" s="27"/>
      <c r="J150" s="27"/>
      <c r="K150" s="27"/>
      <c r="L150" s="27"/>
      <c r="M150" s="27"/>
      <c r="N150" s="27"/>
      <c r="O150" s="27"/>
      <c r="P150" s="27"/>
      <c r="Q150" s="27"/>
      <c r="R150" s="27"/>
      <c r="S150" s="27"/>
      <c r="T150" s="27"/>
      <c r="U150" s="27"/>
      <c r="V150" s="27"/>
      <c r="W150" s="27"/>
      <c r="X150" s="27"/>
      <c r="Y150" s="27"/>
      <c r="Z150" s="27"/>
    </row>
    <row r="151" ht="15.75" customHeight="1">
      <c r="A151" s="113"/>
      <c r="B151" s="113"/>
      <c r="C151" s="113"/>
      <c r="D151" s="115"/>
      <c r="E151" s="116"/>
      <c r="F151" s="37"/>
      <c r="G151" s="114"/>
      <c r="H151" s="27"/>
      <c r="I151" s="27"/>
      <c r="J151" s="27"/>
      <c r="K151" s="27"/>
      <c r="L151" s="27"/>
      <c r="M151" s="27"/>
      <c r="N151" s="27"/>
      <c r="O151" s="27"/>
      <c r="P151" s="27"/>
      <c r="Q151" s="27"/>
      <c r="R151" s="27"/>
      <c r="S151" s="27"/>
      <c r="T151" s="27"/>
      <c r="U151" s="27"/>
      <c r="V151" s="27"/>
      <c r="W151" s="27"/>
      <c r="X151" s="27"/>
      <c r="Y151" s="27"/>
      <c r="Z151" s="27"/>
    </row>
    <row r="152" ht="15.75" customHeight="1">
      <c r="A152" s="113"/>
      <c r="B152" s="113"/>
      <c r="C152" s="113"/>
      <c r="D152" s="115"/>
      <c r="E152" s="116"/>
      <c r="F152" s="37"/>
      <c r="G152" s="114"/>
      <c r="H152" s="27"/>
      <c r="I152" s="27"/>
      <c r="J152" s="27"/>
      <c r="K152" s="27"/>
      <c r="L152" s="27"/>
      <c r="M152" s="27"/>
      <c r="N152" s="27"/>
      <c r="O152" s="27"/>
      <c r="P152" s="27"/>
      <c r="Q152" s="27"/>
      <c r="R152" s="27"/>
      <c r="S152" s="27"/>
      <c r="T152" s="27"/>
      <c r="U152" s="27"/>
      <c r="V152" s="27"/>
      <c r="W152" s="27"/>
      <c r="X152" s="27"/>
      <c r="Y152" s="27"/>
      <c r="Z152" s="27"/>
    </row>
    <row r="153" ht="15.75" customHeight="1">
      <c r="A153" s="113"/>
      <c r="B153" s="113"/>
      <c r="C153" s="113"/>
      <c r="D153" s="115"/>
      <c r="E153" s="116"/>
      <c r="F153" s="37"/>
      <c r="G153" s="114"/>
      <c r="H153" s="27"/>
      <c r="I153" s="27"/>
      <c r="J153" s="27"/>
      <c r="K153" s="27"/>
      <c r="L153" s="27"/>
      <c r="M153" s="27"/>
      <c r="N153" s="27"/>
      <c r="O153" s="27"/>
      <c r="P153" s="27"/>
      <c r="Q153" s="27"/>
      <c r="R153" s="27"/>
      <c r="S153" s="27"/>
      <c r="T153" s="27"/>
      <c r="U153" s="27"/>
      <c r="V153" s="27"/>
      <c r="W153" s="27"/>
      <c r="X153" s="27"/>
      <c r="Y153" s="27"/>
      <c r="Z153" s="27"/>
    </row>
    <row r="154" ht="15.75" customHeight="1">
      <c r="A154" s="113"/>
      <c r="B154" s="113"/>
      <c r="C154" s="113"/>
      <c r="D154" s="115"/>
      <c r="E154" s="116"/>
      <c r="F154" s="37"/>
      <c r="G154" s="114"/>
      <c r="H154" s="27"/>
      <c r="I154" s="27"/>
      <c r="J154" s="27"/>
      <c r="K154" s="27"/>
      <c r="L154" s="27"/>
      <c r="M154" s="27"/>
      <c r="N154" s="27"/>
      <c r="O154" s="27"/>
      <c r="P154" s="27"/>
      <c r="Q154" s="27"/>
      <c r="R154" s="27"/>
      <c r="S154" s="27"/>
      <c r="T154" s="27"/>
      <c r="U154" s="27"/>
      <c r="V154" s="27"/>
      <c r="W154" s="27"/>
      <c r="X154" s="27"/>
      <c r="Y154" s="27"/>
      <c r="Z154" s="27"/>
    </row>
    <row r="155" ht="15.75" customHeight="1">
      <c r="A155" s="113"/>
      <c r="B155" s="113"/>
      <c r="C155" s="113"/>
      <c r="D155" s="115"/>
      <c r="E155" s="116"/>
      <c r="F155" s="37"/>
      <c r="G155" s="114"/>
      <c r="H155" s="27"/>
      <c r="I155" s="27"/>
      <c r="J155" s="27"/>
      <c r="K155" s="27"/>
      <c r="L155" s="27"/>
      <c r="M155" s="27"/>
      <c r="N155" s="27"/>
      <c r="O155" s="27"/>
      <c r="P155" s="27"/>
      <c r="Q155" s="27"/>
      <c r="R155" s="27"/>
      <c r="S155" s="27"/>
      <c r="T155" s="27"/>
      <c r="U155" s="27"/>
      <c r="V155" s="27"/>
      <c r="W155" s="27"/>
      <c r="X155" s="27"/>
      <c r="Y155" s="27"/>
      <c r="Z155" s="27"/>
    </row>
    <row r="156" ht="15.75" customHeight="1">
      <c r="A156" s="113"/>
      <c r="B156" s="113"/>
      <c r="C156" s="113"/>
      <c r="D156" s="115"/>
      <c r="E156" s="116"/>
      <c r="F156" s="37"/>
      <c r="G156" s="114"/>
      <c r="H156" s="27"/>
      <c r="I156" s="27"/>
      <c r="J156" s="27"/>
      <c r="K156" s="27"/>
      <c r="L156" s="27"/>
      <c r="M156" s="27"/>
      <c r="N156" s="27"/>
      <c r="O156" s="27"/>
      <c r="P156" s="27"/>
      <c r="Q156" s="27"/>
      <c r="R156" s="27"/>
      <c r="S156" s="27"/>
      <c r="T156" s="27"/>
      <c r="U156" s="27"/>
      <c r="V156" s="27"/>
      <c r="W156" s="27"/>
      <c r="X156" s="27"/>
      <c r="Y156" s="27"/>
      <c r="Z156" s="27"/>
    </row>
    <row r="157" ht="15.75" customHeight="1">
      <c r="A157" s="113"/>
      <c r="B157" s="113"/>
      <c r="C157" s="113"/>
      <c r="D157" s="115"/>
      <c r="E157" s="116"/>
      <c r="F157" s="37"/>
      <c r="G157" s="114"/>
      <c r="H157" s="27"/>
      <c r="I157" s="27"/>
      <c r="J157" s="27"/>
      <c r="K157" s="27"/>
      <c r="L157" s="27"/>
      <c r="M157" s="27"/>
      <c r="N157" s="27"/>
      <c r="O157" s="27"/>
      <c r="P157" s="27"/>
      <c r="Q157" s="27"/>
      <c r="R157" s="27"/>
      <c r="S157" s="27"/>
      <c r="T157" s="27"/>
      <c r="U157" s="27"/>
      <c r="V157" s="27"/>
      <c r="W157" s="27"/>
      <c r="X157" s="27"/>
      <c r="Y157" s="27"/>
      <c r="Z157" s="27"/>
    </row>
    <row r="158" ht="15.75" customHeight="1">
      <c r="A158" s="113"/>
      <c r="B158" s="113"/>
      <c r="C158" s="113"/>
      <c r="D158" s="115"/>
      <c r="E158" s="116"/>
      <c r="F158" s="37"/>
      <c r="G158" s="114"/>
      <c r="H158" s="27"/>
      <c r="I158" s="27"/>
      <c r="J158" s="27"/>
      <c r="K158" s="27"/>
      <c r="L158" s="27"/>
      <c r="M158" s="27"/>
      <c r="N158" s="27"/>
      <c r="O158" s="27"/>
      <c r="P158" s="27"/>
      <c r="Q158" s="27"/>
      <c r="R158" s="27"/>
      <c r="S158" s="27"/>
      <c r="T158" s="27"/>
      <c r="U158" s="27"/>
      <c r="V158" s="27"/>
      <c r="W158" s="27"/>
      <c r="X158" s="27"/>
      <c r="Y158" s="27"/>
      <c r="Z158" s="27"/>
    </row>
    <row r="159" ht="15.75" customHeight="1">
      <c r="A159" s="113"/>
      <c r="B159" s="113"/>
      <c r="C159" s="113"/>
      <c r="D159" s="115"/>
      <c r="E159" s="116"/>
      <c r="F159" s="37"/>
      <c r="G159" s="114"/>
      <c r="H159" s="27"/>
      <c r="I159" s="27"/>
      <c r="J159" s="27"/>
      <c r="K159" s="27"/>
      <c r="L159" s="27"/>
      <c r="M159" s="27"/>
      <c r="N159" s="27"/>
      <c r="O159" s="27"/>
      <c r="P159" s="27"/>
      <c r="Q159" s="27"/>
      <c r="R159" s="27"/>
      <c r="S159" s="27"/>
      <c r="T159" s="27"/>
      <c r="U159" s="27"/>
      <c r="V159" s="27"/>
      <c r="W159" s="27"/>
      <c r="X159" s="27"/>
      <c r="Y159" s="27"/>
      <c r="Z159" s="27"/>
    </row>
    <row r="160" ht="15.75" customHeight="1">
      <c r="A160" s="113"/>
      <c r="B160" s="113"/>
      <c r="C160" s="113"/>
      <c r="D160" s="115"/>
      <c r="E160" s="116"/>
      <c r="F160" s="37"/>
      <c r="G160" s="114"/>
      <c r="H160" s="27"/>
      <c r="I160" s="27"/>
      <c r="J160" s="27"/>
      <c r="K160" s="27"/>
      <c r="L160" s="27"/>
      <c r="M160" s="27"/>
      <c r="N160" s="27"/>
      <c r="O160" s="27"/>
      <c r="P160" s="27"/>
      <c r="Q160" s="27"/>
      <c r="R160" s="27"/>
      <c r="S160" s="27"/>
      <c r="T160" s="27"/>
      <c r="U160" s="27"/>
      <c r="V160" s="27"/>
      <c r="W160" s="27"/>
      <c r="X160" s="27"/>
      <c r="Y160" s="27"/>
      <c r="Z160" s="27"/>
    </row>
    <row r="161" ht="15.75" customHeight="1">
      <c r="A161" s="113"/>
      <c r="B161" s="113"/>
      <c r="C161" s="113"/>
      <c r="D161" s="115"/>
      <c r="E161" s="116"/>
      <c r="F161" s="37"/>
      <c r="G161" s="114"/>
      <c r="H161" s="27"/>
      <c r="I161" s="27"/>
      <c r="J161" s="27"/>
      <c r="K161" s="27"/>
      <c r="L161" s="27"/>
      <c r="M161" s="27"/>
      <c r="N161" s="27"/>
      <c r="O161" s="27"/>
      <c r="P161" s="27"/>
      <c r="Q161" s="27"/>
      <c r="R161" s="27"/>
      <c r="S161" s="27"/>
      <c r="T161" s="27"/>
      <c r="U161" s="27"/>
      <c r="V161" s="27"/>
      <c r="W161" s="27"/>
      <c r="X161" s="27"/>
      <c r="Y161" s="27"/>
      <c r="Z161" s="27"/>
    </row>
    <row r="162" ht="15.75" customHeight="1">
      <c r="A162" s="113"/>
      <c r="B162" s="113"/>
      <c r="C162" s="113"/>
      <c r="D162" s="115"/>
      <c r="E162" s="116"/>
      <c r="F162" s="37"/>
      <c r="G162" s="114"/>
      <c r="H162" s="27"/>
      <c r="I162" s="27"/>
      <c r="J162" s="27"/>
      <c r="K162" s="27"/>
      <c r="L162" s="27"/>
      <c r="M162" s="27"/>
      <c r="N162" s="27"/>
      <c r="O162" s="27"/>
      <c r="P162" s="27"/>
      <c r="Q162" s="27"/>
      <c r="R162" s="27"/>
      <c r="S162" s="27"/>
      <c r="T162" s="27"/>
      <c r="U162" s="27"/>
      <c r="V162" s="27"/>
      <c r="W162" s="27"/>
      <c r="X162" s="27"/>
      <c r="Y162" s="27"/>
      <c r="Z162" s="27"/>
    </row>
    <row r="163" ht="15.75" customHeight="1">
      <c r="A163" s="113"/>
      <c r="B163" s="113"/>
      <c r="C163" s="113"/>
      <c r="D163" s="115"/>
      <c r="E163" s="116"/>
      <c r="F163" s="37"/>
      <c r="G163" s="114"/>
      <c r="H163" s="27"/>
      <c r="I163" s="27"/>
      <c r="J163" s="27"/>
      <c r="K163" s="27"/>
      <c r="L163" s="27"/>
      <c r="M163" s="27"/>
      <c r="N163" s="27"/>
      <c r="O163" s="27"/>
      <c r="P163" s="27"/>
      <c r="Q163" s="27"/>
      <c r="R163" s="27"/>
      <c r="S163" s="27"/>
      <c r="T163" s="27"/>
      <c r="U163" s="27"/>
      <c r="V163" s="27"/>
      <c r="W163" s="27"/>
      <c r="X163" s="27"/>
      <c r="Y163" s="27"/>
      <c r="Z163" s="27"/>
    </row>
    <row r="164" ht="15.75" customHeight="1">
      <c r="A164" s="113"/>
      <c r="B164" s="113"/>
      <c r="C164" s="113"/>
      <c r="D164" s="115"/>
      <c r="E164" s="116"/>
      <c r="F164" s="37"/>
      <c r="G164" s="114"/>
      <c r="H164" s="27"/>
      <c r="I164" s="27"/>
      <c r="J164" s="27"/>
      <c r="K164" s="27"/>
      <c r="L164" s="27"/>
      <c r="M164" s="27"/>
      <c r="N164" s="27"/>
      <c r="O164" s="27"/>
      <c r="P164" s="27"/>
      <c r="Q164" s="27"/>
      <c r="R164" s="27"/>
      <c r="S164" s="27"/>
      <c r="T164" s="27"/>
      <c r="U164" s="27"/>
      <c r="V164" s="27"/>
      <c r="W164" s="27"/>
      <c r="X164" s="27"/>
      <c r="Y164" s="27"/>
      <c r="Z164" s="27"/>
    </row>
    <row r="165" ht="15.75" customHeight="1">
      <c r="A165" s="113"/>
      <c r="B165" s="113"/>
      <c r="C165" s="113"/>
      <c r="D165" s="115"/>
      <c r="E165" s="116"/>
      <c r="F165" s="37"/>
      <c r="G165" s="114"/>
      <c r="H165" s="27"/>
      <c r="I165" s="27"/>
      <c r="J165" s="27"/>
      <c r="K165" s="27"/>
      <c r="L165" s="27"/>
      <c r="M165" s="27"/>
      <c r="N165" s="27"/>
      <c r="O165" s="27"/>
      <c r="P165" s="27"/>
      <c r="Q165" s="27"/>
      <c r="R165" s="27"/>
      <c r="S165" s="27"/>
      <c r="T165" s="27"/>
      <c r="U165" s="27"/>
      <c r="V165" s="27"/>
      <c r="W165" s="27"/>
      <c r="X165" s="27"/>
      <c r="Y165" s="27"/>
      <c r="Z165" s="27"/>
    </row>
    <row r="166" ht="15.75" customHeight="1">
      <c r="A166" s="113"/>
      <c r="B166" s="113"/>
      <c r="C166" s="113"/>
      <c r="D166" s="115"/>
      <c r="E166" s="116"/>
      <c r="F166" s="37"/>
      <c r="G166" s="114"/>
      <c r="H166" s="27"/>
      <c r="I166" s="27"/>
      <c r="J166" s="27"/>
      <c r="K166" s="27"/>
      <c r="L166" s="27"/>
      <c r="M166" s="27"/>
      <c r="N166" s="27"/>
      <c r="O166" s="27"/>
      <c r="P166" s="27"/>
      <c r="Q166" s="27"/>
      <c r="R166" s="27"/>
      <c r="S166" s="27"/>
      <c r="T166" s="27"/>
      <c r="U166" s="27"/>
      <c r="V166" s="27"/>
      <c r="W166" s="27"/>
      <c r="X166" s="27"/>
      <c r="Y166" s="27"/>
      <c r="Z166" s="27"/>
    </row>
    <row r="167" ht="15.75" customHeight="1">
      <c r="A167" s="113"/>
      <c r="B167" s="113"/>
      <c r="C167" s="113"/>
      <c r="D167" s="115"/>
      <c r="E167" s="116"/>
      <c r="F167" s="37"/>
      <c r="G167" s="114"/>
      <c r="H167" s="27"/>
      <c r="I167" s="27"/>
      <c r="J167" s="27"/>
      <c r="K167" s="27"/>
      <c r="L167" s="27"/>
      <c r="M167" s="27"/>
      <c r="N167" s="27"/>
      <c r="O167" s="27"/>
      <c r="P167" s="27"/>
      <c r="Q167" s="27"/>
      <c r="R167" s="27"/>
      <c r="S167" s="27"/>
      <c r="T167" s="27"/>
      <c r="U167" s="27"/>
      <c r="V167" s="27"/>
      <c r="W167" s="27"/>
      <c r="X167" s="27"/>
      <c r="Y167" s="27"/>
      <c r="Z167" s="27"/>
    </row>
    <row r="168" ht="15.75" customHeight="1">
      <c r="A168" s="113"/>
      <c r="B168" s="113"/>
      <c r="C168" s="113"/>
      <c r="D168" s="115"/>
      <c r="E168" s="116"/>
      <c r="F168" s="37"/>
      <c r="G168" s="114"/>
      <c r="H168" s="27"/>
      <c r="I168" s="27"/>
      <c r="J168" s="27"/>
      <c r="K168" s="27"/>
      <c r="L168" s="27"/>
      <c r="M168" s="27"/>
      <c r="N168" s="27"/>
      <c r="O168" s="27"/>
      <c r="P168" s="27"/>
      <c r="Q168" s="27"/>
      <c r="R168" s="27"/>
      <c r="S168" s="27"/>
      <c r="T168" s="27"/>
      <c r="U168" s="27"/>
      <c r="V168" s="27"/>
      <c r="W168" s="27"/>
      <c r="X168" s="27"/>
      <c r="Y168" s="27"/>
      <c r="Z168" s="27"/>
    </row>
    <row r="169" ht="15.75" customHeight="1">
      <c r="A169" s="113"/>
      <c r="B169" s="113"/>
      <c r="C169" s="113"/>
      <c r="D169" s="115"/>
      <c r="E169" s="116"/>
      <c r="F169" s="37"/>
      <c r="G169" s="114"/>
      <c r="H169" s="27"/>
      <c r="I169" s="27"/>
      <c r="J169" s="27"/>
      <c r="K169" s="27"/>
      <c r="L169" s="27"/>
      <c r="M169" s="27"/>
      <c r="N169" s="27"/>
      <c r="O169" s="27"/>
      <c r="P169" s="27"/>
      <c r="Q169" s="27"/>
      <c r="R169" s="27"/>
      <c r="S169" s="27"/>
      <c r="T169" s="27"/>
      <c r="U169" s="27"/>
      <c r="V169" s="27"/>
      <c r="W169" s="27"/>
      <c r="X169" s="27"/>
      <c r="Y169" s="27"/>
      <c r="Z169" s="27"/>
    </row>
    <row r="170" ht="15.75" customHeight="1">
      <c r="A170" s="113"/>
      <c r="B170" s="113"/>
      <c r="C170" s="113"/>
      <c r="D170" s="115"/>
      <c r="E170" s="116"/>
      <c r="F170" s="37"/>
      <c r="G170" s="114"/>
      <c r="H170" s="27"/>
      <c r="I170" s="27"/>
      <c r="J170" s="27"/>
      <c r="K170" s="27"/>
      <c r="L170" s="27"/>
      <c r="M170" s="27"/>
      <c r="N170" s="27"/>
      <c r="O170" s="27"/>
      <c r="P170" s="27"/>
      <c r="Q170" s="27"/>
      <c r="R170" s="27"/>
      <c r="S170" s="27"/>
      <c r="T170" s="27"/>
      <c r="U170" s="27"/>
      <c r="V170" s="27"/>
      <c r="W170" s="27"/>
      <c r="X170" s="27"/>
      <c r="Y170" s="27"/>
      <c r="Z170" s="27"/>
    </row>
    <row r="171" ht="15.75" customHeight="1">
      <c r="A171" s="113"/>
      <c r="B171" s="113"/>
      <c r="C171" s="113"/>
      <c r="D171" s="115"/>
      <c r="E171" s="116"/>
      <c r="F171" s="37"/>
      <c r="G171" s="114"/>
      <c r="H171" s="27"/>
      <c r="I171" s="27"/>
      <c r="J171" s="27"/>
      <c r="K171" s="27"/>
      <c r="L171" s="27"/>
      <c r="M171" s="27"/>
      <c r="N171" s="27"/>
      <c r="O171" s="27"/>
      <c r="P171" s="27"/>
      <c r="Q171" s="27"/>
      <c r="R171" s="27"/>
      <c r="S171" s="27"/>
      <c r="T171" s="27"/>
      <c r="U171" s="27"/>
      <c r="V171" s="27"/>
      <c r="W171" s="27"/>
      <c r="X171" s="27"/>
      <c r="Y171" s="27"/>
      <c r="Z171" s="27"/>
    </row>
    <row r="172" ht="15.75" customHeight="1">
      <c r="A172" s="113"/>
      <c r="B172" s="113"/>
      <c r="C172" s="113"/>
      <c r="D172" s="115"/>
      <c r="E172" s="116"/>
      <c r="F172" s="37"/>
      <c r="G172" s="114"/>
      <c r="H172" s="27"/>
      <c r="I172" s="27"/>
      <c r="J172" s="27"/>
      <c r="K172" s="27"/>
      <c r="L172" s="27"/>
      <c r="M172" s="27"/>
      <c r="N172" s="27"/>
      <c r="O172" s="27"/>
      <c r="P172" s="27"/>
      <c r="Q172" s="27"/>
      <c r="R172" s="27"/>
      <c r="S172" s="27"/>
      <c r="T172" s="27"/>
      <c r="U172" s="27"/>
      <c r="V172" s="27"/>
      <c r="W172" s="27"/>
      <c r="X172" s="27"/>
      <c r="Y172" s="27"/>
      <c r="Z172" s="27"/>
    </row>
    <row r="173" ht="15.75" customHeight="1">
      <c r="A173" s="113"/>
      <c r="B173" s="113"/>
      <c r="C173" s="113"/>
      <c r="D173" s="115"/>
      <c r="E173" s="116"/>
      <c r="F173" s="37"/>
      <c r="G173" s="114"/>
      <c r="H173" s="27"/>
      <c r="I173" s="27"/>
      <c r="J173" s="27"/>
      <c r="K173" s="27"/>
      <c r="L173" s="27"/>
      <c r="M173" s="27"/>
      <c r="N173" s="27"/>
      <c r="O173" s="27"/>
      <c r="P173" s="27"/>
      <c r="Q173" s="27"/>
      <c r="R173" s="27"/>
      <c r="S173" s="27"/>
      <c r="T173" s="27"/>
      <c r="U173" s="27"/>
      <c r="V173" s="27"/>
      <c r="W173" s="27"/>
      <c r="X173" s="27"/>
      <c r="Y173" s="27"/>
      <c r="Z173" s="27"/>
    </row>
    <row r="174" ht="15.75" customHeight="1">
      <c r="A174" s="113"/>
      <c r="B174" s="113"/>
      <c r="C174" s="113"/>
      <c r="D174" s="115"/>
      <c r="E174" s="116"/>
      <c r="F174" s="37"/>
      <c r="G174" s="114"/>
      <c r="H174" s="27"/>
      <c r="I174" s="27"/>
      <c r="J174" s="27"/>
      <c r="K174" s="27"/>
      <c r="L174" s="27"/>
      <c r="M174" s="27"/>
      <c r="N174" s="27"/>
      <c r="O174" s="27"/>
      <c r="P174" s="27"/>
      <c r="Q174" s="27"/>
      <c r="R174" s="27"/>
      <c r="S174" s="27"/>
      <c r="T174" s="27"/>
      <c r="U174" s="27"/>
      <c r="V174" s="27"/>
      <c r="W174" s="27"/>
      <c r="X174" s="27"/>
      <c r="Y174" s="27"/>
      <c r="Z174" s="27"/>
    </row>
    <row r="175" ht="15.75" customHeight="1">
      <c r="A175" s="113"/>
      <c r="B175" s="113"/>
      <c r="C175" s="113"/>
      <c r="D175" s="115"/>
      <c r="E175" s="116"/>
      <c r="F175" s="37"/>
      <c r="G175" s="114"/>
      <c r="H175" s="27"/>
      <c r="I175" s="27"/>
      <c r="J175" s="27"/>
      <c r="K175" s="27"/>
      <c r="L175" s="27"/>
      <c r="M175" s="27"/>
      <c r="N175" s="27"/>
      <c r="O175" s="27"/>
      <c r="P175" s="27"/>
      <c r="Q175" s="27"/>
      <c r="R175" s="27"/>
      <c r="S175" s="27"/>
      <c r="T175" s="27"/>
      <c r="U175" s="27"/>
      <c r="V175" s="27"/>
      <c r="W175" s="27"/>
      <c r="X175" s="27"/>
      <c r="Y175" s="27"/>
      <c r="Z175" s="27"/>
    </row>
    <row r="176" ht="15.75" customHeight="1">
      <c r="A176" s="113"/>
      <c r="B176" s="113"/>
      <c r="C176" s="113"/>
      <c r="D176" s="115"/>
      <c r="E176" s="116"/>
      <c r="F176" s="37"/>
      <c r="G176" s="114"/>
      <c r="H176" s="27"/>
      <c r="I176" s="27"/>
      <c r="J176" s="27"/>
      <c r="K176" s="27"/>
      <c r="L176" s="27"/>
      <c r="M176" s="27"/>
      <c r="N176" s="27"/>
      <c r="O176" s="27"/>
      <c r="P176" s="27"/>
      <c r="Q176" s="27"/>
      <c r="R176" s="27"/>
      <c r="S176" s="27"/>
      <c r="T176" s="27"/>
      <c r="U176" s="27"/>
      <c r="V176" s="27"/>
      <c r="W176" s="27"/>
      <c r="X176" s="27"/>
      <c r="Y176" s="27"/>
      <c r="Z176" s="27"/>
    </row>
    <row r="177" ht="15.75" customHeight="1">
      <c r="A177" s="113"/>
      <c r="B177" s="113"/>
      <c r="C177" s="113"/>
      <c r="D177" s="115"/>
      <c r="E177" s="116"/>
      <c r="F177" s="37"/>
      <c r="G177" s="114"/>
      <c r="H177" s="27"/>
      <c r="I177" s="27"/>
      <c r="J177" s="27"/>
      <c r="K177" s="27"/>
      <c r="L177" s="27"/>
      <c r="M177" s="27"/>
      <c r="N177" s="27"/>
      <c r="O177" s="27"/>
      <c r="P177" s="27"/>
      <c r="Q177" s="27"/>
      <c r="R177" s="27"/>
      <c r="S177" s="27"/>
      <c r="T177" s="27"/>
      <c r="U177" s="27"/>
      <c r="V177" s="27"/>
      <c r="W177" s="27"/>
      <c r="X177" s="27"/>
      <c r="Y177" s="27"/>
      <c r="Z177" s="27"/>
    </row>
    <row r="178" ht="15.75" customHeight="1">
      <c r="A178" s="113"/>
      <c r="B178" s="113"/>
      <c r="C178" s="113"/>
      <c r="D178" s="115"/>
      <c r="E178" s="116"/>
      <c r="F178" s="37"/>
      <c r="G178" s="114"/>
      <c r="H178" s="27"/>
      <c r="I178" s="27"/>
      <c r="J178" s="27"/>
      <c r="K178" s="27"/>
      <c r="L178" s="27"/>
      <c r="M178" s="27"/>
      <c r="N178" s="27"/>
      <c r="O178" s="27"/>
      <c r="P178" s="27"/>
      <c r="Q178" s="27"/>
      <c r="R178" s="27"/>
      <c r="S178" s="27"/>
      <c r="T178" s="27"/>
      <c r="U178" s="27"/>
      <c r="V178" s="27"/>
      <c r="W178" s="27"/>
      <c r="X178" s="27"/>
      <c r="Y178" s="27"/>
      <c r="Z178" s="27"/>
    </row>
    <row r="179" ht="15.75" customHeight="1">
      <c r="A179" s="113"/>
      <c r="B179" s="113"/>
      <c r="C179" s="113"/>
      <c r="D179" s="115"/>
      <c r="E179" s="116"/>
      <c r="F179" s="37"/>
      <c r="G179" s="114"/>
      <c r="H179" s="27"/>
      <c r="I179" s="27"/>
      <c r="J179" s="27"/>
      <c r="K179" s="27"/>
      <c r="L179" s="27"/>
      <c r="M179" s="27"/>
      <c r="N179" s="27"/>
      <c r="O179" s="27"/>
      <c r="P179" s="27"/>
      <c r="Q179" s="27"/>
      <c r="R179" s="27"/>
      <c r="S179" s="27"/>
      <c r="T179" s="27"/>
      <c r="U179" s="27"/>
      <c r="V179" s="27"/>
      <c r="W179" s="27"/>
      <c r="X179" s="27"/>
      <c r="Y179" s="27"/>
      <c r="Z179" s="27"/>
    </row>
    <row r="180" ht="15.75" customHeight="1">
      <c r="A180" s="113"/>
      <c r="B180" s="113"/>
      <c r="C180" s="113"/>
      <c r="D180" s="115"/>
      <c r="E180" s="116"/>
      <c r="F180" s="37"/>
      <c r="G180" s="114"/>
      <c r="H180" s="27"/>
      <c r="I180" s="27"/>
      <c r="J180" s="27"/>
      <c r="K180" s="27"/>
      <c r="L180" s="27"/>
      <c r="M180" s="27"/>
      <c r="N180" s="27"/>
      <c r="O180" s="27"/>
      <c r="P180" s="27"/>
      <c r="Q180" s="27"/>
      <c r="R180" s="27"/>
      <c r="S180" s="27"/>
      <c r="T180" s="27"/>
      <c r="U180" s="27"/>
      <c r="V180" s="27"/>
      <c r="W180" s="27"/>
      <c r="X180" s="27"/>
      <c r="Y180" s="27"/>
      <c r="Z180" s="27"/>
    </row>
    <row r="181" ht="15.75" customHeight="1">
      <c r="A181" s="113"/>
      <c r="B181" s="113"/>
      <c r="C181" s="113"/>
      <c r="D181" s="115"/>
      <c r="E181" s="116"/>
      <c r="F181" s="37"/>
      <c r="G181" s="114"/>
      <c r="H181" s="27"/>
      <c r="I181" s="27"/>
      <c r="J181" s="27"/>
      <c r="K181" s="27"/>
      <c r="L181" s="27"/>
      <c r="M181" s="27"/>
      <c r="N181" s="27"/>
      <c r="O181" s="27"/>
      <c r="P181" s="27"/>
      <c r="Q181" s="27"/>
      <c r="R181" s="27"/>
      <c r="S181" s="27"/>
      <c r="T181" s="27"/>
      <c r="U181" s="27"/>
      <c r="V181" s="27"/>
      <c r="W181" s="27"/>
      <c r="X181" s="27"/>
      <c r="Y181" s="27"/>
      <c r="Z181" s="27"/>
    </row>
    <row r="182" ht="15.75" customHeight="1">
      <c r="A182" s="113"/>
      <c r="B182" s="113"/>
      <c r="C182" s="113"/>
      <c r="D182" s="115"/>
      <c r="E182" s="116"/>
      <c r="F182" s="37"/>
      <c r="G182" s="114"/>
      <c r="H182" s="27"/>
      <c r="I182" s="27"/>
      <c r="J182" s="27"/>
      <c r="K182" s="27"/>
      <c r="L182" s="27"/>
      <c r="M182" s="27"/>
      <c r="N182" s="27"/>
      <c r="O182" s="27"/>
      <c r="P182" s="27"/>
      <c r="Q182" s="27"/>
      <c r="R182" s="27"/>
      <c r="S182" s="27"/>
      <c r="T182" s="27"/>
      <c r="U182" s="27"/>
      <c r="V182" s="27"/>
      <c r="W182" s="27"/>
      <c r="X182" s="27"/>
      <c r="Y182" s="27"/>
      <c r="Z182" s="27"/>
    </row>
    <row r="183" ht="15.75" customHeight="1">
      <c r="A183" s="113"/>
      <c r="B183" s="113"/>
      <c r="C183" s="113"/>
      <c r="D183" s="115"/>
      <c r="E183" s="116"/>
      <c r="F183" s="37"/>
      <c r="G183" s="114"/>
      <c r="H183" s="27"/>
      <c r="I183" s="27"/>
      <c r="J183" s="27"/>
      <c r="K183" s="27"/>
      <c r="L183" s="27"/>
      <c r="M183" s="27"/>
      <c r="N183" s="27"/>
      <c r="O183" s="27"/>
      <c r="P183" s="27"/>
      <c r="Q183" s="27"/>
      <c r="R183" s="27"/>
      <c r="S183" s="27"/>
      <c r="T183" s="27"/>
      <c r="U183" s="27"/>
      <c r="V183" s="27"/>
      <c r="W183" s="27"/>
      <c r="X183" s="27"/>
      <c r="Y183" s="27"/>
      <c r="Z183" s="27"/>
    </row>
    <row r="184" ht="15.75" customHeight="1">
      <c r="A184" s="113"/>
      <c r="B184" s="113"/>
      <c r="C184" s="113"/>
      <c r="D184" s="115"/>
      <c r="E184" s="116"/>
      <c r="F184" s="37"/>
      <c r="G184" s="114"/>
      <c r="H184" s="27"/>
      <c r="I184" s="27"/>
      <c r="J184" s="27"/>
      <c r="K184" s="27"/>
      <c r="L184" s="27"/>
      <c r="M184" s="27"/>
      <c r="N184" s="27"/>
      <c r="O184" s="27"/>
      <c r="P184" s="27"/>
      <c r="Q184" s="27"/>
      <c r="R184" s="27"/>
      <c r="S184" s="27"/>
      <c r="T184" s="27"/>
      <c r="U184" s="27"/>
      <c r="V184" s="27"/>
      <c r="W184" s="27"/>
      <c r="X184" s="27"/>
      <c r="Y184" s="27"/>
      <c r="Z184" s="27"/>
    </row>
    <row r="185" ht="15.75" customHeight="1">
      <c r="A185" s="113"/>
      <c r="B185" s="113"/>
      <c r="C185" s="113"/>
      <c r="D185" s="115"/>
      <c r="E185" s="116"/>
      <c r="F185" s="37"/>
      <c r="G185" s="114"/>
      <c r="H185" s="27"/>
      <c r="I185" s="27"/>
      <c r="J185" s="27"/>
      <c r="K185" s="27"/>
      <c r="L185" s="27"/>
      <c r="M185" s="27"/>
      <c r="N185" s="27"/>
      <c r="O185" s="27"/>
      <c r="P185" s="27"/>
      <c r="Q185" s="27"/>
      <c r="R185" s="27"/>
      <c r="S185" s="27"/>
      <c r="T185" s="27"/>
      <c r="U185" s="27"/>
      <c r="V185" s="27"/>
      <c r="W185" s="27"/>
      <c r="X185" s="27"/>
      <c r="Y185" s="27"/>
      <c r="Z185" s="27"/>
    </row>
    <row r="186" ht="15.75" customHeight="1">
      <c r="A186" s="113"/>
      <c r="B186" s="113"/>
      <c r="C186" s="113"/>
      <c r="D186" s="115"/>
      <c r="E186" s="116"/>
      <c r="F186" s="37"/>
      <c r="G186" s="114"/>
      <c r="H186" s="27"/>
      <c r="I186" s="27"/>
      <c r="J186" s="27"/>
      <c r="K186" s="27"/>
      <c r="L186" s="27"/>
      <c r="M186" s="27"/>
      <c r="N186" s="27"/>
      <c r="O186" s="27"/>
      <c r="P186" s="27"/>
      <c r="Q186" s="27"/>
      <c r="R186" s="27"/>
      <c r="S186" s="27"/>
      <c r="T186" s="27"/>
      <c r="U186" s="27"/>
      <c r="V186" s="27"/>
      <c r="W186" s="27"/>
      <c r="X186" s="27"/>
      <c r="Y186" s="27"/>
      <c r="Z186" s="27"/>
    </row>
    <row r="187" ht="15.75" customHeight="1">
      <c r="A187" s="113"/>
      <c r="B187" s="113"/>
      <c r="C187" s="113"/>
      <c r="D187" s="115"/>
      <c r="E187" s="116"/>
      <c r="F187" s="37"/>
      <c r="G187" s="114"/>
      <c r="H187" s="27"/>
      <c r="I187" s="27"/>
      <c r="J187" s="27"/>
      <c r="K187" s="27"/>
      <c r="L187" s="27"/>
      <c r="M187" s="27"/>
      <c r="N187" s="27"/>
      <c r="O187" s="27"/>
      <c r="P187" s="27"/>
      <c r="Q187" s="27"/>
      <c r="R187" s="27"/>
      <c r="S187" s="27"/>
      <c r="T187" s="27"/>
      <c r="U187" s="27"/>
      <c r="V187" s="27"/>
      <c r="W187" s="27"/>
      <c r="X187" s="27"/>
      <c r="Y187" s="27"/>
      <c r="Z187" s="27"/>
    </row>
    <row r="188" ht="15.75" customHeight="1">
      <c r="A188" s="113"/>
      <c r="B188" s="113"/>
      <c r="C188" s="113"/>
      <c r="D188" s="115"/>
      <c r="E188" s="116"/>
      <c r="F188" s="37"/>
      <c r="G188" s="114"/>
      <c r="H188" s="27"/>
      <c r="I188" s="27"/>
      <c r="J188" s="27"/>
      <c r="K188" s="27"/>
      <c r="L188" s="27"/>
      <c r="M188" s="27"/>
      <c r="N188" s="27"/>
      <c r="O188" s="27"/>
      <c r="P188" s="27"/>
      <c r="Q188" s="27"/>
      <c r="R188" s="27"/>
      <c r="S188" s="27"/>
      <c r="T188" s="27"/>
      <c r="U188" s="27"/>
      <c r="V188" s="27"/>
      <c r="W188" s="27"/>
      <c r="X188" s="27"/>
      <c r="Y188" s="27"/>
      <c r="Z188" s="27"/>
    </row>
    <row r="189" ht="15.75" customHeight="1">
      <c r="A189" s="113"/>
      <c r="B189" s="113"/>
      <c r="C189" s="113"/>
      <c r="D189" s="115"/>
      <c r="E189" s="116"/>
      <c r="F189" s="37"/>
      <c r="G189" s="114"/>
      <c r="H189" s="27"/>
      <c r="I189" s="27"/>
      <c r="J189" s="27"/>
      <c r="K189" s="27"/>
      <c r="L189" s="27"/>
      <c r="M189" s="27"/>
      <c r="N189" s="27"/>
      <c r="O189" s="27"/>
      <c r="P189" s="27"/>
      <c r="Q189" s="27"/>
      <c r="R189" s="27"/>
      <c r="S189" s="27"/>
      <c r="T189" s="27"/>
      <c r="U189" s="27"/>
      <c r="V189" s="27"/>
      <c r="W189" s="27"/>
      <c r="X189" s="27"/>
      <c r="Y189" s="27"/>
      <c r="Z189" s="27"/>
    </row>
    <row r="190" ht="15.75" customHeight="1">
      <c r="A190" s="113"/>
      <c r="B190" s="113"/>
      <c r="C190" s="113"/>
      <c r="D190" s="115"/>
      <c r="E190" s="116"/>
      <c r="F190" s="37"/>
      <c r="G190" s="114"/>
      <c r="H190" s="27"/>
      <c r="I190" s="27"/>
      <c r="J190" s="27"/>
      <c r="K190" s="27"/>
      <c r="L190" s="27"/>
      <c r="M190" s="27"/>
      <c r="N190" s="27"/>
      <c r="O190" s="27"/>
      <c r="P190" s="27"/>
      <c r="Q190" s="27"/>
      <c r="R190" s="27"/>
      <c r="S190" s="27"/>
      <c r="T190" s="27"/>
      <c r="U190" s="27"/>
      <c r="V190" s="27"/>
      <c r="W190" s="27"/>
      <c r="X190" s="27"/>
      <c r="Y190" s="27"/>
      <c r="Z190" s="27"/>
    </row>
    <row r="191" ht="15.75" customHeight="1">
      <c r="A191" s="113"/>
      <c r="B191" s="113"/>
      <c r="C191" s="113"/>
      <c r="D191" s="115"/>
      <c r="E191" s="116"/>
      <c r="F191" s="37"/>
      <c r="G191" s="114"/>
      <c r="H191" s="27"/>
      <c r="I191" s="27"/>
      <c r="J191" s="27"/>
      <c r="K191" s="27"/>
      <c r="L191" s="27"/>
      <c r="M191" s="27"/>
      <c r="N191" s="27"/>
      <c r="O191" s="27"/>
      <c r="P191" s="27"/>
      <c r="Q191" s="27"/>
      <c r="R191" s="27"/>
      <c r="S191" s="27"/>
      <c r="T191" s="27"/>
      <c r="U191" s="27"/>
      <c r="V191" s="27"/>
      <c r="W191" s="27"/>
      <c r="X191" s="27"/>
      <c r="Y191" s="27"/>
      <c r="Z191" s="27"/>
    </row>
    <row r="192" ht="15.75" customHeight="1">
      <c r="A192" s="113"/>
      <c r="B192" s="113"/>
      <c r="C192" s="113"/>
      <c r="D192" s="115"/>
      <c r="E192" s="116"/>
      <c r="F192" s="37"/>
      <c r="G192" s="114"/>
      <c r="H192" s="27"/>
      <c r="I192" s="27"/>
      <c r="J192" s="27"/>
      <c r="K192" s="27"/>
      <c r="L192" s="27"/>
      <c r="M192" s="27"/>
      <c r="N192" s="27"/>
      <c r="O192" s="27"/>
      <c r="P192" s="27"/>
      <c r="Q192" s="27"/>
      <c r="R192" s="27"/>
      <c r="S192" s="27"/>
      <c r="T192" s="27"/>
      <c r="U192" s="27"/>
      <c r="V192" s="27"/>
      <c r="W192" s="27"/>
      <c r="X192" s="27"/>
      <c r="Y192" s="27"/>
      <c r="Z192" s="27"/>
    </row>
    <row r="193" ht="15.75" customHeight="1">
      <c r="A193" s="113"/>
      <c r="B193" s="113"/>
      <c r="C193" s="113"/>
      <c r="D193" s="115"/>
      <c r="E193" s="116"/>
      <c r="F193" s="37"/>
      <c r="G193" s="114"/>
      <c r="H193" s="27"/>
      <c r="I193" s="27"/>
      <c r="J193" s="27"/>
      <c r="K193" s="27"/>
      <c r="L193" s="27"/>
      <c r="M193" s="27"/>
      <c r="N193" s="27"/>
      <c r="O193" s="27"/>
      <c r="P193" s="27"/>
      <c r="Q193" s="27"/>
      <c r="R193" s="27"/>
      <c r="S193" s="27"/>
      <c r="T193" s="27"/>
      <c r="U193" s="27"/>
      <c r="V193" s="27"/>
      <c r="W193" s="27"/>
      <c r="X193" s="27"/>
      <c r="Y193" s="27"/>
      <c r="Z193" s="27"/>
    </row>
    <row r="194" ht="15.75" customHeight="1">
      <c r="A194" s="113"/>
      <c r="B194" s="113"/>
      <c r="C194" s="113"/>
      <c r="D194" s="115"/>
      <c r="E194" s="116"/>
      <c r="F194" s="37"/>
      <c r="G194" s="114"/>
      <c r="H194" s="27"/>
      <c r="I194" s="27"/>
      <c r="J194" s="27"/>
      <c r="K194" s="27"/>
      <c r="L194" s="27"/>
      <c r="M194" s="27"/>
      <c r="N194" s="27"/>
      <c r="O194" s="27"/>
      <c r="P194" s="27"/>
      <c r="Q194" s="27"/>
      <c r="R194" s="27"/>
      <c r="S194" s="27"/>
      <c r="T194" s="27"/>
      <c r="U194" s="27"/>
      <c r="V194" s="27"/>
      <c r="W194" s="27"/>
      <c r="X194" s="27"/>
      <c r="Y194" s="27"/>
      <c r="Z194" s="27"/>
    </row>
    <row r="195" ht="15.75" customHeight="1">
      <c r="A195" s="113"/>
      <c r="B195" s="113"/>
      <c r="C195" s="113"/>
      <c r="D195" s="115"/>
      <c r="E195" s="116"/>
      <c r="F195" s="37"/>
      <c r="G195" s="114"/>
      <c r="H195" s="27"/>
      <c r="I195" s="27"/>
      <c r="J195" s="27"/>
      <c r="K195" s="27"/>
      <c r="L195" s="27"/>
      <c r="M195" s="27"/>
      <c r="N195" s="27"/>
      <c r="O195" s="27"/>
      <c r="P195" s="27"/>
      <c r="Q195" s="27"/>
      <c r="R195" s="27"/>
      <c r="S195" s="27"/>
      <c r="T195" s="27"/>
      <c r="U195" s="27"/>
      <c r="V195" s="27"/>
      <c r="W195" s="27"/>
      <c r="X195" s="27"/>
      <c r="Y195" s="27"/>
      <c r="Z195" s="27"/>
    </row>
    <row r="196" ht="15.75" customHeight="1">
      <c r="A196" s="113"/>
      <c r="B196" s="113"/>
      <c r="C196" s="113"/>
      <c r="D196" s="115"/>
      <c r="E196" s="116"/>
      <c r="F196" s="37"/>
      <c r="G196" s="114"/>
      <c r="H196" s="27"/>
      <c r="I196" s="27"/>
      <c r="J196" s="27"/>
      <c r="K196" s="27"/>
      <c r="L196" s="27"/>
      <c r="M196" s="27"/>
      <c r="N196" s="27"/>
      <c r="O196" s="27"/>
      <c r="P196" s="27"/>
      <c r="Q196" s="27"/>
      <c r="R196" s="27"/>
      <c r="S196" s="27"/>
      <c r="T196" s="27"/>
      <c r="U196" s="27"/>
      <c r="V196" s="27"/>
      <c r="W196" s="27"/>
      <c r="X196" s="27"/>
      <c r="Y196" s="27"/>
      <c r="Z196" s="27"/>
    </row>
    <row r="197" ht="15.75" customHeight="1">
      <c r="A197" s="113"/>
      <c r="B197" s="113"/>
      <c r="C197" s="113"/>
      <c r="D197" s="115"/>
      <c r="E197" s="116"/>
      <c r="F197" s="37"/>
      <c r="G197" s="114"/>
      <c r="H197" s="27"/>
      <c r="I197" s="27"/>
      <c r="J197" s="27"/>
      <c r="K197" s="27"/>
      <c r="L197" s="27"/>
      <c r="M197" s="27"/>
      <c r="N197" s="27"/>
      <c r="O197" s="27"/>
      <c r="P197" s="27"/>
      <c r="Q197" s="27"/>
      <c r="R197" s="27"/>
      <c r="S197" s="27"/>
      <c r="T197" s="27"/>
      <c r="U197" s="27"/>
      <c r="V197" s="27"/>
      <c r="W197" s="27"/>
      <c r="X197" s="27"/>
      <c r="Y197" s="27"/>
      <c r="Z197" s="27"/>
    </row>
    <row r="198" ht="15.75" customHeight="1">
      <c r="A198" s="113"/>
      <c r="B198" s="113"/>
      <c r="C198" s="113"/>
      <c r="D198" s="115"/>
      <c r="E198" s="116"/>
      <c r="F198" s="37"/>
      <c r="G198" s="114"/>
      <c r="H198" s="27"/>
      <c r="I198" s="27"/>
      <c r="J198" s="27"/>
      <c r="K198" s="27"/>
      <c r="L198" s="27"/>
      <c r="M198" s="27"/>
      <c r="N198" s="27"/>
      <c r="O198" s="27"/>
      <c r="P198" s="27"/>
      <c r="Q198" s="27"/>
      <c r="R198" s="27"/>
      <c r="S198" s="27"/>
      <c r="T198" s="27"/>
      <c r="U198" s="27"/>
      <c r="V198" s="27"/>
      <c r="W198" s="27"/>
      <c r="X198" s="27"/>
      <c r="Y198" s="27"/>
      <c r="Z198" s="27"/>
    </row>
    <row r="199" ht="15.75" customHeight="1">
      <c r="A199" s="113"/>
      <c r="B199" s="113"/>
      <c r="C199" s="113"/>
      <c r="D199" s="115"/>
      <c r="E199" s="116"/>
      <c r="F199" s="37"/>
      <c r="G199" s="114"/>
      <c r="H199" s="27"/>
      <c r="I199" s="27"/>
      <c r="J199" s="27"/>
      <c r="K199" s="27"/>
      <c r="L199" s="27"/>
      <c r="M199" s="27"/>
      <c r="N199" s="27"/>
      <c r="O199" s="27"/>
      <c r="P199" s="27"/>
      <c r="Q199" s="27"/>
      <c r="R199" s="27"/>
      <c r="S199" s="27"/>
      <c r="T199" s="27"/>
      <c r="U199" s="27"/>
      <c r="V199" s="27"/>
      <c r="W199" s="27"/>
      <c r="X199" s="27"/>
      <c r="Y199" s="27"/>
      <c r="Z199" s="27"/>
    </row>
    <row r="200" ht="15.75" customHeight="1">
      <c r="A200" s="113"/>
      <c r="B200" s="113"/>
      <c r="C200" s="113"/>
      <c r="D200" s="115"/>
      <c r="E200" s="116"/>
      <c r="F200" s="37"/>
      <c r="G200" s="114"/>
      <c r="H200" s="27"/>
      <c r="I200" s="27"/>
      <c r="J200" s="27"/>
      <c r="K200" s="27"/>
      <c r="L200" s="27"/>
      <c r="M200" s="27"/>
      <c r="N200" s="27"/>
      <c r="O200" s="27"/>
      <c r="P200" s="27"/>
      <c r="Q200" s="27"/>
      <c r="R200" s="27"/>
      <c r="S200" s="27"/>
      <c r="T200" s="27"/>
      <c r="U200" s="27"/>
      <c r="V200" s="27"/>
      <c r="W200" s="27"/>
      <c r="X200" s="27"/>
      <c r="Y200" s="27"/>
      <c r="Z200" s="27"/>
    </row>
    <row r="201" ht="15.75" customHeight="1">
      <c r="A201" s="113"/>
      <c r="B201" s="113"/>
      <c r="C201" s="113"/>
      <c r="D201" s="115"/>
      <c r="E201" s="116"/>
      <c r="F201" s="37"/>
      <c r="G201" s="114"/>
      <c r="H201" s="27"/>
      <c r="I201" s="27"/>
      <c r="J201" s="27"/>
      <c r="K201" s="27"/>
      <c r="L201" s="27"/>
      <c r="M201" s="27"/>
      <c r="N201" s="27"/>
      <c r="O201" s="27"/>
      <c r="P201" s="27"/>
      <c r="Q201" s="27"/>
      <c r="R201" s="27"/>
      <c r="S201" s="27"/>
      <c r="T201" s="27"/>
      <c r="U201" s="27"/>
      <c r="V201" s="27"/>
      <c r="W201" s="27"/>
      <c r="X201" s="27"/>
      <c r="Y201" s="27"/>
      <c r="Z201" s="27"/>
    </row>
    <row r="202" ht="15.75" customHeight="1">
      <c r="A202" s="113"/>
      <c r="B202" s="113"/>
      <c r="C202" s="113"/>
      <c r="D202" s="115"/>
      <c r="E202" s="116"/>
      <c r="F202" s="37"/>
      <c r="G202" s="114"/>
      <c r="H202" s="27"/>
      <c r="I202" s="27"/>
      <c r="J202" s="27"/>
      <c r="K202" s="27"/>
      <c r="L202" s="27"/>
      <c r="M202" s="27"/>
      <c r="N202" s="27"/>
      <c r="O202" s="27"/>
      <c r="P202" s="27"/>
      <c r="Q202" s="27"/>
      <c r="R202" s="27"/>
      <c r="S202" s="27"/>
      <c r="T202" s="27"/>
      <c r="U202" s="27"/>
      <c r="V202" s="27"/>
      <c r="W202" s="27"/>
      <c r="X202" s="27"/>
      <c r="Y202" s="27"/>
      <c r="Z202" s="27"/>
    </row>
    <row r="203" ht="15.75" customHeight="1">
      <c r="A203" s="113"/>
      <c r="B203" s="113"/>
      <c r="C203" s="113"/>
      <c r="D203" s="115"/>
      <c r="E203" s="116"/>
      <c r="F203" s="37"/>
      <c r="G203" s="114"/>
      <c r="H203" s="27"/>
      <c r="I203" s="27"/>
      <c r="J203" s="27"/>
      <c r="K203" s="27"/>
      <c r="L203" s="27"/>
      <c r="M203" s="27"/>
      <c r="N203" s="27"/>
      <c r="O203" s="27"/>
      <c r="P203" s="27"/>
      <c r="Q203" s="27"/>
      <c r="R203" s="27"/>
      <c r="S203" s="27"/>
      <c r="T203" s="27"/>
      <c r="U203" s="27"/>
      <c r="V203" s="27"/>
      <c r="W203" s="27"/>
      <c r="X203" s="27"/>
      <c r="Y203" s="27"/>
      <c r="Z203" s="27"/>
    </row>
    <row r="204" ht="15.75" customHeight="1">
      <c r="A204" s="113"/>
      <c r="B204" s="113"/>
      <c r="C204" s="113"/>
      <c r="D204" s="115"/>
      <c r="E204" s="116"/>
      <c r="F204" s="37"/>
      <c r="G204" s="114"/>
      <c r="H204" s="27"/>
      <c r="I204" s="27"/>
      <c r="J204" s="27"/>
      <c r="K204" s="27"/>
      <c r="L204" s="27"/>
      <c r="M204" s="27"/>
      <c r="N204" s="27"/>
      <c r="O204" s="27"/>
      <c r="P204" s="27"/>
      <c r="Q204" s="27"/>
      <c r="R204" s="27"/>
      <c r="S204" s="27"/>
      <c r="T204" s="27"/>
      <c r="U204" s="27"/>
      <c r="V204" s="27"/>
      <c r="W204" s="27"/>
      <c r="X204" s="27"/>
      <c r="Y204" s="27"/>
      <c r="Z204" s="27"/>
    </row>
    <row r="205" ht="15.75" customHeight="1">
      <c r="A205" s="113"/>
      <c r="B205" s="113"/>
      <c r="C205" s="113"/>
      <c r="D205" s="115"/>
      <c r="E205" s="116"/>
      <c r="F205" s="37"/>
      <c r="G205" s="114"/>
      <c r="H205" s="27"/>
      <c r="I205" s="27"/>
      <c r="J205" s="27"/>
      <c r="K205" s="27"/>
      <c r="L205" s="27"/>
      <c r="M205" s="27"/>
      <c r="N205" s="27"/>
      <c r="O205" s="27"/>
      <c r="P205" s="27"/>
      <c r="Q205" s="27"/>
      <c r="R205" s="27"/>
      <c r="S205" s="27"/>
      <c r="T205" s="27"/>
      <c r="U205" s="27"/>
      <c r="V205" s="27"/>
      <c r="W205" s="27"/>
      <c r="X205" s="27"/>
      <c r="Y205" s="27"/>
      <c r="Z205" s="27"/>
    </row>
    <row r="206" ht="15.75" customHeight="1">
      <c r="A206" s="113"/>
      <c r="B206" s="113"/>
      <c r="C206" s="113"/>
      <c r="D206" s="115"/>
      <c r="E206" s="116"/>
      <c r="F206" s="37"/>
      <c r="G206" s="114"/>
      <c r="H206" s="27"/>
      <c r="I206" s="27"/>
      <c r="J206" s="27"/>
      <c r="K206" s="27"/>
      <c r="L206" s="27"/>
      <c r="M206" s="27"/>
      <c r="N206" s="27"/>
      <c r="O206" s="27"/>
      <c r="P206" s="27"/>
      <c r="Q206" s="27"/>
      <c r="R206" s="27"/>
      <c r="S206" s="27"/>
      <c r="T206" s="27"/>
      <c r="U206" s="27"/>
      <c r="V206" s="27"/>
      <c r="W206" s="27"/>
      <c r="X206" s="27"/>
      <c r="Y206" s="27"/>
      <c r="Z206" s="27"/>
    </row>
    <row r="207" ht="15.75" customHeight="1">
      <c r="A207" s="113"/>
      <c r="B207" s="113"/>
      <c r="C207" s="113"/>
      <c r="D207" s="115"/>
      <c r="E207" s="116"/>
      <c r="F207" s="37"/>
      <c r="G207" s="114"/>
      <c r="H207" s="27"/>
      <c r="I207" s="27"/>
      <c r="J207" s="27"/>
      <c r="K207" s="27"/>
      <c r="L207" s="27"/>
      <c r="M207" s="27"/>
      <c r="N207" s="27"/>
      <c r="O207" s="27"/>
      <c r="P207" s="27"/>
      <c r="Q207" s="27"/>
      <c r="R207" s="27"/>
      <c r="S207" s="27"/>
      <c r="T207" s="27"/>
      <c r="U207" s="27"/>
      <c r="V207" s="27"/>
      <c r="W207" s="27"/>
      <c r="X207" s="27"/>
      <c r="Y207" s="27"/>
      <c r="Z207" s="27"/>
    </row>
    <row r="208" ht="15.75" customHeight="1">
      <c r="A208" s="113"/>
      <c r="B208" s="113"/>
      <c r="C208" s="113"/>
      <c r="D208" s="115"/>
      <c r="E208" s="116"/>
      <c r="F208" s="37"/>
      <c r="G208" s="114"/>
      <c r="H208" s="27"/>
      <c r="I208" s="27"/>
      <c r="J208" s="27"/>
      <c r="K208" s="27"/>
      <c r="L208" s="27"/>
      <c r="M208" s="27"/>
      <c r="N208" s="27"/>
      <c r="O208" s="27"/>
      <c r="P208" s="27"/>
      <c r="Q208" s="27"/>
      <c r="R208" s="27"/>
      <c r="S208" s="27"/>
      <c r="T208" s="27"/>
      <c r="U208" s="27"/>
      <c r="V208" s="27"/>
      <c r="W208" s="27"/>
      <c r="X208" s="27"/>
      <c r="Y208" s="27"/>
      <c r="Z208" s="27"/>
    </row>
    <row r="209" ht="15.75" customHeight="1">
      <c r="A209" s="113"/>
      <c r="B209" s="113"/>
      <c r="C209" s="113"/>
      <c r="D209" s="115"/>
      <c r="E209" s="116"/>
      <c r="F209" s="37"/>
      <c r="G209" s="114"/>
      <c r="H209" s="27"/>
      <c r="I209" s="27"/>
      <c r="J209" s="27"/>
      <c r="K209" s="27"/>
      <c r="L209" s="27"/>
      <c r="M209" s="27"/>
      <c r="N209" s="27"/>
      <c r="O209" s="27"/>
      <c r="P209" s="27"/>
      <c r="Q209" s="27"/>
      <c r="R209" s="27"/>
      <c r="S209" s="27"/>
      <c r="T209" s="27"/>
      <c r="U209" s="27"/>
      <c r="V209" s="27"/>
      <c r="W209" s="27"/>
      <c r="X209" s="27"/>
      <c r="Y209" s="27"/>
      <c r="Z209" s="27"/>
    </row>
    <row r="210" ht="15.75" customHeight="1">
      <c r="A210" s="113"/>
      <c r="B210" s="113"/>
      <c r="C210" s="113"/>
      <c r="D210" s="115"/>
      <c r="E210" s="116"/>
      <c r="F210" s="37"/>
      <c r="G210" s="114"/>
      <c r="H210" s="27"/>
      <c r="I210" s="27"/>
      <c r="J210" s="27"/>
      <c r="K210" s="27"/>
      <c r="L210" s="27"/>
      <c r="M210" s="27"/>
      <c r="N210" s="27"/>
      <c r="O210" s="27"/>
      <c r="P210" s="27"/>
      <c r="Q210" s="27"/>
      <c r="R210" s="27"/>
      <c r="S210" s="27"/>
      <c r="T210" s="27"/>
      <c r="U210" s="27"/>
      <c r="V210" s="27"/>
      <c r="W210" s="27"/>
      <c r="X210" s="27"/>
      <c r="Y210" s="27"/>
      <c r="Z210" s="27"/>
    </row>
    <row r="211" ht="15.75" customHeight="1">
      <c r="A211" s="113"/>
      <c r="B211" s="113"/>
      <c r="C211" s="113"/>
      <c r="D211" s="115"/>
      <c r="E211" s="116"/>
      <c r="F211" s="37"/>
      <c r="G211" s="114"/>
      <c r="H211" s="27"/>
      <c r="I211" s="27"/>
      <c r="J211" s="27"/>
      <c r="K211" s="27"/>
      <c r="L211" s="27"/>
      <c r="M211" s="27"/>
      <c r="N211" s="27"/>
      <c r="O211" s="27"/>
      <c r="P211" s="27"/>
      <c r="Q211" s="27"/>
      <c r="R211" s="27"/>
      <c r="S211" s="27"/>
      <c r="T211" s="27"/>
      <c r="U211" s="27"/>
      <c r="V211" s="27"/>
      <c r="W211" s="27"/>
      <c r="X211" s="27"/>
      <c r="Y211" s="27"/>
      <c r="Z211" s="27"/>
    </row>
    <row r="212" ht="15.75" customHeight="1">
      <c r="A212" s="113"/>
      <c r="B212" s="113"/>
      <c r="C212" s="113"/>
      <c r="D212" s="115"/>
      <c r="E212" s="116"/>
      <c r="F212" s="37"/>
      <c r="G212" s="114"/>
      <c r="H212" s="27"/>
      <c r="I212" s="27"/>
      <c r="J212" s="27"/>
      <c r="K212" s="27"/>
      <c r="L212" s="27"/>
      <c r="M212" s="27"/>
      <c r="N212" s="27"/>
      <c r="O212" s="27"/>
      <c r="P212" s="27"/>
      <c r="Q212" s="27"/>
      <c r="R212" s="27"/>
      <c r="S212" s="27"/>
      <c r="T212" s="27"/>
      <c r="U212" s="27"/>
      <c r="V212" s="27"/>
      <c r="W212" s="27"/>
      <c r="X212" s="27"/>
      <c r="Y212" s="27"/>
      <c r="Z212" s="27"/>
    </row>
    <row r="213" ht="15.75" customHeight="1">
      <c r="A213" s="113"/>
      <c r="B213" s="113"/>
      <c r="C213" s="113"/>
      <c r="D213" s="115"/>
      <c r="E213" s="116"/>
      <c r="F213" s="37"/>
      <c r="G213" s="114"/>
      <c r="H213" s="27"/>
      <c r="I213" s="27"/>
      <c r="J213" s="27"/>
      <c r="K213" s="27"/>
      <c r="L213" s="27"/>
      <c r="M213" s="27"/>
      <c r="N213" s="27"/>
      <c r="O213" s="27"/>
      <c r="P213" s="27"/>
      <c r="Q213" s="27"/>
      <c r="R213" s="27"/>
      <c r="S213" s="27"/>
      <c r="T213" s="27"/>
      <c r="U213" s="27"/>
      <c r="V213" s="27"/>
      <c r="W213" s="27"/>
      <c r="X213" s="27"/>
      <c r="Y213" s="27"/>
      <c r="Z213" s="27"/>
    </row>
    <row r="214" ht="15.75" customHeight="1">
      <c r="A214" s="113"/>
      <c r="B214" s="113"/>
      <c r="C214" s="113"/>
      <c r="D214" s="115"/>
      <c r="E214" s="116"/>
      <c r="F214" s="37"/>
      <c r="G214" s="114"/>
      <c r="H214" s="27"/>
      <c r="I214" s="27"/>
      <c r="J214" s="27"/>
      <c r="K214" s="27"/>
      <c r="L214" s="27"/>
      <c r="M214" s="27"/>
      <c r="N214" s="27"/>
      <c r="O214" s="27"/>
      <c r="P214" s="27"/>
      <c r="Q214" s="27"/>
      <c r="R214" s="27"/>
      <c r="S214" s="27"/>
      <c r="T214" s="27"/>
      <c r="U214" s="27"/>
      <c r="V214" s="27"/>
      <c r="W214" s="27"/>
      <c r="X214" s="27"/>
      <c r="Y214" s="27"/>
      <c r="Z214" s="27"/>
    </row>
    <row r="215" ht="15.75" customHeight="1">
      <c r="A215" s="113"/>
      <c r="B215" s="113"/>
      <c r="C215" s="113"/>
      <c r="D215" s="115"/>
      <c r="E215" s="116"/>
      <c r="F215" s="37"/>
      <c r="G215" s="114"/>
      <c r="H215" s="27"/>
      <c r="I215" s="27"/>
      <c r="J215" s="27"/>
      <c r="K215" s="27"/>
      <c r="L215" s="27"/>
      <c r="M215" s="27"/>
      <c r="N215" s="27"/>
      <c r="O215" s="27"/>
      <c r="P215" s="27"/>
      <c r="Q215" s="27"/>
      <c r="R215" s="27"/>
      <c r="S215" s="27"/>
      <c r="T215" s="27"/>
      <c r="U215" s="27"/>
      <c r="V215" s="27"/>
      <c r="W215" s="27"/>
      <c r="X215" s="27"/>
      <c r="Y215" s="27"/>
      <c r="Z215" s="27"/>
    </row>
    <row r="216" ht="15.75" customHeight="1">
      <c r="A216" s="113"/>
      <c r="B216" s="113"/>
      <c r="C216" s="113"/>
      <c r="D216" s="115"/>
      <c r="E216" s="116"/>
      <c r="F216" s="37"/>
      <c r="G216" s="114"/>
      <c r="H216" s="27"/>
      <c r="I216" s="27"/>
      <c r="J216" s="27"/>
      <c r="K216" s="27"/>
      <c r="L216" s="27"/>
      <c r="M216" s="27"/>
      <c r="N216" s="27"/>
      <c r="O216" s="27"/>
      <c r="P216" s="27"/>
      <c r="Q216" s="27"/>
      <c r="R216" s="27"/>
      <c r="S216" s="27"/>
      <c r="T216" s="27"/>
      <c r="U216" s="27"/>
      <c r="V216" s="27"/>
      <c r="W216" s="27"/>
      <c r="X216" s="27"/>
      <c r="Y216" s="27"/>
      <c r="Z216" s="27"/>
    </row>
    <row r="217" ht="15.75" customHeight="1">
      <c r="A217" s="113"/>
      <c r="B217" s="113"/>
      <c r="C217" s="113"/>
      <c r="D217" s="115"/>
      <c r="E217" s="116"/>
      <c r="F217" s="37"/>
      <c r="G217" s="114"/>
      <c r="H217" s="27"/>
      <c r="I217" s="27"/>
      <c r="J217" s="27"/>
      <c r="K217" s="27"/>
      <c r="L217" s="27"/>
      <c r="M217" s="27"/>
      <c r="N217" s="27"/>
      <c r="O217" s="27"/>
      <c r="P217" s="27"/>
      <c r="Q217" s="27"/>
      <c r="R217" s="27"/>
      <c r="S217" s="27"/>
      <c r="T217" s="27"/>
      <c r="U217" s="27"/>
      <c r="V217" s="27"/>
      <c r="W217" s="27"/>
      <c r="X217" s="27"/>
      <c r="Y217" s="27"/>
      <c r="Z217" s="27"/>
    </row>
    <row r="218" ht="15.75" customHeight="1">
      <c r="A218" s="113"/>
      <c r="B218" s="113"/>
      <c r="C218" s="113"/>
      <c r="D218" s="115"/>
      <c r="E218" s="116"/>
      <c r="F218" s="37"/>
      <c r="G218" s="114"/>
      <c r="H218" s="27"/>
      <c r="I218" s="27"/>
      <c r="J218" s="27"/>
      <c r="K218" s="27"/>
      <c r="L218" s="27"/>
      <c r="M218" s="27"/>
      <c r="N218" s="27"/>
      <c r="O218" s="27"/>
      <c r="P218" s="27"/>
      <c r="Q218" s="27"/>
      <c r="R218" s="27"/>
      <c r="S218" s="27"/>
      <c r="T218" s="27"/>
      <c r="U218" s="27"/>
      <c r="V218" s="27"/>
      <c r="W218" s="27"/>
      <c r="X218" s="27"/>
      <c r="Y218" s="27"/>
      <c r="Z218" s="27"/>
    </row>
    <row r="219" ht="15.75" customHeight="1">
      <c r="A219" s="113"/>
      <c r="B219" s="113"/>
      <c r="C219" s="113"/>
      <c r="D219" s="115"/>
      <c r="E219" s="116"/>
      <c r="F219" s="37"/>
      <c r="G219" s="114"/>
      <c r="H219" s="27"/>
      <c r="I219" s="27"/>
      <c r="J219" s="27"/>
      <c r="K219" s="27"/>
      <c r="L219" s="27"/>
      <c r="M219" s="27"/>
      <c r="N219" s="27"/>
      <c r="O219" s="27"/>
      <c r="P219" s="27"/>
      <c r="Q219" s="27"/>
      <c r="R219" s="27"/>
      <c r="S219" s="27"/>
      <c r="T219" s="27"/>
      <c r="U219" s="27"/>
      <c r="V219" s="27"/>
      <c r="W219" s="27"/>
      <c r="X219" s="27"/>
      <c r="Y219" s="27"/>
      <c r="Z219" s="27"/>
    </row>
    <row r="220" ht="15.75" customHeight="1">
      <c r="A220" s="113"/>
      <c r="B220" s="113"/>
      <c r="C220" s="113"/>
      <c r="D220" s="115"/>
      <c r="E220" s="116"/>
      <c r="F220" s="37"/>
      <c r="G220" s="114"/>
      <c r="H220" s="27"/>
      <c r="I220" s="27"/>
      <c r="J220" s="27"/>
      <c r="K220" s="27"/>
      <c r="L220" s="27"/>
      <c r="M220" s="27"/>
      <c r="N220" s="27"/>
      <c r="O220" s="27"/>
      <c r="P220" s="27"/>
      <c r="Q220" s="27"/>
      <c r="R220" s="27"/>
      <c r="S220" s="27"/>
      <c r="T220" s="27"/>
      <c r="U220" s="27"/>
      <c r="V220" s="27"/>
      <c r="W220" s="27"/>
      <c r="X220" s="27"/>
      <c r="Y220" s="27"/>
      <c r="Z220" s="27"/>
    </row>
    <row r="221" ht="15.75" customHeight="1">
      <c r="A221" s="113"/>
      <c r="B221" s="113"/>
      <c r="C221" s="113"/>
      <c r="D221" s="115"/>
      <c r="E221" s="116"/>
      <c r="F221" s="37"/>
      <c r="G221" s="114"/>
      <c r="H221" s="27"/>
      <c r="I221" s="27"/>
      <c r="J221" s="27"/>
      <c r="K221" s="27"/>
      <c r="L221" s="27"/>
      <c r="M221" s="27"/>
      <c r="N221" s="27"/>
      <c r="O221" s="27"/>
      <c r="P221" s="27"/>
      <c r="Q221" s="27"/>
      <c r="R221" s="27"/>
      <c r="S221" s="27"/>
      <c r="T221" s="27"/>
      <c r="U221" s="27"/>
      <c r="V221" s="27"/>
      <c r="W221" s="27"/>
      <c r="X221" s="27"/>
      <c r="Y221" s="27"/>
      <c r="Z221" s="27"/>
    </row>
    <row r="222" ht="15.75" customHeight="1">
      <c r="A222" s="113"/>
      <c r="B222" s="113"/>
      <c r="C222" s="113"/>
      <c r="D222" s="115"/>
      <c r="E222" s="116"/>
      <c r="F222" s="37"/>
      <c r="G222" s="114"/>
      <c r="H222" s="27"/>
      <c r="I222" s="27"/>
      <c r="J222" s="27"/>
      <c r="K222" s="27"/>
      <c r="L222" s="27"/>
      <c r="M222" s="27"/>
      <c r="N222" s="27"/>
      <c r="O222" s="27"/>
      <c r="P222" s="27"/>
      <c r="Q222" s="27"/>
      <c r="R222" s="27"/>
      <c r="S222" s="27"/>
      <c r="T222" s="27"/>
      <c r="U222" s="27"/>
      <c r="V222" s="27"/>
      <c r="W222" s="27"/>
      <c r="X222" s="27"/>
      <c r="Y222" s="27"/>
      <c r="Z222" s="27"/>
    </row>
    <row r="223" ht="15.75" customHeight="1">
      <c r="A223" s="113"/>
      <c r="B223" s="113"/>
      <c r="C223" s="113"/>
      <c r="D223" s="115"/>
      <c r="E223" s="116"/>
      <c r="F223" s="37"/>
      <c r="G223" s="114"/>
      <c r="H223" s="27"/>
      <c r="I223" s="27"/>
      <c r="J223" s="27"/>
      <c r="K223" s="27"/>
      <c r="L223" s="27"/>
      <c r="M223" s="27"/>
      <c r="N223" s="27"/>
      <c r="O223" s="27"/>
      <c r="P223" s="27"/>
      <c r="Q223" s="27"/>
      <c r="R223" s="27"/>
      <c r="S223" s="27"/>
      <c r="T223" s="27"/>
      <c r="U223" s="27"/>
      <c r="V223" s="27"/>
      <c r="W223" s="27"/>
      <c r="X223" s="27"/>
      <c r="Y223" s="27"/>
      <c r="Z223" s="27"/>
    </row>
    <row r="224" ht="15.75" customHeight="1">
      <c r="A224" s="113"/>
      <c r="B224" s="113"/>
      <c r="C224" s="113"/>
      <c r="D224" s="115"/>
      <c r="E224" s="116"/>
      <c r="F224" s="37"/>
      <c r="G224" s="114"/>
      <c r="H224" s="27"/>
      <c r="I224" s="27"/>
      <c r="J224" s="27"/>
      <c r="K224" s="27"/>
      <c r="L224" s="27"/>
      <c r="M224" s="27"/>
      <c r="N224" s="27"/>
      <c r="O224" s="27"/>
      <c r="P224" s="27"/>
      <c r="Q224" s="27"/>
      <c r="R224" s="27"/>
      <c r="S224" s="27"/>
      <c r="T224" s="27"/>
      <c r="U224" s="27"/>
      <c r="V224" s="27"/>
      <c r="W224" s="27"/>
      <c r="X224" s="27"/>
      <c r="Y224" s="27"/>
      <c r="Z224" s="27"/>
    </row>
    <row r="225" ht="15.75" customHeight="1">
      <c r="A225" s="113"/>
      <c r="B225" s="113"/>
      <c r="C225" s="113"/>
      <c r="D225" s="115"/>
      <c r="E225" s="116"/>
      <c r="F225" s="37"/>
      <c r="G225" s="114"/>
      <c r="H225" s="27"/>
      <c r="I225" s="27"/>
      <c r="J225" s="27"/>
      <c r="K225" s="27"/>
      <c r="L225" s="27"/>
      <c r="M225" s="27"/>
      <c r="N225" s="27"/>
      <c r="O225" s="27"/>
      <c r="P225" s="27"/>
      <c r="Q225" s="27"/>
      <c r="R225" s="27"/>
      <c r="S225" s="27"/>
      <c r="T225" s="27"/>
      <c r="U225" s="27"/>
      <c r="V225" s="27"/>
      <c r="W225" s="27"/>
      <c r="X225" s="27"/>
      <c r="Y225" s="27"/>
      <c r="Z225" s="27"/>
    </row>
    <row r="226" ht="15.75" customHeight="1">
      <c r="A226" s="113"/>
      <c r="B226" s="113"/>
      <c r="C226" s="113"/>
      <c r="D226" s="115"/>
      <c r="E226" s="116"/>
      <c r="F226" s="37"/>
      <c r="G226" s="114"/>
      <c r="H226" s="27"/>
      <c r="I226" s="27"/>
      <c r="J226" s="27"/>
      <c r="K226" s="27"/>
      <c r="L226" s="27"/>
      <c r="M226" s="27"/>
      <c r="N226" s="27"/>
      <c r="O226" s="27"/>
      <c r="P226" s="27"/>
      <c r="Q226" s="27"/>
      <c r="R226" s="27"/>
      <c r="S226" s="27"/>
      <c r="T226" s="27"/>
      <c r="U226" s="27"/>
      <c r="V226" s="27"/>
      <c r="W226" s="27"/>
      <c r="X226" s="27"/>
      <c r="Y226" s="27"/>
      <c r="Z226" s="27"/>
    </row>
    <row r="227" ht="15.75" customHeight="1">
      <c r="A227" s="113"/>
      <c r="B227" s="113"/>
      <c r="C227" s="113"/>
      <c r="D227" s="115"/>
      <c r="E227" s="116"/>
      <c r="F227" s="37"/>
      <c r="G227" s="114"/>
      <c r="H227" s="27"/>
      <c r="I227" s="27"/>
      <c r="J227" s="27"/>
      <c r="K227" s="27"/>
      <c r="L227" s="27"/>
      <c r="M227" s="27"/>
      <c r="N227" s="27"/>
      <c r="O227" s="27"/>
      <c r="P227" s="27"/>
      <c r="Q227" s="27"/>
      <c r="R227" s="27"/>
      <c r="S227" s="27"/>
      <c r="T227" s="27"/>
      <c r="U227" s="27"/>
      <c r="V227" s="27"/>
      <c r="W227" s="27"/>
      <c r="X227" s="27"/>
      <c r="Y227" s="27"/>
      <c r="Z227" s="27"/>
    </row>
    <row r="228" ht="15.75" customHeight="1">
      <c r="A228" s="113"/>
      <c r="B228" s="113"/>
      <c r="C228" s="113"/>
      <c r="D228" s="115"/>
      <c r="E228" s="116"/>
      <c r="F228" s="37"/>
      <c r="G228" s="114"/>
      <c r="H228" s="27"/>
      <c r="I228" s="27"/>
      <c r="J228" s="27"/>
      <c r="K228" s="27"/>
      <c r="L228" s="27"/>
      <c r="M228" s="27"/>
      <c r="N228" s="27"/>
      <c r="O228" s="27"/>
      <c r="P228" s="27"/>
      <c r="Q228" s="27"/>
      <c r="R228" s="27"/>
      <c r="S228" s="27"/>
      <c r="T228" s="27"/>
      <c r="U228" s="27"/>
      <c r="V228" s="27"/>
      <c r="W228" s="27"/>
      <c r="X228" s="27"/>
      <c r="Y228" s="27"/>
      <c r="Z228" s="27"/>
    </row>
    <row r="229" ht="15.75" customHeight="1">
      <c r="A229" s="113"/>
      <c r="B229" s="113"/>
      <c r="C229" s="113"/>
      <c r="D229" s="115"/>
      <c r="E229" s="116"/>
      <c r="F229" s="37"/>
      <c r="G229" s="114"/>
      <c r="H229" s="27"/>
      <c r="I229" s="27"/>
      <c r="J229" s="27"/>
      <c r="K229" s="27"/>
      <c r="L229" s="27"/>
      <c r="M229" s="27"/>
      <c r="N229" s="27"/>
      <c r="O229" s="27"/>
      <c r="P229" s="27"/>
      <c r="Q229" s="27"/>
      <c r="R229" s="27"/>
      <c r="S229" s="27"/>
      <c r="T229" s="27"/>
      <c r="U229" s="27"/>
      <c r="V229" s="27"/>
      <c r="W229" s="27"/>
      <c r="X229" s="27"/>
      <c r="Y229" s="27"/>
      <c r="Z229" s="27"/>
    </row>
    <row r="230" ht="15.75" customHeight="1">
      <c r="A230" s="113"/>
      <c r="B230" s="113"/>
      <c r="C230" s="113"/>
      <c r="D230" s="115"/>
      <c r="E230" s="116"/>
      <c r="F230" s="37"/>
      <c r="G230" s="114"/>
      <c r="H230" s="27"/>
      <c r="I230" s="27"/>
      <c r="J230" s="27"/>
      <c r="K230" s="27"/>
      <c r="L230" s="27"/>
      <c r="M230" s="27"/>
      <c r="N230" s="27"/>
      <c r="O230" s="27"/>
      <c r="P230" s="27"/>
      <c r="Q230" s="27"/>
      <c r="R230" s="27"/>
      <c r="S230" s="27"/>
      <c r="T230" s="27"/>
      <c r="U230" s="27"/>
      <c r="V230" s="27"/>
      <c r="W230" s="27"/>
      <c r="X230" s="27"/>
      <c r="Y230" s="27"/>
      <c r="Z230" s="27"/>
    </row>
    <row r="231" ht="15.75" customHeight="1">
      <c r="A231" s="113"/>
      <c r="B231" s="113"/>
      <c r="C231" s="113"/>
      <c r="D231" s="115"/>
      <c r="E231" s="116"/>
      <c r="F231" s="37"/>
      <c r="G231" s="114"/>
      <c r="H231" s="27"/>
      <c r="I231" s="27"/>
      <c r="J231" s="27"/>
      <c r="K231" s="27"/>
      <c r="L231" s="27"/>
      <c r="M231" s="27"/>
      <c r="N231" s="27"/>
      <c r="O231" s="27"/>
      <c r="P231" s="27"/>
      <c r="Q231" s="27"/>
      <c r="R231" s="27"/>
      <c r="S231" s="27"/>
      <c r="T231" s="27"/>
      <c r="U231" s="27"/>
      <c r="V231" s="27"/>
      <c r="W231" s="27"/>
      <c r="X231" s="27"/>
      <c r="Y231" s="27"/>
      <c r="Z231" s="27"/>
    </row>
    <row r="232" ht="15.75" customHeight="1">
      <c r="A232" s="113"/>
      <c r="B232" s="113"/>
      <c r="C232" s="113"/>
      <c r="D232" s="115"/>
      <c r="E232" s="116"/>
      <c r="F232" s="37"/>
      <c r="G232" s="114"/>
      <c r="H232" s="27"/>
      <c r="I232" s="27"/>
      <c r="J232" s="27"/>
      <c r="K232" s="27"/>
      <c r="L232" s="27"/>
      <c r="M232" s="27"/>
      <c r="N232" s="27"/>
      <c r="O232" s="27"/>
      <c r="P232" s="27"/>
      <c r="Q232" s="27"/>
      <c r="R232" s="27"/>
      <c r="S232" s="27"/>
      <c r="T232" s="27"/>
      <c r="U232" s="27"/>
      <c r="V232" s="27"/>
      <c r="W232" s="27"/>
      <c r="X232" s="27"/>
      <c r="Y232" s="27"/>
      <c r="Z232" s="27"/>
    </row>
    <row r="233" ht="15.75" customHeight="1">
      <c r="A233" s="113"/>
      <c r="B233" s="113"/>
      <c r="C233" s="113"/>
      <c r="D233" s="115"/>
      <c r="E233" s="116"/>
      <c r="F233" s="37"/>
      <c r="G233" s="114"/>
      <c r="H233" s="27"/>
      <c r="I233" s="27"/>
      <c r="J233" s="27"/>
      <c r="K233" s="27"/>
      <c r="L233" s="27"/>
      <c r="M233" s="27"/>
      <c r="N233" s="27"/>
      <c r="O233" s="27"/>
      <c r="P233" s="27"/>
      <c r="Q233" s="27"/>
      <c r="R233" s="27"/>
      <c r="S233" s="27"/>
      <c r="T233" s="27"/>
      <c r="U233" s="27"/>
      <c r="V233" s="27"/>
      <c r="W233" s="27"/>
      <c r="X233" s="27"/>
      <c r="Y233" s="27"/>
      <c r="Z233" s="27"/>
    </row>
    <row r="234" ht="15.75" customHeight="1">
      <c r="A234" s="113"/>
      <c r="B234" s="113"/>
      <c r="C234" s="113"/>
      <c r="D234" s="115"/>
      <c r="E234" s="116"/>
      <c r="F234" s="37"/>
      <c r="G234" s="114"/>
      <c r="H234" s="27"/>
      <c r="I234" s="27"/>
      <c r="J234" s="27"/>
      <c r="K234" s="27"/>
      <c r="L234" s="27"/>
      <c r="M234" s="27"/>
      <c r="N234" s="27"/>
      <c r="O234" s="27"/>
      <c r="P234" s="27"/>
      <c r="Q234" s="27"/>
      <c r="R234" s="27"/>
      <c r="S234" s="27"/>
      <c r="T234" s="27"/>
      <c r="U234" s="27"/>
      <c r="V234" s="27"/>
      <c r="W234" s="27"/>
      <c r="X234" s="27"/>
      <c r="Y234" s="27"/>
      <c r="Z234" s="27"/>
    </row>
    <row r="235" ht="15.75" customHeight="1">
      <c r="A235" s="113"/>
      <c r="B235" s="113"/>
      <c r="C235" s="113"/>
      <c r="D235" s="115"/>
      <c r="E235" s="116"/>
      <c r="F235" s="37"/>
      <c r="G235" s="114"/>
      <c r="H235" s="27"/>
      <c r="I235" s="27"/>
      <c r="J235" s="27"/>
      <c r="K235" s="27"/>
      <c r="L235" s="27"/>
      <c r="M235" s="27"/>
      <c r="N235" s="27"/>
      <c r="O235" s="27"/>
      <c r="P235" s="27"/>
      <c r="Q235" s="27"/>
      <c r="R235" s="27"/>
      <c r="S235" s="27"/>
      <c r="T235" s="27"/>
      <c r="U235" s="27"/>
      <c r="V235" s="27"/>
      <c r="W235" s="27"/>
      <c r="X235" s="27"/>
      <c r="Y235" s="27"/>
      <c r="Z235" s="27"/>
    </row>
    <row r="236" ht="15.75" customHeight="1">
      <c r="A236" s="113"/>
      <c r="B236" s="113"/>
      <c r="C236" s="113"/>
      <c r="D236" s="115"/>
      <c r="E236" s="116"/>
      <c r="F236" s="37"/>
      <c r="G236" s="114"/>
      <c r="H236" s="27"/>
      <c r="I236" s="27"/>
      <c r="J236" s="27"/>
      <c r="K236" s="27"/>
      <c r="L236" s="27"/>
      <c r="M236" s="27"/>
      <c r="N236" s="27"/>
      <c r="O236" s="27"/>
      <c r="P236" s="27"/>
      <c r="Q236" s="27"/>
      <c r="R236" s="27"/>
      <c r="S236" s="27"/>
      <c r="T236" s="27"/>
      <c r="U236" s="27"/>
      <c r="V236" s="27"/>
      <c r="W236" s="27"/>
      <c r="X236" s="27"/>
      <c r="Y236" s="27"/>
      <c r="Z236" s="27"/>
    </row>
    <row r="237" ht="15.75" customHeight="1">
      <c r="A237" s="113"/>
      <c r="B237" s="113"/>
      <c r="C237" s="113"/>
      <c r="D237" s="115"/>
      <c r="E237" s="116"/>
      <c r="F237" s="37"/>
      <c r="G237" s="114"/>
      <c r="H237" s="27"/>
      <c r="I237" s="27"/>
      <c r="J237" s="27"/>
      <c r="K237" s="27"/>
      <c r="L237" s="27"/>
      <c r="M237" s="27"/>
      <c r="N237" s="27"/>
      <c r="O237" s="27"/>
      <c r="P237" s="27"/>
      <c r="Q237" s="27"/>
      <c r="R237" s="27"/>
      <c r="S237" s="27"/>
      <c r="T237" s="27"/>
      <c r="U237" s="27"/>
      <c r="V237" s="27"/>
      <c r="W237" s="27"/>
      <c r="X237" s="27"/>
      <c r="Y237" s="27"/>
      <c r="Z237" s="27"/>
    </row>
    <row r="238" ht="15.75" customHeight="1">
      <c r="A238" s="113"/>
      <c r="B238" s="113"/>
      <c r="C238" s="113"/>
      <c r="D238" s="115"/>
      <c r="E238" s="116"/>
      <c r="F238" s="37"/>
      <c r="G238" s="114"/>
      <c r="H238" s="27"/>
      <c r="I238" s="27"/>
      <c r="J238" s="27"/>
      <c r="K238" s="27"/>
      <c r="L238" s="27"/>
      <c r="M238" s="27"/>
      <c r="N238" s="27"/>
      <c r="O238" s="27"/>
      <c r="P238" s="27"/>
      <c r="Q238" s="27"/>
      <c r="R238" s="27"/>
      <c r="S238" s="27"/>
      <c r="T238" s="27"/>
      <c r="U238" s="27"/>
      <c r="V238" s="27"/>
      <c r="W238" s="27"/>
      <c r="X238" s="27"/>
      <c r="Y238" s="27"/>
      <c r="Z238" s="27"/>
    </row>
    <row r="239" ht="15.75" customHeight="1">
      <c r="A239" s="113"/>
      <c r="B239" s="113"/>
      <c r="C239" s="113"/>
      <c r="D239" s="115"/>
      <c r="E239" s="116"/>
      <c r="F239" s="37"/>
      <c r="G239" s="114"/>
      <c r="H239" s="27"/>
      <c r="I239" s="27"/>
      <c r="J239" s="27"/>
      <c r="K239" s="27"/>
      <c r="L239" s="27"/>
      <c r="M239" s="27"/>
      <c r="N239" s="27"/>
      <c r="O239" s="27"/>
      <c r="P239" s="27"/>
      <c r="Q239" s="27"/>
      <c r="R239" s="27"/>
      <c r="S239" s="27"/>
      <c r="T239" s="27"/>
      <c r="U239" s="27"/>
      <c r="V239" s="27"/>
      <c r="W239" s="27"/>
      <c r="X239" s="27"/>
      <c r="Y239" s="27"/>
      <c r="Z239" s="27"/>
    </row>
    <row r="240" ht="15.75" customHeight="1">
      <c r="A240" s="113"/>
      <c r="B240" s="113"/>
      <c r="C240" s="113"/>
      <c r="D240" s="115"/>
      <c r="E240" s="116"/>
      <c r="F240" s="37"/>
      <c r="G240" s="114"/>
      <c r="H240" s="27"/>
      <c r="I240" s="27"/>
      <c r="J240" s="27"/>
      <c r="K240" s="27"/>
      <c r="L240" s="27"/>
      <c r="M240" s="27"/>
      <c r="N240" s="27"/>
      <c r="O240" s="27"/>
      <c r="P240" s="27"/>
      <c r="Q240" s="27"/>
      <c r="R240" s="27"/>
      <c r="S240" s="27"/>
      <c r="T240" s="27"/>
      <c r="U240" s="27"/>
      <c r="V240" s="27"/>
      <c r="W240" s="27"/>
      <c r="X240" s="27"/>
      <c r="Y240" s="27"/>
      <c r="Z240" s="27"/>
    </row>
    <row r="241" ht="15.75" customHeight="1">
      <c r="A241" s="113"/>
      <c r="B241" s="113"/>
      <c r="C241" s="113"/>
      <c r="D241" s="115"/>
      <c r="E241" s="116"/>
      <c r="F241" s="37"/>
      <c r="G241" s="114"/>
      <c r="H241" s="27"/>
      <c r="I241" s="27"/>
      <c r="J241" s="27"/>
      <c r="K241" s="27"/>
      <c r="L241" s="27"/>
      <c r="M241" s="27"/>
      <c r="N241" s="27"/>
      <c r="O241" s="27"/>
      <c r="P241" s="27"/>
      <c r="Q241" s="27"/>
      <c r="R241" s="27"/>
      <c r="S241" s="27"/>
      <c r="T241" s="27"/>
      <c r="U241" s="27"/>
      <c r="V241" s="27"/>
      <c r="W241" s="27"/>
      <c r="X241" s="27"/>
      <c r="Y241" s="27"/>
      <c r="Z241" s="27"/>
    </row>
    <row r="242" ht="15.75" customHeight="1">
      <c r="A242" s="113"/>
      <c r="B242" s="113"/>
      <c r="C242" s="113"/>
      <c r="D242" s="115"/>
      <c r="E242" s="116"/>
      <c r="F242" s="37"/>
      <c r="G242" s="114"/>
      <c r="H242" s="27"/>
      <c r="I242" s="27"/>
      <c r="J242" s="27"/>
      <c r="K242" s="27"/>
      <c r="L242" s="27"/>
      <c r="M242" s="27"/>
      <c r="N242" s="27"/>
      <c r="O242" s="27"/>
      <c r="P242" s="27"/>
      <c r="Q242" s="27"/>
      <c r="R242" s="27"/>
      <c r="S242" s="27"/>
      <c r="T242" s="27"/>
      <c r="U242" s="27"/>
      <c r="V242" s="27"/>
      <c r="W242" s="27"/>
      <c r="X242" s="27"/>
      <c r="Y242" s="27"/>
      <c r="Z242" s="27"/>
    </row>
    <row r="243" ht="15.75" customHeight="1">
      <c r="A243" s="113"/>
      <c r="B243" s="113"/>
      <c r="C243" s="113"/>
      <c r="D243" s="115"/>
      <c r="E243" s="116"/>
      <c r="F243" s="37"/>
      <c r="G243" s="114"/>
      <c r="H243" s="27"/>
      <c r="I243" s="27"/>
      <c r="J243" s="27"/>
      <c r="K243" s="27"/>
      <c r="L243" s="27"/>
      <c r="M243" s="27"/>
      <c r="N243" s="27"/>
      <c r="O243" s="27"/>
      <c r="P243" s="27"/>
      <c r="Q243" s="27"/>
      <c r="R243" s="27"/>
      <c r="S243" s="27"/>
      <c r="T243" s="27"/>
      <c r="U243" s="27"/>
      <c r="V243" s="27"/>
      <c r="W243" s="27"/>
      <c r="X243" s="27"/>
      <c r="Y243" s="27"/>
      <c r="Z243" s="27"/>
    </row>
    <row r="244" ht="15.75" customHeight="1">
      <c r="A244" s="113"/>
      <c r="B244" s="113"/>
      <c r="C244" s="113"/>
      <c r="D244" s="115"/>
      <c r="E244" s="116"/>
      <c r="F244" s="37"/>
      <c r="G244" s="114"/>
      <c r="H244" s="27"/>
      <c r="I244" s="27"/>
      <c r="J244" s="27"/>
      <c r="K244" s="27"/>
      <c r="L244" s="27"/>
      <c r="M244" s="27"/>
      <c r="N244" s="27"/>
      <c r="O244" s="27"/>
      <c r="P244" s="27"/>
      <c r="Q244" s="27"/>
      <c r="R244" s="27"/>
      <c r="S244" s="27"/>
      <c r="T244" s="27"/>
      <c r="U244" s="27"/>
      <c r="V244" s="27"/>
      <c r="W244" s="27"/>
      <c r="X244" s="27"/>
      <c r="Y244" s="27"/>
      <c r="Z244" s="27"/>
    </row>
    <row r="245" ht="15.75" customHeight="1">
      <c r="A245" s="113"/>
      <c r="B245" s="113"/>
      <c r="C245" s="113"/>
      <c r="D245" s="115"/>
      <c r="E245" s="116"/>
      <c r="F245" s="37"/>
      <c r="G245" s="114"/>
      <c r="H245" s="27"/>
      <c r="I245" s="27"/>
      <c r="J245" s="27"/>
      <c r="K245" s="27"/>
      <c r="L245" s="27"/>
      <c r="M245" s="27"/>
      <c r="N245" s="27"/>
      <c r="O245" s="27"/>
      <c r="P245" s="27"/>
      <c r="Q245" s="27"/>
      <c r="R245" s="27"/>
      <c r="S245" s="27"/>
      <c r="T245" s="27"/>
      <c r="U245" s="27"/>
      <c r="V245" s="27"/>
      <c r="W245" s="27"/>
      <c r="X245" s="27"/>
      <c r="Y245" s="27"/>
      <c r="Z245" s="27"/>
    </row>
    <row r="246" ht="15.75" customHeight="1">
      <c r="A246" s="113"/>
      <c r="B246" s="113"/>
      <c r="C246" s="113"/>
      <c r="D246" s="115"/>
      <c r="E246" s="116"/>
      <c r="F246" s="37"/>
      <c r="G246" s="114"/>
      <c r="H246" s="27"/>
      <c r="I246" s="27"/>
      <c r="J246" s="27"/>
      <c r="K246" s="27"/>
      <c r="L246" s="27"/>
      <c r="M246" s="27"/>
      <c r="N246" s="27"/>
      <c r="O246" s="27"/>
      <c r="P246" s="27"/>
      <c r="Q246" s="27"/>
      <c r="R246" s="27"/>
      <c r="S246" s="27"/>
      <c r="T246" s="27"/>
      <c r="U246" s="27"/>
      <c r="V246" s="27"/>
      <c r="W246" s="27"/>
      <c r="X246" s="27"/>
      <c r="Y246" s="27"/>
      <c r="Z246" s="27"/>
    </row>
    <row r="247" ht="15.75" customHeight="1">
      <c r="A247" s="113"/>
      <c r="B247" s="113"/>
      <c r="C247" s="113"/>
      <c r="D247" s="115"/>
      <c r="E247" s="116"/>
      <c r="F247" s="37"/>
      <c r="G247" s="114"/>
      <c r="H247" s="27"/>
      <c r="I247" s="27"/>
      <c r="J247" s="27"/>
      <c r="K247" s="27"/>
      <c r="L247" s="27"/>
      <c r="M247" s="27"/>
      <c r="N247" s="27"/>
      <c r="O247" s="27"/>
      <c r="P247" s="27"/>
      <c r="Q247" s="27"/>
      <c r="R247" s="27"/>
      <c r="S247" s="27"/>
      <c r="T247" s="27"/>
      <c r="U247" s="27"/>
      <c r="V247" s="27"/>
      <c r="W247" s="27"/>
      <c r="X247" s="27"/>
      <c r="Y247" s="27"/>
      <c r="Z247" s="27"/>
    </row>
    <row r="248" ht="15.75" customHeight="1">
      <c r="A248" s="113"/>
      <c r="B248" s="113"/>
      <c r="C248" s="113"/>
      <c r="D248" s="115"/>
      <c r="E248" s="116"/>
      <c r="F248" s="37"/>
      <c r="G248" s="114"/>
      <c r="H248" s="27"/>
      <c r="I248" s="27"/>
      <c r="J248" s="27"/>
      <c r="K248" s="27"/>
      <c r="L248" s="27"/>
      <c r="M248" s="27"/>
      <c r="N248" s="27"/>
      <c r="O248" s="27"/>
      <c r="P248" s="27"/>
      <c r="Q248" s="27"/>
      <c r="R248" s="27"/>
      <c r="S248" s="27"/>
      <c r="T248" s="27"/>
      <c r="U248" s="27"/>
      <c r="V248" s="27"/>
      <c r="W248" s="27"/>
      <c r="X248" s="27"/>
      <c r="Y248" s="27"/>
      <c r="Z248" s="27"/>
    </row>
    <row r="249" ht="15.75" customHeight="1">
      <c r="A249" s="113"/>
      <c r="B249" s="113"/>
      <c r="C249" s="113"/>
      <c r="D249" s="115"/>
      <c r="E249" s="116"/>
      <c r="F249" s="37"/>
      <c r="G249" s="114"/>
      <c r="H249" s="27"/>
      <c r="I249" s="27"/>
      <c r="J249" s="27"/>
      <c r="K249" s="27"/>
      <c r="L249" s="27"/>
      <c r="M249" s="27"/>
      <c r="N249" s="27"/>
      <c r="O249" s="27"/>
      <c r="P249" s="27"/>
      <c r="Q249" s="27"/>
      <c r="R249" s="27"/>
      <c r="S249" s="27"/>
      <c r="T249" s="27"/>
      <c r="U249" s="27"/>
      <c r="V249" s="27"/>
      <c r="W249" s="27"/>
      <c r="X249" s="27"/>
      <c r="Y249" s="27"/>
      <c r="Z249" s="27"/>
    </row>
    <row r="250" ht="15.75" customHeight="1">
      <c r="A250" s="113"/>
      <c r="B250" s="113"/>
      <c r="C250" s="113"/>
      <c r="D250" s="115"/>
      <c r="E250" s="116"/>
      <c r="F250" s="37"/>
      <c r="G250" s="114"/>
      <c r="H250" s="27"/>
      <c r="I250" s="27"/>
      <c r="J250" s="27"/>
      <c r="K250" s="27"/>
      <c r="L250" s="27"/>
      <c r="M250" s="27"/>
      <c r="N250" s="27"/>
      <c r="O250" s="27"/>
      <c r="P250" s="27"/>
      <c r="Q250" s="27"/>
      <c r="R250" s="27"/>
      <c r="S250" s="27"/>
      <c r="T250" s="27"/>
      <c r="U250" s="27"/>
      <c r="V250" s="27"/>
      <c r="W250" s="27"/>
      <c r="X250" s="27"/>
      <c r="Y250" s="27"/>
      <c r="Z250" s="27"/>
    </row>
    <row r="251" ht="15.75" customHeight="1">
      <c r="A251" s="113"/>
      <c r="B251" s="113"/>
      <c r="C251" s="113"/>
      <c r="D251" s="115"/>
      <c r="E251" s="116"/>
      <c r="F251" s="37"/>
      <c r="G251" s="114"/>
      <c r="H251" s="27"/>
      <c r="I251" s="27"/>
      <c r="J251" s="27"/>
      <c r="K251" s="27"/>
      <c r="L251" s="27"/>
      <c r="M251" s="27"/>
      <c r="N251" s="27"/>
      <c r="O251" s="27"/>
      <c r="P251" s="27"/>
      <c r="Q251" s="27"/>
      <c r="R251" s="27"/>
      <c r="S251" s="27"/>
      <c r="T251" s="27"/>
      <c r="U251" s="27"/>
      <c r="V251" s="27"/>
      <c r="W251" s="27"/>
      <c r="X251" s="27"/>
      <c r="Y251" s="27"/>
      <c r="Z251" s="27"/>
    </row>
    <row r="252" ht="15.75" customHeight="1">
      <c r="A252" s="113"/>
      <c r="B252" s="113"/>
      <c r="C252" s="113"/>
      <c r="D252" s="115"/>
      <c r="E252" s="116"/>
      <c r="F252" s="37"/>
      <c r="G252" s="114"/>
      <c r="H252" s="27"/>
      <c r="I252" s="27"/>
      <c r="J252" s="27"/>
      <c r="K252" s="27"/>
      <c r="L252" s="27"/>
      <c r="M252" s="27"/>
      <c r="N252" s="27"/>
      <c r="O252" s="27"/>
      <c r="P252" s="27"/>
      <c r="Q252" s="27"/>
      <c r="R252" s="27"/>
      <c r="S252" s="27"/>
      <c r="T252" s="27"/>
      <c r="U252" s="27"/>
      <c r="V252" s="27"/>
      <c r="W252" s="27"/>
      <c r="X252" s="27"/>
      <c r="Y252" s="27"/>
      <c r="Z252" s="27"/>
    </row>
    <row r="253" ht="15.75" customHeight="1">
      <c r="A253" s="113"/>
      <c r="B253" s="113"/>
      <c r="C253" s="113"/>
      <c r="D253" s="115"/>
      <c r="E253" s="116"/>
      <c r="F253" s="37"/>
      <c r="G253" s="114"/>
      <c r="H253" s="27"/>
      <c r="I253" s="27"/>
      <c r="J253" s="27"/>
      <c r="K253" s="27"/>
      <c r="L253" s="27"/>
      <c r="M253" s="27"/>
      <c r="N253" s="27"/>
      <c r="O253" s="27"/>
      <c r="P253" s="27"/>
      <c r="Q253" s="27"/>
      <c r="R253" s="27"/>
      <c r="S253" s="27"/>
      <c r="T253" s="27"/>
      <c r="U253" s="27"/>
      <c r="V253" s="27"/>
      <c r="W253" s="27"/>
      <c r="X253" s="27"/>
      <c r="Y253" s="27"/>
      <c r="Z253" s="27"/>
    </row>
    <row r="254" ht="15.75" customHeight="1">
      <c r="A254" s="113"/>
      <c r="B254" s="113"/>
      <c r="C254" s="113"/>
      <c r="D254" s="115"/>
      <c r="E254" s="116"/>
      <c r="F254" s="37"/>
      <c r="G254" s="114"/>
      <c r="H254" s="27"/>
      <c r="I254" s="27"/>
      <c r="J254" s="27"/>
      <c r="K254" s="27"/>
      <c r="L254" s="27"/>
      <c r="M254" s="27"/>
      <c r="N254" s="27"/>
      <c r="O254" s="27"/>
      <c r="P254" s="27"/>
      <c r="Q254" s="27"/>
      <c r="R254" s="27"/>
      <c r="S254" s="27"/>
      <c r="T254" s="27"/>
      <c r="U254" s="27"/>
      <c r="V254" s="27"/>
      <c r="W254" s="27"/>
      <c r="X254" s="27"/>
      <c r="Y254" s="27"/>
      <c r="Z254" s="27"/>
    </row>
    <row r="255" ht="15.75" customHeight="1">
      <c r="A255" s="113"/>
      <c r="B255" s="113"/>
      <c r="C255" s="113"/>
      <c r="D255" s="115"/>
      <c r="E255" s="116"/>
      <c r="F255" s="37"/>
      <c r="G255" s="114"/>
      <c r="H255" s="27"/>
      <c r="I255" s="27"/>
      <c r="J255" s="27"/>
      <c r="K255" s="27"/>
      <c r="L255" s="27"/>
      <c r="M255" s="27"/>
      <c r="N255" s="27"/>
      <c r="O255" s="27"/>
      <c r="P255" s="27"/>
      <c r="Q255" s="27"/>
      <c r="R255" s="27"/>
      <c r="S255" s="27"/>
      <c r="T255" s="27"/>
      <c r="U255" s="27"/>
      <c r="V255" s="27"/>
      <c r="W255" s="27"/>
      <c r="X255" s="27"/>
      <c r="Y255" s="27"/>
      <c r="Z255" s="27"/>
    </row>
    <row r="256" ht="15.75" customHeight="1">
      <c r="A256" s="113"/>
      <c r="B256" s="113"/>
      <c r="C256" s="113"/>
      <c r="D256" s="115"/>
      <c r="E256" s="116"/>
      <c r="F256" s="37"/>
      <c r="G256" s="114"/>
      <c r="H256" s="27"/>
      <c r="I256" s="27"/>
      <c r="J256" s="27"/>
      <c r="K256" s="27"/>
      <c r="L256" s="27"/>
      <c r="M256" s="27"/>
      <c r="N256" s="27"/>
      <c r="O256" s="27"/>
      <c r="P256" s="27"/>
      <c r="Q256" s="27"/>
      <c r="R256" s="27"/>
      <c r="S256" s="27"/>
      <c r="T256" s="27"/>
      <c r="U256" s="27"/>
      <c r="V256" s="27"/>
      <c r="W256" s="27"/>
      <c r="X256" s="27"/>
      <c r="Y256" s="27"/>
      <c r="Z256" s="27"/>
    </row>
    <row r="257" ht="15.75" customHeight="1">
      <c r="A257" s="113"/>
      <c r="B257" s="113"/>
      <c r="C257" s="113"/>
      <c r="D257" s="115"/>
      <c r="E257" s="116"/>
      <c r="F257" s="37"/>
      <c r="G257" s="114"/>
      <c r="H257" s="27"/>
      <c r="I257" s="27"/>
      <c r="J257" s="27"/>
      <c r="K257" s="27"/>
      <c r="L257" s="27"/>
      <c r="M257" s="27"/>
      <c r="N257" s="27"/>
      <c r="O257" s="27"/>
      <c r="P257" s="27"/>
      <c r="Q257" s="27"/>
      <c r="R257" s="27"/>
      <c r="S257" s="27"/>
      <c r="T257" s="27"/>
      <c r="U257" s="27"/>
      <c r="V257" s="27"/>
      <c r="W257" s="27"/>
      <c r="X257" s="27"/>
      <c r="Y257" s="27"/>
      <c r="Z257" s="27"/>
    </row>
    <row r="258" ht="15.75" customHeight="1">
      <c r="A258" s="113"/>
      <c r="B258" s="113"/>
      <c r="C258" s="113"/>
      <c r="D258" s="115"/>
      <c r="E258" s="116"/>
      <c r="F258" s="37"/>
      <c r="G258" s="114"/>
      <c r="H258" s="27"/>
      <c r="I258" s="27"/>
      <c r="J258" s="27"/>
      <c r="K258" s="27"/>
      <c r="L258" s="27"/>
      <c r="M258" s="27"/>
      <c r="N258" s="27"/>
      <c r="O258" s="27"/>
      <c r="P258" s="27"/>
      <c r="Q258" s="27"/>
      <c r="R258" s="27"/>
      <c r="S258" s="27"/>
      <c r="T258" s="27"/>
      <c r="U258" s="27"/>
      <c r="V258" s="27"/>
      <c r="W258" s="27"/>
      <c r="X258" s="27"/>
      <c r="Y258" s="27"/>
      <c r="Z258" s="27"/>
    </row>
    <row r="259" ht="15.75" customHeight="1">
      <c r="A259" s="113"/>
      <c r="B259" s="113"/>
      <c r="C259" s="113"/>
      <c r="D259" s="115"/>
      <c r="E259" s="116"/>
      <c r="F259" s="37"/>
      <c r="G259" s="114"/>
      <c r="H259" s="27"/>
      <c r="I259" s="27"/>
      <c r="J259" s="27"/>
      <c r="K259" s="27"/>
      <c r="L259" s="27"/>
      <c r="M259" s="27"/>
      <c r="N259" s="27"/>
      <c r="O259" s="27"/>
      <c r="P259" s="27"/>
      <c r="Q259" s="27"/>
      <c r="R259" s="27"/>
      <c r="S259" s="27"/>
      <c r="T259" s="27"/>
      <c r="U259" s="27"/>
      <c r="V259" s="27"/>
      <c r="W259" s="27"/>
      <c r="X259" s="27"/>
      <c r="Y259" s="27"/>
      <c r="Z259" s="27"/>
    </row>
    <row r="260" ht="15.75" customHeight="1">
      <c r="A260" s="113"/>
      <c r="B260" s="113"/>
      <c r="C260" s="113"/>
      <c r="D260" s="115"/>
      <c r="E260" s="116"/>
      <c r="F260" s="37"/>
      <c r="G260" s="114"/>
      <c r="H260" s="27"/>
      <c r="I260" s="27"/>
      <c r="J260" s="27"/>
      <c r="K260" s="27"/>
      <c r="L260" s="27"/>
      <c r="M260" s="27"/>
      <c r="N260" s="27"/>
      <c r="O260" s="27"/>
      <c r="P260" s="27"/>
      <c r="Q260" s="27"/>
      <c r="R260" s="27"/>
      <c r="S260" s="27"/>
      <c r="T260" s="27"/>
      <c r="U260" s="27"/>
      <c r="V260" s="27"/>
      <c r="W260" s="27"/>
      <c r="X260" s="27"/>
      <c r="Y260" s="27"/>
      <c r="Z260" s="27"/>
    </row>
    <row r="261" ht="15.75" customHeight="1">
      <c r="A261" s="113"/>
      <c r="B261" s="113"/>
      <c r="C261" s="113"/>
      <c r="D261" s="115"/>
      <c r="E261" s="116"/>
      <c r="F261" s="37"/>
      <c r="G261" s="114"/>
      <c r="H261" s="27"/>
      <c r="I261" s="27"/>
      <c r="J261" s="27"/>
      <c r="K261" s="27"/>
      <c r="L261" s="27"/>
      <c r="M261" s="27"/>
      <c r="N261" s="27"/>
      <c r="O261" s="27"/>
      <c r="P261" s="27"/>
      <c r="Q261" s="27"/>
      <c r="R261" s="27"/>
      <c r="S261" s="27"/>
      <c r="T261" s="27"/>
      <c r="U261" s="27"/>
      <c r="V261" s="27"/>
      <c r="W261" s="27"/>
      <c r="X261" s="27"/>
      <c r="Y261" s="27"/>
      <c r="Z261" s="27"/>
    </row>
    <row r="262" ht="15.75" customHeight="1">
      <c r="A262" s="113"/>
      <c r="B262" s="113"/>
      <c r="C262" s="113"/>
      <c r="D262" s="115"/>
      <c r="E262" s="116"/>
      <c r="F262" s="37"/>
      <c r="G262" s="114"/>
      <c r="H262" s="27"/>
      <c r="I262" s="27"/>
      <c r="J262" s="27"/>
      <c r="K262" s="27"/>
      <c r="L262" s="27"/>
      <c r="M262" s="27"/>
      <c r="N262" s="27"/>
      <c r="O262" s="27"/>
      <c r="P262" s="27"/>
      <c r="Q262" s="27"/>
      <c r="R262" s="27"/>
      <c r="S262" s="27"/>
      <c r="T262" s="27"/>
      <c r="U262" s="27"/>
      <c r="V262" s="27"/>
      <c r="W262" s="27"/>
      <c r="X262" s="27"/>
      <c r="Y262" s="27"/>
      <c r="Z262" s="27"/>
    </row>
    <row r="263" ht="15.75" customHeight="1">
      <c r="A263" s="113"/>
      <c r="B263" s="113"/>
      <c r="C263" s="113"/>
      <c r="D263" s="115"/>
      <c r="E263" s="116"/>
      <c r="F263" s="37"/>
      <c r="G263" s="114"/>
      <c r="H263" s="27"/>
      <c r="I263" s="27"/>
      <c r="J263" s="27"/>
      <c r="K263" s="27"/>
      <c r="L263" s="27"/>
      <c r="M263" s="27"/>
      <c r="N263" s="27"/>
      <c r="O263" s="27"/>
      <c r="P263" s="27"/>
      <c r="Q263" s="27"/>
      <c r="R263" s="27"/>
      <c r="S263" s="27"/>
      <c r="T263" s="27"/>
      <c r="U263" s="27"/>
      <c r="V263" s="27"/>
      <c r="W263" s="27"/>
      <c r="X263" s="27"/>
      <c r="Y263" s="27"/>
      <c r="Z263" s="27"/>
    </row>
    <row r="264" ht="15.75" customHeight="1">
      <c r="A264" s="113"/>
      <c r="B264" s="113"/>
      <c r="C264" s="113"/>
      <c r="D264" s="115"/>
      <c r="E264" s="116"/>
      <c r="F264" s="37"/>
      <c r="G264" s="114"/>
      <c r="H264" s="27"/>
      <c r="I264" s="27"/>
      <c r="J264" s="27"/>
      <c r="K264" s="27"/>
      <c r="L264" s="27"/>
      <c r="M264" s="27"/>
      <c r="N264" s="27"/>
      <c r="O264" s="27"/>
      <c r="P264" s="27"/>
      <c r="Q264" s="27"/>
      <c r="R264" s="27"/>
      <c r="S264" s="27"/>
      <c r="T264" s="27"/>
      <c r="U264" s="27"/>
      <c r="V264" s="27"/>
      <c r="W264" s="27"/>
      <c r="X264" s="27"/>
      <c r="Y264" s="27"/>
      <c r="Z264" s="27"/>
    </row>
    <row r="265" ht="15.75" customHeight="1">
      <c r="A265" s="113"/>
      <c r="B265" s="113"/>
      <c r="C265" s="113"/>
      <c r="D265" s="115"/>
      <c r="E265" s="116"/>
      <c r="F265" s="37"/>
      <c r="G265" s="114"/>
      <c r="H265" s="27"/>
      <c r="I265" s="27"/>
      <c r="J265" s="27"/>
      <c r="K265" s="27"/>
      <c r="L265" s="27"/>
      <c r="M265" s="27"/>
      <c r="N265" s="27"/>
      <c r="O265" s="27"/>
      <c r="P265" s="27"/>
      <c r="Q265" s="27"/>
      <c r="R265" s="27"/>
      <c r="S265" s="27"/>
      <c r="T265" s="27"/>
      <c r="U265" s="27"/>
      <c r="V265" s="27"/>
      <c r="W265" s="27"/>
      <c r="X265" s="27"/>
      <c r="Y265" s="27"/>
      <c r="Z265" s="27"/>
    </row>
    <row r="266" ht="15.75" customHeight="1">
      <c r="A266" s="113"/>
      <c r="B266" s="113"/>
      <c r="C266" s="113"/>
      <c r="D266" s="115"/>
      <c r="E266" s="116"/>
      <c r="F266" s="37"/>
      <c r="G266" s="114"/>
      <c r="H266" s="27"/>
      <c r="I266" s="27"/>
      <c r="J266" s="27"/>
      <c r="K266" s="27"/>
      <c r="L266" s="27"/>
      <c r="M266" s="27"/>
      <c r="N266" s="27"/>
      <c r="O266" s="27"/>
      <c r="P266" s="27"/>
      <c r="Q266" s="27"/>
      <c r="R266" s="27"/>
      <c r="S266" s="27"/>
      <c r="T266" s="27"/>
      <c r="U266" s="27"/>
      <c r="V266" s="27"/>
      <c r="W266" s="27"/>
      <c r="X266" s="27"/>
      <c r="Y266" s="27"/>
      <c r="Z266" s="27"/>
    </row>
    <row r="267" ht="15.75" customHeight="1">
      <c r="A267" s="113"/>
      <c r="B267" s="113"/>
      <c r="C267" s="113"/>
      <c r="D267" s="115"/>
      <c r="E267" s="116"/>
      <c r="F267" s="37"/>
      <c r="G267" s="114"/>
      <c r="H267" s="27"/>
      <c r="I267" s="27"/>
      <c r="J267" s="27"/>
      <c r="K267" s="27"/>
      <c r="L267" s="27"/>
      <c r="M267" s="27"/>
      <c r="N267" s="27"/>
      <c r="O267" s="27"/>
      <c r="P267" s="27"/>
      <c r="Q267" s="27"/>
      <c r="R267" s="27"/>
      <c r="S267" s="27"/>
      <c r="T267" s="27"/>
      <c r="U267" s="27"/>
      <c r="V267" s="27"/>
      <c r="W267" s="27"/>
      <c r="X267" s="27"/>
      <c r="Y267" s="27"/>
      <c r="Z267" s="27"/>
    </row>
    <row r="268" ht="15.75" customHeight="1">
      <c r="A268" s="113"/>
      <c r="B268" s="113"/>
      <c r="C268" s="113"/>
      <c r="D268" s="115"/>
      <c r="E268" s="116"/>
      <c r="F268" s="37"/>
      <c r="G268" s="114"/>
      <c r="H268" s="27"/>
      <c r="I268" s="27"/>
      <c r="J268" s="27"/>
      <c r="K268" s="27"/>
      <c r="L268" s="27"/>
      <c r="M268" s="27"/>
      <c r="N268" s="27"/>
      <c r="O268" s="27"/>
      <c r="P268" s="27"/>
      <c r="Q268" s="27"/>
      <c r="R268" s="27"/>
      <c r="S268" s="27"/>
      <c r="T268" s="27"/>
      <c r="U268" s="27"/>
      <c r="V268" s="27"/>
      <c r="W268" s="27"/>
      <c r="X268" s="27"/>
      <c r="Y268" s="27"/>
      <c r="Z268" s="27"/>
    </row>
    <row r="269" ht="15.75" customHeight="1">
      <c r="A269" s="113"/>
      <c r="B269" s="113"/>
      <c r="C269" s="113"/>
      <c r="D269" s="115"/>
      <c r="E269" s="116"/>
      <c r="F269" s="37"/>
      <c r="G269" s="114"/>
      <c r="H269" s="27"/>
      <c r="I269" s="27"/>
      <c r="J269" s="27"/>
      <c r="K269" s="27"/>
      <c r="L269" s="27"/>
      <c r="M269" s="27"/>
      <c r="N269" s="27"/>
      <c r="O269" s="27"/>
      <c r="P269" s="27"/>
      <c r="Q269" s="27"/>
      <c r="R269" s="27"/>
      <c r="S269" s="27"/>
      <c r="T269" s="27"/>
      <c r="U269" s="27"/>
      <c r="V269" s="27"/>
      <c r="W269" s="27"/>
      <c r="X269" s="27"/>
      <c r="Y269" s="27"/>
      <c r="Z269" s="27"/>
    </row>
    <row r="270" ht="15.75" customHeight="1">
      <c r="A270" s="113"/>
      <c r="B270" s="113"/>
      <c r="C270" s="113"/>
      <c r="D270" s="115"/>
      <c r="E270" s="116"/>
      <c r="F270" s="37"/>
      <c r="G270" s="114"/>
      <c r="H270" s="27"/>
      <c r="I270" s="27"/>
      <c r="J270" s="27"/>
      <c r="K270" s="27"/>
      <c r="L270" s="27"/>
      <c r="M270" s="27"/>
      <c r="N270" s="27"/>
      <c r="O270" s="27"/>
      <c r="P270" s="27"/>
      <c r="Q270" s="27"/>
      <c r="R270" s="27"/>
      <c r="S270" s="27"/>
      <c r="T270" s="27"/>
      <c r="U270" s="27"/>
      <c r="V270" s="27"/>
      <c r="W270" s="27"/>
      <c r="X270" s="27"/>
      <c r="Y270" s="27"/>
      <c r="Z270" s="27"/>
    </row>
    <row r="271" ht="15.75" customHeight="1">
      <c r="A271" s="113"/>
      <c r="B271" s="113"/>
      <c r="C271" s="113"/>
      <c r="D271" s="115"/>
      <c r="E271" s="116"/>
      <c r="F271" s="37"/>
      <c r="G271" s="114"/>
      <c r="H271" s="27"/>
      <c r="I271" s="27"/>
      <c r="J271" s="27"/>
      <c r="K271" s="27"/>
      <c r="L271" s="27"/>
      <c r="M271" s="27"/>
      <c r="N271" s="27"/>
      <c r="O271" s="27"/>
      <c r="P271" s="27"/>
      <c r="Q271" s="27"/>
      <c r="R271" s="27"/>
      <c r="S271" s="27"/>
      <c r="T271" s="27"/>
      <c r="U271" s="27"/>
      <c r="V271" s="27"/>
      <c r="W271" s="27"/>
      <c r="X271" s="27"/>
      <c r="Y271" s="27"/>
      <c r="Z271" s="27"/>
    </row>
    <row r="272" ht="15.75" customHeight="1">
      <c r="A272" s="113"/>
      <c r="B272" s="113"/>
      <c r="C272" s="113"/>
      <c r="D272" s="115"/>
      <c r="E272" s="116"/>
      <c r="F272" s="37"/>
      <c r="G272" s="114"/>
      <c r="H272" s="27"/>
      <c r="I272" s="27"/>
      <c r="J272" s="27"/>
      <c r="K272" s="27"/>
      <c r="L272" s="27"/>
      <c r="M272" s="27"/>
      <c r="N272" s="27"/>
      <c r="O272" s="27"/>
      <c r="P272" s="27"/>
      <c r="Q272" s="27"/>
      <c r="R272" s="27"/>
      <c r="S272" s="27"/>
      <c r="T272" s="27"/>
      <c r="U272" s="27"/>
      <c r="V272" s="27"/>
      <c r="W272" s="27"/>
      <c r="X272" s="27"/>
      <c r="Y272" s="27"/>
      <c r="Z272" s="27"/>
    </row>
    <row r="273" ht="15.75" customHeight="1">
      <c r="A273" s="113"/>
      <c r="B273" s="113"/>
      <c r="C273" s="113"/>
      <c r="D273" s="115"/>
      <c r="E273" s="116"/>
      <c r="F273" s="37"/>
      <c r="G273" s="114"/>
      <c r="H273" s="27"/>
      <c r="I273" s="27"/>
      <c r="J273" s="27"/>
      <c r="K273" s="27"/>
      <c r="L273" s="27"/>
      <c r="M273" s="27"/>
      <c r="N273" s="27"/>
      <c r="O273" s="27"/>
      <c r="P273" s="27"/>
      <c r="Q273" s="27"/>
      <c r="R273" s="27"/>
      <c r="S273" s="27"/>
      <c r="T273" s="27"/>
      <c r="U273" s="27"/>
      <c r="V273" s="27"/>
      <c r="W273" s="27"/>
      <c r="X273" s="27"/>
      <c r="Y273" s="27"/>
      <c r="Z273" s="27"/>
    </row>
    <row r="274" ht="15.75" customHeight="1">
      <c r="A274" s="113"/>
      <c r="B274" s="113"/>
      <c r="C274" s="113"/>
      <c r="D274" s="115"/>
      <c r="E274" s="116"/>
      <c r="F274" s="37"/>
      <c r="G274" s="114"/>
      <c r="H274" s="27"/>
      <c r="I274" s="27"/>
      <c r="J274" s="27"/>
      <c r="K274" s="27"/>
      <c r="L274" s="27"/>
      <c r="M274" s="27"/>
      <c r="N274" s="27"/>
      <c r="O274" s="27"/>
      <c r="P274" s="27"/>
      <c r="Q274" s="27"/>
      <c r="R274" s="27"/>
      <c r="S274" s="27"/>
      <c r="T274" s="27"/>
      <c r="U274" s="27"/>
      <c r="V274" s="27"/>
      <c r="W274" s="27"/>
      <c r="X274" s="27"/>
      <c r="Y274" s="27"/>
      <c r="Z274" s="27"/>
    </row>
    <row r="275" ht="15.75" customHeight="1">
      <c r="A275" s="113"/>
      <c r="B275" s="113"/>
      <c r="C275" s="113"/>
      <c r="D275" s="115"/>
      <c r="E275" s="116"/>
      <c r="F275" s="37"/>
      <c r="G275" s="114"/>
      <c r="H275" s="27"/>
      <c r="I275" s="27"/>
      <c r="J275" s="27"/>
      <c r="K275" s="27"/>
      <c r="L275" s="27"/>
      <c r="M275" s="27"/>
      <c r="N275" s="27"/>
      <c r="O275" s="27"/>
      <c r="P275" s="27"/>
      <c r="Q275" s="27"/>
      <c r="R275" s="27"/>
      <c r="S275" s="27"/>
      <c r="T275" s="27"/>
      <c r="U275" s="27"/>
      <c r="V275" s="27"/>
      <c r="W275" s="27"/>
      <c r="X275" s="27"/>
      <c r="Y275" s="27"/>
      <c r="Z275" s="27"/>
    </row>
    <row r="276" ht="15.75" customHeight="1">
      <c r="A276" s="113"/>
      <c r="B276" s="113"/>
      <c r="C276" s="113"/>
      <c r="D276" s="115"/>
      <c r="E276" s="116"/>
      <c r="F276" s="37"/>
      <c r="G276" s="114"/>
      <c r="H276" s="27"/>
      <c r="I276" s="27"/>
      <c r="J276" s="27"/>
      <c r="K276" s="27"/>
      <c r="L276" s="27"/>
      <c r="M276" s="27"/>
      <c r="N276" s="27"/>
      <c r="O276" s="27"/>
      <c r="P276" s="27"/>
      <c r="Q276" s="27"/>
      <c r="R276" s="27"/>
      <c r="S276" s="27"/>
      <c r="T276" s="27"/>
      <c r="U276" s="27"/>
      <c r="V276" s="27"/>
      <c r="W276" s="27"/>
      <c r="X276" s="27"/>
      <c r="Y276" s="27"/>
      <c r="Z276" s="27"/>
    </row>
    <row r="277" ht="15.75" customHeight="1">
      <c r="A277" s="113"/>
      <c r="B277" s="113"/>
      <c r="C277" s="113"/>
      <c r="D277" s="115"/>
      <c r="E277" s="116"/>
      <c r="F277" s="37"/>
      <c r="G277" s="114"/>
      <c r="H277" s="27"/>
      <c r="I277" s="27"/>
      <c r="J277" s="27"/>
      <c r="K277" s="27"/>
      <c r="L277" s="27"/>
      <c r="M277" s="27"/>
      <c r="N277" s="27"/>
      <c r="O277" s="27"/>
      <c r="P277" s="27"/>
      <c r="Q277" s="27"/>
      <c r="R277" s="27"/>
      <c r="S277" s="27"/>
      <c r="T277" s="27"/>
      <c r="U277" s="27"/>
      <c r="V277" s="27"/>
      <c r="W277" s="27"/>
      <c r="X277" s="27"/>
      <c r="Y277" s="27"/>
      <c r="Z277" s="27"/>
    </row>
    <row r="278" ht="15.75" customHeight="1">
      <c r="A278" s="113"/>
      <c r="B278" s="113"/>
      <c r="C278" s="113"/>
      <c r="D278" s="115"/>
      <c r="E278" s="116"/>
      <c r="F278" s="37"/>
      <c r="G278" s="114"/>
      <c r="H278" s="27"/>
      <c r="I278" s="27"/>
      <c r="J278" s="27"/>
      <c r="K278" s="27"/>
      <c r="L278" s="27"/>
      <c r="M278" s="27"/>
      <c r="N278" s="27"/>
      <c r="O278" s="27"/>
      <c r="P278" s="27"/>
      <c r="Q278" s="27"/>
      <c r="R278" s="27"/>
      <c r="S278" s="27"/>
      <c r="T278" s="27"/>
      <c r="U278" s="27"/>
      <c r="V278" s="27"/>
      <c r="W278" s="27"/>
      <c r="X278" s="27"/>
      <c r="Y278" s="27"/>
      <c r="Z278" s="27"/>
    </row>
    <row r="279" ht="15.75" customHeight="1">
      <c r="A279" s="113"/>
      <c r="B279" s="113"/>
      <c r="C279" s="113"/>
      <c r="D279" s="115"/>
      <c r="E279" s="116"/>
      <c r="F279" s="37"/>
      <c r="G279" s="114"/>
      <c r="H279" s="27"/>
      <c r="I279" s="27"/>
      <c r="J279" s="27"/>
      <c r="K279" s="27"/>
      <c r="L279" s="27"/>
      <c r="M279" s="27"/>
      <c r="N279" s="27"/>
      <c r="O279" s="27"/>
      <c r="P279" s="27"/>
      <c r="Q279" s="27"/>
      <c r="R279" s="27"/>
      <c r="S279" s="27"/>
      <c r="T279" s="27"/>
      <c r="U279" s="27"/>
      <c r="V279" s="27"/>
      <c r="W279" s="27"/>
      <c r="X279" s="27"/>
      <c r="Y279" s="27"/>
      <c r="Z279" s="27"/>
    </row>
    <row r="280" ht="15.75" customHeight="1">
      <c r="A280" s="113"/>
      <c r="B280" s="113"/>
      <c r="C280" s="113"/>
      <c r="D280" s="115"/>
      <c r="E280" s="116"/>
      <c r="F280" s="37"/>
      <c r="G280" s="114"/>
      <c r="H280" s="27"/>
      <c r="I280" s="27"/>
      <c r="J280" s="27"/>
      <c r="K280" s="27"/>
      <c r="L280" s="27"/>
      <c r="M280" s="27"/>
      <c r="N280" s="27"/>
      <c r="O280" s="27"/>
      <c r="P280" s="27"/>
      <c r="Q280" s="27"/>
      <c r="R280" s="27"/>
      <c r="S280" s="27"/>
      <c r="T280" s="27"/>
      <c r="U280" s="27"/>
      <c r="V280" s="27"/>
      <c r="W280" s="27"/>
      <c r="X280" s="27"/>
      <c r="Y280" s="27"/>
      <c r="Z280" s="27"/>
    </row>
    <row r="281" ht="15.75" customHeight="1">
      <c r="A281" s="113"/>
      <c r="B281" s="113"/>
      <c r="C281" s="113"/>
      <c r="D281" s="115"/>
      <c r="E281" s="116"/>
      <c r="F281" s="37"/>
      <c r="G281" s="114"/>
      <c r="H281" s="27"/>
      <c r="I281" s="27"/>
      <c r="J281" s="27"/>
      <c r="K281" s="27"/>
      <c r="L281" s="27"/>
      <c r="M281" s="27"/>
      <c r="N281" s="27"/>
      <c r="O281" s="27"/>
      <c r="P281" s="27"/>
      <c r="Q281" s="27"/>
      <c r="R281" s="27"/>
      <c r="S281" s="27"/>
      <c r="T281" s="27"/>
      <c r="U281" s="27"/>
      <c r="V281" s="27"/>
      <c r="W281" s="27"/>
      <c r="X281" s="27"/>
      <c r="Y281" s="27"/>
      <c r="Z281" s="27"/>
    </row>
    <row r="282" ht="15.75" customHeight="1">
      <c r="A282" s="113"/>
      <c r="B282" s="113"/>
      <c r="C282" s="113"/>
      <c r="D282" s="115"/>
      <c r="E282" s="116"/>
      <c r="F282" s="37"/>
      <c r="G282" s="114"/>
      <c r="H282" s="27"/>
      <c r="I282" s="27"/>
      <c r="J282" s="27"/>
      <c r="K282" s="27"/>
      <c r="L282" s="27"/>
      <c r="M282" s="27"/>
      <c r="N282" s="27"/>
      <c r="O282" s="27"/>
      <c r="P282" s="27"/>
      <c r="Q282" s="27"/>
      <c r="R282" s="27"/>
      <c r="S282" s="27"/>
      <c r="T282" s="27"/>
      <c r="U282" s="27"/>
      <c r="V282" s="27"/>
      <c r="W282" s="27"/>
      <c r="X282" s="27"/>
      <c r="Y282" s="27"/>
      <c r="Z282" s="27"/>
    </row>
    <row r="283" ht="15.75" customHeight="1">
      <c r="A283" s="113"/>
      <c r="B283" s="113"/>
      <c r="C283" s="113"/>
      <c r="D283" s="115"/>
      <c r="E283" s="116"/>
      <c r="F283" s="37"/>
      <c r="G283" s="114"/>
      <c r="H283" s="27"/>
      <c r="I283" s="27"/>
      <c r="J283" s="27"/>
      <c r="K283" s="27"/>
      <c r="L283" s="27"/>
      <c r="M283" s="27"/>
      <c r="N283" s="27"/>
      <c r="O283" s="27"/>
      <c r="P283" s="27"/>
      <c r="Q283" s="27"/>
      <c r="R283" s="27"/>
      <c r="S283" s="27"/>
      <c r="T283" s="27"/>
      <c r="U283" s="27"/>
      <c r="V283" s="27"/>
      <c r="W283" s="27"/>
      <c r="X283" s="27"/>
      <c r="Y283" s="27"/>
      <c r="Z283" s="27"/>
    </row>
    <row r="284" ht="15.75" customHeight="1">
      <c r="A284" s="113"/>
      <c r="B284" s="113"/>
      <c r="C284" s="113"/>
      <c r="D284" s="115"/>
      <c r="E284" s="116"/>
      <c r="F284" s="37"/>
      <c r="G284" s="114"/>
      <c r="H284" s="27"/>
      <c r="I284" s="27"/>
      <c r="J284" s="27"/>
      <c r="K284" s="27"/>
      <c r="L284" s="27"/>
      <c r="M284" s="27"/>
      <c r="N284" s="27"/>
      <c r="O284" s="27"/>
      <c r="P284" s="27"/>
      <c r="Q284" s="27"/>
      <c r="R284" s="27"/>
      <c r="S284" s="27"/>
      <c r="T284" s="27"/>
      <c r="U284" s="27"/>
      <c r="V284" s="27"/>
      <c r="W284" s="27"/>
      <c r="X284" s="27"/>
      <c r="Y284" s="27"/>
      <c r="Z284" s="27"/>
    </row>
    <row r="285" ht="15.75" customHeight="1">
      <c r="A285" s="113"/>
      <c r="B285" s="113"/>
      <c r="C285" s="113"/>
      <c r="D285" s="115"/>
      <c r="E285" s="116"/>
      <c r="F285" s="37"/>
      <c r="G285" s="114"/>
      <c r="H285" s="27"/>
      <c r="I285" s="27"/>
      <c r="J285" s="27"/>
      <c r="K285" s="27"/>
      <c r="L285" s="27"/>
      <c r="M285" s="27"/>
      <c r="N285" s="27"/>
      <c r="O285" s="27"/>
      <c r="P285" s="27"/>
      <c r="Q285" s="27"/>
      <c r="R285" s="27"/>
      <c r="S285" s="27"/>
      <c r="T285" s="27"/>
      <c r="U285" s="27"/>
      <c r="V285" s="27"/>
      <c r="W285" s="27"/>
      <c r="X285" s="27"/>
      <c r="Y285" s="27"/>
      <c r="Z285" s="27"/>
    </row>
    <row r="286" ht="15.75" customHeight="1">
      <c r="A286" s="113"/>
      <c r="B286" s="113"/>
      <c r="C286" s="113"/>
      <c r="D286" s="115"/>
      <c r="E286" s="116"/>
      <c r="F286" s="37"/>
      <c r="G286" s="114"/>
      <c r="H286" s="27"/>
      <c r="I286" s="27"/>
      <c r="J286" s="27"/>
      <c r="K286" s="27"/>
      <c r="L286" s="27"/>
      <c r="M286" s="27"/>
      <c r="N286" s="27"/>
      <c r="O286" s="27"/>
      <c r="P286" s="27"/>
      <c r="Q286" s="27"/>
      <c r="R286" s="27"/>
      <c r="S286" s="27"/>
      <c r="T286" s="27"/>
      <c r="U286" s="27"/>
      <c r="V286" s="27"/>
      <c r="W286" s="27"/>
      <c r="X286" s="27"/>
      <c r="Y286" s="27"/>
      <c r="Z286" s="27"/>
    </row>
    <row r="287" ht="15.75" customHeight="1">
      <c r="A287" s="113"/>
      <c r="B287" s="113"/>
      <c r="C287" s="113"/>
      <c r="D287" s="115"/>
      <c r="E287" s="116"/>
      <c r="F287" s="37"/>
      <c r="G287" s="114"/>
      <c r="H287" s="27"/>
      <c r="I287" s="27"/>
      <c r="J287" s="27"/>
      <c r="K287" s="27"/>
      <c r="L287" s="27"/>
      <c r="M287" s="27"/>
      <c r="N287" s="27"/>
      <c r="O287" s="27"/>
      <c r="P287" s="27"/>
      <c r="Q287" s="27"/>
      <c r="R287" s="27"/>
      <c r="S287" s="27"/>
      <c r="T287" s="27"/>
      <c r="U287" s="27"/>
      <c r="V287" s="27"/>
      <c r="W287" s="27"/>
      <c r="X287" s="27"/>
      <c r="Y287" s="27"/>
      <c r="Z287" s="27"/>
    </row>
    <row r="288" ht="15.75" customHeight="1">
      <c r="A288" s="113"/>
      <c r="B288" s="113"/>
      <c r="C288" s="113"/>
      <c r="D288" s="115"/>
      <c r="E288" s="116"/>
      <c r="F288" s="37"/>
      <c r="G288" s="114"/>
      <c r="H288" s="27"/>
      <c r="I288" s="27"/>
      <c r="J288" s="27"/>
      <c r="K288" s="27"/>
      <c r="L288" s="27"/>
      <c r="M288" s="27"/>
      <c r="N288" s="27"/>
      <c r="O288" s="27"/>
      <c r="P288" s="27"/>
      <c r="Q288" s="27"/>
      <c r="R288" s="27"/>
      <c r="S288" s="27"/>
      <c r="T288" s="27"/>
      <c r="U288" s="27"/>
      <c r="V288" s="27"/>
      <c r="W288" s="27"/>
      <c r="X288" s="27"/>
      <c r="Y288" s="27"/>
      <c r="Z288" s="27"/>
    </row>
    <row r="289" ht="15.75" customHeight="1">
      <c r="A289" s="113"/>
      <c r="B289" s="113"/>
      <c r="C289" s="113"/>
      <c r="D289" s="115"/>
      <c r="E289" s="116"/>
      <c r="F289" s="37"/>
      <c r="G289" s="114"/>
      <c r="H289" s="27"/>
      <c r="I289" s="27"/>
      <c r="J289" s="27"/>
      <c r="K289" s="27"/>
      <c r="L289" s="27"/>
      <c r="M289" s="27"/>
      <c r="N289" s="27"/>
      <c r="O289" s="27"/>
      <c r="P289" s="27"/>
      <c r="Q289" s="27"/>
      <c r="R289" s="27"/>
      <c r="S289" s="27"/>
      <c r="T289" s="27"/>
      <c r="U289" s="27"/>
      <c r="V289" s="27"/>
      <c r="W289" s="27"/>
      <c r="X289" s="27"/>
      <c r="Y289" s="27"/>
      <c r="Z289" s="27"/>
    </row>
    <row r="290" ht="15.75" customHeight="1">
      <c r="A290" s="113"/>
      <c r="B290" s="113"/>
      <c r="C290" s="113"/>
      <c r="D290" s="115"/>
      <c r="E290" s="116"/>
      <c r="F290" s="37"/>
      <c r="G290" s="114"/>
      <c r="H290" s="27"/>
      <c r="I290" s="27"/>
      <c r="J290" s="27"/>
      <c r="K290" s="27"/>
      <c r="L290" s="27"/>
      <c r="M290" s="27"/>
      <c r="N290" s="27"/>
      <c r="O290" s="27"/>
      <c r="P290" s="27"/>
      <c r="Q290" s="27"/>
      <c r="R290" s="27"/>
      <c r="S290" s="27"/>
      <c r="T290" s="27"/>
      <c r="U290" s="27"/>
      <c r="V290" s="27"/>
      <c r="W290" s="27"/>
      <c r="X290" s="27"/>
      <c r="Y290" s="27"/>
      <c r="Z290" s="27"/>
    </row>
    <row r="291" ht="15.75" customHeight="1">
      <c r="A291" s="113"/>
      <c r="B291" s="113"/>
      <c r="C291" s="113"/>
      <c r="D291" s="115"/>
      <c r="E291" s="116"/>
      <c r="F291" s="37"/>
      <c r="G291" s="114"/>
      <c r="H291" s="27"/>
      <c r="I291" s="27"/>
      <c r="J291" s="27"/>
      <c r="K291" s="27"/>
      <c r="L291" s="27"/>
      <c r="M291" s="27"/>
      <c r="N291" s="27"/>
      <c r="O291" s="27"/>
      <c r="P291" s="27"/>
      <c r="Q291" s="27"/>
      <c r="R291" s="27"/>
      <c r="S291" s="27"/>
      <c r="T291" s="27"/>
      <c r="U291" s="27"/>
      <c r="V291" s="27"/>
      <c r="W291" s="27"/>
      <c r="X291" s="27"/>
      <c r="Y291" s="27"/>
      <c r="Z291" s="27"/>
    </row>
    <row r="292" ht="15.75" customHeight="1">
      <c r="A292" s="113"/>
      <c r="B292" s="113"/>
      <c r="C292" s="113"/>
      <c r="D292" s="115"/>
      <c r="E292" s="116"/>
      <c r="F292" s="37"/>
      <c r="G292" s="114"/>
      <c r="H292" s="27"/>
      <c r="I292" s="27"/>
      <c r="J292" s="27"/>
      <c r="K292" s="27"/>
      <c r="L292" s="27"/>
      <c r="M292" s="27"/>
      <c r="N292" s="27"/>
      <c r="O292" s="27"/>
      <c r="P292" s="27"/>
      <c r="Q292" s="27"/>
      <c r="R292" s="27"/>
      <c r="S292" s="27"/>
      <c r="T292" s="27"/>
      <c r="U292" s="27"/>
      <c r="V292" s="27"/>
      <c r="W292" s="27"/>
      <c r="X292" s="27"/>
      <c r="Y292" s="27"/>
      <c r="Z292" s="27"/>
    </row>
    <row r="293" ht="15.75" customHeight="1">
      <c r="A293" s="113"/>
      <c r="B293" s="113"/>
      <c r="C293" s="113"/>
      <c r="D293" s="115"/>
      <c r="E293" s="116"/>
      <c r="F293" s="37"/>
      <c r="G293" s="114"/>
      <c r="H293" s="27"/>
      <c r="I293" s="27"/>
      <c r="J293" s="27"/>
      <c r="K293" s="27"/>
      <c r="L293" s="27"/>
      <c r="M293" s="27"/>
      <c r="N293" s="27"/>
      <c r="O293" s="27"/>
      <c r="P293" s="27"/>
      <c r="Q293" s="27"/>
      <c r="R293" s="27"/>
      <c r="S293" s="27"/>
      <c r="T293" s="27"/>
      <c r="U293" s="27"/>
      <c r="V293" s="27"/>
      <c r="W293" s="27"/>
      <c r="X293" s="27"/>
      <c r="Y293" s="27"/>
      <c r="Z293" s="27"/>
    </row>
    <row r="294" ht="15.75" customHeight="1">
      <c r="A294" s="113"/>
      <c r="B294" s="113"/>
      <c r="C294" s="113"/>
      <c r="D294" s="115"/>
      <c r="E294" s="116"/>
      <c r="F294" s="37"/>
      <c r="G294" s="114"/>
      <c r="H294" s="27"/>
      <c r="I294" s="27"/>
      <c r="J294" s="27"/>
      <c r="K294" s="27"/>
      <c r="L294" s="27"/>
      <c r="M294" s="27"/>
      <c r="N294" s="27"/>
      <c r="O294" s="27"/>
      <c r="P294" s="27"/>
      <c r="Q294" s="27"/>
      <c r="R294" s="27"/>
      <c r="S294" s="27"/>
      <c r="T294" s="27"/>
      <c r="U294" s="27"/>
      <c r="V294" s="27"/>
      <c r="W294" s="27"/>
      <c r="X294" s="27"/>
      <c r="Y294" s="27"/>
      <c r="Z294" s="27"/>
    </row>
    <row r="295" ht="15.75" customHeight="1">
      <c r="A295" s="113"/>
      <c r="B295" s="113"/>
      <c r="C295" s="113"/>
      <c r="D295" s="115"/>
      <c r="E295" s="116"/>
      <c r="F295" s="37"/>
      <c r="G295" s="114"/>
      <c r="H295" s="27"/>
      <c r="I295" s="27"/>
      <c r="J295" s="27"/>
      <c r="K295" s="27"/>
      <c r="L295" s="27"/>
      <c r="M295" s="27"/>
      <c r="N295" s="27"/>
      <c r="O295" s="27"/>
      <c r="P295" s="27"/>
      <c r="Q295" s="27"/>
      <c r="R295" s="27"/>
      <c r="S295" s="27"/>
      <c r="T295" s="27"/>
      <c r="U295" s="27"/>
      <c r="V295" s="27"/>
      <c r="W295" s="27"/>
      <c r="X295" s="27"/>
      <c r="Y295" s="27"/>
      <c r="Z295" s="27"/>
    </row>
    <row r="296" ht="15.75" customHeight="1">
      <c r="A296" s="113"/>
      <c r="B296" s="113"/>
      <c r="C296" s="113"/>
      <c r="D296" s="115"/>
      <c r="E296" s="116"/>
      <c r="F296" s="37"/>
      <c r="G296" s="114"/>
      <c r="H296" s="27"/>
      <c r="I296" s="27"/>
      <c r="J296" s="27"/>
      <c r="K296" s="27"/>
      <c r="L296" s="27"/>
      <c r="M296" s="27"/>
      <c r="N296" s="27"/>
      <c r="O296" s="27"/>
      <c r="P296" s="27"/>
      <c r="Q296" s="27"/>
      <c r="R296" s="27"/>
      <c r="S296" s="27"/>
      <c r="T296" s="27"/>
      <c r="U296" s="27"/>
      <c r="V296" s="27"/>
      <c r="W296" s="27"/>
      <c r="X296" s="27"/>
      <c r="Y296" s="27"/>
      <c r="Z296" s="27"/>
    </row>
    <row r="297" ht="15.75" customHeight="1">
      <c r="A297" s="113"/>
      <c r="B297" s="113"/>
      <c r="C297" s="113"/>
      <c r="D297" s="115"/>
      <c r="E297" s="116"/>
      <c r="F297" s="37"/>
      <c r="G297" s="114"/>
      <c r="H297" s="27"/>
      <c r="I297" s="27"/>
      <c r="J297" s="27"/>
      <c r="K297" s="27"/>
      <c r="L297" s="27"/>
      <c r="M297" s="27"/>
      <c r="N297" s="27"/>
      <c r="O297" s="27"/>
      <c r="P297" s="27"/>
      <c r="Q297" s="27"/>
      <c r="R297" s="27"/>
      <c r="S297" s="27"/>
      <c r="T297" s="27"/>
      <c r="U297" s="27"/>
      <c r="V297" s="27"/>
      <c r="W297" s="27"/>
      <c r="X297" s="27"/>
      <c r="Y297" s="27"/>
      <c r="Z297" s="27"/>
    </row>
    <row r="298" ht="15.75" customHeight="1">
      <c r="A298" s="113"/>
      <c r="B298" s="113"/>
      <c r="C298" s="113"/>
      <c r="D298" s="115"/>
      <c r="E298" s="116"/>
      <c r="F298" s="37"/>
      <c r="G298" s="114"/>
      <c r="H298" s="27"/>
      <c r="I298" s="27"/>
      <c r="J298" s="27"/>
      <c r="K298" s="27"/>
      <c r="L298" s="27"/>
      <c r="M298" s="27"/>
      <c r="N298" s="27"/>
      <c r="O298" s="27"/>
      <c r="P298" s="27"/>
      <c r="Q298" s="27"/>
      <c r="R298" s="27"/>
      <c r="S298" s="27"/>
      <c r="T298" s="27"/>
      <c r="U298" s="27"/>
      <c r="V298" s="27"/>
      <c r="W298" s="27"/>
      <c r="X298" s="27"/>
      <c r="Y298" s="27"/>
      <c r="Z298" s="27"/>
    </row>
    <row r="299" ht="15.75" customHeight="1">
      <c r="A299" s="113"/>
      <c r="B299" s="113"/>
      <c r="C299" s="113"/>
      <c r="D299" s="115"/>
      <c r="E299" s="116"/>
      <c r="F299" s="37"/>
      <c r="G299" s="114"/>
      <c r="H299" s="27"/>
      <c r="I299" s="27"/>
      <c r="J299" s="27"/>
      <c r="K299" s="27"/>
      <c r="L299" s="27"/>
      <c r="M299" s="27"/>
      <c r="N299" s="27"/>
      <c r="O299" s="27"/>
      <c r="P299" s="27"/>
      <c r="Q299" s="27"/>
      <c r="R299" s="27"/>
      <c r="S299" s="27"/>
      <c r="T299" s="27"/>
      <c r="U299" s="27"/>
      <c r="V299" s="27"/>
      <c r="W299" s="27"/>
      <c r="X299" s="27"/>
      <c r="Y299" s="27"/>
      <c r="Z299" s="27"/>
    </row>
    <row r="300" ht="15.75" customHeight="1">
      <c r="A300" s="113"/>
      <c r="B300" s="113"/>
      <c r="C300" s="113"/>
      <c r="D300" s="115"/>
      <c r="E300" s="116"/>
      <c r="F300" s="37"/>
      <c r="G300" s="114"/>
      <c r="H300" s="27"/>
      <c r="I300" s="27"/>
      <c r="J300" s="27"/>
      <c r="K300" s="27"/>
      <c r="L300" s="27"/>
      <c r="M300" s="27"/>
      <c r="N300" s="27"/>
      <c r="O300" s="27"/>
      <c r="P300" s="27"/>
      <c r="Q300" s="27"/>
      <c r="R300" s="27"/>
      <c r="S300" s="27"/>
      <c r="T300" s="27"/>
      <c r="U300" s="27"/>
      <c r="V300" s="27"/>
      <c r="W300" s="27"/>
      <c r="X300" s="27"/>
      <c r="Y300" s="27"/>
      <c r="Z300" s="27"/>
    </row>
    <row r="301" ht="15.75" customHeight="1">
      <c r="A301" s="113"/>
      <c r="B301" s="113"/>
      <c r="C301" s="113"/>
      <c r="D301" s="115"/>
      <c r="E301" s="116"/>
      <c r="F301" s="37"/>
      <c r="G301" s="114"/>
      <c r="H301" s="27"/>
      <c r="I301" s="27"/>
      <c r="J301" s="27"/>
      <c r="K301" s="27"/>
      <c r="L301" s="27"/>
      <c r="M301" s="27"/>
      <c r="N301" s="27"/>
      <c r="O301" s="27"/>
      <c r="P301" s="27"/>
      <c r="Q301" s="27"/>
      <c r="R301" s="27"/>
      <c r="S301" s="27"/>
      <c r="T301" s="27"/>
      <c r="U301" s="27"/>
      <c r="V301" s="27"/>
      <c r="W301" s="27"/>
      <c r="X301" s="27"/>
      <c r="Y301" s="27"/>
      <c r="Z301" s="27"/>
    </row>
    <row r="302" ht="15.75" customHeight="1">
      <c r="A302" s="113"/>
      <c r="B302" s="113"/>
      <c r="C302" s="113"/>
      <c r="D302" s="115"/>
      <c r="E302" s="116"/>
      <c r="F302" s="37"/>
      <c r="G302" s="114"/>
      <c r="H302" s="27"/>
      <c r="I302" s="27"/>
      <c r="J302" s="27"/>
      <c r="K302" s="27"/>
      <c r="L302" s="27"/>
      <c r="M302" s="27"/>
      <c r="N302" s="27"/>
      <c r="O302" s="27"/>
      <c r="P302" s="27"/>
      <c r="Q302" s="27"/>
      <c r="R302" s="27"/>
      <c r="S302" s="27"/>
      <c r="T302" s="27"/>
      <c r="U302" s="27"/>
      <c r="V302" s="27"/>
      <c r="W302" s="27"/>
      <c r="X302" s="27"/>
      <c r="Y302" s="27"/>
      <c r="Z302" s="27"/>
    </row>
    <row r="303" ht="15.75" customHeight="1">
      <c r="A303" s="113"/>
      <c r="B303" s="113"/>
      <c r="C303" s="113"/>
      <c r="D303" s="115"/>
      <c r="E303" s="116"/>
      <c r="F303" s="37"/>
      <c r="G303" s="114"/>
      <c r="H303" s="27"/>
      <c r="I303" s="27"/>
      <c r="J303" s="27"/>
      <c r="K303" s="27"/>
      <c r="L303" s="27"/>
      <c r="M303" s="27"/>
      <c r="N303" s="27"/>
      <c r="O303" s="27"/>
      <c r="P303" s="27"/>
      <c r="Q303" s="27"/>
      <c r="R303" s="27"/>
      <c r="S303" s="27"/>
      <c r="T303" s="27"/>
      <c r="U303" s="27"/>
      <c r="V303" s="27"/>
      <c r="W303" s="27"/>
      <c r="X303" s="27"/>
      <c r="Y303" s="27"/>
      <c r="Z303" s="27"/>
    </row>
    <row r="304" ht="15.75" customHeight="1">
      <c r="A304" s="113"/>
      <c r="B304" s="113"/>
      <c r="C304" s="113"/>
      <c r="D304" s="115"/>
      <c r="E304" s="116"/>
      <c r="F304" s="37"/>
      <c r="G304" s="114"/>
      <c r="H304" s="27"/>
      <c r="I304" s="27"/>
      <c r="J304" s="27"/>
      <c r="K304" s="27"/>
      <c r="L304" s="27"/>
      <c r="M304" s="27"/>
      <c r="N304" s="27"/>
      <c r="O304" s="27"/>
      <c r="P304" s="27"/>
      <c r="Q304" s="27"/>
      <c r="R304" s="27"/>
      <c r="S304" s="27"/>
      <c r="T304" s="27"/>
      <c r="U304" s="27"/>
      <c r="V304" s="27"/>
      <c r="W304" s="27"/>
      <c r="X304" s="27"/>
      <c r="Y304" s="27"/>
      <c r="Z304" s="27"/>
    </row>
    <row r="305" ht="15.75" customHeight="1">
      <c r="A305" s="113"/>
      <c r="B305" s="113"/>
      <c r="C305" s="113"/>
      <c r="D305" s="115"/>
      <c r="E305" s="116"/>
      <c r="F305" s="37"/>
      <c r="G305" s="114"/>
      <c r="H305" s="27"/>
      <c r="I305" s="27"/>
      <c r="J305" s="27"/>
      <c r="K305" s="27"/>
      <c r="L305" s="27"/>
      <c r="M305" s="27"/>
      <c r="N305" s="27"/>
      <c r="O305" s="27"/>
      <c r="P305" s="27"/>
      <c r="Q305" s="27"/>
      <c r="R305" s="27"/>
      <c r="S305" s="27"/>
      <c r="T305" s="27"/>
      <c r="U305" s="27"/>
      <c r="V305" s="27"/>
      <c r="W305" s="27"/>
      <c r="X305" s="27"/>
      <c r="Y305" s="27"/>
      <c r="Z305" s="27"/>
    </row>
    <row r="306" ht="15.75" customHeight="1">
      <c r="A306" s="113"/>
      <c r="B306" s="113"/>
      <c r="C306" s="113"/>
      <c r="D306" s="115"/>
      <c r="E306" s="116"/>
      <c r="F306" s="37"/>
      <c r="G306" s="114"/>
      <c r="H306" s="27"/>
      <c r="I306" s="27"/>
      <c r="J306" s="27"/>
      <c r="K306" s="27"/>
      <c r="L306" s="27"/>
      <c r="M306" s="27"/>
      <c r="N306" s="27"/>
      <c r="O306" s="27"/>
      <c r="P306" s="27"/>
      <c r="Q306" s="27"/>
      <c r="R306" s="27"/>
      <c r="S306" s="27"/>
      <c r="T306" s="27"/>
      <c r="U306" s="27"/>
      <c r="V306" s="27"/>
      <c r="W306" s="27"/>
      <c r="X306" s="27"/>
      <c r="Y306" s="27"/>
      <c r="Z306" s="27"/>
    </row>
    <row r="307" ht="15.75" customHeight="1">
      <c r="A307" s="113"/>
      <c r="B307" s="113"/>
      <c r="C307" s="113"/>
      <c r="D307" s="115"/>
      <c r="E307" s="116"/>
      <c r="F307" s="37"/>
      <c r="G307" s="114"/>
      <c r="H307" s="27"/>
      <c r="I307" s="27"/>
      <c r="J307" s="27"/>
      <c r="K307" s="27"/>
      <c r="L307" s="27"/>
      <c r="M307" s="27"/>
      <c r="N307" s="27"/>
      <c r="O307" s="27"/>
      <c r="P307" s="27"/>
      <c r="Q307" s="27"/>
      <c r="R307" s="27"/>
      <c r="S307" s="27"/>
      <c r="T307" s="27"/>
      <c r="U307" s="27"/>
      <c r="V307" s="27"/>
      <c r="W307" s="27"/>
      <c r="X307" s="27"/>
      <c r="Y307" s="27"/>
      <c r="Z307" s="27"/>
    </row>
    <row r="308" ht="15.75" customHeight="1">
      <c r="A308" s="113"/>
      <c r="B308" s="113"/>
      <c r="C308" s="113"/>
      <c r="D308" s="115"/>
      <c r="E308" s="116"/>
      <c r="F308" s="37"/>
      <c r="G308" s="114"/>
      <c r="H308" s="27"/>
      <c r="I308" s="27"/>
      <c r="J308" s="27"/>
      <c r="K308" s="27"/>
      <c r="L308" s="27"/>
      <c r="M308" s="27"/>
      <c r="N308" s="27"/>
      <c r="O308" s="27"/>
      <c r="P308" s="27"/>
      <c r="Q308" s="27"/>
      <c r="R308" s="27"/>
      <c r="S308" s="27"/>
      <c r="T308" s="27"/>
      <c r="U308" s="27"/>
      <c r="V308" s="27"/>
      <c r="W308" s="27"/>
      <c r="X308" s="27"/>
      <c r="Y308" s="27"/>
      <c r="Z308" s="27"/>
    </row>
    <row r="309" ht="15.75" customHeight="1">
      <c r="A309" s="113"/>
      <c r="B309" s="113"/>
      <c r="C309" s="113"/>
      <c r="D309" s="115"/>
      <c r="E309" s="116"/>
      <c r="F309" s="37"/>
      <c r="G309" s="114"/>
      <c r="H309" s="27"/>
      <c r="I309" s="27"/>
      <c r="J309" s="27"/>
      <c r="K309" s="27"/>
      <c r="L309" s="27"/>
      <c r="M309" s="27"/>
      <c r="N309" s="27"/>
      <c r="O309" s="27"/>
      <c r="P309" s="27"/>
      <c r="Q309" s="27"/>
      <c r="R309" s="27"/>
      <c r="S309" s="27"/>
      <c r="T309" s="27"/>
      <c r="U309" s="27"/>
      <c r="V309" s="27"/>
      <c r="W309" s="27"/>
      <c r="X309" s="27"/>
      <c r="Y309" s="27"/>
      <c r="Z309" s="27"/>
    </row>
    <row r="310" ht="15.75" customHeight="1">
      <c r="A310" s="113"/>
      <c r="B310" s="113"/>
      <c r="C310" s="113"/>
      <c r="D310" s="115"/>
      <c r="E310" s="116"/>
      <c r="F310" s="37"/>
      <c r="G310" s="114"/>
      <c r="H310" s="27"/>
      <c r="I310" s="27"/>
      <c r="J310" s="27"/>
      <c r="K310" s="27"/>
      <c r="L310" s="27"/>
      <c r="M310" s="27"/>
      <c r="N310" s="27"/>
      <c r="O310" s="27"/>
      <c r="P310" s="27"/>
      <c r="Q310" s="27"/>
      <c r="R310" s="27"/>
      <c r="S310" s="27"/>
      <c r="T310" s="27"/>
      <c r="U310" s="27"/>
      <c r="V310" s="27"/>
      <c r="W310" s="27"/>
      <c r="X310" s="27"/>
      <c r="Y310" s="27"/>
      <c r="Z310" s="27"/>
    </row>
    <row r="311" ht="15.75" customHeight="1">
      <c r="A311" s="113"/>
      <c r="B311" s="113"/>
      <c r="C311" s="113"/>
      <c r="D311" s="115"/>
      <c r="E311" s="116"/>
      <c r="F311" s="37"/>
      <c r="G311" s="114"/>
      <c r="H311" s="27"/>
      <c r="I311" s="27"/>
      <c r="J311" s="27"/>
      <c r="K311" s="27"/>
      <c r="L311" s="27"/>
      <c r="M311" s="27"/>
      <c r="N311" s="27"/>
      <c r="O311" s="27"/>
      <c r="P311" s="27"/>
      <c r="Q311" s="27"/>
      <c r="R311" s="27"/>
      <c r="S311" s="27"/>
      <c r="T311" s="27"/>
      <c r="U311" s="27"/>
      <c r="V311" s="27"/>
      <c r="W311" s="27"/>
      <c r="X311" s="27"/>
      <c r="Y311" s="27"/>
      <c r="Z311" s="27"/>
    </row>
    <row r="312" ht="15.75" customHeight="1">
      <c r="A312" s="113"/>
      <c r="B312" s="113"/>
      <c r="C312" s="113"/>
      <c r="D312" s="115"/>
      <c r="E312" s="116"/>
      <c r="F312" s="37"/>
      <c r="G312" s="114"/>
      <c r="H312" s="27"/>
      <c r="I312" s="27"/>
      <c r="J312" s="27"/>
      <c r="K312" s="27"/>
      <c r="L312" s="27"/>
      <c r="M312" s="27"/>
      <c r="N312" s="27"/>
      <c r="O312" s="27"/>
      <c r="P312" s="27"/>
      <c r="Q312" s="27"/>
      <c r="R312" s="27"/>
      <c r="S312" s="27"/>
      <c r="T312" s="27"/>
      <c r="U312" s="27"/>
      <c r="V312" s="27"/>
      <c r="W312" s="27"/>
      <c r="X312" s="27"/>
      <c r="Y312" s="27"/>
      <c r="Z312" s="27"/>
    </row>
    <row r="313" ht="15.75" customHeight="1">
      <c r="A313" s="113"/>
      <c r="B313" s="113"/>
      <c r="C313" s="113"/>
      <c r="D313" s="115"/>
      <c r="E313" s="116"/>
      <c r="F313" s="37"/>
      <c r="G313" s="114"/>
      <c r="H313" s="27"/>
      <c r="I313" s="27"/>
      <c r="J313" s="27"/>
      <c r="K313" s="27"/>
      <c r="L313" s="27"/>
      <c r="M313" s="27"/>
      <c r="N313" s="27"/>
      <c r="O313" s="27"/>
      <c r="P313" s="27"/>
      <c r="Q313" s="27"/>
      <c r="R313" s="27"/>
      <c r="S313" s="27"/>
      <c r="T313" s="27"/>
      <c r="U313" s="27"/>
      <c r="V313" s="27"/>
      <c r="W313" s="27"/>
      <c r="X313" s="27"/>
      <c r="Y313" s="27"/>
      <c r="Z313" s="27"/>
    </row>
    <row r="314" ht="15.75" customHeight="1">
      <c r="A314" s="113"/>
      <c r="B314" s="113"/>
      <c r="C314" s="113"/>
      <c r="D314" s="115"/>
      <c r="E314" s="116"/>
      <c r="F314" s="37"/>
      <c r="G314" s="114"/>
      <c r="H314" s="27"/>
      <c r="I314" s="27"/>
      <c r="J314" s="27"/>
      <c r="K314" s="27"/>
      <c r="L314" s="27"/>
      <c r="M314" s="27"/>
      <c r="N314" s="27"/>
      <c r="O314" s="27"/>
      <c r="P314" s="27"/>
      <c r="Q314" s="27"/>
      <c r="R314" s="27"/>
      <c r="S314" s="27"/>
      <c r="T314" s="27"/>
      <c r="U314" s="27"/>
      <c r="V314" s="27"/>
      <c r="W314" s="27"/>
      <c r="X314" s="27"/>
      <c r="Y314" s="27"/>
      <c r="Z314" s="27"/>
    </row>
    <row r="315" ht="15.75" customHeight="1">
      <c r="A315" s="113"/>
      <c r="B315" s="113"/>
      <c r="C315" s="113"/>
      <c r="D315" s="115"/>
      <c r="E315" s="116"/>
      <c r="F315" s="37"/>
      <c r="G315" s="114"/>
      <c r="H315" s="27"/>
      <c r="I315" s="27"/>
      <c r="J315" s="27"/>
      <c r="K315" s="27"/>
      <c r="L315" s="27"/>
      <c r="M315" s="27"/>
      <c r="N315" s="27"/>
      <c r="O315" s="27"/>
      <c r="P315" s="27"/>
      <c r="Q315" s="27"/>
      <c r="R315" s="27"/>
      <c r="S315" s="27"/>
      <c r="T315" s="27"/>
      <c r="U315" s="27"/>
      <c r="V315" s="27"/>
      <c r="W315" s="27"/>
      <c r="X315" s="27"/>
      <c r="Y315" s="27"/>
      <c r="Z315" s="27"/>
    </row>
    <row r="316" ht="15.75" customHeight="1">
      <c r="A316" s="113"/>
      <c r="B316" s="113"/>
      <c r="C316" s="113"/>
      <c r="D316" s="115"/>
      <c r="E316" s="116"/>
      <c r="F316" s="37"/>
      <c r="G316" s="114"/>
      <c r="H316" s="27"/>
      <c r="I316" s="27"/>
      <c r="J316" s="27"/>
      <c r="K316" s="27"/>
      <c r="L316" s="27"/>
      <c r="M316" s="27"/>
      <c r="N316" s="27"/>
      <c r="O316" s="27"/>
      <c r="P316" s="27"/>
      <c r="Q316" s="27"/>
      <c r="R316" s="27"/>
      <c r="S316" s="27"/>
      <c r="T316" s="27"/>
      <c r="U316" s="27"/>
      <c r="V316" s="27"/>
      <c r="W316" s="27"/>
      <c r="X316" s="27"/>
      <c r="Y316" s="27"/>
      <c r="Z316" s="27"/>
    </row>
    <row r="317" ht="15.75" customHeight="1">
      <c r="A317" s="113"/>
      <c r="B317" s="113"/>
      <c r="C317" s="113"/>
      <c r="D317" s="115"/>
      <c r="E317" s="116"/>
      <c r="F317" s="37"/>
      <c r="G317" s="114"/>
      <c r="H317" s="27"/>
      <c r="I317" s="27"/>
      <c r="J317" s="27"/>
      <c r="K317" s="27"/>
      <c r="L317" s="27"/>
      <c r="M317" s="27"/>
      <c r="N317" s="27"/>
      <c r="O317" s="27"/>
      <c r="P317" s="27"/>
      <c r="Q317" s="27"/>
      <c r="R317" s="27"/>
      <c r="S317" s="27"/>
      <c r="T317" s="27"/>
      <c r="U317" s="27"/>
      <c r="V317" s="27"/>
      <c r="W317" s="27"/>
      <c r="X317" s="27"/>
      <c r="Y317" s="27"/>
      <c r="Z317" s="27"/>
    </row>
    <row r="318" ht="15.75" customHeight="1">
      <c r="A318" s="113"/>
      <c r="B318" s="113"/>
      <c r="C318" s="113"/>
      <c r="D318" s="115"/>
      <c r="E318" s="116"/>
      <c r="F318" s="37"/>
      <c r="G318" s="114"/>
      <c r="H318" s="27"/>
      <c r="I318" s="27"/>
      <c r="J318" s="27"/>
      <c r="K318" s="27"/>
      <c r="L318" s="27"/>
      <c r="M318" s="27"/>
      <c r="N318" s="27"/>
      <c r="O318" s="27"/>
      <c r="P318" s="27"/>
      <c r="Q318" s="27"/>
      <c r="R318" s="27"/>
      <c r="S318" s="27"/>
      <c r="T318" s="27"/>
      <c r="U318" s="27"/>
      <c r="V318" s="27"/>
      <c r="W318" s="27"/>
      <c r="X318" s="27"/>
      <c r="Y318" s="27"/>
      <c r="Z318" s="27"/>
    </row>
    <row r="319" ht="15.75" customHeight="1">
      <c r="A319" s="113"/>
      <c r="B319" s="113"/>
      <c r="C319" s="113"/>
      <c r="D319" s="115"/>
      <c r="E319" s="116"/>
      <c r="F319" s="37"/>
      <c r="G319" s="114"/>
      <c r="H319" s="27"/>
      <c r="I319" s="27"/>
      <c r="J319" s="27"/>
      <c r="K319" s="27"/>
      <c r="L319" s="27"/>
      <c r="M319" s="27"/>
      <c r="N319" s="27"/>
      <c r="O319" s="27"/>
      <c r="P319" s="27"/>
      <c r="Q319" s="27"/>
      <c r="R319" s="27"/>
      <c r="S319" s="27"/>
      <c r="T319" s="27"/>
      <c r="U319" s="27"/>
      <c r="V319" s="27"/>
      <c r="W319" s="27"/>
      <c r="X319" s="27"/>
      <c r="Y319" s="27"/>
      <c r="Z319" s="27"/>
    </row>
    <row r="320" ht="15.75" customHeight="1">
      <c r="A320" s="113"/>
      <c r="B320" s="113"/>
      <c r="C320" s="113"/>
      <c r="D320" s="115"/>
      <c r="E320" s="116"/>
      <c r="F320" s="37"/>
      <c r="G320" s="114"/>
      <c r="H320" s="27"/>
      <c r="I320" s="27"/>
      <c r="J320" s="27"/>
      <c r="K320" s="27"/>
      <c r="L320" s="27"/>
      <c r="M320" s="27"/>
      <c r="N320" s="27"/>
      <c r="O320" s="27"/>
      <c r="P320" s="27"/>
      <c r="Q320" s="27"/>
      <c r="R320" s="27"/>
      <c r="S320" s="27"/>
      <c r="T320" s="27"/>
      <c r="U320" s="27"/>
      <c r="V320" s="27"/>
      <c r="W320" s="27"/>
      <c r="X320" s="27"/>
      <c r="Y320" s="27"/>
      <c r="Z320" s="27"/>
    </row>
    <row r="321" ht="15.75" customHeight="1">
      <c r="A321" s="113"/>
      <c r="B321" s="113"/>
      <c r="C321" s="113"/>
      <c r="D321" s="115"/>
      <c r="E321" s="116"/>
      <c r="F321" s="37"/>
      <c r="G321" s="114"/>
      <c r="H321" s="27"/>
      <c r="I321" s="27"/>
      <c r="J321" s="27"/>
      <c r="K321" s="27"/>
      <c r="L321" s="27"/>
      <c r="M321" s="27"/>
      <c r="N321" s="27"/>
      <c r="O321" s="27"/>
      <c r="P321" s="27"/>
      <c r="Q321" s="27"/>
      <c r="R321" s="27"/>
      <c r="S321" s="27"/>
      <c r="T321" s="27"/>
      <c r="U321" s="27"/>
      <c r="V321" s="27"/>
      <c r="W321" s="27"/>
      <c r="X321" s="27"/>
      <c r="Y321" s="27"/>
      <c r="Z321" s="27"/>
    </row>
    <row r="322" ht="15.75" customHeight="1">
      <c r="A322" s="113"/>
      <c r="B322" s="113"/>
      <c r="C322" s="113"/>
      <c r="D322" s="115"/>
      <c r="E322" s="116"/>
      <c r="F322" s="37"/>
      <c r="G322" s="114"/>
      <c r="H322" s="27"/>
      <c r="I322" s="27"/>
      <c r="J322" s="27"/>
      <c r="K322" s="27"/>
      <c r="L322" s="27"/>
      <c r="M322" s="27"/>
      <c r="N322" s="27"/>
      <c r="O322" s="27"/>
      <c r="P322" s="27"/>
      <c r="Q322" s="27"/>
      <c r="R322" s="27"/>
      <c r="S322" s="27"/>
      <c r="T322" s="27"/>
      <c r="U322" s="27"/>
      <c r="V322" s="27"/>
      <c r="W322" s="27"/>
      <c r="X322" s="27"/>
      <c r="Y322" s="27"/>
      <c r="Z322" s="27"/>
    </row>
    <row r="323" ht="15.75" customHeight="1">
      <c r="A323" s="113"/>
      <c r="B323" s="113"/>
      <c r="C323" s="113"/>
      <c r="D323" s="115"/>
      <c r="E323" s="116"/>
      <c r="F323" s="37"/>
      <c r="G323" s="114"/>
      <c r="H323" s="27"/>
      <c r="I323" s="27"/>
      <c r="J323" s="27"/>
      <c r="K323" s="27"/>
      <c r="L323" s="27"/>
      <c r="M323" s="27"/>
      <c r="N323" s="27"/>
      <c r="O323" s="27"/>
      <c r="P323" s="27"/>
      <c r="Q323" s="27"/>
      <c r="R323" s="27"/>
      <c r="S323" s="27"/>
      <c r="T323" s="27"/>
      <c r="U323" s="27"/>
      <c r="V323" s="27"/>
      <c r="W323" s="27"/>
      <c r="X323" s="27"/>
      <c r="Y323" s="27"/>
      <c r="Z323" s="27"/>
    </row>
    <row r="324" ht="15.75" customHeight="1">
      <c r="A324" s="113"/>
      <c r="B324" s="113"/>
      <c r="C324" s="113"/>
      <c r="D324" s="115"/>
      <c r="E324" s="116"/>
      <c r="F324" s="37"/>
      <c r="G324" s="114"/>
      <c r="H324" s="27"/>
      <c r="I324" s="27"/>
      <c r="J324" s="27"/>
      <c r="K324" s="27"/>
      <c r="L324" s="27"/>
      <c r="M324" s="27"/>
      <c r="N324" s="27"/>
      <c r="O324" s="27"/>
      <c r="P324" s="27"/>
      <c r="Q324" s="27"/>
      <c r="R324" s="27"/>
      <c r="S324" s="27"/>
      <c r="T324" s="27"/>
      <c r="U324" s="27"/>
      <c r="V324" s="27"/>
      <c r="W324" s="27"/>
      <c r="X324" s="27"/>
      <c r="Y324" s="27"/>
      <c r="Z324" s="27"/>
    </row>
    <row r="325" ht="15.75" customHeight="1">
      <c r="A325" s="113"/>
      <c r="B325" s="113"/>
      <c r="C325" s="113"/>
      <c r="D325" s="115"/>
      <c r="E325" s="116"/>
      <c r="F325" s="37"/>
      <c r="G325" s="114"/>
      <c r="H325" s="27"/>
      <c r="I325" s="27"/>
      <c r="J325" s="27"/>
      <c r="K325" s="27"/>
      <c r="L325" s="27"/>
      <c r="M325" s="27"/>
      <c r="N325" s="27"/>
      <c r="O325" s="27"/>
      <c r="P325" s="27"/>
      <c r="Q325" s="27"/>
      <c r="R325" s="27"/>
      <c r="S325" s="27"/>
      <c r="T325" s="27"/>
      <c r="U325" s="27"/>
      <c r="V325" s="27"/>
      <c r="W325" s="27"/>
      <c r="X325" s="27"/>
      <c r="Y325" s="27"/>
      <c r="Z325" s="27"/>
    </row>
    <row r="326" ht="15.75" customHeight="1">
      <c r="A326" s="113"/>
      <c r="B326" s="113"/>
      <c r="C326" s="113"/>
      <c r="D326" s="115"/>
      <c r="E326" s="116"/>
      <c r="F326" s="37"/>
      <c r="G326" s="114"/>
      <c r="H326" s="27"/>
      <c r="I326" s="27"/>
      <c r="J326" s="27"/>
      <c r="K326" s="27"/>
      <c r="L326" s="27"/>
      <c r="M326" s="27"/>
      <c r="N326" s="27"/>
      <c r="O326" s="27"/>
      <c r="P326" s="27"/>
      <c r="Q326" s="27"/>
      <c r="R326" s="27"/>
      <c r="S326" s="27"/>
      <c r="T326" s="27"/>
      <c r="U326" s="27"/>
      <c r="V326" s="27"/>
      <c r="W326" s="27"/>
      <c r="X326" s="27"/>
      <c r="Y326" s="27"/>
      <c r="Z326" s="27"/>
    </row>
    <row r="327" ht="15.75" customHeight="1">
      <c r="A327" s="113"/>
      <c r="B327" s="113"/>
      <c r="C327" s="113"/>
      <c r="D327" s="115"/>
      <c r="E327" s="116"/>
      <c r="F327" s="37"/>
      <c r="G327" s="114"/>
      <c r="H327" s="27"/>
      <c r="I327" s="27"/>
      <c r="J327" s="27"/>
      <c r="K327" s="27"/>
      <c r="L327" s="27"/>
      <c r="M327" s="27"/>
      <c r="N327" s="27"/>
      <c r="O327" s="27"/>
      <c r="P327" s="27"/>
      <c r="Q327" s="27"/>
      <c r="R327" s="27"/>
      <c r="S327" s="27"/>
      <c r="T327" s="27"/>
      <c r="U327" s="27"/>
      <c r="V327" s="27"/>
      <c r="W327" s="27"/>
      <c r="X327" s="27"/>
      <c r="Y327" s="27"/>
      <c r="Z327" s="27"/>
    </row>
    <row r="328" ht="15.75" customHeight="1">
      <c r="A328" s="113"/>
      <c r="B328" s="113"/>
      <c r="C328" s="113"/>
      <c r="D328" s="115"/>
      <c r="E328" s="116"/>
      <c r="F328" s="37"/>
      <c r="G328" s="114"/>
      <c r="H328" s="27"/>
      <c r="I328" s="27"/>
      <c r="J328" s="27"/>
      <c r="K328" s="27"/>
      <c r="L328" s="27"/>
      <c r="M328" s="27"/>
      <c r="N328" s="27"/>
      <c r="O328" s="27"/>
      <c r="P328" s="27"/>
      <c r="Q328" s="27"/>
      <c r="R328" s="27"/>
      <c r="S328" s="27"/>
      <c r="T328" s="27"/>
      <c r="U328" s="27"/>
      <c r="V328" s="27"/>
      <c r="W328" s="27"/>
      <c r="X328" s="27"/>
      <c r="Y328" s="27"/>
      <c r="Z328" s="27"/>
    </row>
    <row r="329" ht="15.75" customHeight="1">
      <c r="A329" s="113"/>
      <c r="B329" s="113"/>
      <c r="C329" s="113"/>
      <c r="D329" s="115"/>
      <c r="E329" s="116"/>
      <c r="F329" s="37"/>
      <c r="G329" s="114"/>
      <c r="H329" s="27"/>
      <c r="I329" s="27"/>
      <c r="J329" s="27"/>
      <c r="K329" s="27"/>
      <c r="L329" s="27"/>
      <c r="M329" s="27"/>
      <c r="N329" s="27"/>
      <c r="O329" s="27"/>
      <c r="P329" s="27"/>
      <c r="Q329" s="27"/>
      <c r="R329" s="27"/>
      <c r="S329" s="27"/>
      <c r="T329" s="27"/>
      <c r="U329" s="27"/>
      <c r="V329" s="27"/>
      <c r="W329" s="27"/>
      <c r="X329" s="27"/>
      <c r="Y329" s="27"/>
      <c r="Z329" s="27"/>
    </row>
    <row r="330" ht="15.75" customHeight="1">
      <c r="A330" s="113"/>
      <c r="B330" s="113"/>
      <c r="C330" s="113"/>
      <c r="D330" s="115"/>
      <c r="E330" s="116"/>
      <c r="F330" s="37"/>
      <c r="G330" s="114"/>
      <c r="H330" s="27"/>
      <c r="I330" s="27"/>
      <c r="J330" s="27"/>
      <c r="K330" s="27"/>
      <c r="L330" s="27"/>
      <c r="M330" s="27"/>
      <c r="N330" s="27"/>
      <c r="O330" s="27"/>
      <c r="P330" s="27"/>
      <c r="Q330" s="27"/>
      <c r="R330" s="27"/>
      <c r="S330" s="27"/>
      <c r="T330" s="27"/>
      <c r="U330" s="27"/>
      <c r="V330" s="27"/>
      <c r="W330" s="27"/>
      <c r="X330" s="27"/>
      <c r="Y330" s="27"/>
      <c r="Z330" s="27"/>
    </row>
    <row r="331" ht="15.75" customHeight="1">
      <c r="A331" s="113"/>
      <c r="B331" s="113"/>
      <c r="C331" s="113"/>
      <c r="D331" s="115"/>
      <c r="E331" s="116"/>
      <c r="F331" s="37"/>
      <c r="G331" s="114"/>
      <c r="H331" s="27"/>
      <c r="I331" s="27"/>
      <c r="J331" s="27"/>
      <c r="K331" s="27"/>
      <c r="L331" s="27"/>
      <c r="M331" s="27"/>
      <c r="N331" s="27"/>
      <c r="O331" s="27"/>
      <c r="P331" s="27"/>
      <c r="Q331" s="27"/>
      <c r="R331" s="27"/>
      <c r="S331" s="27"/>
      <c r="T331" s="27"/>
      <c r="U331" s="27"/>
      <c r="V331" s="27"/>
      <c r="W331" s="27"/>
      <c r="X331" s="27"/>
      <c r="Y331" s="27"/>
      <c r="Z331" s="27"/>
    </row>
    <row r="332" ht="15.75" customHeight="1">
      <c r="A332" s="113"/>
      <c r="B332" s="113"/>
      <c r="C332" s="113"/>
      <c r="D332" s="115"/>
      <c r="E332" s="116"/>
      <c r="F332" s="37"/>
      <c r="G332" s="114"/>
      <c r="H332" s="27"/>
      <c r="I332" s="27"/>
      <c r="J332" s="27"/>
      <c r="K332" s="27"/>
      <c r="L332" s="27"/>
      <c r="M332" s="27"/>
      <c r="N332" s="27"/>
      <c r="O332" s="27"/>
      <c r="P332" s="27"/>
      <c r="Q332" s="27"/>
      <c r="R332" s="27"/>
      <c r="S332" s="27"/>
      <c r="T332" s="27"/>
      <c r="U332" s="27"/>
      <c r="V332" s="27"/>
      <c r="W332" s="27"/>
      <c r="X332" s="27"/>
      <c r="Y332" s="27"/>
      <c r="Z332" s="27"/>
    </row>
    <row r="333" ht="15.75" customHeight="1">
      <c r="A333" s="113"/>
      <c r="B333" s="113"/>
      <c r="C333" s="113"/>
      <c r="D333" s="115"/>
      <c r="E333" s="116"/>
      <c r="F333" s="37"/>
      <c r="G333" s="114"/>
      <c r="H333" s="27"/>
      <c r="I333" s="27"/>
      <c r="J333" s="27"/>
      <c r="K333" s="27"/>
      <c r="L333" s="27"/>
      <c r="M333" s="27"/>
      <c r="N333" s="27"/>
      <c r="O333" s="27"/>
      <c r="P333" s="27"/>
      <c r="Q333" s="27"/>
      <c r="R333" s="27"/>
      <c r="S333" s="27"/>
      <c r="T333" s="27"/>
      <c r="U333" s="27"/>
      <c r="V333" s="27"/>
      <c r="W333" s="27"/>
      <c r="X333" s="27"/>
      <c r="Y333" s="27"/>
      <c r="Z333" s="27"/>
    </row>
    <row r="334" ht="15.75" customHeight="1">
      <c r="A334" s="113"/>
      <c r="B334" s="113"/>
      <c r="C334" s="113"/>
      <c r="D334" s="115"/>
      <c r="E334" s="116"/>
      <c r="F334" s="37"/>
      <c r="G334" s="114"/>
      <c r="H334" s="27"/>
      <c r="I334" s="27"/>
      <c r="J334" s="27"/>
      <c r="K334" s="27"/>
      <c r="L334" s="27"/>
      <c r="M334" s="27"/>
      <c r="N334" s="27"/>
      <c r="O334" s="27"/>
      <c r="P334" s="27"/>
      <c r="Q334" s="27"/>
      <c r="R334" s="27"/>
      <c r="S334" s="27"/>
      <c r="T334" s="27"/>
      <c r="U334" s="27"/>
      <c r="V334" s="27"/>
      <c r="W334" s="27"/>
      <c r="X334" s="27"/>
      <c r="Y334" s="27"/>
      <c r="Z334" s="27"/>
    </row>
    <row r="335" ht="15.75" customHeight="1">
      <c r="A335" s="113"/>
      <c r="B335" s="113"/>
      <c r="C335" s="113"/>
      <c r="D335" s="115"/>
      <c r="E335" s="116"/>
      <c r="F335" s="37"/>
      <c r="G335" s="114"/>
      <c r="H335" s="27"/>
      <c r="I335" s="27"/>
      <c r="J335" s="27"/>
      <c r="K335" s="27"/>
      <c r="L335" s="27"/>
      <c r="M335" s="27"/>
      <c r="N335" s="27"/>
      <c r="O335" s="27"/>
      <c r="P335" s="27"/>
      <c r="Q335" s="27"/>
      <c r="R335" s="27"/>
      <c r="S335" s="27"/>
      <c r="T335" s="27"/>
      <c r="U335" s="27"/>
      <c r="V335" s="27"/>
      <c r="W335" s="27"/>
      <c r="X335" s="27"/>
      <c r="Y335" s="27"/>
      <c r="Z335" s="27"/>
    </row>
    <row r="336" ht="15.75" customHeight="1">
      <c r="A336" s="113"/>
      <c r="B336" s="113"/>
      <c r="C336" s="113"/>
      <c r="D336" s="115"/>
      <c r="E336" s="116"/>
      <c r="F336" s="37"/>
      <c r="G336" s="114"/>
      <c r="H336" s="27"/>
      <c r="I336" s="27"/>
      <c r="J336" s="27"/>
      <c r="K336" s="27"/>
      <c r="L336" s="27"/>
      <c r="M336" s="27"/>
      <c r="N336" s="27"/>
      <c r="O336" s="27"/>
      <c r="P336" s="27"/>
      <c r="Q336" s="27"/>
      <c r="R336" s="27"/>
      <c r="S336" s="27"/>
      <c r="T336" s="27"/>
      <c r="U336" s="27"/>
      <c r="V336" s="27"/>
      <c r="W336" s="27"/>
      <c r="X336" s="27"/>
      <c r="Y336" s="27"/>
      <c r="Z336" s="27"/>
    </row>
    <row r="337" ht="15.75" customHeight="1">
      <c r="A337" s="113"/>
      <c r="B337" s="113"/>
      <c r="C337" s="113"/>
      <c r="D337" s="115"/>
      <c r="E337" s="116"/>
      <c r="F337" s="37"/>
      <c r="G337" s="114"/>
      <c r="H337" s="27"/>
      <c r="I337" s="27"/>
      <c r="J337" s="27"/>
      <c r="K337" s="27"/>
      <c r="L337" s="27"/>
      <c r="M337" s="27"/>
      <c r="N337" s="27"/>
      <c r="O337" s="27"/>
      <c r="P337" s="27"/>
      <c r="Q337" s="27"/>
      <c r="R337" s="27"/>
      <c r="S337" s="27"/>
      <c r="T337" s="27"/>
      <c r="U337" s="27"/>
      <c r="V337" s="27"/>
      <c r="W337" s="27"/>
      <c r="X337" s="27"/>
      <c r="Y337" s="27"/>
      <c r="Z337" s="27"/>
    </row>
    <row r="338" ht="15.75" customHeight="1">
      <c r="A338" s="113"/>
      <c r="B338" s="113"/>
      <c r="C338" s="113"/>
      <c r="D338" s="115"/>
      <c r="E338" s="116"/>
      <c r="F338" s="37"/>
      <c r="G338" s="114"/>
      <c r="H338" s="27"/>
      <c r="I338" s="27"/>
      <c r="J338" s="27"/>
      <c r="K338" s="27"/>
      <c r="L338" s="27"/>
      <c r="M338" s="27"/>
      <c r="N338" s="27"/>
      <c r="O338" s="27"/>
      <c r="P338" s="27"/>
      <c r="Q338" s="27"/>
      <c r="R338" s="27"/>
      <c r="S338" s="27"/>
      <c r="T338" s="27"/>
      <c r="U338" s="27"/>
      <c r="V338" s="27"/>
      <c r="W338" s="27"/>
      <c r="X338" s="27"/>
      <c r="Y338" s="27"/>
      <c r="Z338" s="27"/>
    </row>
    <row r="339" ht="15.75" customHeight="1">
      <c r="A339" s="113"/>
      <c r="B339" s="113"/>
      <c r="C339" s="113"/>
      <c r="D339" s="115"/>
      <c r="E339" s="116"/>
      <c r="F339" s="37"/>
      <c r="G339" s="114"/>
      <c r="H339" s="27"/>
      <c r="I339" s="27"/>
      <c r="J339" s="27"/>
      <c r="K339" s="27"/>
      <c r="L339" s="27"/>
      <c r="M339" s="27"/>
      <c r="N339" s="27"/>
      <c r="O339" s="27"/>
      <c r="P339" s="27"/>
      <c r="Q339" s="27"/>
      <c r="R339" s="27"/>
      <c r="S339" s="27"/>
      <c r="T339" s="27"/>
      <c r="U339" s="27"/>
      <c r="V339" s="27"/>
      <c r="W339" s="27"/>
      <c r="X339" s="27"/>
      <c r="Y339" s="27"/>
      <c r="Z339" s="27"/>
    </row>
    <row r="340" ht="15.75" customHeight="1">
      <c r="A340" s="113"/>
      <c r="B340" s="113"/>
      <c r="C340" s="113"/>
      <c r="D340" s="115"/>
      <c r="E340" s="116"/>
      <c r="F340" s="37"/>
      <c r="G340" s="114"/>
      <c r="H340" s="27"/>
      <c r="I340" s="27"/>
      <c r="J340" s="27"/>
      <c r="K340" s="27"/>
      <c r="L340" s="27"/>
      <c r="M340" s="27"/>
      <c r="N340" s="27"/>
      <c r="O340" s="27"/>
      <c r="P340" s="27"/>
      <c r="Q340" s="27"/>
      <c r="R340" s="27"/>
      <c r="S340" s="27"/>
      <c r="T340" s="27"/>
      <c r="U340" s="27"/>
      <c r="V340" s="27"/>
      <c r="W340" s="27"/>
      <c r="X340" s="27"/>
      <c r="Y340" s="27"/>
      <c r="Z340" s="27"/>
    </row>
    <row r="341" ht="15.75" customHeight="1">
      <c r="A341" s="113"/>
      <c r="B341" s="113"/>
      <c r="C341" s="113"/>
      <c r="D341" s="115"/>
      <c r="E341" s="116"/>
      <c r="F341" s="37"/>
      <c r="G341" s="114"/>
      <c r="H341" s="27"/>
      <c r="I341" s="27"/>
      <c r="J341" s="27"/>
      <c r="K341" s="27"/>
      <c r="L341" s="27"/>
      <c r="M341" s="27"/>
      <c r="N341" s="27"/>
      <c r="O341" s="27"/>
      <c r="P341" s="27"/>
      <c r="Q341" s="27"/>
      <c r="R341" s="27"/>
      <c r="S341" s="27"/>
      <c r="T341" s="27"/>
      <c r="U341" s="27"/>
      <c r="V341" s="27"/>
      <c r="W341" s="27"/>
      <c r="X341" s="27"/>
      <c r="Y341" s="27"/>
      <c r="Z341" s="27"/>
    </row>
    <row r="342" ht="15.75" customHeight="1">
      <c r="A342" s="113"/>
      <c r="B342" s="113"/>
      <c r="C342" s="113"/>
      <c r="D342" s="115"/>
      <c r="E342" s="116"/>
      <c r="F342" s="37"/>
      <c r="G342" s="114"/>
      <c r="H342" s="27"/>
      <c r="I342" s="27"/>
      <c r="J342" s="27"/>
      <c r="K342" s="27"/>
      <c r="L342" s="27"/>
      <c r="M342" s="27"/>
      <c r="N342" s="27"/>
      <c r="O342" s="27"/>
      <c r="P342" s="27"/>
      <c r="Q342" s="27"/>
      <c r="R342" s="27"/>
      <c r="S342" s="27"/>
      <c r="T342" s="27"/>
      <c r="U342" s="27"/>
      <c r="V342" s="27"/>
      <c r="W342" s="27"/>
      <c r="X342" s="27"/>
      <c r="Y342" s="27"/>
      <c r="Z342" s="27"/>
    </row>
    <row r="343" ht="15.75" customHeight="1">
      <c r="A343" s="113"/>
      <c r="B343" s="113"/>
      <c r="C343" s="113"/>
      <c r="D343" s="115"/>
      <c r="E343" s="116"/>
      <c r="F343" s="37"/>
      <c r="G343" s="114"/>
      <c r="H343" s="27"/>
      <c r="I343" s="27"/>
      <c r="J343" s="27"/>
      <c r="K343" s="27"/>
      <c r="L343" s="27"/>
      <c r="M343" s="27"/>
      <c r="N343" s="27"/>
      <c r="O343" s="27"/>
      <c r="P343" s="27"/>
      <c r="Q343" s="27"/>
      <c r="R343" s="27"/>
      <c r="S343" s="27"/>
      <c r="T343" s="27"/>
      <c r="U343" s="27"/>
      <c r="V343" s="27"/>
      <c r="W343" s="27"/>
      <c r="X343" s="27"/>
      <c r="Y343" s="27"/>
      <c r="Z343" s="27"/>
    </row>
    <row r="344" ht="15.75" customHeight="1">
      <c r="A344" s="113"/>
      <c r="B344" s="113"/>
      <c r="C344" s="113"/>
      <c r="D344" s="115"/>
      <c r="E344" s="116"/>
      <c r="F344" s="37"/>
      <c r="G344" s="114"/>
      <c r="H344" s="27"/>
      <c r="I344" s="27"/>
      <c r="J344" s="27"/>
      <c r="K344" s="27"/>
      <c r="L344" s="27"/>
      <c r="M344" s="27"/>
      <c r="N344" s="27"/>
      <c r="O344" s="27"/>
      <c r="P344" s="27"/>
      <c r="Q344" s="27"/>
      <c r="R344" s="27"/>
      <c r="S344" s="27"/>
      <c r="T344" s="27"/>
      <c r="U344" s="27"/>
      <c r="V344" s="27"/>
      <c r="W344" s="27"/>
      <c r="X344" s="27"/>
      <c r="Y344" s="27"/>
      <c r="Z344" s="27"/>
    </row>
    <row r="345" ht="15.75" customHeight="1">
      <c r="A345" s="113"/>
      <c r="B345" s="113"/>
      <c r="C345" s="113"/>
      <c r="D345" s="115"/>
      <c r="E345" s="116"/>
      <c r="F345" s="37"/>
      <c r="G345" s="114"/>
      <c r="H345" s="27"/>
      <c r="I345" s="27"/>
      <c r="J345" s="27"/>
      <c r="K345" s="27"/>
      <c r="L345" s="27"/>
      <c r="M345" s="27"/>
      <c r="N345" s="27"/>
      <c r="O345" s="27"/>
      <c r="P345" s="27"/>
      <c r="Q345" s="27"/>
      <c r="R345" s="27"/>
      <c r="S345" s="27"/>
      <c r="T345" s="27"/>
      <c r="U345" s="27"/>
      <c r="V345" s="27"/>
      <c r="W345" s="27"/>
      <c r="X345" s="27"/>
      <c r="Y345" s="27"/>
      <c r="Z345" s="27"/>
    </row>
    <row r="346" ht="15.75" customHeight="1">
      <c r="A346" s="113"/>
      <c r="B346" s="113"/>
      <c r="C346" s="113"/>
      <c r="D346" s="115"/>
      <c r="E346" s="116"/>
      <c r="F346" s="37"/>
      <c r="G346" s="114"/>
      <c r="H346" s="27"/>
      <c r="I346" s="27"/>
      <c r="J346" s="27"/>
      <c r="K346" s="27"/>
      <c r="L346" s="27"/>
      <c r="M346" s="27"/>
      <c r="N346" s="27"/>
      <c r="O346" s="27"/>
      <c r="P346" s="27"/>
      <c r="Q346" s="27"/>
      <c r="R346" s="27"/>
      <c r="S346" s="27"/>
      <c r="T346" s="27"/>
      <c r="U346" s="27"/>
      <c r="V346" s="27"/>
      <c r="W346" s="27"/>
      <c r="X346" s="27"/>
      <c r="Y346" s="27"/>
      <c r="Z346" s="27"/>
    </row>
    <row r="347" ht="15.75" customHeight="1">
      <c r="A347" s="113"/>
      <c r="B347" s="113"/>
      <c r="C347" s="113"/>
      <c r="D347" s="115"/>
      <c r="E347" s="116"/>
      <c r="F347" s="37"/>
      <c r="G347" s="114"/>
      <c r="H347" s="27"/>
      <c r="I347" s="27"/>
      <c r="J347" s="27"/>
      <c r="K347" s="27"/>
      <c r="L347" s="27"/>
      <c r="M347" s="27"/>
      <c r="N347" s="27"/>
      <c r="O347" s="27"/>
      <c r="P347" s="27"/>
      <c r="Q347" s="27"/>
      <c r="R347" s="27"/>
      <c r="S347" s="27"/>
      <c r="T347" s="27"/>
      <c r="U347" s="27"/>
      <c r="V347" s="27"/>
      <c r="W347" s="27"/>
      <c r="X347" s="27"/>
      <c r="Y347" s="27"/>
      <c r="Z347" s="27"/>
    </row>
    <row r="348" ht="15.75" customHeight="1">
      <c r="A348" s="113"/>
      <c r="B348" s="113"/>
      <c r="C348" s="113"/>
      <c r="D348" s="115"/>
      <c r="E348" s="116"/>
      <c r="F348" s="37"/>
      <c r="G348" s="114"/>
      <c r="H348" s="27"/>
      <c r="I348" s="27"/>
      <c r="J348" s="27"/>
      <c r="K348" s="27"/>
      <c r="L348" s="27"/>
      <c r="M348" s="27"/>
      <c r="N348" s="27"/>
      <c r="O348" s="27"/>
      <c r="P348" s="27"/>
      <c r="Q348" s="27"/>
      <c r="R348" s="27"/>
      <c r="S348" s="27"/>
      <c r="T348" s="27"/>
      <c r="U348" s="27"/>
      <c r="V348" s="27"/>
      <c r="W348" s="27"/>
      <c r="X348" s="27"/>
      <c r="Y348" s="27"/>
      <c r="Z348" s="27"/>
    </row>
    <row r="349" ht="15.75" customHeight="1">
      <c r="A349" s="113"/>
      <c r="B349" s="113"/>
      <c r="C349" s="113"/>
      <c r="D349" s="115"/>
      <c r="E349" s="116"/>
      <c r="F349" s="37"/>
      <c r="G349" s="114"/>
      <c r="H349" s="27"/>
      <c r="I349" s="27"/>
      <c r="J349" s="27"/>
      <c r="K349" s="27"/>
      <c r="L349" s="27"/>
      <c r="M349" s="27"/>
      <c r="N349" s="27"/>
      <c r="O349" s="27"/>
      <c r="P349" s="27"/>
      <c r="Q349" s="27"/>
      <c r="R349" s="27"/>
      <c r="S349" s="27"/>
      <c r="T349" s="27"/>
      <c r="U349" s="27"/>
      <c r="V349" s="27"/>
      <c r="W349" s="27"/>
      <c r="X349" s="27"/>
      <c r="Y349" s="27"/>
      <c r="Z349" s="27"/>
    </row>
    <row r="350" ht="15.75" customHeight="1">
      <c r="A350" s="113"/>
      <c r="B350" s="113"/>
      <c r="C350" s="113"/>
      <c r="D350" s="115"/>
      <c r="E350" s="116"/>
      <c r="F350" s="37"/>
      <c r="G350" s="114"/>
      <c r="H350" s="27"/>
      <c r="I350" s="27"/>
      <c r="J350" s="27"/>
      <c r="K350" s="27"/>
      <c r="L350" s="27"/>
      <c r="M350" s="27"/>
      <c r="N350" s="27"/>
      <c r="O350" s="27"/>
      <c r="P350" s="27"/>
      <c r="Q350" s="27"/>
      <c r="R350" s="27"/>
      <c r="S350" s="27"/>
      <c r="T350" s="27"/>
      <c r="U350" s="27"/>
      <c r="V350" s="27"/>
      <c r="W350" s="27"/>
      <c r="X350" s="27"/>
      <c r="Y350" s="27"/>
      <c r="Z350" s="27"/>
    </row>
    <row r="351" ht="15.75" customHeight="1">
      <c r="A351" s="113"/>
      <c r="B351" s="113"/>
      <c r="C351" s="113"/>
      <c r="D351" s="115"/>
      <c r="E351" s="116"/>
      <c r="F351" s="37"/>
      <c r="G351" s="114"/>
      <c r="H351" s="27"/>
      <c r="I351" s="27"/>
      <c r="J351" s="27"/>
      <c r="K351" s="27"/>
      <c r="L351" s="27"/>
      <c r="M351" s="27"/>
      <c r="N351" s="27"/>
      <c r="O351" s="27"/>
      <c r="P351" s="27"/>
      <c r="Q351" s="27"/>
      <c r="R351" s="27"/>
      <c r="S351" s="27"/>
      <c r="T351" s="27"/>
      <c r="U351" s="27"/>
      <c r="V351" s="27"/>
      <c r="W351" s="27"/>
      <c r="X351" s="27"/>
      <c r="Y351" s="27"/>
      <c r="Z351" s="27"/>
    </row>
    <row r="352" ht="15.75" customHeight="1">
      <c r="A352" s="113"/>
      <c r="B352" s="113"/>
      <c r="C352" s="113"/>
      <c r="D352" s="115"/>
      <c r="E352" s="116"/>
      <c r="F352" s="37"/>
      <c r="G352" s="114"/>
      <c r="H352" s="27"/>
      <c r="I352" s="27"/>
      <c r="J352" s="27"/>
      <c r="K352" s="27"/>
      <c r="L352" s="27"/>
      <c r="M352" s="27"/>
      <c r="N352" s="27"/>
      <c r="O352" s="27"/>
      <c r="P352" s="27"/>
      <c r="Q352" s="27"/>
      <c r="R352" s="27"/>
      <c r="S352" s="27"/>
      <c r="T352" s="27"/>
      <c r="U352" s="27"/>
      <c r="V352" s="27"/>
      <c r="W352" s="27"/>
      <c r="X352" s="27"/>
      <c r="Y352" s="27"/>
      <c r="Z352" s="27"/>
    </row>
    <row r="353" ht="15.75" customHeight="1">
      <c r="A353" s="113"/>
      <c r="B353" s="113"/>
      <c r="C353" s="113"/>
      <c r="D353" s="115"/>
      <c r="E353" s="116"/>
      <c r="F353" s="37"/>
      <c r="G353" s="114"/>
      <c r="H353" s="27"/>
      <c r="I353" s="27"/>
      <c r="J353" s="27"/>
      <c r="K353" s="27"/>
      <c r="L353" s="27"/>
      <c r="M353" s="27"/>
      <c r="N353" s="27"/>
      <c r="O353" s="27"/>
      <c r="P353" s="27"/>
      <c r="Q353" s="27"/>
      <c r="R353" s="27"/>
      <c r="S353" s="27"/>
      <c r="T353" s="27"/>
      <c r="U353" s="27"/>
      <c r="V353" s="27"/>
      <c r="W353" s="27"/>
      <c r="X353" s="27"/>
      <c r="Y353" s="27"/>
      <c r="Z353" s="27"/>
    </row>
    <row r="354" ht="15.75" customHeight="1">
      <c r="A354" s="113"/>
      <c r="B354" s="113"/>
      <c r="C354" s="113"/>
      <c r="D354" s="115"/>
      <c r="E354" s="116"/>
      <c r="F354" s="37"/>
      <c r="G354" s="114"/>
      <c r="H354" s="27"/>
      <c r="I354" s="27"/>
      <c r="J354" s="27"/>
      <c r="K354" s="27"/>
      <c r="L354" s="27"/>
      <c r="M354" s="27"/>
      <c r="N354" s="27"/>
      <c r="O354" s="27"/>
      <c r="P354" s="27"/>
      <c r="Q354" s="27"/>
      <c r="R354" s="27"/>
      <c r="S354" s="27"/>
      <c r="T354" s="27"/>
      <c r="U354" s="27"/>
      <c r="V354" s="27"/>
      <c r="W354" s="27"/>
      <c r="X354" s="27"/>
      <c r="Y354" s="27"/>
      <c r="Z354" s="27"/>
    </row>
    <row r="355" ht="15.75" customHeight="1">
      <c r="A355" s="113"/>
      <c r="B355" s="113"/>
      <c r="C355" s="113"/>
      <c r="D355" s="115"/>
      <c r="E355" s="116"/>
      <c r="F355" s="37"/>
      <c r="G355" s="114"/>
      <c r="H355" s="27"/>
      <c r="I355" s="27"/>
      <c r="J355" s="27"/>
      <c r="K355" s="27"/>
      <c r="L355" s="27"/>
      <c r="M355" s="27"/>
      <c r="N355" s="27"/>
      <c r="O355" s="27"/>
      <c r="P355" s="27"/>
      <c r="Q355" s="27"/>
      <c r="R355" s="27"/>
      <c r="S355" s="27"/>
      <c r="T355" s="27"/>
      <c r="U355" s="27"/>
      <c r="V355" s="27"/>
      <c r="W355" s="27"/>
      <c r="X355" s="27"/>
      <c r="Y355" s="27"/>
      <c r="Z355" s="27"/>
    </row>
    <row r="356" ht="15.75" customHeight="1">
      <c r="A356" s="113"/>
      <c r="B356" s="113"/>
      <c r="C356" s="113"/>
      <c r="D356" s="115"/>
      <c r="E356" s="116"/>
      <c r="F356" s="37"/>
      <c r="G356" s="114"/>
      <c r="H356" s="27"/>
      <c r="I356" s="27"/>
      <c r="J356" s="27"/>
      <c r="K356" s="27"/>
      <c r="L356" s="27"/>
      <c r="M356" s="27"/>
      <c r="N356" s="27"/>
      <c r="O356" s="27"/>
      <c r="P356" s="27"/>
      <c r="Q356" s="27"/>
      <c r="R356" s="27"/>
      <c r="S356" s="27"/>
      <c r="T356" s="27"/>
      <c r="U356" s="27"/>
      <c r="V356" s="27"/>
      <c r="W356" s="27"/>
      <c r="X356" s="27"/>
      <c r="Y356" s="27"/>
      <c r="Z356" s="27"/>
    </row>
    <row r="357" ht="15.75" customHeight="1">
      <c r="A357" s="113"/>
      <c r="B357" s="113"/>
      <c r="C357" s="113"/>
      <c r="D357" s="115"/>
      <c r="E357" s="116"/>
      <c r="F357" s="37"/>
      <c r="G357" s="114"/>
      <c r="H357" s="27"/>
      <c r="I357" s="27"/>
      <c r="J357" s="27"/>
      <c r="K357" s="27"/>
      <c r="L357" s="27"/>
      <c r="M357" s="27"/>
      <c r="N357" s="27"/>
      <c r="O357" s="27"/>
      <c r="P357" s="27"/>
      <c r="Q357" s="27"/>
      <c r="R357" s="27"/>
      <c r="S357" s="27"/>
      <c r="T357" s="27"/>
      <c r="U357" s="27"/>
      <c r="V357" s="27"/>
      <c r="W357" s="27"/>
      <c r="X357" s="27"/>
      <c r="Y357" s="27"/>
      <c r="Z357" s="27"/>
    </row>
    <row r="358" ht="15.75" customHeight="1">
      <c r="A358" s="113"/>
      <c r="B358" s="113"/>
      <c r="C358" s="113"/>
      <c r="D358" s="115"/>
      <c r="E358" s="116"/>
      <c r="F358" s="37"/>
      <c r="G358" s="114"/>
      <c r="H358" s="27"/>
      <c r="I358" s="27"/>
      <c r="J358" s="27"/>
      <c r="K358" s="27"/>
      <c r="L358" s="27"/>
      <c r="M358" s="27"/>
      <c r="N358" s="27"/>
      <c r="O358" s="27"/>
      <c r="P358" s="27"/>
      <c r="Q358" s="27"/>
      <c r="R358" s="27"/>
      <c r="S358" s="27"/>
      <c r="T358" s="27"/>
      <c r="U358" s="27"/>
      <c r="V358" s="27"/>
      <c r="W358" s="27"/>
      <c r="X358" s="27"/>
      <c r="Y358" s="27"/>
      <c r="Z358" s="27"/>
    </row>
    <row r="359" ht="15.75" customHeight="1">
      <c r="A359" s="113"/>
      <c r="B359" s="113"/>
      <c r="C359" s="113"/>
      <c r="D359" s="115"/>
      <c r="E359" s="116"/>
      <c r="F359" s="37"/>
      <c r="G359" s="114"/>
      <c r="H359" s="27"/>
      <c r="I359" s="27"/>
      <c r="J359" s="27"/>
      <c r="K359" s="27"/>
      <c r="L359" s="27"/>
      <c r="M359" s="27"/>
      <c r="N359" s="27"/>
      <c r="O359" s="27"/>
      <c r="P359" s="27"/>
      <c r="Q359" s="27"/>
      <c r="R359" s="27"/>
      <c r="S359" s="27"/>
      <c r="T359" s="27"/>
      <c r="U359" s="27"/>
      <c r="V359" s="27"/>
      <c r="W359" s="27"/>
      <c r="X359" s="27"/>
      <c r="Y359" s="27"/>
      <c r="Z359" s="27"/>
    </row>
    <row r="360" ht="15.75" customHeight="1">
      <c r="A360" s="113"/>
      <c r="B360" s="113"/>
      <c r="C360" s="113"/>
      <c r="D360" s="115"/>
      <c r="E360" s="116"/>
      <c r="F360" s="37"/>
      <c r="G360" s="114"/>
      <c r="H360" s="27"/>
      <c r="I360" s="27"/>
      <c r="J360" s="27"/>
      <c r="K360" s="27"/>
      <c r="L360" s="27"/>
      <c r="M360" s="27"/>
      <c r="N360" s="27"/>
      <c r="O360" s="27"/>
      <c r="P360" s="27"/>
      <c r="Q360" s="27"/>
      <c r="R360" s="27"/>
      <c r="S360" s="27"/>
      <c r="T360" s="27"/>
      <c r="U360" s="27"/>
      <c r="V360" s="27"/>
      <c r="W360" s="27"/>
      <c r="X360" s="27"/>
      <c r="Y360" s="27"/>
      <c r="Z360" s="27"/>
    </row>
    <row r="361" ht="15.75" customHeight="1">
      <c r="A361" s="113"/>
      <c r="B361" s="113"/>
      <c r="C361" s="113"/>
      <c r="D361" s="115"/>
      <c r="E361" s="116"/>
      <c r="F361" s="37"/>
      <c r="G361" s="114"/>
      <c r="H361" s="27"/>
      <c r="I361" s="27"/>
      <c r="J361" s="27"/>
      <c r="K361" s="27"/>
      <c r="L361" s="27"/>
      <c r="M361" s="27"/>
      <c r="N361" s="27"/>
      <c r="O361" s="27"/>
      <c r="P361" s="27"/>
      <c r="Q361" s="27"/>
      <c r="R361" s="27"/>
      <c r="S361" s="27"/>
      <c r="T361" s="27"/>
      <c r="U361" s="27"/>
      <c r="V361" s="27"/>
      <c r="W361" s="27"/>
      <c r="X361" s="27"/>
      <c r="Y361" s="27"/>
      <c r="Z361" s="27"/>
    </row>
    <row r="362" ht="15.75" customHeight="1">
      <c r="A362" s="113"/>
      <c r="B362" s="113"/>
      <c r="C362" s="113"/>
      <c r="D362" s="115"/>
      <c r="E362" s="116"/>
      <c r="F362" s="37"/>
      <c r="G362" s="114"/>
      <c r="H362" s="27"/>
      <c r="I362" s="27"/>
      <c r="J362" s="27"/>
      <c r="K362" s="27"/>
      <c r="L362" s="27"/>
      <c r="M362" s="27"/>
      <c r="N362" s="27"/>
      <c r="O362" s="27"/>
      <c r="P362" s="27"/>
      <c r="Q362" s="27"/>
      <c r="R362" s="27"/>
      <c r="S362" s="27"/>
      <c r="T362" s="27"/>
      <c r="U362" s="27"/>
      <c r="V362" s="27"/>
      <c r="W362" s="27"/>
      <c r="X362" s="27"/>
      <c r="Y362" s="27"/>
      <c r="Z362" s="27"/>
    </row>
    <row r="363" ht="15.75" customHeight="1">
      <c r="A363" s="113"/>
      <c r="B363" s="113"/>
      <c r="C363" s="113"/>
      <c r="D363" s="115"/>
      <c r="E363" s="116"/>
      <c r="F363" s="37"/>
      <c r="G363" s="114"/>
      <c r="H363" s="27"/>
      <c r="I363" s="27"/>
      <c r="J363" s="27"/>
      <c r="K363" s="27"/>
      <c r="L363" s="27"/>
      <c r="M363" s="27"/>
      <c r="N363" s="27"/>
      <c r="O363" s="27"/>
      <c r="P363" s="27"/>
      <c r="Q363" s="27"/>
      <c r="R363" s="27"/>
      <c r="S363" s="27"/>
      <c r="T363" s="27"/>
      <c r="U363" s="27"/>
      <c r="V363" s="27"/>
      <c r="W363" s="27"/>
      <c r="X363" s="27"/>
      <c r="Y363" s="27"/>
      <c r="Z363" s="27"/>
    </row>
    <row r="364" ht="15.75" customHeight="1">
      <c r="A364" s="113"/>
      <c r="B364" s="113"/>
      <c r="C364" s="113"/>
      <c r="D364" s="115"/>
      <c r="E364" s="116"/>
      <c r="F364" s="37"/>
      <c r="G364" s="114"/>
      <c r="H364" s="27"/>
      <c r="I364" s="27"/>
      <c r="J364" s="27"/>
      <c r="K364" s="27"/>
      <c r="L364" s="27"/>
      <c r="M364" s="27"/>
      <c r="N364" s="27"/>
      <c r="O364" s="27"/>
      <c r="P364" s="27"/>
      <c r="Q364" s="27"/>
      <c r="R364" s="27"/>
      <c r="S364" s="27"/>
      <c r="T364" s="27"/>
      <c r="U364" s="27"/>
      <c r="V364" s="27"/>
      <c r="W364" s="27"/>
      <c r="X364" s="27"/>
      <c r="Y364" s="27"/>
      <c r="Z364" s="27"/>
    </row>
    <row r="365" ht="15.75" customHeight="1">
      <c r="A365" s="113"/>
      <c r="B365" s="113"/>
      <c r="C365" s="113"/>
      <c r="D365" s="115"/>
      <c r="E365" s="116"/>
      <c r="F365" s="37"/>
      <c r="G365" s="114"/>
      <c r="H365" s="27"/>
      <c r="I365" s="27"/>
      <c r="J365" s="27"/>
      <c r="K365" s="27"/>
      <c r="L365" s="27"/>
      <c r="M365" s="27"/>
      <c r="N365" s="27"/>
      <c r="O365" s="27"/>
      <c r="P365" s="27"/>
      <c r="Q365" s="27"/>
      <c r="R365" s="27"/>
      <c r="S365" s="27"/>
      <c r="T365" s="27"/>
      <c r="U365" s="27"/>
      <c r="V365" s="27"/>
      <c r="W365" s="27"/>
      <c r="X365" s="27"/>
      <c r="Y365" s="27"/>
      <c r="Z365" s="27"/>
    </row>
    <row r="366" ht="15.75" customHeight="1">
      <c r="A366" s="113"/>
      <c r="B366" s="113"/>
      <c r="C366" s="113"/>
      <c r="D366" s="115"/>
      <c r="E366" s="116"/>
      <c r="F366" s="37"/>
      <c r="G366" s="114"/>
      <c r="H366" s="27"/>
      <c r="I366" s="27"/>
      <c r="J366" s="27"/>
      <c r="K366" s="27"/>
      <c r="L366" s="27"/>
      <c r="M366" s="27"/>
      <c r="N366" s="27"/>
      <c r="O366" s="27"/>
      <c r="P366" s="27"/>
      <c r="Q366" s="27"/>
      <c r="R366" s="27"/>
      <c r="S366" s="27"/>
      <c r="T366" s="27"/>
      <c r="U366" s="27"/>
      <c r="V366" s="27"/>
      <c r="W366" s="27"/>
      <c r="X366" s="27"/>
      <c r="Y366" s="27"/>
      <c r="Z366" s="27"/>
    </row>
    <row r="367" ht="15.75" customHeight="1">
      <c r="A367" s="113"/>
      <c r="B367" s="113"/>
      <c r="C367" s="113"/>
      <c r="D367" s="115"/>
      <c r="E367" s="116"/>
      <c r="F367" s="37"/>
      <c r="G367" s="114"/>
      <c r="H367" s="27"/>
      <c r="I367" s="27"/>
      <c r="J367" s="27"/>
      <c r="K367" s="27"/>
      <c r="L367" s="27"/>
      <c r="M367" s="27"/>
      <c r="N367" s="27"/>
      <c r="O367" s="27"/>
      <c r="P367" s="27"/>
      <c r="Q367" s="27"/>
      <c r="R367" s="27"/>
      <c r="S367" s="27"/>
      <c r="T367" s="27"/>
      <c r="U367" s="27"/>
      <c r="V367" s="27"/>
      <c r="W367" s="27"/>
      <c r="X367" s="27"/>
      <c r="Y367" s="27"/>
      <c r="Z367" s="27"/>
    </row>
    <row r="368" ht="15.75" customHeight="1">
      <c r="A368" s="113"/>
      <c r="B368" s="113"/>
      <c r="C368" s="113"/>
      <c r="D368" s="115"/>
      <c r="E368" s="116"/>
      <c r="F368" s="37"/>
      <c r="G368" s="114"/>
      <c r="H368" s="27"/>
      <c r="I368" s="27"/>
      <c r="J368" s="27"/>
      <c r="K368" s="27"/>
      <c r="L368" s="27"/>
      <c r="M368" s="27"/>
      <c r="N368" s="27"/>
      <c r="O368" s="27"/>
      <c r="P368" s="27"/>
      <c r="Q368" s="27"/>
      <c r="R368" s="27"/>
      <c r="S368" s="27"/>
      <c r="T368" s="27"/>
      <c r="U368" s="27"/>
      <c r="V368" s="27"/>
      <c r="W368" s="27"/>
      <c r="X368" s="27"/>
      <c r="Y368" s="27"/>
      <c r="Z368" s="27"/>
    </row>
    <row r="369" ht="15.75" customHeight="1">
      <c r="A369" s="113"/>
      <c r="B369" s="113"/>
      <c r="C369" s="113"/>
      <c r="D369" s="115"/>
      <c r="E369" s="116"/>
      <c r="F369" s="37"/>
      <c r="G369" s="114"/>
      <c r="H369" s="27"/>
      <c r="I369" s="27"/>
      <c r="J369" s="27"/>
      <c r="K369" s="27"/>
      <c r="L369" s="27"/>
      <c r="M369" s="27"/>
      <c r="N369" s="27"/>
      <c r="O369" s="27"/>
      <c r="P369" s="27"/>
      <c r="Q369" s="27"/>
      <c r="R369" s="27"/>
      <c r="S369" s="27"/>
      <c r="T369" s="27"/>
      <c r="U369" s="27"/>
      <c r="V369" s="27"/>
      <c r="W369" s="27"/>
      <c r="X369" s="27"/>
      <c r="Y369" s="27"/>
      <c r="Z369" s="27"/>
    </row>
    <row r="370" ht="15.75" customHeight="1">
      <c r="A370" s="113"/>
      <c r="B370" s="113"/>
      <c r="C370" s="113"/>
      <c r="D370" s="115"/>
      <c r="E370" s="116"/>
      <c r="F370" s="37"/>
      <c r="G370" s="114"/>
      <c r="H370" s="27"/>
      <c r="I370" s="27"/>
      <c r="J370" s="27"/>
      <c r="K370" s="27"/>
      <c r="L370" s="27"/>
      <c r="M370" s="27"/>
      <c r="N370" s="27"/>
      <c r="O370" s="27"/>
      <c r="P370" s="27"/>
      <c r="Q370" s="27"/>
      <c r="R370" s="27"/>
      <c r="S370" s="27"/>
      <c r="T370" s="27"/>
      <c r="U370" s="27"/>
      <c r="V370" s="27"/>
      <c r="W370" s="27"/>
      <c r="X370" s="27"/>
      <c r="Y370" s="27"/>
      <c r="Z370" s="27"/>
    </row>
    <row r="371" ht="15.75" customHeight="1">
      <c r="A371" s="113"/>
      <c r="B371" s="113"/>
      <c r="C371" s="113"/>
      <c r="D371" s="115"/>
      <c r="E371" s="116"/>
      <c r="F371" s="37"/>
      <c r="G371" s="114"/>
      <c r="H371" s="27"/>
      <c r="I371" s="27"/>
      <c r="J371" s="27"/>
      <c r="K371" s="27"/>
      <c r="L371" s="27"/>
      <c r="M371" s="27"/>
      <c r="N371" s="27"/>
      <c r="O371" s="27"/>
      <c r="P371" s="27"/>
      <c r="Q371" s="27"/>
      <c r="R371" s="27"/>
      <c r="S371" s="27"/>
      <c r="T371" s="27"/>
      <c r="U371" s="27"/>
      <c r="V371" s="27"/>
      <c r="W371" s="27"/>
      <c r="X371" s="27"/>
      <c r="Y371" s="27"/>
      <c r="Z371" s="27"/>
    </row>
    <row r="372" ht="15.75" customHeight="1">
      <c r="A372" s="113"/>
      <c r="B372" s="113"/>
      <c r="C372" s="113"/>
      <c r="D372" s="115"/>
      <c r="E372" s="116"/>
      <c r="F372" s="37"/>
      <c r="G372" s="114"/>
      <c r="H372" s="27"/>
      <c r="I372" s="27"/>
      <c r="J372" s="27"/>
      <c r="K372" s="27"/>
      <c r="L372" s="27"/>
      <c r="M372" s="27"/>
      <c r="N372" s="27"/>
      <c r="O372" s="27"/>
      <c r="P372" s="27"/>
      <c r="Q372" s="27"/>
      <c r="R372" s="27"/>
      <c r="S372" s="27"/>
      <c r="T372" s="27"/>
      <c r="U372" s="27"/>
      <c r="V372" s="27"/>
      <c r="W372" s="27"/>
      <c r="X372" s="27"/>
      <c r="Y372" s="27"/>
      <c r="Z372" s="27"/>
    </row>
    <row r="373" ht="15.75" customHeight="1">
      <c r="A373" s="113"/>
      <c r="B373" s="113"/>
      <c r="C373" s="113"/>
      <c r="D373" s="115"/>
      <c r="E373" s="116"/>
      <c r="F373" s="37"/>
      <c r="G373" s="114"/>
      <c r="H373" s="27"/>
      <c r="I373" s="27"/>
      <c r="J373" s="27"/>
      <c r="K373" s="27"/>
      <c r="L373" s="27"/>
      <c r="M373" s="27"/>
      <c r="N373" s="27"/>
      <c r="O373" s="27"/>
      <c r="P373" s="27"/>
      <c r="Q373" s="27"/>
      <c r="R373" s="27"/>
      <c r="S373" s="27"/>
      <c r="T373" s="27"/>
      <c r="U373" s="27"/>
      <c r="V373" s="27"/>
      <c r="W373" s="27"/>
      <c r="X373" s="27"/>
      <c r="Y373" s="27"/>
      <c r="Z373" s="27"/>
    </row>
    <row r="374" ht="15.75" customHeight="1">
      <c r="A374" s="113"/>
      <c r="B374" s="113"/>
      <c r="C374" s="113"/>
      <c r="D374" s="115"/>
      <c r="E374" s="116"/>
      <c r="F374" s="37"/>
      <c r="G374" s="114"/>
      <c r="H374" s="27"/>
      <c r="I374" s="27"/>
      <c r="J374" s="27"/>
      <c r="K374" s="27"/>
      <c r="L374" s="27"/>
      <c r="M374" s="27"/>
      <c r="N374" s="27"/>
      <c r="O374" s="27"/>
      <c r="P374" s="27"/>
      <c r="Q374" s="27"/>
      <c r="R374" s="27"/>
      <c r="S374" s="27"/>
      <c r="T374" s="27"/>
      <c r="U374" s="27"/>
      <c r="V374" s="27"/>
      <c r="W374" s="27"/>
      <c r="X374" s="27"/>
      <c r="Y374" s="27"/>
      <c r="Z374" s="27"/>
    </row>
    <row r="375" ht="15.75" customHeight="1">
      <c r="A375" s="113"/>
      <c r="B375" s="113"/>
      <c r="C375" s="113"/>
      <c r="D375" s="115"/>
      <c r="E375" s="116"/>
      <c r="F375" s="37"/>
      <c r="G375" s="114"/>
      <c r="H375" s="27"/>
      <c r="I375" s="27"/>
      <c r="J375" s="27"/>
      <c r="K375" s="27"/>
      <c r="L375" s="27"/>
      <c r="M375" s="27"/>
      <c r="N375" s="27"/>
      <c r="O375" s="27"/>
      <c r="P375" s="27"/>
      <c r="Q375" s="27"/>
      <c r="R375" s="27"/>
      <c r="S375" s="27"/>
      <c r="T375" s="27"/>
      <c r="U375" s="27"/>
      <c r="V375" s="27"/>
      <c r="W375" s="27"/>
      <c r="X375" s="27"/>
      <c r="Y375" s="27"/>
      <c r="Z375" s="27"/>
    </row>
    <row r="376" ht="15.75" customHeight="1">
      <c r="A376" s="113"/>
      <c r="B376" s="113"/>
      <c r="C376" s="113"/>
      <c r="D376" s="115"/>
      <c r="E376" s="116"/>
      <c r="F376" s="37"/>
      <c r="G376" s="114"/>
      <c r="H376" s="27"/>
      <c r="I376" s="27"/>
      <c r="J376" s="27"/>
      <c r="K376" s="27"/>
      <c r="L376" s="27"/>
      <c r="M376" s="27"/>
      <c r="N376" s="27"/>
      <c r="O376" s="27"/>
      <c r="P376" s="27"/>
      <c r="Q376" s="27"/>
      <c r="R376" s="27"/>
      <c r="S376" s="27"/>
      <c r="T376" s="27"/>
      <c r="U376" s="27"/>
      <c r="V376" s="27"/>
      <c r="W376" s="27"/>
      <c r="X376" s="27"/>
      <c r="Y376" s="27"/>
      <c r="Z376" s="27"/>
    </row>
    <row r="377" ht="15.75" customHeight="1">
      <c r="A377" s="113"/>
      <c r="B377" s="113"/>
      <c r="C377" s="113"/>
      <c r="D377" s="115"/>
      <c r="E377" s="116"/>
      <c r="F377" s="37"/>
      <c r="G377" s="114"/>
      <c r="H377" s="27"/>
      <c r="I377" s="27"/>
      <c r="J377" s="27"/>
      <c r="K377" s="27"/>
      <c r="L377" s="27"/>
      <c r="M377" s="27"/>
      <c r="N377" s="27"/>
      <c r="O377" s="27"/>
      <c r="P377" s="27"/>
      <c r="Q377" s="27"/>
      <c r="R377" s="27"/>
      <c r="S377" s="27"/>
      <c r="T377" s="27"/>
      <c r="U377" s="27"/>
      <c r="V377" s="27"/>
      <c r="W377" s="27"/>
      <c r="X377" s="27"/>
      <c r="Y377" s="27"/>
      <c r="Z377" s="27"/>
    </row>
    <row r="378" ht="15.75" customHeight="1">
      <c r="A378" s="113"/>
      <c r="B378" s="113"/>
      <c r="C378" s="113"/>
      <c r="D378" s="115"/>
      <c r="E378" s="116"/>
      <c r="F378" s="37"/>
      <c r="G378" s="114"/>
      <c r="H378" s="27"/>
      <c r="I378" s="27"/>
      <c r="J378" s="27"/>
      <c r="K378" s="27"/>
      <c r="L378" s="27"/>
      <c r="M378" s="27"/>
      <c r="N378" s="27"/>
      <c r="O378" s="27"/>
      <c r="P378" s="27"/>
      <c r="Q378" s="27"/>
      <c r="R378" s="27"/>
      <c r="S378" s="27"/>
      <c r="T378" s="27"/>
      <c r="U378" s="27"/>
      <c r="V378" s="27"/>
      <c r="W378" s="27"/>
      <c r="X378" s="27"/>
      <c r="Y378" s="27"/>
      <c r="Z378" s="27"/>
    </row>
    <row r="379" ht="15.75" customHeight="1">
      <c r="A379" s="113"/>
      <c r="B379" s="113"/>
      <c r="C379" s="113"/>
      <c r="D379" s="115"/>
      <c r="E379" s="116"/>
      <c r="F379" s="37"/>
      <c r="G379" s="114"/>
      <c r="H379" s="27"/>
      <c r="I379" s="27"/>
      <c r="J379" s="27"/>
      <c r="K379" s="27"/>
      <c r="L379" s="27"/>
      <c r="M379" s="27"/>
      <c r="N379" s="27"/>
      <c r="O379" s="27"/>
      <c r="P379" s="27"/>
      <c r="Q379" s="27"/>
      <c r="R379" s="27"/>
      <c r="S379" s="27"/>
      <c r="T379" s="27"/>
      <c r="U379" s="27"/>
      <c r="V379" s="27"/>
      <c r="W379" s="27"/>
      <c r="X379" s="27"/>
      <c r="Y379" s="27"/>
      <c r="Z379" s="27"/>
    </row>
    <row r="380" ht="15.75" customHeight="1">
      <c r="A380" s="113"/>
      <c r="B380" s="113"/>
      <c r="C380" s="113"/>
      <c r="D380" s="115"/>
      <c r="E380" s="116"/>
      <c r="F380" s="37"/>
      <c r="G380" s="114"/>
      <c r="H380" s="27"/>
      <c r="I380" s="27"/>
      <c r="J380" s="27"/>
      <c r="K380" s="27"/>
      <c r="L380" s="27"/>
      <c r="M380" s="27"/>
      <c r="N380" s="27"/>
      <c r="O380" s="27"/>
      <c r="P380" s="27"/>
      <c r="Q380" s="27"/>
      <c r="R380" s="27"/>
      <c r="S380" s="27"/>
      <c r="T380" s="27"/>
      <c r="U380" s="27"/>
      <c r="V380" s="27"/>
      <c r="W380" s="27"/>
      <c r="X380" s="27"/>
      <c r="Y380" s="27"/>
      <c r="Z380" s="27"/>
    </row>
    <row r="381" ht="15.75" customHeight="1">
      <c r="A381" s="113"/>
      <c r="B381" s="113"/>
      <c r="C381" s="113"/>
      <c r="D381" s="115"/>
      <c r="E381" s="116"/>
      <c r="F381" s="37"/>
      <c r="G381" s="114"/>
      <c r="H381" s="27"/>
      <c r="I381" s="27"/>
      <c r="J381" s="27"/>
      <c r="K381" s="27"/>
      <c r="L381" s="27"/>
      <c r="M381" s="27"/>
      <c r="N381" s="27"/>
      <c r="O381" s="27"/>
      <c r="P381" s="27"/>
      <c r="Q381" s="27"/>
      <c r="R381" s="27"/>
      <c r="S381" s="27"/>
      <c r="T381" s="27"/>
      <c r="U381" s="27"/>
      <c r="V381" s="27"/>
      <c r="W381" s="27"/>
      <c r="X381" s="27"/>
      <c r="Y381" s="27"/>
      <c r="Z381" s="27"/>
    </row>
    <row r="382" ht="15.75" customHeight="1">
      <c r="A382" s="113"/>
      <c r="B382" s="113"/>
      <c r="C382" s="113"/>
      <c r="D382" s="115"/>
      <c r="E382" s="116"/>
      <c r="F382" s="37"/>
      <c r="G382" s="114"/>
      <c r="H382" s="27"/>
      <c r="I382" s="27"/>
      <c r="J382" s="27"/>
      <c r="K382" s="27"/>
      <c r="L382" s="27"/>
      <c r="M382" s="27"/>
      <c r="N382" s="27"/>
      <c r="O382" s="27"/>
      <c r="P382" s="27"/>
      <c r="Q382" s="27"/>
      <c r="R382" s="27"/>
      <c r="S382" s="27"/>
      <c r="T382" s="27"/>
      <c r="U382" s="27"/>
      <c r="V382" s="27"/>
      <c r="W382" s="27"/>
      <c r="X382" s="27"/>
      <c r="Y382" s="27"/>
      <c r="Z382" s="27"/>
    </row>
    <row r="383" ht="15.75" customHeight="1">
      <c r="A383" s="113"/>
      <c r="B383" s="113"/>
      <c r="C383" s="113"/>
      <c r="D383" s="115"/>
      <c r="E383" s="116"/>
      <c r="F383" s="37"/>
      <c r="G383" s="114"/>
      <c r="H383" s="27"/>
      <c r="I383" s="27"/>
      <c r="J383" s="27"/>
      <c r="K383" s="27"/>
      <c r="L383" s="27"/>
      <c r="M383" s="27"/>
      <c r="N383" s="27"/>
      <c r="O383" s="27"/>
      <c r="P383" s="27"/>
      <c r="Q383" s="27"/>
      <c r="R383" s="27"/>
      <c r="S383" s="27"/>
      <c r="T383" s="27"/>
      <c r="U383" s="27"/>
      <c r="V383" s="27"/>
      <c r="W383" s="27"/>
      <c r="X383" s="27"/>
      <c r="Y383" s="27"/>
      <c r="Z383" s="27"/>
    </row>
    <row r="384" ht="15.75" customHeight="1">
      <c r="A384" s="113"/>
      <c r="B384" s="113"/>
      <c r="C384" s="113"/>
      <c r="D384" s="115"/>
      <c r="E384" s="116"/>
      <c r="F384" s="37"/>
      <c r="G384" s="114"/>
      <c r="H384" s="27"/>
      <c r="I384" s="27"/>
      <c r="J384" s="27"/>
      <c r="K384" s="27"/>
      <c r="L384" s="27"/>
      <c r="M384" s="27"/>
      <c r="N384" s="27"/>
      <c r="O384" s="27"/>
      <c r="P384" s="27"/>
      <c r="Q384" s="27"/>
      <c r="R384" s="27"/>
      <c r="S384" s="27"/>
      <c r="T384" s="27"/>
      <c r="U384" s="27"/>
      <c r="V384" s="27"/>
      <c r="W384" s="27"/>
      <c r="X384" s="27"/>
      <c r="Y384" s="27"/>
      <c r="Z384" s="27"/>
    </row>
    <row r="385" ht="15.75" customHeight="1">
      <c r="A385" s="113"/>
      <c r="B385" s="113"/>
      <c r="C385" s="113"/>
      <c r="D385" s="115"/>
      <c r="E385" s="116"/>
      <c r="F385" s="37"/>
      <c r="G385" s="114"/>
      <c r="H385" s="27"/>
      <c r="I385" s="27"/>
      <c r="J385" s="27"/>
      <c r="K385" s="27"/>
      <c r="L385" s="27"/>
      <c r="M385" s="27"/>
      <c r="N385" s="27"/>
      <c r="O385" s="27"/>
      <c r="P385" s="27"/>
      <c r="Q385" s="27"/>
      <c r="R385" s="27"/>
      <c r="S385" s="27"/>
      <c r="T385" s="27"/>
      <c r="U385" s="27"/>
      <c r="V385" s="27"/>
      <c r="W385" s="27"/>
      <c r="X385" s="27"/>
      <c r="Y385" s="27"/>
      <c r="Z385" s="27"/>
    </row>
    <row r="386" ht="15.75" customHeight="1">
      <c r="A386" s="113"/>
      <c r="B386" s="113"/>
      <c r="C386" s="113"/>
      <c r="D386" s="115"/>
      <c r="E386" s="116"/>
      <c r="F386" s="37"/>
      <c r="G386" s="114"/>
      <c r="H386" s="27"/>
      <c r="I386" s="27"/>
      <c r="J386" s="27"/>
      <c r="K386" s="27"/>
      <c r="L386" s="27"/>
      <c r="M386" s="27"/>
      <c r="N386" s="27"/>
      <c r="O386" s="27"/>
      <c r="P386" s="27"/>
      <c r="Q386" s="27"/>
      <c r="R386" s="27"/>
      <c r="S386" s="27"/>
      <c r="T386" s="27"/>
      <c r="U386" s="27"/>
      <c r="V386" s="27"/>
      <c r="W386" s="27"/>
      <c r="X386" s="27"/>
      <c r="Y386" s="27"/>
      <c r="Z386" s="27"/>
    </row>
    <row r="387" ht="15.75" customHeight="1">
      <c r="A387" s="113"/>
      <c r="B387" s="113"/>
      <c r="C387" s="113"/>
      <c r="D387" s="115"/>
      <c r="E387" s="116"/>
      <c r="F387" s="37"/>
      <c r="G387" s="114"/>
      <c r="H387" s="27"/>
      <c r="I387" s="27"/>
      <c r="J387" s="27"/>
      <c r="K387" s="27"/>
      <c r="L387" s="27"/>
      <c r="M387" s="27"/>
      <c r="N387" s="27"/>
      <c r="O387" s="27"/>
      <c r="P387" s="27"/>
      <c r="Q387" s="27"/>
      <c r="R387" s="27"/>
      <c r="S387" s="27"/>
      <c r="T387" s="27"/>
      <c r="U387" s="27"/>
      <c r="V387" s="27"/>
      <c r="W387" s="27"/>
      <c r="X387" s="27"/>
      <c r="Y387" s="27"/>
      <c r="Z387" s="27"/>
    </row>
    <row r="388" ht="15.75" customHeight="1">
      <c r="A388" s="113"/>
      <c r="B388" s="113"/>
      <c r="C388" s="113"/>
      <c r="D388" s="115"/>
      <c r="E388" s="116"/>
      <c r="F388" s="37"/>
      <c r="G388" s="114"/>
      <c r="H388" s="27"/>
      <c r="I388" s="27"/>
      <c r="J388" s="27"/>
      <c r="K388" s="27"/>
      <c r="L388" s="27"/>
      <c r="M388" s="27"/>
      <c r="N388" s="27"/>
      <c r="O388" s="27"/>
      <c r="P388" s="27"/>
      <c r="Q388" s="27"/>
      <c r="R388" s="27"/>
      <c r="S388" s="27"/>
      <c r="T388" s="27"/>
      <c r="U388" s="27"/>
      <c r="V388" s="27"/>
      <c r="W388" s="27"/>
      <c r="X388" s="27"/>
      <c r="Y388" s="27"/>
      <c r="Z388" s="27"/>
    </row>
    <row r="389" ht="15.75" customHeight="1">
      <c r="A389" s="113"/>
      <c r="B389" s="113"/>
      <c r="C389" s="113"/>
      <c r="D389" s="115"/>
      <c r="E389" s="116"/>
      <c r="F389" s="37"/>
      <c r="G389" s="114"/>
      <c r="H389" s="27"/>
      <c r="I389" s="27"/>
      <c r="J389" s="27"/>
      <c r="K389" s="27"/>
      <c r="L389" s="27"/>
      <c r="M389" s="27"/>
      <c r="N389" s="27"/>
      <c r="O389" s="27"/>
      <c r="P389" s="27"/>
      <c r="Q389" s="27"/>
      <c r="R389" s="27"/>
      <c r="S389" s="27"/>
      <c r="T389" s="27"/>
      <c r="U389" s="27"/>
      <c r="V389" s="27"/>
      <c r="W389" s="27"/>
      <c r="X389" s="27"/>
      <c r="Y389" s="27"/>
      <c r="Z389" s="27"/>
    </row>
    <row r="390" ht="15.75" customHeight="1">
      <c r="A390" s="113"/>
      <c r="B390" s="113"/>
      <c r="C390" s="113"/>
      <c r="D390" s="115"/>
      <c r="E390" s="116"/>
      <c r="F390" s="37"/>
      <c r="G390" s="114"/>
      <c r="H390" s="27"/>
      <c r="I390" s="27"/>
      <c r="J390" s="27"/>
      <c r="K390" s="27"/>
      <c r="L390" s="27"/>
      <c r="M390" s="27"/>
      <c r="N390" s="27"/>
      <c r="O390" s="27"/>
      <c r="P390" s="27"/>
      <c r="Q390" s="27"/>
      <c r="R390" s="27"/>
      <c r="S390" s="27"/>
      <c r="T390" s="27"/>
      <c r="U390" s="27"/>
      <c r="V390" s="27"/>
      <c r="W390" s="27"/>
      <c r="X390" s="27"/>
      <c r="Y390" s="27"/>
      <c r="Z390" s="27"/>
    </row>
    <row r="391" ht="15.75" customHeight="1">
      <c r="A391" s="113"/>
      <c r="B391" s="113"/>
      <c r="C391" s="113"/>
      <c r="D391" s="115"/>
      <c r="E391" s="116"/>
      <c r="F391" s="37"/>
      <c r="G391" s="114"/>
      <c r="H391" s="27"/>
      <c r="I391" s="27"/>
      <c r="J391" s="27"/>
      <c r="K391" s="27"/>
      <c r="L391" s="27"/>
      <c r="M391" s="27"/>
      <c r="N391" s="27"/>
      <c r="O391" s="27"/>
      <c r="P391" s="27"/>
      <c r="Q391" s="27"/>
      <c r="R391" s="27"/>
      <c r="S391" s="27"/>
      <c r="T391" s="27"/>
      <c r="U391" s="27"/>
      <c r="V391" s="27"/>
      <c r="W391" s="27"/>
      <c r="X391" s="27"/>
      <c r="Y391" s="27"/>
      <c r="Z391" s="27"/>
    </row>
    <row r="392" ht="15.75" customHeight="1">
      <c r="A392" s="113"/>
      <c r="B392" s="113"/>
      <c r="C392" s="113"/>
      <c r="D392" s="115"/>
      <c r="E392" s="116"/>
      <c r="F392" s="37"/>
      <c r="G392" s="114"/>
      <c r="H392" s="27"/>
      <c r="I392" s="27"/>
      <c r="J392" s="27"/>
      <c r="K392" s="27"/>
      <c r="L392" s="27"/>
      <c r="M392" s="27"/>
      <c r="N392" s="27"/>
      <c r="O392" s="27"/>
      <c r="P392" s="27"/>
      <c r="Q392" s="27"/>
      <c r="R392" s="27"/>
      <c r="S392" s="27"/>
      <c r="T392" s="27"/>
      <c r="U392" s="27"/>
      <c r="V392" s="27"/>
      <c r="W392" s="27"/>
      <c r="X392" s="27"/>
      <c r="Y392" s="27"/>
      <c r="Z392" s="27"/>
    </row>
    <row r="393" ht="15.75" customHeight="1">
      <c r="A393" s="113"/>
      <c r="B393" s="113"/>
      <c r="C393" s="113"/>
      <c r="D393" s="115"/>
      <c r="E393" s="116"/>
      <c r="F393" s="37"/>
      <c r="G393" s="114"/>
      <c r="H393" s="27"/>
      <c r="I393" s="27"/>
      <c r="J393" s="27"/>
      <c r="K393" s="27"/>
      <c r="L393" s="27"/>
      <c r="M393" s="27"/>
      <c r="N393" s="27"/>
      <c r="O393" s="27"/>
      <c r="P393" s="27"/>
      <c r="Q393" s="27"/>
      <c r="R393" s="27"/>
      <c r="S393" s="27"/>
      <c r="T393" s="27"/>
      <c r="U393" s="27"/>
      <c r="V393" s="27"/>
      <c r="W393" s="27"/>
      <c r="X393" s="27"/>
      <c r="Y393" s="27"/>
      <c r="Z393" s="27"/>
    </row>
    <row r="394" ht="15.75" customHeight="1">
      <c r="A394" s="113"/>
      <c r="B394" s="113"/>
      <c r="C394" s="113"/>
      <c r="D394" s="115"/>
      <c r="E394" s="116"/>
      <c r="F394" s="37"/>
      <c r="G394" s="114"/>
      <c r="H394" s="27"/>
      <c r="I394" s="27"/>
      <c r="J394" s="27"/>
      <c r="K394" s="27"/>
      <c r="L394" s="27"/>
      <c r="M394" s="27"/>
      <c r="N394" s="27"/>
      <c r="O394" s="27"/>
      <c r="P394" s="27"/>
      <c r="Q394" s="27"/>
      <c r="R394" s="27"/>
      <c r="S394" s="27"/>
      <c r="T394" s="27"/>
      <c r="U394" s="27"/>
      <c r="V394" s="27"/>
      <c r="W394" s="27"/>
      <c r="X394" s="27"/>
      <c r="Y394" s="27"/>
      <c r="Z394" s="27"/>
    </row>
    <row r="395" ht="15.75" customHeight="1">
      <c r="A395" s="113"/>
      <c r="B395" s="113"/>
      <c r="C395" s="113"/>
      <c r="D395" s="115"/>
      <c r="E395" s="116"/>
      <c r="F395" s="37"/>
      <c r="G395" s="114"/>
      <c r="H395" s="27"/>
      <c r="I395" s="27"/>
      <c r="J395" s="27"/>
      <c r="K395" s="27"/>
      <c r="L395" s="27"/>
      <c r="M395" s="27"/>
      <c r="N395" s="27"/>
      <c r="O395" s="27"/>
      <c r="P395" s="27"/>
      <c r="Q395" s="27"/>
      <c r="R395" s="27"/>
      <c r="S395" s="27"/>
      <c r="T395" s="27"/>
      <c r="U395" s="27"/>
      <c r="V395" s="27"/>
      <c r="W395" s="27"/>
      <c r="X395" s="27"/>
      <c r="Y395" s="27"/>
      <c r="Z395" s="27"/>
    </row>
    <row r="396" ht="15.75" customHeight="1">
      <c r="A396" s="113"/>
      <c r="B396" s="113"/>
      <c r="C396" s="113"/>
      <c r="D396" s="115"/>
      <c r="E396" s="116"/>
      <c r="F396" s="37"/>
      <c r="G396" s="114"/>
      <c r="H396" s="27"/>
      <c r="I396" s="27"/>
      <c r="J396" s="27"/>
      <c r="K396" s="27"/>
      <c r="L396" s="27"/>
      <c r="M396" s="27"/>
      <c r="N396" s="27"/>
      <c r="O396" s="27"/>
      <c r="P396" s="27"/>
      <c r="Q396" s="27"/>
      <c r="R396" s="27"/>
      <c r="S396" s="27"/>
      <c r="T396" s="27"/>
      <c r="U396" s="27"/>
      <c r="V396" s="27"/>
      <c r="W396" s="27"/>
      <c r="X396" s="27"/>
      <c r="Y396" s="27"/>
      <c r="Z396" s="27"/>
    </row>
    <row r="397" ht="15.75" customHeight="1">
      <c r="A397" s="113"/>
      <c r="B397" s="113"/>
      <c r="C397" s="113"/>
      <c r="D397" s="115"/>
      <c r="E397" s="116"/>
      <c r="F397" s="37"/>
      <c r="G397" s="114"/>
      <c r="H397" s="27"/>
      <c r="I397" s="27"/>
      <c r="J397" s="27"/>
      <c r="K397" s="27"/>
      <c r="L397" s="27"/>
      <c r="M397" s="27"/>
      <c r="N397" s="27"/>
      <c r="O397" s="27"/>
      <c r="P397" s="27"/>
      <c r="Q397" s="27"/>
      <c r="R397" s="27"/>
      <c r="S397" s="27"/>
      <c r="T397" s="27"/>
      <c r="U397" s="27"/>
      <c r="V397" s="27"/>
      <c r="W397" s="27"/>
      <c r="X397" s="27"/>
      <c r="Y397" s="27"/>
      <c r="Z397" s="27"/>
    </row>
    <row r="398" ht="15.75" customHeight="1">
      <c r="A398" s="113"/>
      <c r="B398" s="113"/>
      <c r="C398" s="113"/>
      <c r="D398" s="115"/>
      <c r="E398" s="116"/>
      <c r="F398" s="37"/>
      <c r="G398" s="114"/>
      <c r="H398" s="27"/>
      <c r="I398" s="27"/>
      <c r="J398" s="27"/>
      <c r="K398" s="27"/>
      <c r="L398" s="27"/>
      <c r="M398" s="27"/>
      <c r="N398" s="27"/>
      <c r="O398" s="27"/>
      <c r="P398" s="27"/>
      <c r="Q398" s="27"/>
      <c r="R398" s="27"/>
      <c r="S398" s="27"/>
      <c r="T398" s="27"/>
      <c r="U398" s="27"/>
      <c r="V398" s="27"/>
      <c r="W398" s="27"/>
      <c r="X398" s="27"/>
      <c r="Y398" s="27"/>
      <c r="Z398" s="27"/>
    </row>
    <row r="399" ht="15.75" customHeight="1">
      <c r="A399" s="113"/>
      <c r="B399" s="113"/>
      <c r="C399" s="113"/>
      <c r="D399" s="115"/>
      <c r="E399" s="116"/>
      <c r="F399" s="37"/>
      <c r="G399" s="114"/>
      <c r="H399" s="27"/>
      <c r="I399" s="27"/>
      <c r="J399" s="27"/>
      <c r="K399" s="27"/>
      <c r="L399" s="27"/>
      <c r="M399" s="27"/>
      <c r="N399" s="27"/>
      <c r="O399" s="27"/>
      <c r="P399" s="27"/>
      <c r="Q399" s="27"/>
      <c r="R399" s="27"/>
      <c r="S399" s="27"/>
      <c r="T399" s="27"/>
      <c r="U399" s="27"/>
      <c r="V399" s="27"/>
      <c r="W399" s="27"/>
      <c r="X399" s="27"/>
      <c r="Y399" s="27"/>
      <c r="Z399" s="27"/>
    </row>
    <row r="400" ht="15.75" customHeight="1">
      <c r="A400" s="113"/>
      <c r="B400" s="113"/>
      <c r="C400" s="113"/>
      <c r="D400" s="115"/>
      <c r="E400" s="116"/>
      <c r="F400" s="37"/>
      <c r="G400" s="114"/>
      <c r="H400" s="27"/>
      <c r="I400" s="27"/>
      <c r="J400" s="27"/>
      <c r="K400" s="27"/>
      <c r="L400" s="27"/>
      <c r="M400" s="27"/>
      <c r="N400" s="27"/>
      <c r="O400" s="27"/>
      <c r="P400" s="27"/>
      <c r="Q400" s="27"/>
      <c r="R400" s="27"/>
      <c r="S400" s="27"/>
      <c r="T400" s="27"/>
      <c r="U400" s="27"/>
      <c r="V400" s="27"/>
      <c r="W400" s="27"/>
      <c r="X400" s="27"/>
      <c r="Y400" s="27"/>
      <c r="Z400" s="27"/>
    </row>
    <row r="401" ht="15.75" customHeight="1">
      <c r="A401" s="113"/>
      <c r="B401" s="113"/>
      <c r="C401" s="113"/>
      <c r="D401" s="115"/>
      <c r="E401" s="116"/>
      <c r="F401" s="37"/>
      <c r="G401" s="114"/>
      <c r="H401" s="27"/>
      <c r="I401" s="27"/>
      <c r="J401" s="27"/>
      <c r="K401" s="27"/>
      <c r="L401" s="27"/>
      <c r="M401" s="27"/>
      <c r="N401" s="27"/>
      <c r="O401" s="27"/>
      <c r="P401" s="27"/>
      <c r="Q401" s="27"/>
      <c r="R401" s="27"/>
      <c r="S401" s="27"/>
      <c r="T401" s="27"/>
      <c r="U401" s="27"/>
      <c r="V401" s="27"/>
      <c r="W401" s="27"/>
      <c r="X401" s="27"/>
      <c r="Y401" s="27"/>
      <c r="Z401" s="27"/>
    </row>
    <row r="402" ht="15.75" customHeight="1">
      <c r="A402" s="113"/>
      <c r="B402" s="113"/>
      <c r="C402" s="113"/>
      <c r="D402" s="115"/>
      <c r="E402" s="116"/>
      <c r="F402" s="37"/>
      <c r="G402" s="114"/>
      <c r="H402" s="27"/>
      <c r="I402" s="27"/>
      <c r="J402" s="27"/>
      <c r="K402" s="27"/>
      <c r="L402" s="27"/>
      <c r="M402" s="27"/>
      <c r="N402" s="27"/>
      <c r="O402" s="27"/>
      <c r="P402" s="27"/>
      <c r="Q402" s="27"/>
      <c r="R402" s="27"/>
      <c r="S402" s="27"/>
      <c r="T402" s="27"/>
      <c r="U402" s="27"/>
      <c r="V402" s="27"/>
      <c r="W402" s="27"/>
      <c r="X402" s="27"/>
      <c r="Y402" s="27"/>
      <c r="Z402" s="27"/>
    </row>
    <row r="403" ht="15.75" customHeight="1">
      <c r="A403" s="113"/>
      <c r="B403" s="113"/>
      <c r="C403" s="113"/>
      <c r="D403" s="115"/>
      <c r="E403" s="116"/>
      <c r="F403" s="37"/>
      <c r="G403" s="114"/>
      <c r="H403" s="27"/>
      <c r="I403" s="27"/>
      <c r="J403" s="27"/>
      <c r="K403" s="27"/>
      <c r="L403" s="27"/>
      <c r="M403" s="27"/>
      <c r="N403" s="27"/>
      <c r="O403" s="27"/>
      <c r="P403" s="27"/>
      <c r="Q403" s="27"/>
      <c r="R403" s="27"/>
      <c r="S403" s="27"/>
      <c r="T403" s="27"/>
      <c r="U403" s="27"/>
      <c r="V403" s="27"/>
      <c r="W403" s="27"/>
      <c r="X403" s="27"/>
      <c r="Y403" s="27"/>
      <c r="Z403" s="27"/>
    </row>
    <row r="404" ht="15.75" customHeight="1">
      <c r="A404" s="113"/>
      <c r="B404" s="113"/>
      <c r="C404" s="113"/>
      <c r="D404" s="115"/>
      <c r="E404" s="116"/>
      <c r="F404" s="37"/>
      <c r="G404" s="114"/>
      <c r="H404" s="27"/>
      <c r="I404" s="27"/>
      <c r="J404" s="27"/>
      <c r="K404" s="27"/>
      <c r="L404" s="27"/>
      <c r="M404" s="27"/>
      <c r="N404" s="27"/>
      <c r="O404" s="27"/>
      <c r="P404" s="27"/>
      <c r="Q404" s="27"/>
      <c r="R404" s="27"/>
      <c r="S404" s="27"/>
      <c r="T404" s="27"/>
      <c r="U404" s="27"/>
      <c r="V404" s="27"/>
      <c r="W404" s="27"/>
      <c r="X404" s="27"/>
      <c r="Y404" s="27"/>
      <c r="Z404" s="27"/>
    </row>
    <row r="405" ht="15.75" customHeight="1">
      <c r="A405" s="113"/>
      <c r="B405" s="113"/>
      <c r="C405" s="113"/>
      <c r="D405" s="115"/>
      <c r="E405" s="116"/>
      <c r="F405" s="37"/>
      <c r="G405" s="114"/>
      <c r="H405" s="27"/>
      <c r="I405" s="27"/>
      <c r="J405" s="27"/>
      <c r="K405" s="27"/>
      <c r="L405" s="27"/>
      <c r="M405" s="27"/>
      <c r="N405" s="27"/>
      <c r="O405" s="27"/>
      <c r="P405" s="27"/>
      <c r="Q405" s="27"/>
      <c r="R405" s="27"/>
      <c r="S405" s="27"/>
      <c r="T405" s="27"/>
      <c r="U405" s="27"/>
      <c r="V405" s="27"/>
      <c r="W405" s="27"/>
      <c r="X405" s="27"/>
      <c r="Y405" s="27"/>
      <c r="Z405" s="27"/>
    </row>
    <row r="406" ht="15.75" customHeight="1">
      <c r="A406" s="113"/>
      <c r="B406" s="113"/>
      <c r="C406" s="113"/>
      <c r="D406" s="115"/>
      <c r="E406" s="116"/>
      <c r="F406" s="37"/>
      <c r="G406" s="114"/>
      <c r="H406" s="27"/>
      <c r="I406" s="27"/>
      <c r="J406" s="27"/>
      <c r="K406" s="27"/>
      <c r="L406" s="27"/>
      <c r="M406" s="27"/>
      <c r="N406" s="27"/>
      <c r="O406" s="27"/>
      <c r="P406" s="27"/>
      <c r="Q406" s="27"/>
      <c r="R406" s="27"/>
      <c r="S406" s="27"/>
      <c r="T406" s="27"/>
      <c r="U406" s="27"/>
      <c r="V406" s="27"/>
      <c r="W406" s="27"/>
      <c r="X406" s="27"/>
      <c r="Y406" s="27"/>
      <c r="Z406" s="27"/>
    </row>
    <row r="407" ht="15.75" customHeight="1">
      <c r="A407" s="113"/>
      <c r="B407" s="113"/>
      <c r="C407" s="113"/>
      <c r="D407" s="115"/>
      <c r="E407" s="116"/>
      <c r="F407" s="37"/>
      <c r="G407" s="114"/>
      <c r="H407" s="27"/>
      <c r="I407" s="27"/>
      <c r="J407" s="27"/>
      <c r="K407" s="27"/>
      <c r="L407" s="27"/>
      <c r="M407" s="27"/>
      <c r="N407" s="27"/>
      <c r="O407" s="27"/>
      <c r="P407" s="27"/>
      <c r="Q407" s="27"/>
      <c r="R407" s="27"/>
      <c r="S407" s="27"/>
      <c r="T407" s="27"/>
      <c r="U407" s="27"/>
      <c r="V407" s="27"/>
      <c r="W407" s="27"/>
      <c r="X407" s="27"/>
      <c r="Y407" s="27"/>
      <c r="Z407" s="27"/>
    </row>
    <row r="408" ht="15.75" customHeight="1">
      <c r="A408" s="113"/>
      <c r="B408" s="113"/>
      <c r="C408" s="113"/>
      <c r="D408" s="115"/>
      <c r="E408" s="116"/>
      <c r="F408" s="37"/>
      <c r="G408" s="114"/>
      <c r="H408" s="27"/>
      <c r="I408" s="27"/>
      <c r="J408" s="27"/>
      <c r="K408" s="27"/>
      <c r="L408" s="27"/>
      <c r="M408" s="27"/>
      <c r="N408" s="27"/>
      <c r="O408" s="27"/>
      <c r="P408" s="27"/>
      <c r="Q408" s="27"/>
      <c r="R408" s="27"/>
      <c r="S408" s="27"/>
      <c r="T408" s="27"/>
      <c r="U408" s="27"/>
      <c r="V408" s="27"/>
      <c r="W408" s="27"/>
      <c r="X408" s="27"/>
      <c r="Y408" s="27"/>
      <c r="Z408" s="27"/>
    </row>
    <row r="409" ht="15.75" customHeight="1">
      <c r="A409" s="113"/>
      <c r="B409" s="113"/>
      <c r="C409" s="113"/>
      <c r="D409" s="115"/>
      <c r="E409" s="116"/>
      <c r="F409" s="37"/>
      <c r="G409" s="114"/>
      <c r="H409" s="27"/>
      <c r="I409" s="27"/>
      <c r="J409" s="27"/>
      <c r="K409" s="27"/>
      <c r="L409" s="27"/>
      <c r="M409" s="27"/>
      <c r="N409" s="27"/>
      <c r="O409" s="27"/>
      <c r="P409" s="27"/>
      <c r="Q409" s="27"/>
      <c r="R409" s="27"/>
      <c r="S409" s="27"/>
      <c r="T409" s="27"/>
      <c r="U409" s="27"/>
      <c r="V409" s="27"/>
      <c r="W409" s="27"/>
      <c r="X409" s="27"/>
      <c r="Y409" s="27"/>
      <c r="Z409" s="27"/>
    </row>
    <row r="410" ht="15.75" customHeight="1">
      <c r="A410" s="113"/>
      <c r="B410" s="113"/>
      <c r="C410" s="113"/>
      <c r="D410" s="115"/>
      <c r="E410" s="116"/>
      <c r="F410" s="37"/>
      <c r="G410" s="114"/>
      <c r="H410" s="27"/>
      <c r="I410" s="27"/>
      <c r="J410" s="27"/>
      <c r="K410" s="27"/>
      <c r="L410" s="27"/>
      <c r="M410" s="27"/>
      <c r="N410" s="27"/>
      <c r="O410" s="27"/>
      <c r="P410" s="27"/>
      <c r="Q410" s="27"/>
      <c r="R410" s="27"/>
      <c r="S410" s="27"/>
      <c r="T410" s="27"/>
      <c r="U410" s="27"/>
      <c r="V410" s="27"/>
      <c r="W410" s="27"/>
      <c r="X410" s="27"/>
      <c r="Y410" s="27"/>
      <c r="Z410" s="27"/>
    </row>
    <row r="411" ht="15.75" customHeight="1">
      <c r="A411" s="113"/>
      <c r="B411" s="113"/>
      <c r="C411" s="113"/>
      <c r="D411" s="115"/>
      <c r="E411" s="116"/>
      <c r="F411" s="37"/>
      <c r="G411" s="114"/>
      <c r="H411" s="27"/>
      <c r="I411" s="27"/>
      <c r="J411" s="27"/>
      <c r="K411" s="27"/>
      <c r="L411" s="27"/>
      <c r="M411" s="27"/>
      <c r="N411" s="27"/>
      <c r="O411" s="27"/>
      <c r="P411" s="27"/>
      <c r="Q411" s="27"/>
      <c r="R411" s="27"/>
      <c r="S411" s="27"/>
      <c r="T411" s="27"/>
      <c r="U411" s="27"/>
      <c r="V411" s="27"/>
      <c r="W411" s="27"/>
      <c r="X411" s="27"/>
      <c r="Y411" s="27"/>
      <c r="Z411" s="27"/>
    </row>
    <row r="412" ht="15.75" customHeight="1">
      <c r="A412" s="113"/>
      <c r="B412" s="113"/>
      <c r="C412" s="113"/>
      <c r="D412" s="115"/>
      <c r="E412" s="116"/>
      <c r="F412" s="37"/>
      <c r="G412" s="114"/>
      <c r="H412" s="27"/>
      <c r="I412" s="27"/>
      <c r="J412" s="27"/>
      <c r="K412" s="27"/>
      <c r="L412" s="27"/>
      <c r="M412" s="27"/>
      <c r="N412" s="27"/>
      <c r="O412" s="27"/>
      <c r="P412" s="27"/>
      <c r="Q412" s="27"/>
      <c r="R412" s="27"/>
      <c r="S412" s="27"/>
      <c r="T412" s="27"/>
      <c r="U412" s="27"/>
      <c r="V412" s="27"/>
      <c r="W412" s="27"/>
      <c r="X412" s="27"/>
      <c r="Y412" s="27"/>
      <c r="Z412" s="27"/>
    </row>
    <row r="413" ht="15.75" customHeight="1">
      <c r="A413" s="113"/>
      <c r="B413" s="113"/>
      <c r="C413" s="113"/>
      <c r="D413" s="115"/>
      <c r="E413" s="116"/>
      <c r="F413" s="37"/>
      <c r="G413" s="114"/>
      <c r="H413" s="27"/>
      <c r="I413" s="27"/>
      <c r="J413" s="27"/>
      <c r="K413" s="27"/>
      <c r="L413" s="27"/>
      <c r="M413" s="27"/>
      <c r="N413" s="27"/>
      <c r="O413" s="27"/>
      <c r="P413" s="27"/>
      <c r="Q413" s="27"/>
      <c r="R413" s="27"/>
      <c r="S413" s="27"/>
      <c r="T413" s="27"/>
      <c r="U413" s="27"/>
      <c r="V413" s="27"/>
      <c r="W413" s="27"/>
      <c r="X413" s="27"/>
      <c r="Y413" s="27"/>
      <c r="Z413" s="27"/>
    </row>
    <row r="414" ht="15.75" customHeight="1">
      <c r="A414" s="113"/>
      <c r="B414" s="113"/>
      <c r="C414" s="113"/>
      <c r="D414" s="115"/>
      <c r="E414" s="116"/>
      <c r="F414" s="37"/>
      <c r="G414" s="114"/>
      <c r="H414" s="27"/>
      <c r="I414" s="27"/>
      <c r="J414" s="27"/>
      <c r="K414" s="27"/>
      <c r="L414" s="27"/>
      <c r="M414" s="27"/>
      <c r="N414" s="27"/>
      <c r="O414" s="27"/>
      <c r="P414" s="27"/>
      <c r="Q414" s="27"/>
      <c r="R414" s="27"/>
      <c r="S414" s="27"/>
      <c r="T414" s="27"/>
      <c r="U414" s="27"/>
      <c r="V414" s="27"/>
      <c r="W414" s="27"/>
      <c r="X414" s="27"/>
      <c r="Y414" s="27"/>
      <c r="Z414" s="27"/>
    </row>
    <row r="415" ht="15.75" customHeight="1">
      <c r="A415" s="113"/>
      <c r="B415" s="113"/>
      <c r="C415" s="113"/>
      <c r="D415" s="115"/>
      <c r="E415" s="116"/>
      <c r="F415" s="37"/>
      <c r="G415" s="114"/>
      <c r="H415" s="27"/>
      <c r="I415" s="27"/>
      <c r="J415" s="27"/>
      <c r="K415" s="27"/>
      <c r="L415" s="27"/>
      <c r="M415" s="27"/>
      <c r="N415" s="27"/>
      <c r="O415" s="27"/>
      <c r="P415" s="27"/>
      <c r="Q415" s="27"/>
      <c r="R415" s="27"/>
      <c r="S415" s="27"/>
      <c r="T415" s="27"/>
      <c r="U415" s="27"/>
      <c r="V415" s="27"/>
      <c r="W415" s="27"/>
      <c r="X415" s="27"/>
      <c r="Y415" s="27"/>
      <c r="Z415" s="27"/>
    </row>
    <row r="416" ht="15.75" customHeight="1">
      <c r="A416" s="113"/>
      <c r="B416" s="113"/>
      <c r="C416" s="113"/>
      <c r="D416" s="115"/>
      <c r="E416" s="116"/>
      <c r="F416" s="37"/>
      <c r="G416" s="114"/>
      <c r="H416" s="27"/>
      <c r="I416" s="27"/>
      <c r="J416" s="27"/>
      <c r="K416" s="27"/>
      <c r="L416" s="27"/>
      <c r="M416" s="27"/>
      <c r="N416" s="27"/>
      <c r="O416" s="27"/>
      <c r="P416" s="27"/>
      <c r="Q416" s="27"/>
      <c r="R416" s="27"/>
      <c r="S416" s="27"/>
      <c r="T416" s="27"/>
      <c r="U416" s="27"/>
      <c r="V416" s="27"/>
      <c r="W416" s="27"/>
      <c r="X416" s="27"/>
      <c r="Y416" s="27"/>
      <c r="Z416" s="27"/>
    </row>
    <row r="417" ht="15.75" customHeight="1">
      <c r="A417" s="113"/>
      <c r="B417" s="113"/>
      <c r="C417" s="113"/>
      <c r="D417" s="115"/>
      <c r="E417" s="116"/>
      <c r="F417" s="37"/>
      <c r="G417" s="114"/>
      <c r="H417" s="27"/>
      <c r="I417" s="27"/>
      <c r="J417" s="27"/>
      <c r="K417" s="27"/>
      <c r="L417" s="27"/>
      <c r="M417" s="27"/>
      <c r="N417" s="27"/>
      <c r="O417" s="27"/>
      <c r="P417" s="27"/>
      <c r="Q417" s="27"/>
      <c r="R417" s="27"/>
      <c r="S417" s="27"/>
      <c r="T417" s="27"/>
      <c r="U417" s="27"/>
      <c r="V417" s="27"/>
      <c r="W417" s="27"/>
      <c r="X417" s="27"/>
      <c r="Y417" s="27"/>
      <c r="Z417" s="27"/>
    </row>
    <row r="418" ht="15.75" customHeight="1">
      <c r="A418" s="113"/>
      <c r="B418" s="113"/>
      <c r="C418" s="113"/>
      <c r="D418" s="115"/>
      <c r="E418" s="116"/>
      <c r="F418" s="37"/>
      <c r="G418" s="114"/>
      <c r="H418" s="27"/>
      <c r="I418" s="27"/>
      <c r="J418" s="27"/>
      <c r="K418" s="27"/>
      <c r="L418" s="27"/>
      <c r="M418" s="27"/>
      <c r="N418" s="27"/>
      <c r="O418" s="27"/>
      <c r="P418" s="27"/>
      <c r="Q418" s="27"/>
      <c r="R418" s="27"/>
      <c r="S418" s="27"/>
      <c r="T418" s="27"/>
      <c r="U418" s="27"/>
      <c r="V418" s="27"/>
      <c r="W418" s="27"/>
      <c r="X418" s="27"/>
      <c r="Y418" s="27"/>
      <c r="Z418" s="27"/>
    </row>
    <row r="419" ht="15.75" customHeight="1">
      <c r="A419" s="113"/>
      <c r="B419" s="113"/>
      <c r="C419" s="113"/>
      <c r="D419" s="115"/>
      <c r="E419" s="116"/>
      <c r="F419" s="37"/>
      <c r="G419" s="114"/>
      <c r="H419" s="27"/>
      <c r="I419" s="27"/>
      <c r="J419" s="27"/>
      <c r="K419" s="27"/>
      <c r="L419" s="27"/>
      <c r="M419" s="27"/>
      <c r="N419" s="27"/>
      <c r="O419" s="27"/>
      <c r="P419" s="27"/>
      <c r="Q419" s="27"/>
      <c r="R419" s="27"/>
      <c r="S419" s="27"/>
      <c r="T419" s="27"/>
      <c r="U419" s="27"/>
      <c r="V419" s="27"/>
      <c r="W419" s="27"/>
      <c r="X419" s="27"/>
      <c r="Y419" s="27"/>
      <c r="Z419" s="27"/>
    </row>
    <row r="420" ht="15.75" customHeight="1">
      <c r="A420" s="113"/>
      <c r="B420" s="113"/>
      <c r="C420" s="113"/>
      <c r="D420" s="115"/>
      <c r="E420" s="116"/>
      <c r="F420" s="37"/>
      <c r="G420" s="114"/>
      <c r="H420" s="27"/>
      <c r="I420" s="27"/>
      <c r="J420" s="27"/>
      <c r="K420" s="27"/>
      <c r="L420" s="27"/>
      <c r="M420" s="27"/>
      <c r="N420" s="27"/>
      <c r="O420" s="27"/>
      <c r="P420" s="27"/>
      <c r="Q420" s="27"/>
      <c r="R420" s="27"/>
      <c r="S420" s="27"/>
      <c r="T420" s="27"/>
      <c r="U420" s="27"/>
      <c r="V420" s="27"/>
      <c r="W420" s="27"/>
      <c r="X420" s="27"/>
      <c r="Y420" s="27"/>
      <c r="Z420" s="27"/>
    </row>
    <row r="421" ht="15.75" customHeight="1">
      <c r="A421" s="113"/>
      <c r="B421" s="113"/>
      <c r="C421" s="113"/>
      <c r="D421" s="115"/>
      <c r="E421" s="116"/>
      <c r="F421" s="37"/>
      <c r="G421" s="114"/>
      <c r="H421" s="27"/>
      <c r="I421" s="27"/>
      <c r="J421" s="27"/>
      <c r="K421" s="27"/>
      <c r="L421" s="27"/>
      <c r="M421" s="27"/>
      <c r="N421" s="27"/>
      <c r="O421" s="27"/>
      <c r="P421" s="27"/>
      <c r="Q421" s="27"/>
      <c r="R421" s="27"/>
      <c r="S421" s="27"/>
      <c r="T421" s="27"/>
      <c r="U421" s="27"/>
      <c r="V421" s="27"/>
      <c r="W421" s="27"/>
      <c r="X421" s="27"/>
      <c r="Y421" s="27"/>
      <c r="Z421" s="27"/>
    </row>
    <row r="422" ht="15.75" customHeight="1">
      <c r="A422" s="113"/>
      <c r="B422" s="113"/>
      <c r="C422" s="113"/>
      <c r="D422" s="115"/>
      <c r="E422" s="116"/>
      <c r="F422" s="37"/>
      <c r="G422" s="114"/>
      <c r="H422" s="27"/>
      <c r="I422" s="27"/>
      <c r="J422" s="27"/>
      <c r="K422" s="27"/>
      <c r="L422" s="27"/>
      <c r="M422" s="27"/>
      <c r="N422" s="27"/>
      <c r="O422" s="27"/>
      <c r="P422" s="27"/>
      <c r="Q422" s="27"/>
      <c r="R422" s="27"/>
      <c r="S422" s="27"/>
      <c r="T422" s="27"/>
      <c r="U422" s="27"/>
      <c r="V422" s="27"/>
      <c r="W422" s="27"/>
      <c r="X422" s="27"/>
      <c r="Y422" s="27"/>
      <c r="Z422" s="27"/>
    </row>
    <row r="423" ht="15.75" customHeight="1">
      <c r="A423" s="113"/>
      <c r="B423" s="113"/>
      <c r="C423" s="113"/>
      <c r="D423" s="115"/>
      <c r="E423" s="116"/>
      <c r="F423" s="37"/>
      <c r="G423" s="114"/>
      <c r="H423" s="27"/>
      <c r="I423" s="27"/>
      <c r="J423" s="27"/>
      <c r="K423" s="27"/>
      <c r="L423" s="27"/>
      <c r="M423" s="27"/>
      <c r="N423" s="27"/>
      <c r="O423" s="27"/>
      <c r="P423" s="27"/>
      <c r="Q423" s="27"/>
      <c r="R423" s="27"/>
      <c r="S423" s="27"/>
      <c r="T423" s="27"/>
      <c r="U423" s="27"/>
      <c r="V423" s="27"/>
      <c r="W423" s="27"/>
      <c r="X423" s="27"/>
      <c r="Y423" s="27"/>
      <c r="Z423" s="27"/>
    </row>
    <row r="424" ht="15.75" customHeight="1">
      <c r="A424" s="113"/>
      <c r="B424" s="113"/>
      <c r="C424" s="113"/>
      <c r="D424" s="115"/>
      <c r="E424" s="116"/>
      <c r="F424" s="37"/>
      <c r="G424" s="114"/>
      <c r="H424" s="27"/>
      <c r="I424" s="27"/>
      <c r="J424" s="27"/>
      <c r="K424" s="27"/>
      <c r="L424" s="27"/>
      <c r="M424" s="27"/>
      <c r="N424" s="27"/>
      <c r="O424" s="27"/>
      <c r="P424" s="27"/>
      <c r="Q424" s="27"/>
      <c r="R424" s="27"/>
      <c r="S424" s="27"/>
      <c r="T424" s="27"/>
      <c r="U424" s="27"/>
      <c r="V424" s="27"/>
      <c r="W424" s="27"/>
      <c r="X424" s="27"/>
      <c r="Y424" s="27"/>
      <c r="Z424" s="27"/>
    </row>
    <row r="425" ht="15.75" customHeight="1">
      <c r="A425" s="113"/>
      <c r="B425" s="113"/>
      <c r="C425" s="113"/>
      <c r="D425" s="115"/>
      <c r="E425" s="116"/>
      <c r="F425" s="37"/>
      <c r="G425" s="114"/>
      <c r="H425" s="27"/>
      <c r="I425" s="27"/>
      <c r="J425" s="27"/>
      <c r="K425" s="27"/>
      <c r="L425" s="27"/>
      <c r="M425" s="27"/>
      <c r="N425" s="27"/>
      <c r="O425" s="27"/>
      <c r="P425" s="27"/>
      <c r="Q425" s="27"/>
      <c r="R425" s="27"/>
      <c r="S425" s="27"/>
      <c r="T425" s="27"/>
      <c r="U425" s="27"/>
      <c r="V425" s="27"/>
      <c r="W425" s="27"/>
      <c r="X425" s="27"/>
      <c r="Y425" s="27"/>
      <c r="Z425" s="27"/>
    </row>
    <row r="426" ht="15.75" customHeight="1">
      <c r="A426" s="113"/>
      <c r="B426" s="113"/>
      <c r="C426" s="113"/>
      <c r="D426" s="115"/>
      <c r="E426" s="116"/>
      <c r="F426" s="37"/>
      <c r="G426" s="114"/>
      <c r="H426" s="27"/>
      <c r="I426" s="27"/>
      <c r="J426" s="27"/>
      <c r="K426" s="27"/>
      <c r="L426" s="27"/>
      <c r="M426" s="27"/>
      <c r="N426" s="27"/>
      <c r="O426" s="27"/>
      <c r="P426" s="27"/>
      <c r="Q426" s="27"/>
      <c r="R426" s="27"/>
      <c r="S426" s="27"/>
      <c r="T426" s="27"/>
      <c r="U426" s="27"/>
      <c r="V426" s="27"/>
      <c r="W426" s="27"/>
      <c r="X426" s="27"/>
      <c r="Y426" s="27"/>
      <c r="Z426" s="27"/>
    </row>
    <row r="427" ht="15.75" customHeight="1">
      <c r="A427" s="113"/>
      <c r="B427" s="113"/>
      <c r="C427" s="113"/>
      <c r="D427" s="115"/>
      <c r="E427" s="116"/>
      <c r="F427" s="37"/>
      <c r="G427" s="114"/>
      <c r="H427" s="27"/>
      <c r="I427" s="27"/>
      <c r="J427" s="27"/>
      <c r="K427" s="27"/>
      <c r="L427" s="27"/>
      <c r="M427" s="27"/>
      <c r="N427" s="27"/>
      <c r="O427" s="27"/>
      <c r="P427" s="27"/>
      <c r="Q427" s="27"/>
      <c r="R427" s="27"/>
      <c r="S427" s="27"/>
      <c r="T427" s="27"/>
      <c r="U427" s="27"/>
      <c r="V427" s="27"/>
      <c r="W427" s="27"/>
      <c r="X427" s="27"/>
      <c r="Y427" s="27"/>
      <c r="Z427" s="27"/>
    </row>
    <row r="428" ht="15.75" customHeight="1">
      <c r="A428" s="113"/>
      <c r="B428" s="113"/>
      <c r="C428" s="113"/>
      <c r="D428" s="115"/>
      <c r="E428" s="116"/>
      <c r="F428" s="37"/>
      <c r="G428" s="114"/>
      <c r="H428" s="27"/>
      <c r="I428" s="27"/>
      <c r="J428" s="27"/>
      <c r="K428" s="27"/>
      <c r="L428" s="27"/>
      <c r="M428" s="27"/>
      <c r="N428" s="27"/>
      <c r="O428" s="27"/>
      <c r="P428" s="27"/>
      <c r="Q428" s="27"/>
      <c r="R428" s="27"/>
      <c r="S428" s="27"/>
      <c r="T428" s="27"/>
      <c r="U428" s="27"/>
      <c r="V428" s="27"/>
      <c r="W428" s="27"/>
      <c r="X428" s="27"/>
      <c r="Y428" s="27"/>
      <c r="Z428" s="27"/>
    </row>
    <row r="429" ht="15.75" customHeight="1">
      <c r="A429" s="113"/>
      <c r="B429" s="113"/>
      <c r="C429" s="113"/>
      <c r="D429" s="115"/>
      <c r="E429" s="116"/>
      <c r="F429" s="37"/>
      <c r="G429" s="114"/>
      <c r="H429" s="27"/>
      <c r="I429" s="27"/>
      <c r="J429" s="27"/>
      <c r="K429" s="27"/>
      <c r="L429" s="27"/>
      <c r="M429" s="27"/>
      <c r="N429" s="27"/>
      <c r="O429" s="27"/>
      <c r="P429" s="27"/>
      <c r="Q429" s="27"/>
      <c r="R429" s="27"/>
      <c r="S429" s="27"/>
      <c r="T429" s="27"/>
      <c r="U429" s="27"/>
      <c r="V429" s="27"/>
      <c r="W429" s="27"/>
      <c r="X429" s="27"/>
      <c r="Y429" s="27"/>
      <c r="Z429" s="27"/>
    </row>
    <row r="430" ht="15.75" customHeight="1">
      <c r="A430" s="113"/>
      <c r="B430" s="113"/>
      <c r="C430" s="113"/>
      <c r="D430" s="115"/>
      <c r="E430" s="116"/>
      <c r="F430" s="37"/>
      <c r="G430" s="114"/>
      <c r="H430" s="27"/>
      <c r="I430" s="27"/>
      <c r="J430" s="27"/>
      <c r="K430" s="27"/>
      <c r="L430" s="27"/>
      <c r="M430" s="27"/>
      <c r="N430" s="27"/>
      <c r="O430" s="27"/>
      <c r="P430" s="27"/>
      <c r="Q430" s="27"/>
      <c r="R430" s="27"/>
      <c r="S430" s="27"/>
      <c r="T430" s="27"/>
      <c r="U430" s="27"/>
      <c r="V430" s="27"/>
      <c r="W430" s="27"/>
      <c r="X430" s="27"/>
      <c r="Y430" s="27"/>
      <c r="Z430" s="27"/>
    </row>
    <row r="431" ht="15.75" customHeight="1">
      <c r="A431" s="113"/>
      <c r="B431" s="113"/>
      <c r="C431" s="113"/>
      <c r="D431" s="115"/>
      <c r="E431" s="116"/>
      <c r="F431" s="37"/>
      <c r="G431" s="114"/>
      <c r="H431" s="27"/>
      <c r="I431" s="27"/>
      <c r="J431" s="27"/>
      <c r="K431" s="27"/>
      <c r="L431" s="27"/>
      <c r="M431" s="27"/>
      <c r="N431" s="27"/>
      <c r="O431" s="27"/>
      <c r="P431" s="27"/>
      <c r="Q431" s="27"/>
      <c r="R431" s="27"/>
      <c r="S431" s="27"/>
      <c r="T431" s="27"/>
      <c r="U431" s="27"/>
      <c r="V431" s="27"/>
      <c r="W431" s="27"/>
      <c r="X431" s="27"/>
      <c r="Y431" s="27"/>
      <c r="Z431" s="27"/>
    </row>
    <row r="432" ht="15.75" customHeight="1">
      <c r="A432" s="113"/>
      <c r="B432" s="113"/>
      <c r="C432" s="113"/>
      <c r="D432" s="115"/>
      <c r="E432" s="116"/>
      <c r="F432" s="37"/>
      <c r="G432" s="114"/>
      <c r="H432" s="27"/>
      <c r="I432" s="27"/>
      <c r="J432" s="27"/>
      <c r="K432" s="27"/>
      <c r="L432" s="27"/>
      <c r="M432" s="27"/>
      <c r="N432" s="27"/>
      <c r="O432" s="27"/>
      <c r="P432" s="27"/>
      <c r="Q432" s="27"/>
      <c r="R432" s="27"/>
      <c r="S432" s="27"/>
      <c r="T432" s="27"/>
      <c r="U432" s="27"/>
      <c r="V432" s="27"/>
      <c r="W432" s="27"/>
      <c r="X432" s="27"/>
      <c r="Y432" s="27"/>
      <c r="Z432" s="27"/>
    </row>
    <row r="433" ht="15.75" customHeight="1">
      <c r="A433" s="113"/>
      <c r="B433" s="113"/>
      <c r="C433" s="113"/>
      <c r="D433" s="115"/>
      <c r="E433" s="116"/>
      <c r="F433" s="37"/>
      <c r="G433" s="114"/>
      <c r="H433" s="27"/>
      <c r="I433" s="27"/>
      <c r="J433" s="27"/>
      <c r="K433" s="27"/>
      <c r="L433" s="27"/>
      <c r="M433" s="27"/>
      <c r="N433" s="27"/>
      <c r="O433" s="27"/>
      <c r="P433" s="27"/>
      <c r="Q433" s="27"/>
      <c r="R433" s="27"/>
      <c r="S433" s="27"/>
      <c r="T433" s="27"/>
      <c r="U433" s="27"/>
      <c r="V433" s="27"/>
      <c r="W433" s="27"/>
      <c r="X433" s="27"/>
      <c r="Y433" s="27"/>
      <c r="Z433" s="27"/>
    </row>
    <row r="434" ht="15.75" customHeight="1">
      <c r="A434" s="113"/>
      <c r="B434" s="113"/>
      <c r="C434" s="113"/>
      <c r="D434" s="115"/>
      <c r="E434" s="116"/>
      <c r="F434" s="37"/>
      <c r="G434" s="114"/>
      <c r="H434" s="27"/>
      <c r="I434" s="27"/>
      <c r="J434" s="27"/>
      <c r="K434" s="27"/>
      <c r="L434" s="27"/>
      <c r="M434" s="27"/>
      <c r="N434" s="27"/>
      <c r="O434" s="27"/>
      <c r="P434" s="27"/>
      <c r="Q434" s="27"/>
      <c r="R434" s="27"/>
      <c r="S434" s="27"/>
      <c r="T434" s="27"/>
      <c r="U434" s="27"/>
      <c r="V434" s="27"/>
      <c r="W434" s="27"/>
      <c r="X434" s="27"/>
      <c r="Y434" s="27"/>
      <c r="Z434" s="27"/>
    </row>
    <row r="435" ht="15.75" customHeight="1">
      <c r="A435" s="113"/>
      <c r="B435" s="113"/>
      <c r="C435" s="113"/>
      <c r="D435" s="115"/>
      <c r="E435" s="116"/>
      <c r="F435" s="37"/>
      <c r="G435" s="114"/>
      <c r="H435" s="27"/>
      <c r="I435" s="27"/>
      <c r="J435" s="27"/>
      <c r="K435" s="27"/>
      <c r="L435" s="27"/>
      <c r="M435" s="27"/>
      <c r="N435" s="27"/>
      <c r="O435" s="27"/>
      <c r="P435" s="27"/>
      <c r="Q435" s="27"/>
      <c r="R435" s="27"/>
      <c r="S435" s="27"/>
      <c r="T435" s="27"/>
      <c r="U435" s="27"/>
      <c r="V435" s="27"/>
      <c r="W435" s="27"/>
      <c r="X435" s="27"/>
      <c r="Y435" s="27"/>
      <c r="Z435" s="27"/>
    </row>
    <row r="436" ht="15.75" customHeight="1">
      <c r="A436" s="113"/>
      <c r="B436" s="113"/>
      <c r="C436" s="113"/>
      <c r="D436" s="115"/>
      <c r="E436" s="116"/>
      <c r="F436" s="37"/>
      <c r="G436" s="114"/>
      <c r="H436" s="27"/>
      <c r="I436" s="27"/>
      <c r="J436" s="27"/>
      <c r="K436" s="27"/>
      <c r="L436" s="27"/>
      <c r="M436" s="27"/>
      <c r="N436" s="27"/>
      <c r="O436" s="27"/>
      <c r="P436" s="27"/>
      <c r="Q436" s="27"/>
      <c r="R436" s="27"/>
      <c r="S436" s="27"/>
      <c r="T436" s="27"/>
      <c r="U436" s="27"/>
      <c r="V436" s="27"/>
      <c r="W436" s="27"/>
      <c r="X436" s="27"/>
      <c r="Y436" s="27"/>
      <c r="Z436" s="27"/>
    </row>
    <row r="437" ht="15.75" customHeight="1">
      <c r="A437" s="113"/>
      <c r="B437" s="113"/>
      <c r="C437" s="113"/>
      <c r="D437" s="115"/>
      <c r="E437" s="116"/>
      <c r="F437" s="37"/>
      <c r="G437" s="114"/>
      <c r="H437" s="27"/>
      <c r="I437" s="27"/>
      <c r="J437" s="27"/>
      <c r="K437" s="27"/>
      <c r="L437" s="27"/>
      <c r="M437" s="27"/>
      <c r="N437" s="27"/>
      <c r="O437" s="27"/>
      <c r="P437" s="27"/>
      <c r="Q437" s="27"/>
      <c r="R437" s="27"/>
      <c r="S437" s="27"/>
      <c r="T437" s="27"/>
      <c r="U437" s="27"/>
      <c r="V437" s="27"/>
      <c r="W437" s="27"/>
      <c r="X437" s="27"/>
      <c r="Y437" s="27"/>
      <c r="Z437" s="27"/>
    </row>
    <row r="438" ht="15.75" customHeight="1">
      <c r="A438" s="113"/>
      <c r="B438" s="113"/>
      <c r="C438" s="113"/>
      <c r="D438" s="115"/>
      <c r="E438" s="116"/>
      <c r="F438" s="37"/>
      <c r="G438" s="114"/>
      <c r="H438" s="27"/>
      <c r="I438" s="27"/>
      <c r="J438" s="27"/>
      <c r="K438" s="27"/>
      <c r="L438" s="27"/>
      <c r="M438" s="27"/>
      <c r="N438" s="27"/>
      <c r="O438" s="27"/>
      <c r="P438" s="27"/>
      <c r="Q438" s="27"/>
      <c r="R438" s="27"/>
      <c r="S438" s="27"/>
      <c r="T438" s="27"/>
      <c r="U438" s="27"/>
      <c r="V438" s="27"/>
      <c r="W438" s="27"/>
      <c r="X438" s="27"/>
      <c r="Y438" s="27"/>
      <c r="Z438" s="27"/>
    </row>
    <row r="439" ht="15.75" customHeight="1">
      <c r="A439" s="113"/>
      <c r="B439" s="113"/>
      <c r="C439" s="113"/>
      <c r="D439" s="115"/>
      <c r="E439" s="116"/>
      <c r="F439" s="37"/>
      <c r="G439" s="114"/>
      <c r="H439" s="27"/>
      <c r="I439" s="27"/>
      <c r="J439" s="27"/>
      <c r="K439" s="27"/>
      <c r="L439" s="27"/>
      <c r="M439" s="27"/>
      <c r="N439" s="27"/>
      <c r="O439" s="27"/>
      <c r="P439" s="27"/>
      <c r="Q439" s="27"/>
      <c r="R439" s="27"/>
      <c r="S439" s="27"/>
      <c r="T439" s="27"/>
      <c r="U439" s="27"/>
      <c r="V439" s="27"/>
      <c r="W439" s="27"/>
      <c r="X439" s="27"/>
      <c r="Y439" s="27"/>
      <c r="Z439" s="27"/>
    </row>
    <row r="440" ht="15.75" customHeight="1">
      <c r="A440" s="113"/>
      <c r="B440" s="113"/>
      <c r="C440" s="113"/>
      <c r="D440" s="115"/>
      <c r="E440" s="116"/>
      <c r="F440" s="37"/>
      <c r="G440" s="114"/>
      <c r="H440" s="27"/>
      <c r="I440" s="27"/>
      <c r="J440" s="27"/>
      <c r="K440" s="27"/>
      <c r="L440" s="27"/>
      <c r="M440" s="27"/>
      <c r="N440" s="27"/>
      <c r="O440" s="27"/>
      <c r="P440" s="27"/>
      <c r="Q440" s="27"/>
      <c r="R440" s="27"/>
      <c r="S440" s="27"/>
      <c r="T440" s="27"/>
      <c r="U440" s="27"/>
      <c r="V440" s="27"/>
      <c r="W440" s="27"/>
      <c r="X440" s="27"/>
      <c r="Y440" s="27"/>
      <c r="Z440" s="27"/>
    </row>
    <row r="441" ht="15.75" customHeight="1">
      <c r="A441" s="113"/>
      <c r="B441" s="113"/>
      <c r="C441" s="113"/>
      <c r="D441" s="115"/>
      <c r="E441" s="116"/>
      <c r="F441" s="37"/>
      <c r="G441" s="114"/>
      <c r="H441" s="27"/>
      <c r="I441" s="27"/>
      <c r="J441" s="27"/>
      <c r="K441" s="27"/>
      <c r="L441" s="27"/>
      <c r="M441" s="27"/>
      <c r="N441" s="27"/>
      <c r="O441" s="27"/>
      <c r="P441" s="27"/>
      <c r="Q441" s="27"/>
      <c r="R441" s="27"/>
      <c r="S441" s="27"/>
      <c r="T441" s="27"/>
      <c r="U441" s="27"/>
      <c r="V441" s="27"/>
      <c r="W441" s="27"/>
      <c r="X441" s="27"/>
      <c r="Y441" s="27"/>
      <c r="Z441" s="27"/>
    </row>
    <row r="442" ht="15.75" customHeight="1">
      <c r="A442" s="113"/>
      <c r="B442" s="113"/>
      <c r="C442" s="113"/>
      <c r="D442" s="115"/>
      <c r="E442" s="116"/>
      <c r="F442" s="37"/>
      <c r="G442" s="114"/>
      <c r="H442" s="27"/>
      <c r="I442" s="27"/>
      <c r="J442" s="27"/>
      <c r="K442" s="27"/>
      <c r="L442" s="27"/>
      <c r="M442" s="27"/>
      <c r="N442" s="27"/>
      <c r="O442" s="27"/>
      <c r="P442" s="27"/>
      <c r="Q442" s="27"/>
      <c r="R442" s="27"/>
      <c r="S442" s="27"/>
      <c r="T442" s="27"/>
      <c r="U442" s="27"/>
      <c r="V442" s="27"/>
      <c r="W442" s="27"/>
      <c r="X442" s="27"/>
      <c r="Y442" s="27"/>
      <c r="Z442" s="27"/>
    </row>
    <row r="443" ht="15.75" customHeight="1">
      <c r="A443" s="113"/>
      <c r="B443" s="113"/>
      <c r="C443" s="113"/>
      <c r="D443" s="115"/>
      <c r="E443" s="116"/>
      <c r="F443" s="37"/>
      <c r="G443" s="114"/>
      <c r="H443" s="27"/>
      <c r="I443" s="27"/>
      <c r="J443" s="27"/>
      <c r="K443" s="27"/>
      <c r="L443" s="27"/>
      <c r="M443" s="27"/>
      <c r="N443" s="27"/>
      <c r="O443" s="27"/>
      <c r="P443" s="27"/>
      <c r="Q443" s="27"/>
      <c r="R443" s="27"/>
      <c r="S443" s="27"/>
      <c r="T443" s="27"/>
      <c r="U443" s="27"/>
      <c r="V443" s="27"/>
      <c r="W443" s="27"/>
      <c r="X443" s="27"/>
      <c r="Y443" s="27"/>
      <c r="Z443" s="27"/>
    </row>
    <row r="444" ht="15.75" customHeight="1">
      <c r="A444" s="113"/>
      <c r="B444" s="113"/>
      <c r="C444" s="113"/>
      <c r="D444" s="115"/>
      <c r="E444" s="116"/>
      <c r="F444" s="37"/>
      <c r="G444" s="114"/>
      <c r="H444" s="27"/>
      <c r="I444" s="27"/>
      <c r="J444" s="27"/>
      <c r="K444" s="27"/>
      <c r="L444" s="27"/>
      <c r="M444" s="27"/>
      <c r="N444" s="27"/>
      <c r="O444" s="27"/>
      <c r="P444" s="27"/>
      <c r="Q444" s="27"/>
      <c r="R444" s="27"/>
      <c r="S444" s="27"/>
      <c r="T444" s="27"/>
      <c r="U444" s="27"/>
      <c r="V444" s="27"/>
      <c r="W444" s="27"/>
      <c r="X444" s="27"/>
      <c r="Y444" s="27"/>
      <c r="Z444" s="27"/>
    </row>
    <row r="445" ht="15.75" customHeight="1">
      <c r="A445" s="113"/>
      <c r="B445" s="113"/>
      <c r="C445" s="113"/>
      <c r="D445" s="115"/>
      <c r="E445" s="116"/>
      <c r="F445" s="37"/>
      <c r="G445" s="114"/>
      <c r="H445" s="27"/>
      <c r="I445" s="27"/>
      <c r="J445" s="27"/>
      <c r="K445" s="27"/>
      <c r="L445" s="27"/>
      <c r="M445" s="27"/>
      <c r="N445" s="27"/>
      <c r="O445" s="27"/>
      <c r="P445" s="27"/>
      <c r="Q445" s="27"/>
      <c r="R445" s="27"/>
      <c r="S445" s="27"/>
      <c r="T445" s="27"/>
      <c r="U445" s="27"/>
      <c r="V445" s="27"/>
      <c r="W445" s="27"/>
      <c r="X445" s="27"/>
      <c r="Y445" s="27"/>
      <c r="Z445" s="27"/>
    </row>
    <row r="446" ht="15.75" customHeight="1">
      <c r="A446" s="113"/>
      <c r="B446" s="113"/>
      <c r="C446" s="113"/>
      <c r="D446" s="115"/>
      <c r="E446" s="116"/>
      <c r="F446" s="37"/>
      <c r="G446" s="114"/>
      <c r="H446" s="27"/>
      <c r="I446" s="27"/>
      <c r="J446" s="27"/>
      <c r="K446" s="27"/>
      <c r="L446" s="27"/>
      <c r="M446" s="27"/>
      <c r="N446" s="27"/>
      <c r="O446" s="27"/>
      <c r="P446" s="27"/>
      <c r="Q446" s="27"/>
      <c r="R446" s="27"/>
      <c r="S446" s="27"/>
      <c r="T446" s="27"/>
      <c r="U446" s="27"/>
      <c r="V446" s="27"/>
      <c r="W446" s="27"/>
      <c r="X446" s="27"/>
      <c r="Y446" s="27"/>
      <c r="Z446" s="27"/>
    </row>
    <row r="447" ht="15.75" customHeight="1">
      <c r="A447" s="113"/>
      <c r="B447" s="113"/>
      <c r="C447" s="113"/>
      <c r="D447" s="115"/>
      <c r="E447" s="116"/>
      <c r="F447" s="37"/>
      <c r="G447" s="114"/>
      <c r="H447" s="27"/>
      <c r="I447" s="27"/>
      <c r="J447" s="27"/>
      <c r="K447" s="27"/>
      <c r="L447" s="27"/>
      <c r="M447" s="27"/>
      <c r="N447" s="27"/>
      <c r="O447" s="27"/>
      <c r="P447" s="27"/>
      <c r="Q447" s="27"/>
      <c r="R447" s="27"/>
      <c r="S447" s="27"/>
      <c r="T447" s="27"/>
      <c r="U447" s="27"/>
      <c r="V447" s="27"/>
      <c r="W447" s="27"/>
      <c r="X447" s="27"/>
      <c r="Y447" s="27"/>
      <c r="Z447" s="27"/>
    </row>
    <row r="448" ht="15.75" customHeight="1">
      <c r="A448" s="113"/>
      <c r="B448" s="113"/>
      <c r="C448" s="113"/>
      <c r="D448" s="115"/>
      <c r="E448" s="116"/>
      <c r="F448" s="37"/>
      <c r="G448" s="114"/>
      <c r="H448" s="27"/>
      <c r="I448" s="27"/>
      <c r="J448" s="27"/>
      <c r="K448" s="27"/>
      <c r="L448" s="27"/>
      <c r="M448" s="27"/>
      <c r="N448" s="27"/>
      <c r="O448" s="27"/>
      <c r="P448" s="27"/>
      <c r="Q448" s="27"/>
      <c r="R448" s="27"/>
      <c r="S448" s="27"/>
      <c r="T448" s="27"/>
      <c r="U448" s="27"/>
      <c r="V448" s="27"/>
      <c r="W448" s="27"/>
      <c r="X448" s="27"/>
      <c r="Y448" s="27"/>
      <c r="Z448" s="27"/>
    </row>
    <row r="449" ht="15.75" customHeight="1">
      <c r="A449" s="113"/>
      <c r="B449" s="113"/>
      <c r="C449" s="113"/>
      <c r="D449" s="115"/>
      <c r="E449" s="116"/>
      <c r="F449" s="37"/>
      <c r="G449" s="114"/>
      <c r="H449" s="27"/>
      <c r="I449" s="27"/>
      <c r="J449" s="27"/>
      <c r="K449" s="27"/>
      <c r="L449" s="27"/>
      <c r="M449" s="27"/>
      <c r="N449" s="27"/>
      <c r="O449" s="27"/>
      <c r="P449" s="27"/>
      <c r="Q449" s="27"/>
      <c r="R449" s="27"/>
      <c r="S449" s="27"/>
      <c r="T449" s="27"/>
      <c r="U449" s="27"/>
      <c r="V449" s="27"/>
      <c r="W449" s="27"/>
      <c r="X449" s="27"/>
      <c r="Y449" s="27"/>
      <c r="Z449" s="27"/>
    </row>
    <row r="450" ht="15.75" customHeight="1">
      <c r="A450" s="113"/>
      <c r="B450" s="113"/>
      <c r="C450" s="113"/>
      <c r="D450" s="115"/>
      <c r="E450" s="116"/>
      <c r="F450" s="37"/>
      <c r="G450" s="114"/>
      <c r="H450" s="27"/>
      <c r="I450" s="27"/>
      <c r="J450" s="27"/>
      <c r="K450" s="27"/>
      <c r="L450" s="27"/>
      <c r="M450" s="27"/>
      <c r="N450" s="27"/>
      <c r="O450" s="27"/>
      <c r="P450" s="27"/>
      <c r="Q450" s="27"/>
      <c r="R450" s="27"/>
      <c r="S450" s="27"/>
      <c r="T450" s="27"/>
      <c r="U450" s="27"/>
      <c r="V450" s="27"/>
      <c r="W450" s="27"/>
      <c r="X450" s="27"/>
      <c r="Y450" s="27"/>
      <c r="Z450" s="27"/>
    </row>
    <row r="451" ht="15.75" customHeight="1">
      <c r="A451" s="113"/>
      <c r="B451" s="113"/>
      <c r="C451" s="113"/>
      <c r="D451" s="115"/>
      <c r="E451" s="116"/>
      <c r="F451" s="37"/>
      <c r="G451" s="114"/>
      <c r="H451" s="27"/>
      <c r="I451" s="27"/>
      <c r="J451" s="27"/>
      <c r="K451" s="27"/>
      <c r="L451" s="27"/>
      <c r="M451" s="27"/>
      <c r="N451" s="27"/>
      <c r="O451" s="27"/>
      <c r="P451" s="27"/>
      <c r="Q451" s="27"/>
      <c r="R451" s="27"/>
      <c r="S451" s="27"/>
      <c r="T451" s="27"/>
      <c r="U451" s="27"/>
      <c r="V451" s="27"/>
      <c r="W451" s="27"/>
      <c r="X451" s="27"/>
      <c r="Y451" s="27"/>
      <c r="Z451" s="27"/>
    </row>
    <row r="452" ht="15.75" customHeight="1">
      <c r="A452" s="113"/>
      <c r="B452" s="113"/>
      <c r="C452" s="113"/>
      <c r="D452" s="115"/>
      <c r="E452" s="116"/>
      <c r="F452" s="37"/>
      <c r="G452" s="114"/>
      <c r="H452" s="27"/>
      <c r="I452" s="27"/>
      <c r="J452" s="27"/>
      <c r="K452" s="27"/>
      <c r="L452" s="27"/>
      <c r="M452" s="27"/>
      <c r="N452" s="27"/>
      <c r="O452" s="27"/>
      <c r="P452" s="27"/>
      <c r="Q452" s="27"/>
      <c r="R452" s="27"/>
      <c r="S452" s="27"/>
      <c r="T452" s="27"/>
      <c r="U452" s="27"/>
      <c r="V452" s="27"/>
      <c r="W452" s="27"/>
      <c r="X452" s="27"/>
      <c r="Y452" s="27"/>
      <c r="Z452" s="27"/>
    </row>
    <row r="453" ht="15.75" customHeight="1">
      <c r="A453" s="113"/>
      <c r="B453" s="113"/>
      <c r="C453" s="113"/>
      <c r="D453" s="115"/>
      <c r="E453" s="116"/>
      <c r="F453" s="37"/>
      <c r="G453" s="114"/>
      <c r="H453" s="27"/>
      <c r="I453" s="27"/>
      <c r="J453" s="27"/>
      <c r="K453" s="27"/>
      <c r="L453" s="27"/>
      <c r="M453" s="27"/>
      <c r="N453" s="27"/>
      <c r="O453" s="27"/>
      <c r="P453" s="27"/>
      <c r="Q453" s="27"/>
      <c r="R453" s="27"/>
      <c r="S453" s="27"/>
      <c r="T453" s="27"/>
      <c r="U453" s="27"/>
      <c r="V453" s="27"/>
      <c r="W453" s="27"/>
      <c r="X453" s="27"/>
      <c r="Y453" s="27"/>
      <c r="Z453" s="27"/>
    </row>
    <row r="454" ht="15.75" customHeight="1">
      <c r="A454" s="113"/>
      <c r="B454" s="113"/>
      <c r="C454" s="113"/>
      <c r="D454" s="115"/>
      <c r="E454" s="116"/>
      <c r="F454" s="37"/>
      <c r="G454" s="114"/>
      <c r="H454" s="27"/>
      <c r="I454" s="27"/>
      <c r="J454" s="27"/>
      <c r="K454" s="27"/>
      <c r="L454" s="27"/>
      <c r="M454" s="27"/>
      <c r="N454" s="27"/>
      <c r="O454" s="27"/>
      <c r="P454" s="27"/>
      <c r="Q454" s="27"/>
      <c r="R454" s="27"/>
      <c r="S454" s="27"/>
      <c r="T454" s="27"/>
      <c r="U454" s="27"/>
      <c r="V454" s="27"/>
      <c r="W454" s="27"/>
      <c r="X454" s="27"/>
      <c r="Y454" s="27"/>
      <c r="Z454" s="27"/>
    </row>
    <row r="455" ht="15.75" customHeight="1">
      <c r="A455" s="113"/>
      <c r="B455" s="113"/>
      <c r="C455" s="113"/>
      <c r="D455" s="115"/>
      <c r="E455" s="116"/>
      <c r="F455" s="37"/>
      <c r="G455" s="114"/>
      <c r="H455" s="27"/>
      <c r="I455" s="27"/>
      <c r="J455" s="27"/>
      <c r="K455" s="27"/>
      <c r="L455" s="27"/>
      <c r="M455" s="27"/>
      <c r="N455" s="27"/>
      <c r="O455" s="27"/>
      <c r="P455" s="27"/>
      <c r="Q455" s="27"/>
      <c r="R455" s="27"/>
      <c r="S455" s="27"/>
      <c r="T455" s="27"/>
      <c r="U455" s="27"/>
      <c r="V455" s="27"/>
      <c r="W455" s="27"/>
      <c r="X455" s="27"/>
      <c r="Y455" s="27"/>
      <c r="Z455" s="27"/>
    </row>
    <row r="456" ht="15.75" customHeight="1">
      <c r="A456" s="113"/>
      <c r="B456" s="113"/>
      <c r="C456" s="113"/>
      <c r="D456" s="115"/>
      <c r="E456" s="116"/>
      <c r="F456" s="37"/>
      <c r="G456" s="114"/>
      <c r="H456" s="27"/>
      <c r="I456" s="27"/>
      <c r="J456" s="27"/>
      <c r="K456" s="27"/>
      <c r="L456" s="27"/>
      <c r="M456" s="27"/>
      <c r="N456" s="27"/>
      <c r="O456" s="27"/>
      <c r="P456" s="27"/>
      <c r="Q456" s="27"/>
      <c r="R456" s="27"/>
      <c r="S456" s="27"/>
      <c r="T456" s="27"/>
      <c r="U456" s="27"/>
      <c r="V456" s="27"/>
      <c r="W456" s="27"/>
      <c r="X456" s="27"/>
      <c r="Y456" s="27"/>
      <c r="Z456" s="27"/>
    </row>
    <row r="457" ht="15.75" customHeight="1">
      <c r="A457" s="113"/>
      <c r="B457" s="113"/>
      <c r="C457" s="113"/>
      <c r="D457" s="115"/>
      <c r="E457" s="116"/>
      <c r="F457" s="37"/>
      <c r="G457" s="114"/>
      <c r="H457" s="27"/>
      <c r="I457" s="27"/>
      <c r="J457" s="27"/>
      <c r="K457" s="27"/>
      <c r="L457" s="27"/>
      <c r="M457" s="27"/>
      <c r="N457" s="27"/>
      <c r="O457" s="27"/>
      <c r="P457" s="27"/>
      <c r="Q457" s="27"/>
      <c r="R457" s="27"/>
      <c r="S457" s="27"/>
      <c r="T457" s="27"/>
      <c r="U457" s="27"/>
      <c r="V457" s="27"/>
      <c r="W457" s="27"/>
      <c r="X457" s="27"/>
      <c r="Y457" s="27"/>
      <c r="Z457" s="27"/>
    </row>
    <row r="458" ht="15.75" customHeight="1">
      <c r="A458" s="113"/>
      <c r="B458" s="113"/>
      <c r="C458" s="113"/>
      <c r="D458" s="115"/>
      <c r="E458" s="116"/>
      <c r="F458" s="37"/>
      <c r="G458" s="114"/>
      <c r="H458" s="27"/>
      <c r="I458" s="27"/>
      <c r="J458" s="27"/>
      <c r="K458" s="27"/>
      <c r="L458" s="27"/>
      <c r="M458" s="27"/>
      <c r="N458" s="27"/>
      <c r="O458" s="27"/>
      <c r="P458" s="27"/>
      <c r="Q458" s="27"/>
      <c r="R458" s="27"/>
      <c r="S458" s="27"/>
      <c r="T458" s="27"/>
      <c r="U458" s="27"/>
      <c r="V458" s="27"/>
      <c r="W458" s="27"/>
      <c r="X458" s="27"/>
      <c r="Y458" s="27"/>
      <c r="Z458" s="27"/>
    </row>
    <row r="459" ht="15.75" customHeight="1">
      <c r="A459" s="113"/>
      <c r="B459" s="113"/>
      <c r="C459" s="113"/>
      <c r="D459" s="115"/>
      <c r="E459" s="116"/>
      <c r="F459" s="37"/>
      <c r="G459" s="114"/>
      <c r="H459" s="27"/>
      <c r="I459" s="27"/>
      <c r="J459" s="27"/>
      <c r="K459" s="27"/>
      <c r="L459" s="27"/>
      <c r="M459" s="27"/>
      <c r="N459" s="27"/>
      <c r="O459" s="27"/>
      <c r="P459" s="27"/>
      <c r="Q459" s="27"/>
      <c r="R459" s="27"/>
      <c r="S459" s="27"/>
      <c r="T459" s="27"/>
      <c r="U459" s="27"/>
      <c r="V459" s="27"/>
      <c r="W459" s="27"/>
      <c r="X459" s="27"/>
      <c r="Y459" s="27"/>
      <c r="Z459" s="27"/>
    </row>
    <row r="460" ht="15.75" customHeight="1">
      <c r="A460" s="113"/>
      <c r="B460" s="113"/>
      <c r="C460" s="113"/>
      <c r="D460" s="115"/>
      <c r="E460" s="116"/>
      <c r="F460" s="37"/>
      <c r="G460" s="114"/>
      <c r="H460" s="27"/>
      <c r="I460" s="27"/>
      <c r="J460" s="27"/>
      <c r="K460" s="27"/>
      <c r="L460" s="27"/>
      <c r="M460" s="27"/>
      <c r="N460" s="27"/>
      <c r="O460" s="27"/>
      <c r="P460" s="27"/>
      <c r="Q460" s="27"/>
      <c r="R460" s="27"/>
      <c r="S460" s="27"/>
      <c r="T460" s="27"/>
      <c r="U460" s="27"/>
      <c r="V460" s="27"/>
      <c r="W460" s="27"/>
      <c r="X460" s="27"/>
      <c r="Y460" s="27"/>
      <c r="Z460" s="27"/>
    </row>
    <row r="461" ht="15.75" customHeight="1">
      <c r="A461" s="113"/>
      <c r="B461" s="113"/>
      <c r="C461" s="113"/>
      <c r="D461" s="115"/>
      <c r="E461" s="116"/>
      <c r="F461" s="37"/>
      <c r="G461" s="114"/>
      <c r="H461" s="27"/>
      <c r="I461" s="27"/>
      <c r="J461" s="27"/>
      <c r="K461" s="27"/>
      <c r="L461" s="27"/>
      <c r="M461" s="27"/>
      <c r="N461" s="27"/>
      <c r="O461" s="27"/>
      <c r="P461" s="27"/>
      <c r="Q461" s="27"/>
      <c r="R461" s="27"/>
      <c r="S461" s="27"/>
      <c r="T461" s="27"/>
      <c r="U461" s="27"/>
      <c r="V461" s="27"/>
      <c r="W461" s="27"/>
      <c r="X461" s="27"/>
      <c r="Y461" s="27"/>
      <c r="Z461" s="27"/>
    </row>
    <row r="462" ht="15.75" customHeight="1">
      <c r="A462" s="113"/>
      <c r="B462" s="113"/>
      <c r="C462" s="113"/>
      <c r="D462" s="115"/>
      <c r="E462" s="116"/>
      <c r="F462" s="37"/>
      <c r="G462" s="114"/>
      <c r="H462" s="27"/>
      <c r="I462" s="27"/>
      <c r="J462" s="27"/>
      <c r="K462" s="27"/>
      <c r="L462" s="27"/>
      <c r="M462" s="27"/>
      <c r="N462" s="27"/>
      <c r="O462" s="27"/>
      <c r="P462" s="27"/>
      <c r="Q462" s="27"/>
      <c r="R462" s="27"/>
      <c r="S462" s="27"/>
      <c r="T462" s="27"/>
      <c r="U462" s="27"/>
      <c r="V462" s="27"/>
      <c r="W462" s="27"/>
      <c r="X462" s="27"/>
      <c r="Y462" s="27"/>
      <c r="Z462" s="27"/>
    </row>
    <row r="463" ht="15.75" customHeight="1">
      <c r="A463" s="113"/>
      <c r="B463" s="113"/>
      <c r="C463" s="113"/>
      <c r="D463" s="115"/>
      <c r="E463" s="116"/>
      <c r="F463" s="37"/>
      <c r="G463" s="114"/>
      <c r="H463" s="27"/>
      <c r="I463" s="27"/>
      <c r="J463" s="27"/>
      <c r="K463" s="27"/>
      <c r="L463" s="27"/>
      <c r="M463" s="27"/>
      <c r="N463" s="27"/>
      <c r="O463" s="27"/>
      <c r="P463" s="27"/>
      <c r="Q463" s="27"/>
      <c r="R463" s="27"/>
      <c r="S463" s="27"/>
      <c r="T463" s="27"/>
      <c r="U463" s="27"/>
      <c r="V463" s="27"/>
      <c r="W463" s="27"/>
      <c r="X463" s="27"/>
      <c r="Y463" s="27"/>
      <c r="Z463" s="27"/>
    </row>
    <row r="464" ht="15.75" customHeight="1">
      <c r="A464" s="113"/>
      <c r="B464" s="113"/>
      <c r="C464" s="113"/>
      <c r="D464" s="115"/>
      <c r="E464" s="116"/>
      <c r="F464" s="37"/>
      <c r="G464" s="114"/>
      <c r="H464" s="27"/>
      <c r="I464" s="27"/>
      <c r="J464" s="27"/>
      <c r="K464" s="27"/>
      <c r="L464" s="27"/>
      <c r="M464" s="27"/>
      <c r="N464" s="27"/>
      <c r="O464" s="27"/>
      <c r="P464" s="27"/>
      <c r="Q464" s="27"/>
      <c r="R464" s="27"/>
      <c r="S464" s="27"/>
      <c r="T464" s="27"/>
      <c r="U464" s="27"/>
      <c r="V464" s="27"/>
      <c r="W464" s="27"/>
      <c r="X464" s="27"/>
      <c r="Y464" s="27"/>
      <c r="Z464" s="27"/>
    </row>
    <row r="465" ht="15.75" customHeight="1">
      <c r="A465" s="113"/>
      <c r="B465" s="113"/>
      <c r="C465" s="113"/>
      <c r="D465" s="115"/>
      <c r="E465" s="116"/>
      <c r="F465" s="37"/>
      <c r="G465" s="114"/>
      <c r="H465" s="27"/>
      <c r="I465" s="27"/>
      <c r="J465" s="27"/>
      <c r="K465" s="27"/>
      <c r="L465" s="27"/>
      <c r="M465" s="27"/>
      <c r="N465" s="27"/>
      <c r="O465" s="27"/>
      <c r="P465" s="27"/>
      <c r="Q465" s="27"/>
      <c r="R465" s="27"/>
      <c r="S465" s="27"/>
      <c r="T465" s="27"/>
      <c r="U465" s="27"/>
      <c r="V465" s="27"/>
      <c r="W465" s="27"/>
      <c r="X465" s="27"/>
      <c r="Y465" s="27"/>
      <c r="Z465" s="27"/>
    </row>
    <row r="466" ht="15.75" customHeight="1">
      <c r="A466" s="113"/>
      <c r="B466" s="113"/>
      <c r="C466" s="113"/>
      <c r="D466" s="115"/>
      <c r="E466" s="116"/>
      <c r="F466" s="37"/>
      <c r="G466" s="114"/>
      <c r="H466" s="27"/>
      <c r="I466" s="27"/>
      <c r="J466" s="27"/>
      <c r="K466" s="27"/>
      <c r="L466" s="27"/>
      <c r="M466" s="27"/>
      <c r="N466" s="27"/>
      <c r="O466" s="27"/>
      <c r="P466" s="27"/>
      <c r="Q466" s="27"/>
      <c r="R466" s="27"/>
      <c r="S466" s="27"/>
      <c r="T466" s="27"/>
      <c r="U466" s="27"/>
      <c r="V466" s="27"/>
      <c r="W466" s="27"/>
      <c r="X466" s="27"/>
      <c r="Y466" s="27"/>
      <c r="Z466" s="27"/>
    </row>
    <row r="467" ht="15.75" customHeight="1">
      <c r="A467" s="113"/>
      <c r="B467" s="113"/>
      <c r="C467" s="113"/>
      <c r="D467" s="115"/>
      <c r="E467" s="116"/>
      <c r="F467" s="37"/>
      <c r="G467" s="114"/>
      <c r="H467" s="27"/>
      <c r="I467" s="27"/>
      <c r="J467" s="27"/>
      <c r="K467" s="27"/>
      <c r="L467" s="27"/>
      <c r="M467" s="27"/>
      <c r="N467" s="27"/>
      <c r="O467" s="27"/>
      <c r="P467" s="27"/>
      <c r="Q467" s="27"/>
      <c r="R467" s="27"/>
      <c r="S467" s="27"/>
      <c r="T467" s="27"/>
      <c r="U467" s="27"/>
      <c r="V467" s="27"/>
      <c r="W467" s="27"/>
      <c r="X467" s="27"/>
      <c r="Y467" s="27"/>
      <c r="Z467" s="27"/>
    </row>
    <row r="468" ht="15.75" customHeight="1">
      <c r="A468" s="113"/>
      <c r="B468" s="113"/>
      <c r="C468" s="113"/>
      <c r="D468" s="115"/>
      <c r="E468" s="116"/>
      <c r="F468" s="37"/>
      <c r="G468" s="114"/>
      <c r="H468" s="27"/>
      <c r="I468" s="27"/>
      <c r="J468" s="27"/>
      <c r="K468" s="27"/>
      <c r="L468" s="27"/>
      <c r="M468" s="27"/>
      <c r="N468" s="27"/>
      <c r="O468" s="27"/>
      <c r="P468" s="27"/>
      <c r="Q468" s="27"/>
      <c r="R468" s="27"/>
      <c r="S468" s="27"/>
      <c r="T468" s="27"/>
      <c r="U468" s="27"/>
      <c r="V468" s="27"/>
      <c r="W468" s="27"/>
      <c r="X468" s="27"/>
      <c r="Y468" s="27"/>
      <c r="Z468" s="27"/>
    </row>
    <row r="469" ht="15.75" customHeight="1">
      <c r="A469" s="113"/>
      <c r="B469" s="113"/>
      <c r="C469" s="113"/>
      <c r="D469" s="115"/>
      <c r="E469" s="116"/>
      <c r="F469" s="37"/>
      <c r="G469" s="114"/>
      <c r="H469" s="27"/>
      <c r="I469" s="27"/>
      <c r="J469" s="27"/>
      <c r="K469" s="27"/>
      <c r="L469" s="27"/>
      <c r="M469" s="27"/>
      <c r="N469" s="27"/>
      <c r="O469" s="27"/>
      <c r="P469" s="27"/>
      <c r="Q469" s="27"/>
      <c r="R469" s="27"/>
      <c r="S469" s="27"/>
      <c r="T469" s="27"/>
      <c r="U469" s="27"/>
      <c r="V469" s="27"/>
      <c r="W469" s="27"/>
      <c r="X469" s="27"/>
      <c r="Y469" s="27"/>
      <c r="Z469" s="27"/>
    </row>
    <row r="470" ht="15.75" customHeight="1">
      <c r="A470" s="113"/>
      <c r="B470" s="113"/>
      <c r="C470" s="113"/>
      <c r="D470" s="115"/>
      <c r="E470" s="116"/>
      <c r="F470" s="37"/>
      <c r="G470" s="114"/>
      <c r="H470" s="27"/>
      <c r="I470" s="27"/>
      <c r="J470" s="27"/>
      <c r="K470" s="27"/>
      <c r="L470" s="27"/>
      <c r="M470" s="27"/>
      <c r="N470" s="27"/>
      <c r="O470" s="27"/>
      <c r="P470" s="27"/>
      <c r="Q470" s="27"/>
      <c r="R470" s="27"/>
      <c r="S470" s="27"/>
      <c r="T470" s="27"/>
      <c r="U470" s="27"/>
      <c r="V470" s="27"/>
      <c r="W470" s="27"/>
      <c r="X470" s="27"/>
      <c r="Y470" s="27"/>
      <c r="Z470" s="27"/>
    </row>
    <row r="471" ht="15.75" customHeight="1">
      <c r="A471" s="113"/>
      <c r="B471" s="113"/>
      <c r="C471" s="113"/>
      <c r="D471" s="115"/>
      <c r="E471" s="116"/>
      <c r="F471" s="37"/>
      <c r="G471" s="114"/>
      <c r="H471" s="27"/>
      <c r="I471" s="27"/>
      <c r="J471" s="27"/>
      <c r="K471" s="27"/>
      <c r="L471" s="27"/>
      <c r="M471" s="27"/>
      <c r="N471" s="27"/>
      <c r="O471" s="27"/>
      <c r="P471" s="27"/>
      <c r="Q471" s="27"/>
      <c r="R471" s="27"/>
      <c r="S471" s="27"/>
      <c r="T471" s="27"/>
      <c r="U471" s="27"/>
      <c r="V471" s="27"/>
      <c r="W471" s="27"/>
      <c r="X471" s="27"/>
      <c r="Y471" s="27"/>
      <c r="Z471" s="27"/>
    </row>
    <row r="472" ht="15.75" customHeight="1">
      <c r="A472" s="113"/>
      <c r="B472" s="113"/>
      <c r="C472" s="113"/>
      <c r="D472" s="115"/>
      <c r="E472" s="116"/>
      <c r="F472" s="37"/>
      <c r="G472" s="114"/>
      <c r="H472" s="27"/>
      <c r="I472" s="27"/>
      <c r="J472" s="27"/>
      <c r="K472" s="27"/>
      <c r="L472" s="27"/>
      <c r="M472" s="27"/>
      <c r="N472" s="27"/>
      <c r="O472" s="27"/>
      <c r="P472" s="27"/>
      <c r="Q472" s="27"/>
      <c r="R472" s="27"/>
      <c r="S472" s="27"/>
      <c r="T472" s="27"/>
      <c r="U472" s="27"/>
      <c r="V472" s="27"/>
      <c r="W472" s="27"/>
      <c r="X472" s="27"/>
      <c r="Y472" s="27"/>
      <c r="Z472" s="27"/>
    </row>
    <row r="473" ht="15.75" customHeight="1">
      <c r="A473" s="113"/>
      <c r="B473" s="113"/>
      <c r="C473" s="113"/>
      <c r="D473" s="115"/>
      <c r="E473" s="116"/>
      <c r="F473" s="37"/>
      <c r="G473" s="114"/>
      <c r="H473" s="27"/>
      <c r="I473" s="27"/>
      <c r="J473" s="27"/>
      <c r="K473" s="27"/>
      <c r="L473" s="27"/>
      <c r="M473" s="27"/>
      <c r="N473" s="27"/>
      <c r="O473" s="27"/>
      <c r="P473" s="27"/>
      <c r="Q473" s="27"/>
      <c r="R473" s="27"/>
      <c r="S473" s="27"/>
      <c r="T473" s="27"/>
      <c r="U473" s="27"/>
      <c r="V473" s="27"/>
      <c r="W473" s="27"/>
      <c r="X473" s="27"/>
      <c r="Y473" s="27"/>
      <c r="Z473" s="27"/>
    </row>
    <row r="474" ht="15.75" customHeight="1">
      <c r="A474" s="113"/>
      <c r="B474" s="113"/>
      <c r="C474" s="113"/>
      <c r="D474" s="115"/>
      <c r="E474" s="116"/>
      <c r="F474" s="37"/>
      <c r="G474" s="114"/>
      <c r="H474" s="27"/>
      <c r="I474" s="27"/>
      <c r="J474" s="27"/>
      <c r="K474" s="27"/>
      <c r="L474" s="27"/>
      <c r="M474" s="27"/>
      <c r="N474" s="27"/>
      <c r="O474" s="27"/>
      <c r="P474" s="27"/>
      <c r="Q474" s="27"/>
      <c r="R474" s="27"/>
      <c r="S474" s="27"/>
      <c r="T474" s="27"/>
      <c r="U474" s="27"/>
      <c r="V474" s="27"/>
      <c r="W474" s="27"/>
      <c r="X474" s="27"/>
      <c r="Y474" s="27"/>
      <c r="Z474" s="27"/>
    </row>
    <row r="475" ht="15.75" customHeight="1">
      <c r="A475" s="113"/>
      <c r="B475" s="113"/>
      <c r="C475" s="113"/>
      <c r="D475" s="115"/>
      <c r="E475" s="116"/>
      <c r="F475" s="37"/>
      <c r="G475" s="114"/>
      <c r="H475" s="27"/>
      <c r="I475" s="27"/>
      <c r="J475" s="27"/>
      <c r="K475" s="27"/>
      <c r="L475" s="27"/>
      <c r="M475" s="27"/>
      <c r="N475" s="27"/>
      <c r="O475" s="27"/>
      <c r="P475" s="27"/>
      <c r="Q475" s="27"/>
      <c r="R475" s="27"/>
      <c r="S475" s="27"/>
      <c r="T475" s="27"/>
      <c r="U475" s="27"/>
      <c r="V475" s="27"/>
      <c r="W475" s="27"/>
      <c r="X475" s="27"/>
      <c r="Y475" s="27"/>
      <c r="Z475" s="27"/>
    </row>
    <row r="476" ht="15.75" customHeight="1">
      <c r="A476" s="113"/>
      <c r="B476" s="113"/>
      <c r="C476" s="113"/>
      <c r="D476" s="115"/>
      <c r="E476" s="116"/>
      <c r="F476" s="37"/>
      <c r="G476" s="114"/>
      <c r="H476" s="27"/>
      <c r="I476" s="27"/>
      <c r="J476" s="27"/>
      <c r="K476" s="27"/>
      <c r="L476" s="27"/>
      <c r="M476" s="27"/>
      <c r="N476" s="27"/>
      <c r="O476" s="27"/>
      <c r="P476" s="27"/>
      <c r="Q476" s="27"/>
      <c r="R476" s="27"/>
      <c r="S476" s="27"/>
      <c r="T476" s="27"/>
      <c r="U476" s="27"/>
      <c r="V476" s="27"/>
      <c r="W476" s="27"/>
      <c r="X476" s="27"/>
      <c r="Y476" s="27"/>
      <c r="Z476" s="27"/>
    </row>
    <row r="477" ht="15.75" customHeight="1">
      <c r="A477" s="113"/>
      <c r="B477" s="113"/>
      <c r="C477" s="113"/>
      <c r="D477" s="115"/>
      <c r="E477" s="116"/>
      <c r="F477" s="37"/>
      <c r="G477" s="114"/>
      <c r="H477" s="27"/>
      <c r="I477" s="27"/>
      <c r="J477" s="27"/>
      <c r="K477" s="27"/>
      <c r="L477" s="27"/>
      <c r="M477" s="27"/>
      <c r="N477" s="27"/>
      <c r="O477" s="27"/>
      <c r="P477" s="27"/>
      <c r="Q477" s="27"/>
      <c r="R477" s="27"/>
      <c r="S477" s="27"/>
      <c r="T477" s="27"/>
      <c r="U477" s="27"/>
      <c r="V477" s="27"/>
      <c r="W477" s="27"/>
      <c r="X477" s="27"/>
      <c r="Y477" s="27"/>
      <c r="Z477" s="27"/>
    </row>
    <row r="478" ht="15.75" customHeight="1">
      <c r="A478" s="113"/>
      <c r="B478" s="113"/>
      <c r="C478" s="113"/>
      <c r="D478" s="115"/>
      <c r="E478" s="116"/>
      <c r="F478" s="37"/>
      <c r="G478" s="114"/>
      <c r="H478" s="27"/>
      <c r="I478" s="27"/>
      <c r="J478" s="27"/>
      <c r="K478" s="27"/>
      <c r="L478" s="27"/>
      <c r="M478" s="27"/>
      <c r="N478" s="27"/>
      <c r="O478" s="27"/>
      <c r="P478" s="27"/>
      <c r="Q478" s="27"/>
      <c r="R478" s="27"/>
      <c r="S478" s="27"/>
      <c r="T478" s="27"/>
      <c r="U478" s="27"/>
      <c r="V478" s="27"/>
      <c r="W478" s="27"/>
      <c r="X478" s="27"/>
      <c r="Y478" s="27"/>
      <c r="Z478" s="27"/>
    </row>
    <row r="479" ht="15.75" customHeight="1">
      <c r="A479" s="113"/>
      <c r="B479" s="113"/>
      <c r="C479" s="113"/>
      <c r="D479" s="115"/>
      <c r="E479" s="116"/>
      <c r="F479" s="37"/>
      <c r="G479" s="114"/>
      <c r="H479" s="27"/>
      <c r="I479" s="27"/>
      <c r="J479" s="27"/>
      <c r="K479" s="27"/>
      <c r="L479" s="27"/>
      <c r="M479" s="27"/>
      <c r="N479" s="27"/>
      <c r="O479" s="27"/>
      <c r="P479" s="27"/>
      <c r="Q479" s="27"/>
      <c r="R479" s="27"/>
      <c r="S479" s="27"/>
      <c r="T479" s="27"/>
      <c r="U479" s="27"/>
      <c r="V479" s="27"/>
      <c r="W479" s="27"/>
      <c r="X479" s="27"/>
      <c r="Y479" s="27"/>
      <c r="Z479" s="27"/>
    </row>
    <row r="480" ht="15.75" customHeight="1">
      <c r="A480" s="113"/>
      <c r="B480" s="113"/>
      <c r="C480" s="113"/>
      <c r="D480" s="115"/>
      <c r="E480" s="116"/>
      <c r="F480" s="37"/>
      <c r="G480" s="114"/>
      <c r="H480" s="27"/>
      <c r="I480" s="27"/>
      <c r="J480" s="27"/>
      <c r="K480" s="27"/>
      <c r="L480" s="27"/>
      <c r="M480" s="27"/>
      <c r="N480" s="27"/>
      <c r="O480" s="27"/>
      <c r="P480" s="27"/>
      <c r="Q480" s="27"/>
      <c r="R480" s="27"/>
      <c r="S480" s="27"/>
      <c r="T480" s="27"/>
      <c r="U480" s="27"/>
      <c r="V480" s="27"/>
      <c r="W480" s="27"/>
      <c r="X480" s="27"/>
      <c r="Y480" s="27"/>
      <c r="Z480" s="27"/>
    </row>
    <row r="481" ht="15.75" customHeight="1">
      <c r="A481" s="113"/>
      <c r="B481" s="113"/>
      <c r="C481" s="113"/>
      <c r="D481" s="115"/>
      <c r="E481" s="116"/>
      <c r="F481" s="37"/>
      <c r="G481" s="114"/>
      <c r="H481" s="27"/>
      <c r="I481" s="27"/>
      <c r="J481" s="27"/>
      <c r="K481" s="27"/>
      <c r="L481" s="27"/>
      <c r="M481" s="27"/>
      <c r="N481" s="27"/>
      <c r="O481" s="27"/>
      <c r="P481" s="27"/>
      <c r="Q481" s="27"/>
      <c r="R481" s="27"/>
      <c r="S481" s="27"/>
      <c r="T481" s="27"/>
      <c r="U481" s="27"/>
      <c r="V481" s="27"/>
      <c r="W481" s="27"/>
      <c r="X481" s="27"/>
      <c r="Y481" s="27"/>
      <c r="Z481" s="27"/>
    </row>
    <row r="482" ht="15.75" customHeight="1">
      <c r="A482" s="113"/>
      <c r="B482" s="113"/>
      <c r="C482" s="113"/>
      <c r="D482" s="115"/>
      <c r="E482" s="116"/>
      <c r="F482" s="37"/>
      <c r="G482" s="114"/>
      <c r="H482" s="27"/>
      <c r="I482" s="27"/>
      <c r="J482" s="27"/>
      <c r="K482" s="27"/>
      <c r="L482" s="27"/>
      <c r="M482" s="27"/>
      <c r="N482" s="27"/>
      <c r="O482" s="27"/>
      <c r="P482" s="27"/>
      <c r="Q482" s="27"/>
      <c r="R482" s="27"/>
      <c r="S482" s="27"/>
      <c r="T482" s="27"/>
      <c r="U482" s="27"/>
      <c r="V482" s="27"/>
      <c r="W482" s="27"/>
      <c r="X482" s="27"/>
      <c r="Y482" s="27"/>
      <c r="Z482" s="27"/>
    </row>
    <row r="483" ht="15.75" customHeight="1">
      <c r="A483" s="113"/>
      <c r="B483" s="113"/>
      <c r="C483" s="113"/>
      <c r="D483" s="115"/>
      <c r="E483" s="116"/>
      <c r="F483" s="37"/>
      <c r="G483" s="114"/>
      <c r="H483" s="27"/>
      <c r="I483" s="27"/>
      <c r="J483" s="27"/>
      <c r="K483" s="27"/>
      <c r="L483" s="27"/>
      <c r="M483" s="27"/>
      <c r="N483" s="27"/>
      <c r="O483" s="27"/>
      <c r="P483" s="27"/>
      <c r="Q483" s="27"/>
      <c r="R483" s="27"/>
      <c r="S483" s="27"/>
      <c r="T483" s="27"/>
      <c r="U483" s="27"/>
      <c r="V483" s="27"/>
      <c r="W483" s="27"/>
      <c r="X483" s="27"/>
      <c r="Y483" s="27"/>
      <c r="Z483" s="27"/>
    </row>
    <row r="484" ht="15.75" customHeight="1">
      <c r="A484" s="113"/>
      <c r="B484" s="113"/>
      <c r="C484" s="113"/>
      <c r="D484" s="115"/>
      <c r="E484" s="116"/>
      <c r="F484" s="37"/>
      <c r="G484" s="114"/>
      <c r="H484" s="27"/>
      <c r="I484" s="27"/>
      <c r="J484" s="27"/>
      <c r="K484" s="27"/>
      <c r="L484" s="27"/>
      <c r="M484" s="27"/>
      <c r="N484" s="27"/>
      <c r="O484" s="27"/>
      <c r="P484" s="27"/>
      <c r="Q484" s="27"/>
      <c r="R484" s="27"/>
      <c r="S484" s="27"/>
      <c r="T484" s="27"/>
      <c r="U484" s="27"/>
      <c r="V484" s="27"/>
      <c r="W484" s="27"/>
      <c r="X484" s="27"/>
      <c r="Y484" s="27"/>
      <c r="Z484" s="27"/>
    </row>
    <row r="485" ht="15.75" customHeight="1">
      <c r="A485" s="113"/>
      <c r="B485" s="113"/>
      <c r="C485" s="113"/>
      <c r="D485" s="115"/>
      <c r="E485" s="116"/>
      <c r="F485" s="37"/>
      <c r="G485" s="114"/>
      <c r="H485" s="27"/>
      <c r="I485" s="27"/>
      <c r="J485" s="27"/>
      <c r="K485" s="27"/>
      <c r="L485" s="27"/>
      <c r="M485" s="27"/>
      <c r="N485" s="27"/>
      <c r="O485" s="27"/>
      <c r="P485" s="27"/>
      <c r="Q485" s="27"/>
      <c r="R485" s="27"/>
      <c r="S485" s="27"/>
      <c r="T485" s="27"/>
      <c r="U485" s="27"/>
      <c r="V485" s="27"/>
      <c r="W485" s="27"/>
      <c r="X485" s="27"/>
      <c r="Y485" s="27"/>
      <c r="Z485" s="27"/>
    </row>
    <row r="486" ht="15.75" customHeight="1">
      <c r="A486" s="113"/>
      <c r="B486" s="113"/>
      <c r="C486" s="113"/>
      <c r="D486" s="115"/>
      <c r="E486" s="116"/>
      <c r="F486" s="37"/>
      <c r="G486" s="114"/>
      <c r="H486" s="27"/>
      <c r="I486" s="27"/>
      <c r="J486" s="27"/>
      <c r="K486" s="27"/>
      <c r="L486" s="27"/>
      <c r="M486" s="27"/>
      <c r="N486" s="27"/>
      <c r="O486" s="27"/>
      <c r="P486" s="27"/>
      <c r="Q486" s="27"/>
      <c r="R486" s="27"/>
      <c r="S486" s="27"/>
      <c r="T486" s="27"/>
      <c r="U486" s="27"/>
      <c r="V486" s="27"/>
      <c r="W486" s="27"/>
      <c r="X486" s="27"/>
      <c r="Y486" s="27"/>
      <c r="Z486" s="27"/>
    </row>
    <row r="487" ht="15.75" customHeight="1">
      <c r="A487" s="113"/>
      <c r="B487" s="113"/>
      <c r="C487" s="113"/>
      <c r="D487" s="115"/>
      <c r="E487" s="116"/>
      <c r="F487" s="37"/>
      <c r="G487" s="114"/>
      <c r="H487" s="27"/>
      <c r="I487" s="27"/>
      <c r="J487" s="27"/>
      <c r="K487" s="27"/>
      <c r="L487" s="27"/>
      <c r="M487" s="27"/>
      <c r="N487" s="27"/>
      <c r="O487" s="27"/>
      <c r="P487" s="27"/>
      <c r="Q487" s="27"/>
      <c r="R487" s="27"/>
      <c r="S487" s="27"/>
      <c r="T487" s="27"/>
      <c r="U487" s="27"/>
      <c r="V487" s="27"/>
      <c r="W487" s="27"/>
      <c r="X487" s="27"/>
      <c r="Y487" s="27"/>
      <c r="Z487" s="27"/>
    </row>
    <row r="488" ht="15.75" customHeight="1">
      <c r="A488" s="113"/>
      <c r="B488" s="113"/>
      <c r="C488" s="113"/>
      <c r="D488" s="115"/>
      <c r="E488" s="116"/>
      <c r="F488" s="37"/>
      <c r="G488" s="114"/>
      <c r="H488" s="27"/>
      <c r="I488" s="27"/>
      <c r="J488" s="27"/>
      <c r="K488" s="27"/>
      <c r="L488" s="27"/>
      <c r="M488" s="27"/>
      <c r="N488" s="27"/>
      <c r="O488" s="27"/>
      <c r="P488" s="27"/>
      <c r="Q488" s="27"/>
      <c r="R488" s="27"/>
      <c r="S488" s="27"/>
      <c r="T488" s="27"/>
      <c r="U488" s="27"/>
      <c r="V488" s="27"/>
      <c r="W488" s="27"/>
      <c r="X488" s="27"/>
      <c r="Y488" s="27"/>
      <c r="Z488" s="27"/>
    </row>
    <row r="489" ht="15.75" customHeight="1">
      <c r="A489" s="113"/>
      <c r="B489" s="113"/>
      <c r="C489" s="113"/>
      <c r="D489" s="115"/>
      <c r="E489" s="116"/>
      <c r="F489" s="37"/>
      <c r="G489" s="114"/>
      <c r="H489" s="27"/>
      <c r="I489" s="27"/>
      <c r="J489" s="27"/>
      <c r="K489" s="27"/>
      <c r="L489" s="27"/>
      <c r="M489" s="27"/>
      <c r="N489" s="27"/>
      <c r="O489" s="27"/>
      <c r="P489" s="27"/>
      <c r="Q489" s="27"/>
      <c r="R489" s="27"/>
      <c r="S489" s="27"/>
      <c r="T489" s="27"/>
      <c r="U489" s="27"/>
      <c r="V489" s="27"/>
      <c r="W489" s="27"/>
      <c r="X489" s="27"/>
      <c r="Y489" s="27"/>
      <c r="Z489" s="27"/>
    </row>
    <row r="490" ht="15.75" customHeight="1">
      <c r="A490" s="113"/>
      <c r="B490" s="113"/>
      <c r="C490" s="113"/>
      <c r="D490" s="115"/>
      <c r="E490" s="116"/>
      <c r="F490" s="37"/>
      <c r="G490" s="114"/>
      <c r="H490" s="27"/>
      <c r="I490" s="27"/>
      <c r="J490" s="27"/>
      <c r="K490" s="27"/>
      <c r="L490" s="27"/>
      <c r="M490" s="27"/>
      <c r="N490" s="27"/>
      <c r="O490" s="27"/>
      <c r="P490" s="27"/>
      <c r="Q490" s="27"/>
      <c r="R490" s="27"/>
      <c r="S490" s="27"/>
      <c r="T490" s="27"/>
      <c r="U490" s="27"/>
      <c r="V490" s="27"/>
      <c r="W490" s="27"/>
      <c r="X490" s="27"/>
      <c r="Y490" s="27"/>
      <c r="Z490" s="27"/>
    </row>
    <row r="491" ht="15.75" customHeight="1">
      <c r="A491" s="113"/>
      <c r="B491" s="113"/>
      <c r="C491" s="113"/>
      <c r="D491" s="115"/>
      <c r="E491" s="116"/>
      <c r="F491" s="37"/>
      <c r="G491" s="114"/>
      <c r="H491" s="27"/>
      <c r="I491" s="27"/>
      <c r="J491" s="27"/>
      <c r="K491" s="27"/>
      <c r="L491" s="27"/>
      <c r="M491" s="27"/>
      <c r="N491" s="27"/>
      <c r="O491" s="27"/>
      <c r="P491" s="27"/>
      <c r="Q491" s="27"/>
      <c r="R491" s="27"/>
      <c r="S491" s="27"/>
      <c r="T491" s="27"/>
      <c r="U491" s="27"/>
      <c r="V491" s="27"/>
      <c r="W491" s="27"/>
      <c r="X491" s="27"/>
      <c r="Y491" s="27"/>
      <c r="Z491" s="27"/>
    </row>
    <row r="492" ht="15.75" customHeight="1">
      <c r="A492" s="113"/>
      <c r="B492" s="113"/>
      <c r="C492" s="113"/>
      <c r="D492" s="115"/>
      <c r="E492" s="116"/>
      <c r="F492" s="37"/>
      <c r="G492" s="114"/>
      <c r="H492" s="27"/>
      <c r="I492" s="27"/>
      <c r="J492" s="27"/>
      <c r="K492" s="27"/>
      <c r="L492" s="27"/>
      <c r="M492" s="27"/>
      <c r="N492" s="27"/>
      <c r="O492" s="27"/>
      <c r="P492" s="27"/>
      <c r="Q492" s="27"/>
      <c r="R492" s="27"/>
      <c r="S492" s="27"/>
      <c r="T492" s="27"/>
      <c r="U492" s="27"/>
      <c r="V492" s="27"/>
      <c r="W492" s="27"/>
      <c r="X492" s="27"/>
      <c r="Y492" s="27"/>
      <c r="Z492" s="27"/>
    </row>
    <row r="493" ht="15.75" customHeight="1">
      <c r="A493" s="113"/>
      <c r="B493" s="113"/>
      <c r="C493" s="113"/>
      <c r="D493" s="115"/>
      <c r="E493" s="116"/>
      <c r="F493" s="37"/>
      <c r="G493" s="114"/>
      <c r="H493" s="27"/>
      <c r="I493" s="27"/>
      <c r="J493" s="27"/>
      <c r="K493" s="27"/>
      <c r="L493" s="27"/>
      <c r="M493" s="27"/>
      <c r="N493" s="27"/>
      <c r="O493" s="27"/>
      <c r="P493" s="27"/>
      <c r="Q493" s="27"/>
      <c r="R493" s="27"/>
      <c r="S493" s="27"/>
      <c r="T493" s="27"/>
      <c r="U493" s="27"/>
      <c r="V493" s="27"/>
      <c r="W493" s="27"/>
      <c r="X493" s="27"/>
      <c r="Y493" s="27"/>
      <c r="Z493" s="27"/>
    </row>
    <row r="494" ht="15.75" customHeight="1">
      <c r="A494" s="113"/>
      <c r="B494" s="113"/>
      <c r="C494" s="113"/>
      <c r="D494" s="115"/>
      <c r="E494" s="116"/>
      <c r="F494" s="37"/>
      <c r="G494" s="114"/>
      <c r="H494" s="27"/>
      <c r="I494" s="27"/>
      <c r="J494" s="27"/>
      <c r="K494" s="27"/>
      <c r="L494" s="27"/>
      <c r="M494" s="27"/>
      <c r="N494" s="27"/>
      <c r="O494" s="27"/>
      <c r="P494" s="27"/>
      <c r="Q494" s="27"/>
      <c r="R494" s="27"/>
      <c r="S494" s="27"/>
      <c r="T494" s="27"/>
      <c r="U494" s="27"/>
      <c r="V494" s="27"/>
      <c r="W494" s="27"/>
      <c r="X494" s="27"/>
      <c r="Y494" s="27"/>
      <c r="Z494" s="27"/>
    </row>
    <row r="495" ht="15.75" customHeight="1">
      <c r="A495" s="113"/>
      <c r="B495" s="113"/>
      <c r="C495" s="113"/>
      <c r="D495" s="115"/>
      <c r="E495" s="116"/>
      <c r="F495" s="37"/>
      <c r="G495" s="114"/>
      <c r="H495" s="27"/>
      <c r="I495" s="27"/>
      <c r="J495" s="27"/>
      <c r="K495" s="27"/>
      <c r="L495" s="27"/>
      <c r="M495" s="27"/>
      <c r="N495" s="27"/>
      <c r="O495" s="27"/>
      <c r="P495" s="27"/>
      <c r="Q495" s="27"/>
      <c r="R495" s="27"/>
      <c r="S495" s="27"/>
      <c r="T495" s="27"/>
      <c r="U495" s="27"/>
      <c r="V495" s="27"/>
      <c r="W495" s="27"/>
      <c r="X495" s="27"/>
      <c r="Y495" s="27"/>
      <c r="Z495" s="27"/>
    </row>
    <row r="496" ht="15.75" customHeight="1">
      <c r="A496" s="113"/>
      <c r="B496" s="113"/>
      <c r="C496" s="113"/>
      <c r="D496" s="115"/>
      <c r="E496" s="116"/>
      <c r="F496" s="37"/>
      <c r="G496" s="114"/>
      <c r="H496" s="27"/>
      <c r="I496" s="27"/>
      <c r="J496" s="27"/>
      <c r="K496" s="27"/>
      <c r="L496" s="27"/>
      <c r="M496" s="27"/>
      <c r="N496" s="27"/>
      <c r="O496" s="27"/>
      <c r="P496" s="27"/>
      <c r="Q496" s="27"/>
      <c r="R496" s="27"/>
      <c r="S496" s="27"/>
      <c r="T496" s="27"/>
      <c r="U496" s="27"/>
      <c r="V496" s="27"/>
      <c r="W496" s="27"/>
      <c r="X496" s="27"/>
      <c r="Y496" s="27"/>
      <c r="Z496" s="27"/>
    </row>
    <row r="497" ht="15.75" customHeight="1">
      <c r="A497" s="113"/>
      <c r="B497" s="113"/>
      <c r="C497" s="113"/>
      <c r="D497" s="115"/>
      <c r="E497" s="116"/>
      <c r="F497" s="37"/>
      <c r="G497" s="114"/>
      <c r="H497" s="27"/>
      <c r="I497" s="27"/>
      <c r="J497" s="27"/>
      <c r="K497" s="27"/>
      <c r="L497" s="27"/>
      <c r="M497" s="27"/>
      <c r="N497" s="27"/>
      <c r="O497" s="27"/>
      <c r="P497" s="27"/>
      <c r="Q497" s="27"/>
      <c r="R497" s="27"/>
      <c r="S497" s="27"/>
      <c r="T497" s="27"/>
      <c r="U497" s="27"/>
      <c r="V497" s="27"/>
      <c r="W497" s="27"/>
      <c r="X497" s="27"/>
      <c r="Y497" s="27"/>
      <c r="Z497" s="27"/>
    </row>
    <row r="498" ht="15.75" customHeight="1">
      <c r="A498" s="113"/>
      <c r="B498" s="113"/>
      <c r="C498" s="113"/>
      <c r="D498" s="115"/>
      <c r="E498" s="116"/>
      <c r="F498" s="37"/>
      <c r="G498" s="114"/>
      <c r="H498" s="27"/>
      <c r="I498" s="27"/>
      <c r="J498" s="27"/>
      <c r="K498" s="27"/>
      <c r="L498" s="27"/>
      <c r="M498" s="27"/>
      <c r="N498" s="27"/>
      <c r="O498" s="27"/>
      <c r="P498" s="27"/>
      <c r="Q498" s="27"/>
      <c r="R498" s="27"/>
      <c r="S498" s="27"/>
      <c r="T498" s="27"/>
      <c r="U498" s="27"/>
      <c r="V498" s="27"/>
      <c r="W498" s="27"/>
      <c r="X498" s="27"/>
      <c r="Y498" s="27"/>
      <c r="Z498" s="27"/>
    </row>
    <row r="499" ht="15.75" customHeight="1">
      <c r="A499" s="113"/>
      <c r="B499" s="113"/>
      <c r="C499" s="113"/>
      <c r="D499" s="115"/>
      <c r="E499" s="116"/>
      <c r="F499" s="37"/>
      <c r="G499" s="114"/>
      <c r="H499" s="27"/>
      <c r="I499" s="27"/>
      <c r="J499" s="27"/>
      <c r="K499" s="27"/>
      <c r="L499" s="27"/>
      <c r="M499" s="27"/>
      <c r="N499" s="27"/>
      <c r="O499" s="27"/>
      <c r="P499" s="27"/>
      <c r="Q499" s="27"/>
      <c r="R499" s="27"/>
      <c r="S499" s="27"/>
      <c r="T499" s="27"/>
      <c r="U499" s="27"/>
      <c r="V499" s="27"/>
      <c r="W499" s="27"/>
      <c r="X499" s="27"/>
      <c r="Y499" s="27"/>
      <c r="Z499" s="27"/>
    </row>
    <row r="500" ht="15.75" customHeight="1">
      <c r="A500" s="113"/>
      <c r="B500" s="113"/>
      <c r="C500" s="113"/>
      <c r="D500" s="115"/>
      <c r="E500" s="116"/>
      <c r="F500" s="37"/>
      <c r="G500" s="114"/>
      <c r="H500" s="27"/>
      <c r="I500" s="27"/>
      <c r="J500" s="27"/>
      <c r="K500" s="27"/>
      <c r="L500" s="27"/>
      <c r="M500" s="27"/>
      <c r="N500" s="27"/>
      <c r="O500" s="27"/>
      <c r="P500" s="27"/>
      <c r="Q500" s="27"/>
      <c r="R500" s="27"/>
      <c r="S500" s="27"/>
      <c r="T500" s="27"/>
      <c r="U500" s="27"/>
      <c r="V500" s="27"/>
      <c r="W500" s="27"/>
      <c r="X500" s="27"/>
      <c r="Y500" s="27"/>
      <c r="Z500" s="27"/>
    </row>
    <row r="501" ht="15.75" customHeight="1">
      <c r="A501" s="113"/>
      <c r="B501" s="113"/>
      <c r="C501" s="113"/>
      <c r="D501" s="115"/>
      <c r="E501" s="116"/>
      <c r="F501" s="37"/>
      <c r="G501" s="114"/>
      <c r="H501" s="27"/>
      <c r="I501" s="27"/>
      <c r="J501" s="27"/>
      <c r="K501" s="27"/>
      <c r="L501" s="27"/>
      <c r="M501" s="27"/>
      <c r="N501" s="27"/>
      <c r="O501" s="27"/>
      <c r="P501" s="27"/>
      <c r="Q501" s="27"/>
      <c r="R501" s="27"/>
      <c r="S501" s="27"/>
      <c r="T501" s="27"/>
      <c r="U501" s="27"/>
      <c r="V501" s="27"/>
      <c r="W501" s="27"/>
      <c r="X501" s="27"/>
      <c r="Y501" s="27"/>
      <c r="Z501" s="27"/>
    </row>
    <row r="502" ht="15.75" customHeight="1">
      <c r="A502" s="113"/>
      <c r="B502" s="113"/>
      <c r="C502" s="113"/>
      <c r="D502" s="115"/>
      <c r="E502" s="116"/>
      <c r="F502" s="37"/>
      <c r="G502" s="114"/>
      <c r="H502" s="27"/>
      <c r="I502" s="27"/>
      <c r="J502" s="27"/>
      <c r="K502" s="27"/>
      <c r="L502" s="27"/>
      <c r="M502" s="27"/>
      <c r="N502" s="27"/>
      <c r="O502" s="27"/>
      <c r="P502" s="27"/>
      <c r="Q502" s="27"/>
      <c r="R502" s="27"/>
      <c r="S502" s="27"/>
      <c r="T502" s="27"/>
      <c r="U502" s="27"/>
      <c r="V502" s="27"/>
      <c r="W502" s="27"/>
      <c r="X502" s="27"/>
      <c r="Y502" s="27"/>
      <c r="Z502" s="27"/>
    </row>
    <row r="503" ht="15.75" customHeight="1">
      <c r="A503" s="113"/>
      <c r="B503" s="113"/>
      <c r="C503" s="113"/>
      <c r="D503" s="115"/>
      <c r="E503" s="116"/>
      <c r="F503" s="37"/>
      <c r="G503" s="114"/>
      <c r="H503" s="27"/>
      <c r="I503" s="27"/>
      <c r="J503" s="27"/>
      <c r="K503" s="27"/>
      <c r="L503" s="27"/>
      <c r="M503" s="27"/>
      <c r="N503" s="27"/>
      <c r="O503" s="27"/>
      <c r="P503" s="27"/>
      <c r="Q503" s="27"/>
      <c r="R503" s="27"/>
      <c r="S503" s="27"/>
      <c r="T503" s="27"/>
      <c r="U503" s="27"/>
      <c r="V503" s="27"/>
      <c r="W503" s="27"/>
      <c r="X503" s="27"/>
      <c r="Y503" s="27"/>
      <c r="Z503" s="27"/>
    </row>
    <row r="504" ht="15.75" customHeight="1">
      <c r="A504" s="113"/>
      <c r="B504" s="113"/>
      <c r="C504" s="113"/>
      <c r="D504" s="115"/>
      <c r="E504" s="116"/>
      <c r="F504" s="37"/>
      <c r="G504" s="114"/>
      <c r="H504" s="27"/>
      <c r="I504" s="27"/>
      <c r="J504" s="27"/>
      <c r="K504" s="27"/>
      <c r="L504" s="27"/>
      <c r="M504" s="27"/>
      <c r="N504" s="27"/>
      <c r="O504" s="27"/>
      <c r="P504" s="27"/>
      <c r="Q504" s="27"/>
      <c r="R504" s="27"/>
      <c r="S504" s="27"/>
      <c r="T504" s="27"/>
      <c r="U504" s="27"/>
      <c r="V504" s="27"/>
      <c r="W504" s="27"/>
      <c r="X504" s="27"/>
      <c r="Y504" s="27"/>
      <c r="Z504" s="27"/>
    </row>
    <row r="505" ht="15.75" customHeight="1">
      <c r="A505" s="113"/>
      <c r="B505" s="113"/>
      <c r="C505" s="113"/>
      <c r="D505" s="115"/>
      <c r="E505" s="116"/>
      <c r="F505" s="37"/>
      <c r="G505" s="114"/>
      <c r="H505" s="27"/>
      <c r="I505" s="27"/>
      <c r="J505" s="27"/>
      <c r="K505" s="27"/>
      <c r="L505" s="27"/>
      <c r="M505" s="27"/>
      <c r="N505" s="27"/>
      <c r="O505" s="27"/>
      <c r="P505" s="27"/>
      <c r="Q505" s="27"/>
      <c r="R505" s="27"/>
      <c r="S505" s="27"/>
      <c r="T505" s="27"/>
      <c r="U505" s="27"/>
      <c r="V505" s="27"/>
      <c r="W505" s="27"/>
      <c r="X505" s="27"/>
      <c r="Y505" s="27"/>
      <c r="Z505" s="27"/>
    </row>
    <row r="506" ht="15.75" customHeight="1">
      <c r="A506" s="113"/>
      <c r="B506" s="113"/>
      <c r="C506" s="113"/>
      <c r="D506" s="115"/>
      <c r="E506" s="116"/>
      <c r="F506" s="37"/>
      <c r="G506" s="114"/>
      <c r="H506" s="27"/>
      <c r="I506" s="27"/>
      <c r="J506" s="27"/>
      <c r="K506" s="27"/>
      <c r="L506" s="27"/>
      <c r="M506" s="27"/>
      <c r="N506" s="27"/>
      <c r="O506" s="27"/>
      <c r="P506" s="27"/>
      <c r="Q506" s="27"/>
      <c r="R506" s="27"/>
      <c r="S506" s="27"/>
      <c r="T506" s="27"/>
      <c r="U506" s="27"/>
      <c r="V506" s="27"/>
      <c r="W506" s="27"/>
      <c r="X506" s="27"/>
      <c r="Y506" s="27"/>
      <c r="Z506" s="27"/>
    </row>
    <row r="507" ht="15.75" customHeight="1">
      <c r="A507" s="113"/>
      <c r="B507" s="113"/>
      <c r="C507" s="113"/>
      <c r="D507" s="115"/>
      <c r="E507" s="116"/>
      <c r="F507" s="37"/>
      <c r="G507" s="114"/>
      <c r="H507" s="27"/>
      <c r="I507" s="27"/>
      <c r="J507" s="27"/>
      <c r="K507" s="27"/>
      <c r="L507" s="27"/>
      <c r="M507" s="27"/>
      <c r="N507" s="27"/>
      <c r="O507" s="27"/>
      <c r="P507" s="27"/>
      <c r="Q507" s="27"/>
      <c r="R507" s="27"/>
      <c r="S507" s="27"/>
      <c r="T507" s="27"/>
      <c r="U507" s="27"/>
      <c r="V507" s="27"/>
      <c r="W507" s="27"/>
      <c r="X507" s="27"/>
      <c r="Y507" s="27"/>
      <c r="Z507" s="27"/>
    </row>
    <row r="508" ht="15.75" customHeight="1">
      <c r="A508" s="113"/>
      <c r="B508" s="113"/>
      <c r="C508" s="113"/>
      <c r="D508" s="115"/>
      <c r="E508" s="116"/>
      <c r="F508" s="37"/>
      <c r="G508" s="114"/>
      <c r="H508" s="27"/>
      <c r="I508" s="27"/>
      <c r="J508" s="27"/>
      <c r="K508" s="27"/>
      <c r="L508" s="27"/>
      <c r="M508" s="27"/>
      <c r="N508" s="27"/>
      <c r="O508" s="27"/>
      <c r="P508" s="27"/>
      <c r="Q508" s="27"/>
      <c r="R508" s="27"/>
      <c r="S508" s="27"/>
      <c r="T508" s="27"/>
      <c r="U508" s="27"/>
      <c r="V508" s="27"/>
      <c r="W508" s="27"/>
      <c r="X508" s="27"/>
      <c r="Y508" s="27"/>
      <c r="Z508" s="27"/>
    </row>
    <row r="509" ht="15.75" customHeight="1">
      <c r="A509" s="113"/>
      <c r="B509" s="113"/>
      <c r="C509" s="113"/>
      <c r="D509" s="115"/>
      <c r="E509" s="116"/>
      <c r="F509" s="37"/>
      <c r="G509" s="114"/>
      <c r="H509" s="27"/>
      <c r="I509" s="27"/>
      <c r="J509" s="27"/>
      <c r="K509" s="27"/>
      <c r="L509" s="27"/>
      <c r="M509" s="27"/>
      <c r="N509" s="27"/>
      <c r="O509" s="27"/>
      <c r="P509" s="27"/>
      <c r="Q509" s="27"/>
      <c r="R509" s="27"/>
      <c r="S509" s="27"/>
      <c r="T509" s="27"/>
      <c r="U509" s="27"/>
      <c r="V509" s="27"/>
      <c r="W509" s="27"/>
      <c r="X509" s="27"/>
      <c r="Y509" s="27"/>
      <c r="Z509" s="27"/>
    </row>
    <row r="510" ht="15.75" customHeight="1">
      <c r="A510" s="113"/>
      <c r="B510" s="113"/>
      <c r="C510" s="113"/>
      <c r="D510" s="115"/>
      <c r="E510" s="116"/>
      <c r="F510" s="37"/>
      <c r="G510" s="114"/>
      <c r="H510" s="27"/>
      <c r="I510" s="27"/>
      <c r="J510" s="27"/>
      <c r="K510" s="27"/>
      <c r="L510" s="27"/>
      <c r="M510" s="27"/>
      <c r="N510" s="27"/>
      <c r="O510" s="27"/>
      <c r="P510" s="27"/>
      <c r="Q510" s="27"/>
      <c r="R510" s="27"/>
      <c r="S510" s="27"/>
      <c r="T510" s="27"/>
      <c r="U510" s="27"/>
      <c r="V510" s="27"/>
      <c r="W510" s="27"/>
      <c r="X510" s="27"/>
      <c r="Y510" s="27"/>
      <c r="Z510" s="27"/>
    </row>
    <row r="511" ht="15.75" customHeight="1">
      <c r="A511" s="113"/>
      <c r="B511" s="113"/>
      <c r="C511" s="113"/>
      <c r="D511" s="115"/>
      <c r="E511" s="116"/>
      <c r="F511" s="37"/>
      <c r="G511" s="114"/>
      <c r="H511" s="27"/>
      <c r="I511" s="27"/>
      <c r="J511" s="27"/>
      <c r="K511" s="27"/>
      <c r="L511" s="27"/>
      <c r="M511" s="27"/>
      <c r="N511" s="27"/>
      <c r="O511" s="27"/>
      <c r="P511" s="27"/>
      <c r="Q511" s="27"/>
      <c r="R511" s="27"/>
      <c r="S511" s="27"/>
      <c r="T511" s="27"/>
      <c r="U511" s="27"/>
      <c r="V511" s="27"/>
      <c r="W511" s="27"/>
      <c r="X511" s="27"/>
      <c r="Y511" s="27"/>
      <c r="Z511" s="27"/>
    </row>
    <row r="512" ht="15.75" customHeight="1">
      <c r="A512" s="113"/>
      <c r="B512" s="113"/>
      <c r="C512" s="113"/>
      <c r="D512" s="115"/>
      <c r="E512" s="116"/>
      <c r="F512" s="37"/>
      <c r="G512" s="114"/>
      <c r="H512" s="27"/>
      <c r="I512" s="27"/>
      <c r="J512" s="27"/>
      <c r="K512" s="27"/>
      <c r="L512" s="27"/>
      <c r="M512" s="27"/>
      <c r="N512" s="27"/>
      <c r="O512" s="27"/>
      <c r="P512" s="27"/>
      <c r="Q512" s="27"/>
      <c r="R512" s="27"/>
      <c r="S512" s="27"/>
      <c r="T512" s="27"/>
      <c r="U512" s="27"/>
      <c r="V512" s="27"/>
      <c r="W512" s="27"/>
      <c r="X512" s="27"/>
      <c r="Y512" s="27"/>
      <c r="Z512" s="27"/>
    </row>
    <row r="513" ht="15.75" customHeight="1">
      <c r="A513" s="113"/>
      <c r="B513" s="113"/>
      <c r="C513" s="113"/>
      <c r="D513" s="115"/>
      <c r="E513" s="116"/>
      <c r="F513" s="37"/>
      <c r="G513" s="114"/>
      <c r="H513" s="27"/>
      <c r="I513" s="27"/>
      <c r="J513" s="27"/>
      <c r="K513" s="27"/>
      <c r="L513" s="27"/>
      <c r="M513" s="27"/>
      <c r="N513" s="27"/>
      <c r="O513" s="27"/>
      <c r="P513" s="27"/>
      <c r="Q513" s="27"/>
      <c r="R513" s="27"/>
      <c r="S513" s="27"/>
      <c r="T513" s="27"/>
      <c r="U513" s="27"/>
      <c r="V513" s="27"/>
      <c r="W513" s="27"/>
      <c r="X513" s="27"/>
      <c r="Y513" s="27"/>
      <c r="Z513" s="27"/>
    </row>
    <row r="514" ht="15.75" customHeight="1">
      <c r="A514" s="113"/>
      <c r="B514" s="113"/>
      <c r="C514" s="113"/>
      <c r="D514" s="115"/>
      <c r="E514" s="116"/>
      <c r="F514" s="37"/>
      <c r="G514" s="114"/>
      <c r="H514" s="27"/>
      <c r="I514" s="27"/>
      <c r="J514" s="27"/>
      <c r="K514" s="27"/>
      <c r="L514" s="27"/>
      <c r="M514" s="27"/>
      <c r="N514" s="27"/>
      <c r="O514" s="27"/>
      <c r="P514" s="27"/>
      <c r="Q514" s="27"/>
      <c r="R514" s="27"/>
      <c r="S514" s="27"/>
      <c r="T514" s="27"/>
      <c r="U514" s="27"/>
      <c r="V514" s="27"/>
      <c r="W514" s="27"/>
      <c r="X514" s="27"/>
      <c r="Y514" s="27"/>
      <c r="Z514" s="27"/>
    </row>
    <row r="515" ht="15.75" customHeight="1">
      <c r="A515" s="113"/>
      <c r="B515" s="113"/>
      <c r="C515" s="113"/>
      <c r="D515" s="115"/>
      <c r="E515" s="116"/>
      <c r="F515" s="37"/>
      <c r="G515" s="114"/>
      <c r="H515" s="27"/>
      <c r="I515" s="27"/>
      <c r="J515" s="27"/>
      <c r="K515" s="27"/>
      <c r="L515" s="27"/>
      <c r="M515" s="27"/>
      <c r="N515" s="27"/>
      <c r="O515" s="27"/>
      <c r="P515" s="27"/>
      <c r="Q515" s="27"/>
      <c r="R515" s="27"/>
      <c r="S515" s="27"/>
      <c r="T515" s="27"/>
      <c r="U515" s="27"/>
      <c r="V515" s="27"/>
      <c r="W515" s="27"/>
      <c r="X515" s="27"/>
      <c r="Y515" s="27"/>
      <c r="Z515" s="27"/>
    </row>
    <row r="516" ht="15.75" customHeight="1">
      <c r="A516" s="113"/>
      <c r="B516" s="113"/>
      <c r="C516" s="113"/>
      <c r="D516" s="115"/>
      <c r="E516" s="116"/>
      <c r="F516" s="37"/>
      <c r="G516" s="114"/>
      <c r="H516" s="27"/>
      <c r="I516" s="27"/>
      <c r="J516" s="27"/>
      <c r="K516" s="27"/>
      <c r="L516" s="27"/>
      <c r="M516" s="27"/>
      <c r="N516" s="27"/>
      <c r="O516" s="27"/>
      <c r="P516" s="27"/>
      <c r="Q516" s="27"/>
      <c r="R516" s="27"/>
      <c r="S516" s="27"/>
      <c r="T516" s="27"/>
      <c r="U516" s="27"/>
      <c r="V516" s="27"/>
      <c r="W516" s="27"/>
      <c r="X516" s="27"/>
      <c r="Y516" s="27"/>
      <c r="Z516" s="27"/>
    </row>
    <row r="517" ht="15.75" customHeight="1">
      <c r="A517" s="113"/>
      <c r="B517" s="113"/>
      <c r="C517" s="113"/>
      <c r="D517" s="115"/>
      <c r="E517" s="116"/>
      <c r="F517" s="37"/>
      <c r="G517" s="114"/>
      <c r="H517" s="27"/>
      <c r="I517" s="27"/>
      <c r="J517" s="27"/>
      <c r="K517" s="27"/>
      <c r="L517" s="27"/>
      <c r="M517" s="27"/>
      <c r="N517" s="27"/>
      <c r="O517" s="27"/>
      <c r="P517" s="27"/>
      <c r="Q517" s="27"/>
      <c r="R517" s="27"/>
      <c r="S517" s="27"/>
      <c r="T517" s="27"/>
      <c r="U517" s="27"/>
      <c r="V517" s="27"/>
      <c r="W517" s="27"/>
      <c r="X517" s="27"/>
      <c r="Y517" s="27"/>
      <c r="Z517" s="27"/>
    </row>
    <row r="518" ht="15.75" customHeight="1">
      <c r="A518" s="113"/>
      <c r="B518" s="113"/>
      <c r="C518" s="113"/>
      <c r="D518" s="115"/>
      <c r="E518" s="116"/>
      <c r="F518" s="37"/>
      <c r="G518" s="114"/>
      <c r="H518" s="27"/>
      <c r="I518" s="27"/>
      <c r="J518" s="27"/>
      <c r="K518" s="27"/>
      <c r="L518" s="27"/>
      <c r="M518" s="27"/>
      <c r="N518" s="27"/>
      <c r="O518" s="27"/>
      <c r="P518" s="27"/>
      <c r="Q518" s="27"/>
      <c r="R518" s="27"/>
      <c r="S518" s="27"/>
      <c r="T518" s="27"/>
      <c r="U518" s="27"/>
      <c r="V518" s="27"/>
      <c r="W518" s="27"/>
      <c r="X518" s="27"/>
      <c r="Y518" s="27"/>
      <c r="Z518" s="27"/>
    </row>
    <row r="519" ht="15.75" customHeight="1">
      <c r="A519" s="113"/>
      <c r="B519" s="113"/>
      <c r="C519" s="113"/>
      <c r="D519" s="115"/>
      <c r="E519" s="116"/>
      <c r="F519" s="37"/>
      <c r="G519" s="114"/>
      <c r="H519" s="27"/>
      <c r="I519" s="27"/>
      <c r="J519" s="27"/>
      <c r="K519" s="27"/>
      <c r="L519" s="27"/>
      <c r="M519" s="27"/>
      <c r="N519" s="27"/>
      <c r="O519" s="27"/>
      <c r="P519" s="27"/>
      <c r="Q519" s="27"/>
      <c r="R519" s="27"/>
      <c r="S519" s="27"/>
      <c r="T519" s="27"/>
      <c r="U519" s="27"/>
      <c r="V519" s="27"/>
      <c r="W519" s="27"/>
      <c r="X519" s="27"/>
      <c r="Y519" s="27"/>
      <c r="Z519" s="27"/>
    </row>
    <row r="520" ht="15.75" customHeight="1">
      <c r="A520" s="113"/>
      <c r="B520" s="113"/>
      <c r="C520" s="113"/>
      <c r="D520" s="115"/>
      <c r="E520" s="116"/>
      <c r="F520" s="37"/>
      <c r="G520" s="114"/>
      <c r="H520" s="27"/>
      <c r="I520" s="27"/>
      <c r="J520" s="27"/>
      <c r="K520" s="27"/>
      <c r="L520" s="27"/>
      <c r="M520" s="27"/>
      <c r="N520" s="27"/>
      <c r="O520" s="27"/>
      <c r="P520" s="27"/>
      <c r="Q520" s="27"/>
      <c r="R520" s="27"/>
      <c r="S520" s="27"/>
      <c r="T520" s="27"/>
      <c r="U520" s="27"/>
      <c r="V520" s="27"/>
      <c r="W520" s="27"/>
      <c r="X520" s="27"/>
      <c r="Y520" s="27"/>
      <c r="Z520" s="27"/>
    </row>
    <row r="521" ht="15.75" customHeight="1">
      <c r="A521" s="113"/>
      <c r="B521" s="113"/>
      <c r="C521" s="113"/>
      <c r="D521" s="115"/>
      <c r="E521" s="116"/>
      <c r="F521" s="37"/>
      <c r="G521" s="114"/>
      <c r="H521" s="27"/>
      <c r="I521" s="27"/>
      <c r="J521" s="27"/>
      <c r="K521" s="27"/>
      <c r="L521" s="27"/>
      <c r="M521" s="27"/>
      <c r="N521" s="27"/>
      <c r="O521" s="27"/>
      <c r="P521" s="27"/>
      <c r="Q521" s="27"/>
      <c r="R521" s="27"/>
      <c r="S521" s="27"/>
      <c r="T521" s="27"/>
      <c r="U521" s="27"/>
      <c r="V521" s="27"/>
      <c r="W521" s="27"/>
      <c r="X521" s="27"/>
      <c r="Y521" s="27"/>
      <c r="Z521" s="27"/>
    </row>
    <row r="522" ht="15.75" customHeight="1">
      <c r="A522" s="113"/>
      <c r="B522" s="113"/>
      <c r="C522" s="113"/>
      <c r="D522" s="115"/>
      <c r="E522" s="116"/>
      <c r="F522" s="37"/>
      <c r="G522" s="114"/>
      <c r="H522" s="27"/>
      <c r="I522" s="27"/>
      <c r="J522" s="27"/>
      <c r="K522" s="27"/>
      <c r="L522" s="27"/>
      <c r="M522" s="27"/>
      <c r="N522" s="27"/>
      <c r="O522" s="27"/>
      <c r="P522" s="27"/>
      <c r="Q522" s="27"/>
      <c r="R522" s="27"/>
      <c r="S522" s="27"/>
      <c r="T522" s="27"/>
      <c r="U522" s="27"/>
      <c r="V522" s="27"/>
      <c r="W522" s="27"/>
      <c r="X522" s="27"/>
      <c r="Y522" s="27"/>
      <c r="Z522" s="27"/>
    </row>
    <row r="523" ht="15.75" customHeight="1">
      <c r="A523" s="113"/>
      <c r="B523" s="113"/>
      <c r="C523" s="113"/>
      <c r="D523" s="115"/>
      <c r="E523" s="116"/>
      <c r="F523" s="37"/>
      <c r="G523" s="114"/>
      <c r="H523" s="27"/>
      <c r="I523" s="27"/>
      <c r="J523" s="27"/>
      <c r="K523" s="27"/>
      <c r="L523" s="27"/>
      <c r="M523" s="27"/>
      <c r="N523" s="27"/>
      <c r="O523" s="27"/>
      <c r="P523" s="27"/>
      <c r="Q523" s="27"/>
      <c r="R523" s="27"/>
      <c r="S523" s="27"/>
      <c r="T523" s="27"/>
      <c r="U523" s="27"/>
      <c r="V523" s="27"/>
      <c r="W523" s="27"/>
      <c r="X523" s="27"/>
      <c r="Y523" s="27"/>
      <c r="Z523" s="27"/>
    </row>
    <row r="524" ht="15.75" customHeight="1">
      <c r="A524" s="113"/>
      <c r="B524" s="113"/>
      <c r="C524" s="113"/>
      <c r="D524" s="115"/>
      <c r="E524" s="116"/>
      <c r="F524" s="37"/>
      <c r="G524" s="114"/>
      <c r="H524" s="27"/>
      <c r="I524" s="27"/>
      <c r="J524" s="27"/>
      <c r="K524" s="27"/>
      <c r="L524" s="27"/>
      <c r="M524" s="27"/>
      <c r="N524" s="27"/>
      <c r="O524" s="27"/>
      <c r="P524" s="27"/>
      <c r="Q524" s="27"/>
      <c r="R524" s="27"/>
      <c r="S524" s="27"/>
      <c r="T524" s="27"/>
      <c r="U524" s="27"/>
      <c r="V524" s="27"/>
      <c r="W524" s="27"/>
      <c r="X524" s="27"/>
      <c r="Y524" s="27"/>
      <c r="Z524" s="27"/>
    </row>
    <row r="525" ht="15.75" customHeight="1">
      <c r="A525" s="113"/>
      <c r="B525" s="113"/>
      <c r="C525" s="113"/>
      <c r="D525" s="115"/>
      <c r="E525" s="116"/>
      <c r="F525" s="37"/>
      <c r="G525" s="114"/>
      <c r="H525" s="27"/>
      <c r="I525" s="27"/>
      <c r="J525" s="27"/>
      <c r="K525" s="27"/>
      <c r="L525" s="27"/>
      <c r="M525" s="27"/>
      <c r="N525" s="27"/>
      <c r="O525" s="27"/>
      <c r="P525" s="27"/>
      <c r="Q525" s="27"/>
      <c r="R525" s="27"/>
      <c r="S525" s="27"/>
      <c r="T525" s="27"/>
      <c r="U525" s="27"/>
      <c r="V525" s="27"/>
      <c r="W525" s="27"/>
      <c r="X525" s="27"/>
      <c r="Y525" s="27"/>
      <c r="Z525" s="27"/>
    </row>
    <row r="526" ht="15.75" customHeight="1">
      <c r="A526" s="113"/>
      <c r="B526" s="113"/>
      <c r="C526" s="113"/>
      <c r="D526" s="115"/>
      <c r="E526" s="116"/>
      <c r="F526" s="37"/>
      <c r="G526" s="114"/>
      <c r="H526" s="27"/>
      <c r="I526" s="27"/>
      <c r="J526" s="27"/>
      <c r="K526" s="27"/>
      <c r="L526" s="27"/>
      <c r="M526" s="27"/>
      <c r="N526" s="27"/>
      <c r="O526" s="27"/>
      <c r="P526" s="27"/>
      <c r="Q526" s="27"/>
      <c r="R526" s="27"/>
      <c r="S526" s="27"/>
      <c r="T526" s="27"/>
      <c r="U526" s="27"/>
      <c r="V526" s="27"/>
      <c r="W526" s="27"/>
      <c r="X526" s="27"/>
      <c r="Y526" s="27"/>
      <c r="Z526" s="27"/>
    </row>
    <row r="527" ht="15.75" customHeight="1">
      <c r="A527" s="113"/>
      <c r="B527" s="113"/>
      <c r="C527" s="113"/>
      <c r="D527" s="115"/>
      <c r="E527" s="116"/>
      <c r="F527" s="37"/>
      <c r="G527" s="114"/>
      <c r="H527" s="27"/>
      <c r="I527" s="27"/>
      <c r="J527" s="27"/>
      <c r="K527" s="27"/>
      <c r="L527" s="27"/>
      <c r="M527" s="27"/>
      <c r="N527" s="27"/>
      <c r="O527" s="27"/>
      <c r="P527" s="27"/>
      <c r="Q527" s="27"/>
      <c r="R527" s="27"/>
      <c r="S527" s="27"/>
      <c r="T527" s="27"/>
      <c r="U527" s="27"/>
      <c r="V527" s="27"/>
      <c r="W527" s="27"/>
      <c r="X527" s="27"/>
      <c r="Y527" s="27"/>
      <c r="Z527" s="27"/>
    </row>
    <row r="528" ht="15.75" customHeight="1">
      <c r="A528" s="113"/>
      <c r="B528" s="113"/>
      <c r="C528" s="113"/>
      <c r="D528" s="115"/>
      <c r="E528" s="116"/>
      <c r="F528" s="37"/>
      <c r="G528" s="114"/>
      <c r="H528" s="27"/>
      <c r="I528" s="27"/>
      <c r="J528" s="27"/>
      <c r="K528" s="27"/>
      <c r="L528" s="27"/>
      <c r="M528" s="27"/>
      <c r="N528" s="27"/>
      <c r="O528" s="27"/>
      <c r="P528" s="27"/>
      <c r="Q528" s="27"/>
      <c r="R528" s="27"/>
      <c r="S528" s="27"/>
      <c r="T528" s="27"/>
      <c r="U528" s="27"/>
      <c r="V528" s="27"/>
      <c r="W528" s="27"/>
      <c r="X528" s="27"/>
      <c r="Y528" s="27"/>
      <c r="Z528" s="27"/>
    </row>
    <row r="529" ht="15.75" customHeight="1">
      <c r="A529" s="113"/>
      <c r="B529" s="113"/>
      <c r="C529" s="113"/>
      <c r="D529" s="115"/>
      <c r="E529" s="116"/>
      <c r="F529" s="37"/>
      <c r="G529" s="114"/>
      <c r="H529" s="27"/>
      <c r="I529" s="27"/>
      <c r="J529" s="27"/>
      <c r="K529" s="27"/>
      <c r="L529" s="27"/>
      <c r="M529" s="27"/>
      <c r="N529" s="27"/>
      <c r="O529" s="27"/>
      <c r="P529" s="27"/>
      <c r="Q529" s="27"/>
      <c r="R529" s="27"/>
      <c r="S529" s="27"/>
      <c r="T529" s="27"/>
      <c r="U529" s="27"/>
      <c r="V529" s="27"/>
      <c r="W529" s="27"/>
      <c r="X529" s="27"/>
      <c r="Y529" s="27"/>
      <c r="Z529" s="27"/>
    </row>
    <row r="530" ht="15.75" customHeight="1">
      <c r="A530" s="113"/>
      <c r="B530" s="113"/>
      <c r="C530" s="113"/>
      <c r="D530" s="115"/>
      <c r="E530" s="116"/>
      <c r="F530" s="37"/>
      <c r="G530" s="114"/>
      <c r="H530" s="27"/>
      <c r="I530" s="27"/>
      <c r="J530" s="27"/>
      <c r="K530" s="27"/>
      <c r="L530" s="27"/>
      <c r="M530" s="27"/>
      <c r="N530" s="27"/>
      <c r="O530" s="27"/>
      <c r="P530" s="27"/>
      <c r="Q530" s="27"/>
      <c r="R530" s="27"/>
      <c r="S530" s="27"/>
      <c r="T530" s="27"/>
      <c r="U530" s="27"/>
      <c r="V530" s="27"/>
      <c r="W530" s="27"/>
      <c r="X530" s="27"/>
      <c r="Y530" s="27"/>
      <c r="Z530" s="27"/>
    </row>
    <row r="531" ht="15.75" customHeight="1">
      <c r="A531" s="113"/>
      <c r="B531" s="113"/>
      <c r="C531" s="113"/>
      <c r="D531" s="115"/>
      <c r="E531" s="116"/>
      <c r="F531" s="37"/>
      <c r="G531" s="114"/>
      <c r="H531" s="27"/>
      <c r="I531" s="27"/>
      <c r="J531" s="27"/>
      <c r="K531" s="27"/>
      <c r="L531" s="27"/>
      <c r="M531" s="27"/>
      <c r="N531" s="27"/>
      <c r="O531" s="27"/>
      <c r="P531" s="27"/>
      <c r="Q531" s="27"/>
      <c r="R531" s="27"/>
      <c r="S531" s="27"/>
      <c r="T531" s="27"/>
      <c r="U531" s="27"/>
      <c r="V531" s="27"/>
      <c r="W531" s="27"/>
      <c r="X531" s="27"/>
      <c r="Y531" s="27"/>
      <c r="Z531" s="27"/>
    </row>
    <row r="532" ht="15.75" customHeight="1">
      <c r="A532" s="113"/>
      <c r="B532" s="113"/>
      <c r="C532" s="113"/>
      <c r="D532" s="115"/>
      <c r="E532" s="116"/>
      <c r="F532" s="37"/>
      <c r="G532" s="114"/>
      <c r="H532" s="27"/>
      <c r="I532" s="27"/>
      <c r="J532" s="27"/>
      <c r="K532" s="27"/>
      <c r="L532" s="27"/>
      <c r="M532" s="27"/>
      <c r="N532" s="27"/>
      <c r="O532" s="27"/>
      <c r="P532" s="27"/>
      <c r="Q532" s="27"/>
      <c r="R532" s="27"/>
      <c r="S532" s="27"/>
      <c r="T532" s="27"/>
      <c r="U532" s="27"/>
      <c r="V532" s="27"/>
      <c r="W532" s="27"/>
      <c r="X532" s="27"/>
      <c r="Y532" s="27"/>
      <c r="Z532" s="27"/>
    </row>
    <row r="533" ht="15.75" customHeight="1">
      <c r="A533" s="113"/>
      <c r="B533" s="113"/>
      <c r="C533" s="113"/>
      <c r="D533" s="115"/>
      <c r="E533" s="116"/>
      <c r="F533" s="37"/>
      <c r="G533" s="114"/>
      <c r="H533" s="27"/>
      <c r="I533" s="27"/>
      <c r="J533" s="27"/>
      <c r="K533" s="27"/>
      <c r="L533" s="27"/>
      <c r="M533" s="27"/>
      <c r="N533" s="27"/>
      <c r="O533" s="27"/>
      <c r="P533" s="27"/>
      <c r="Q533" s="27"/>
      <c r="R533" s="27"/>
      <c r="S533" s="27"/>
      <c r="T533" s="27"/>
      <c r="U533" s="27"/>
      <c r="V533" s="27"/>
      <c r="W533" s="27"/>
      <c r="X533" s="27"/>
      <c r="Y533" s="27"/>
      <c r="Z533" s="27"/>
    </row>
    <row r="534" ht="15.75" customHeight="1">
      <c r="A534" s="113"/>
      <c r="B534" s="113"/>
      <c r="C534" s="113"/>
      <c r="D534" s="115"/>
      <c r="E534" s="116"/>
      <c r="F534" s="37"/>
      <c r="G534" s="114"/>
      <c r="H534" s="27"/>
      <c r="I534" s="27"/>
      <c r="J534" s="27"/>
      <c r="K534" s="27"/>
      <c r="L534" s="27"/>
      <c r="M534" s="27"/>
      <c r="N534" s="27"/>
      <c r="O534" s="27"/>
      <c r="P534" s="27"/>
      <c r="Q534" s="27"/>
      <c r="R534" s="27"/>
      <c r="S534" s="27"/>
      <c r="T534" s="27"/>
      <c r="U534" s="27"/>
      <c r="V534" s="27"/>
      <c r="W534" s="27"/>
      <c r="X534" s="27"/>
      <c r="Y534" s="27"/>
      <c r="Z534" s="27"/>
    </row>
    <row r="535" ht="15.75" customHeight="1">
      <c r="A535" s="113"/>
      <c r="B535" s="113"/>
      <c r="C535" s="113"/>
      <c r="D535" s="115"/>
      <c r="E535" s="116"/>
      <c r="F535" s="37"/>
      <c r="G535" s="114"/>
      <c r="H535" s="27"/>
      <c r="I535" s="27"/>
      <c r="J535" s="27"/>
      <c r="K535" s="27"/>
      <c r="L535" s="27"/>
      <c r="M535" s="27"/>
      <c r="N535" s="27"/>
      <c r="O535" s="27"/>
      <c r="P535" s="27"/>
      <c r="Q535" s="27"/>
      <c r="R535" s="27"/>
      <c r="S535" s="27"/>
      <c r="T535" s="27"/>
      <c r="U535" s="27"/>
      <c r="V535" s="27"/>
      <c r="W535" s="27"/>
      <c r="X535" s="27"/>
      <c r="Y535" s="27"/>
      <c r="Z535" s="27"/>
    </row>
    <row r="536" ht="15.75" customHeight="1">
      <c r="A536" s="113"/>
      <c r="B536" s="113"/>
      <c r="C536" s="113"/>
      <c r="D536" s="115"/>
      <c r="E536" s="116"/>
      <c r="F536" s="37"/>
      <c r="G536" s="114"/>
      <c r="H536" s="27"/>
      <c r="I536" s="27"/>
      <c r="J536" s="27"/>
      <c r="K536" s="27"/>
      <c r="L536" s="27"/>
      <c r="M536" s="27"/>
      <c r="N536" s="27"/>
      <c r="O536" s="27"/>
      <c r="P536" s="27"/>
      <c r="Q536" s="27"/>
      <c r="R536" s="27"/>
      <c r="S536" s="27"/>
      <c r="T536" s="27"/>
      <c r="U536" s="27"/>
      <c r="V536" s="27"/>
      <c r="W536" s="27"/>
      <c r="X536" s="27"/>
      <c r="Y536" s="27"/>
      <c r="Z536" s="27"/>
    </row>
    <row r="537" ht="15.75" customHeight="1">
      <c r="A537" s="113"/>
      <c r="B537" s="113"/>
      <c r="C537" s="113"/>
      <c r="D537" s="115"/>
      <c r="E537" s="116"/>
      <c r="F537" s="37"/>
      <c r="G537" s="114"/>
      <c r="H537" s="27"/>
      <c r="I537" s="27"/>
      <c r="J537" s="27"/>
      <c r="K537" s="27"/>
      <c r="L537" s="27"/>
      <c r="M537" s="27"/>
      <c r="N537" s="27"/>
      <c r="O537" s="27"/>
      <c r="P537" s="27"/>
      <c r="Q537" s="27"/>
      <c r="R537" s="27"/>
      <c r="S537" s="27"/>
      <c r="T537" s="27"/>
      <c r="U537" s="27"/>
      <c r="V537" s="27"/>
      <c r="W537" s="27"/>
      <c r="X537" s="27"/>
      <c r="Y537" s="27"/>
      <c r="Z537" s="27"/>
    </row>
    <row r="538" ht="15.75" customHeight="1">
      <c r="A538" s="113"/>
      <c r="B538" s="113"/>
      <c r="C538" s="113"/>
      <c r="D538" s="115"/>
      <c r="E538" s="116"/>
      <c r="F538" s="37"/>
      <c r="G538" s="114"/>
      <c r="H538" s="27"/>
      <c r="I538" s="27"/>
      <c r="J538" s="27"/>
      <c r="K538" s="27"/>
      <c r="L538" s="27"/>
      <c r="M538" s="27"/>
      <c r="N538" s="27"/>
      <c r="O538" s="27"/>
      <c r="P538" s="27"/>
      <c r="Q538" s="27"/>
      <c r="R538" s="27"/>
      <c r="S538" s="27"/>
      <c r="T538" s="27"/>
      <c r="U538" s="27"/>
      <c r="V538" s="27"/>
      <c r="W538" s="27"/>
      <c r="X538" s="27"/>
      <c r="Y538" s="27"/>
      <c r="Z538" s="27"/>
    </row>
    <row r="539" ht="15.75" customHeight="1">
      <c r="A539" s="113"/>
      <c r="B539" s="113"/>
      <c r="C539" s="113"/>
      <c r="D539" s="115"/>
      <c r="E539" s="116"/>
      <c r="F539" s="37"/>
      <c r="G539" s="114"/>
      <c r="H539" s="27"/>
      <c r="I539" s="27"/>
      <c r="J539" s="27"/>
      <c r="K539" s="27"/>
      <c r="L539" s="27"/>
      <c r="M539" s="27"/>
      <c r="N539" s="27"/>
      <c r="O539" s="27"/>
      <c r="P539" s="27"/>
      <c r="Q539" s="27"/>
      <c r="R539" s="27"/>
      <c r="S539" s="27"/>
      <c r="T539" s="27"/>
      <c r="U539" s="27"/>
      <c r="V539" s="27"/>
      <c r="W539" s="27"/>
      <c r="X539" s="27"/>
      <c r="Y539" s="27"/>
      <c r="Z539" s="27"/>
    </row>
    <row r="540" ht="15.75" customHeight="1">
      <c r="A540" s="113"/>
      <c r="B540" s="113"/>
      <c r="C540" s="113"/>
      <c r="D540" s="115"/>
      <c r="E540" s="116"/>
      <c r="F540" s="37"/>
      <c r="G540" s="114"/>
      <c r="H540" s="27"/>
      <c r="I540" s="27"/>
      <c r="J540" s="27"/>
      <c r="K540" s="27"/>
      <c r="L540" s="27"/>
      <c r="M540" s="27"/>
      <c r="N540" s="27"/>
      <c r="O540" s="27"/>
      <c r="P540" s="27"/>
      <c r="Q540" s="27"/>
      <c r="R540" s="27"/>
      <c r="S540" s="27"/>
      <c r="T540" s="27"/>
      <c r="U540" s="27"/>
      <c r="V540" s="27"/>
      <c r="W540" s="27"/>
      <c r="X540" s="27"/>
      <c r="Y540" s="27"/>
      <c r="Z540" s="27"/>
    </row>
    <row r="541" ht="15.75" customHeight="1">
      <c r="A541" s="113"/>
      <c r="B541" s="113"/>
      <c r="C541" s="113"/>
      <c r="D541" s="115"/>
      <c r="E541" s="116"/>
      <c r="F541" s="37"/>
      <c r="G541" s="114"/>
      <c r="H541" s="27"/>
      <c r="I541" s="27"/>
      <c r="J541" s="27"/>
      <c r="K541" s="27"/>
      <c r="L541" s="27"/>
      <c r="M541" s="27"/>
      <c r="N541" s="27"/>
      <c r="O541" s="27"/>
      <c r="P541" s="27"/>
      <c r="Q541" s="27"/>
      <c r="R541" s="27"/>
      <c r="S541" s="27"/>
      <c r="T541" s="27"/>
      <c r="U541" s="27"/>
      <c r="V541" s="27"/>
      <c r="W541" s="27"/>
      <c r="X541" s="27"/>
      <c r="Y541" s="27"/>
      <c r="Z541" s="27"/>
    </row>
    <row r="542" ht="15.75" customHeight="1">
      <c r="A542" s="113"/>
      <c r="B542" s="113"/>
      <c r="C542" s="113"/>
      <c r="D542" s="115"/>
      <c r="E542" s="116"/>
      <c r="F542" s="37"/>
      <c r="G542" s="114"/>
      <c r="H542" s="27"/>
      <c r="I542" s="27"/>
      <c r="J542" s="27"/>
      <c r="K542" s="27"/>
      <c r="L542" s="27"/>
      <c r="M542" s="27"/>
      <c r="N542" s="27"/>
      <c r="O542" s="27"/>
      <c r="P542" s="27"/>
      <c r="Q542" s="27"/>
      <c r="R542" s="27"/>
      <c r="S542" s="27"/>
      <c r="T542" s="27"/>
      <c r="U542" s="27"/>
      <c r="V542" s="27"/>
      <c r="W542" s="27"/>
      <c r="X542" s="27"/>
      <c r="Y542" s="27"/>
      <c r="Z542" s="27"/>
    </row>
    <row r="543" ht="15.75" customHeight="1">
      <c r="A543" s="113"/>
      <c r="B543" s="113"/>
      <c r="C543" s="113"/>
      <c r="D543" s="115"/>
      <c r="E543" s="116"/>
      <c r="F543" s="37"/>
      <c r="G543" s="114"/>
      <c r="H543" s="27"/>
      <c r="I543" s="27"/>
      <c r="J543" s="27"/>
      <c r="K543" s="27"/>
      <c r="L543" s="27"/>
      <c r="M543" s="27"/>
      <c r="N543" s="27"/>
      <c r="O543" s="27"/>
      <c r="P543" s="27"/>
      <c r="Q543" s="27"/>
      <c r="R543" s="27"/>
      <c r="S543" s="27"/>
      <c r="T543" s="27"/>
      <c r="U543" s="27"/>
      <c r="V543" s="27"/>
      <c r="W543" s="27"/>
      <c r="X543" s="27"/>
      <c r="Y543" s="27"/>
      <c r="Z543" s="27"/>
    </row>
    <row r="544" ht="15.75" customHeight="1">
      <c r="A544" s="113"/>
      <c r="B544" s="113"/>
      <c r="C544" s="113"/>
      <c r="D544" s="115"/>
      <c r="E544" s="116"/>
      <c r="F544" s="37"/>
      <c r="G544" s="114"/>
      <c r="H544" s="27"/>
      <c r="I544" s="27"/>
      <c r="J544" s="27"/>
      <c r="K544" s="27"/>
      <c r="L544" s="27"/>
      <c r="M544" s="27"/>
      <c r="N544" s="27"/>
      <c r="O544" s="27"/>
      <c r="P544" s="27"/>
      <c r="Q544" s="27"/>
      <c r="R544" s="27"/>
      <c r="S544" s="27"/>
      <c r="T544" s="27"/>
      <c r="U544" s="27"/>
      <c r="V544" s="27"/>
      <c r="W544" s="27"/>
      <c r="X544" s="27"/>
      <c r="Y544" s="27"/>
      <c r="Z544" s="27"/>
    </row>
    <row r="545" ht="15.75" customHeight="1">
      <c r="A545" s="113"/>
      <c r="B545" s="113"/>
      <c r="C545" s="113"/>
      <c r="D545" s="115"/>
      <c r="E545" s="116"/>
      <c r="F545" s="37"/>
      <c r="G545" s="114"/>
      <c r="H545" s="27"/>
      <c r="I545" s="27"/>
      <c r="J545" s="27"/>
      <c r="K545" s="27"/>
      <c r="L545" s="27"/>
      <c r="M545" s="27"/>
      <c r="N545" s="27"/>
      <c r="O545" s="27"/>
      <c r="P545" s="27"/>
      <c r="Q545" s="27"/>
      <c r="R545" s="27"/>
      <c r="S545" s="27"/>
      <c r="T545" s="27"/>
      <c r="U545" s="27"/>
      <c r="V545" s="27"/>
      <c r="W545" s="27"/>
      <c r="X545" s="27"/>
      <c r="Y545" s="27"/>
      <c r="Z545" s="27"/>
    </row>
    <row r="546" ht="15.75" customHeight="1">
      <c r="A546" s="113"/>
      <c r="B546" s="113"/>
      <c r="C546" s="113"/>
      <c r="D546" s="115"/>
      <c r="E546" s="116"/>
      <c r="F546" s="37"/>
      <c r="G546" s="114"/>
      <c r="H546" s="27"/>
      <c r="I546" s="27"/>
      <c r="J546" s="27"/>
      <c r="K546" s="27"/>
      <c r="L546" s="27"/>
      <c r="M546" s="27"/>
      <c r="N546" s="27"/>
      <c r="O546" s="27"/>
      <c r="P546" s="27"/>
      <c r="Q546" s="27"/>
      <c r="R546" s="27"/>
      <c r="S546" s="27"/>
      <c r="T546" s="27"/>
      <c r="U546" s="27"/>
      <c r="V546" s="27"/>
      <c r="W546" s="27"/>
      <c r="X546" s="27"/>
      <c r="Y546" s="27"/>
      <c r="Z546" s="27"/>
    </row>
    <row r="547" ht="15.75" customHeight="1">
      <c r="A547" s="113"/>
      <c r="B547" s="113"/>
      <c r="C547" s="113"/>
      <c r="D547" s="115"/>
      <c r="E547" s="116"/>
      <c r="F547" s="37"/>
      <c r="G547" s="114"/>
      <c r="H547" s="27"/>
      <c r="I547" s="27"/>
      <c r="J547" s="27"/>
      <c r="K547" s="27"/>
      <c r="L547" s="27"/>
      <c r="M547" s="27"/>
      <c r="N547" s="27"/>
      <c r="O547" s="27"/>
      <c r="P547" s="27"/>
      <c r="Q547" s="27"/>
      <c r="R547" s="27"/>
      <c r="S547" s="27"/>
      <c r="T547" s="27"/>
      <c r="U547" s="27"/>
      <c r="V547" s="27"/>
      <c r="W547" s="27"/>
      <c r="X547" s="27"/>
      <c r="Y547" s="27"/>
      <c r="Z547" s="27"/>
    </row>
    <row r="548" ht="15.75" customHeight="1">
      <c r="A548" s="113"/>
      <c r="B548" s="113"/>
      <c r="C548" s="113"/>
      <c r="D548" s="115"/>
      <c r="E548" s="116"/>
      <c r="F548" s="37"/>
      <c r="G548" s="114"/>
      <c r="H548" s="27"/>
      <c r="I548" s="27"/>
      <c r="J548" s="27"/>
      <c r="K548" s="27"/>
      <c r="L548" s="27"/>
      <c r="M548" s="27"/>
      <c r="N548" s="27"/>
      <c r="O548" s="27"/>
      <c r="P548" s="27"/>
      <c r="Q548" s="27"/>
      <c r="R548" s="27"/>
      <c r="S548" s="27"/>
      <c r="T548" s="27"/>
      <c r="U548" s="27"/>
      <c r="V548" s="27"/>
      <c r="W548" s="27"/>
      <c r="X548" s="27"/>
      <c r="Y548" s="27"/>
      <c r="Z548" s="27"/>
    </row>
    <row r="549" ht="15.75" customHeight="1">
      <c r="A549" s="113"/>
      <c r="B549" s="113"/>
      <c r="C549" s="113"/>
      <c r="D549" s="115"/>
      <c r="E549" s="116"/>
      <c r="F549" s="37"/>
      <c r="G549" s="114"/>
      <c r="H549" s="27"/>
      <c r="I549" s="27"/>
      <c r="J549" s="27"/>
      <c r="K549" s="27"/>
      <c r="L549" s="27"/>
      <c r="M549" s="27"/>
      <c r="N549" s="27"/>
      <c r="O549" s="27"/>
      <c r="P549" s="27"/>
      <c r="Q549" s="27"/>
      <c r="R549" s="27"/>
      <c r="S549" s="27"/>
      <c r="T549" s="27"/>
      <c r="U549" s="27"/>
      <c r="V549" s="27"/>
      <c r="W549" s="27"/>
      <c r="X549" s="27"/>
      <c r="Y549" s="27"/>
      <c r="Z549" s="27"/>
    </row>
    <row r="550" ht="15.75" customHeight="1">
      <c r="A550" s="113"/>
      <c r="B550" s="113"/>
      <c r="C550" s="113"/>
      <c r="D550" s="115"/>
      <c r="E550" s="116"/>
      <c r="F550" s="37"/>
      <c r="G550" s="114"/>
      <c r="H550" s="27"/>
      <c r="I550" s="27"/>
      <c r="J550" s="27"/>
      <c r="K550" s="27"/>
      <c r="L550" s="27"/>
      <c r="M550" s="27"/>
      <c r="N550" s="27"/>
      <c r="O550" s="27"/>
      <c r="P550" s="27"/>
      <c r="Q550" s="27"/>
      <c r="R550" s="27"/>
      <c r="S550" s="27"/>
      <c r="T550" s="27"/>
      <c r="U550" s="27"/>
      <c r="V550" s="27"/>
      <c r="W550" s="27"/>
      <c r="X550" s="27"/>
      <c r="Y550" s="27"/>
      <c r="Z550" s="27"/>
    </row>
    <row r="551" ht="15.75" customHeight="1">
      <c r="A551" s="113"/>
      <c r="B551" s="113"/>
      <c r="C551" s="113"/>
      <c r="D551" s="115"/>
      <c r="E551" s="116"/>
      <c r="F551" s="37"/>
      <c r="G551" s="114"/>
      <c r="H551" s="27"/>
      <c r="I551" s="27"/>
      <c r="J551" s="27"/>
      <c r="K551" s="27"/>
      <c r="L551" s="27"/>
      <c r="M551" s="27"/>
      <c r="N551" s="27"/>
      <c r="O551" s="27"/>
      <c r="P551" s="27"/>
      <c r="Q551" s="27"/>
      <c r="R551" s="27"/>
      <c r="S551" s="27"/>
      <c r="T551" s="27"/>
      <c r="U551" s="27"/>
      <c r="V551" s="27"/>
      <c r="W551" s="27"/>
      <c r="X551" s="27"/>
      <c r="Y551" s="27"/>
      <c r="Z551" s="27"/>
    </row>
    <row r="552" ht="15.75" customHeight="1">
      <c r="A552" s="113"/>
      <c r="B552" s="113"/>
      <c r="C552" s="113"/>
      <c r="D552" s="115"/>
      <c r="E552" s="116"/>
      <c r="F552" s="37"/>
      <c r="G552" s="114"/>
      <c r="H552" s="27"/>
      <c r="I552" s="27"/>
      <c r="J552" s="27"/>
      <c r="K552" s="27"/>
      <c r="L552" s="27"/>
      <c r="M552" s="27"/>
      <c r="N552" s="27"/>
      <c r="O552" s="27"/>
      <c r="P552" s="27"/>
      <c r="Q552" s="27"/>
      <c r="R552" s="27"/>
      <c r="S552" s="27"/>
      <c r="T552" s="27"/>
      <c r="U552" s="27"/>
      <c r="V552" s="27"/>
      <c r="W552" s="27"/>
      <c r="X552" s="27"/>
      <c r="Y552" s="27"/>
      <c r="Z552" s="27"/>
    </row>
    <row r="553" ht="15.75" customHeight="1">
      <c r="A553" s="113"/>
      <c r="B553" s="113"/>
      <c r="C553" s="113"/>
      <c r="D553" s="115"/>
      <c r="E553" s="116"/>
      <c r="F553" s="37"/>
      <c r="G553" s="114"/>
      <c r="H553" s="27"/>
      <c r="I553" s="27"/>
      <c r="J553" s="27"/>
      <c r="K553" s="27"/>
      <c r="L553" s="27"/>
      <c r="M553" s="27"/>
      <c r="N553" s="27"/>
      <c r="O553" s="27"/>
      <c r="P553" s="27"/>
      <c r="Q553" s="27"/>
      <c r="R553" s="27"/>
      <c r="S553" s="27"/>
      <c r="T553" s="27"/>
      <c r="U553" s="27"/>
      <c r="V553" s="27"/>
      <c r="W553" s="27"/>
      <c r="X553" s="27"/>
      <c r="Y553" s="27"/>
      <c r="Z553" s="27"/>
    </row>
    <row r="554" ht="15.75" customHeight="1">
      <c r="A554" s="113"/>
      <c r="B554" s="113"/>
      <c r="C554" s="113"/>
      <c r="D554" s="115"/>
      <c r="E554" s="116"/>
      <c r="F554" s="37"/>
      <c r="G554" s="114"/>
      <c r="H554" s="27"/>
      <c r="I554" s="27"/>
      <c r="J554" s="27"/>
      <c r="K554" s="27"/>
      <c r="L554" s="27"/>
      <c r="M554" s="27"/>
      <c r="N554" s="27"/>
      <c r="O554" s="27"/>
      <c r="P554" s="27"/>
      <c r="Q554" s="27"/>
      <c r="R554" s="27"/>
      <c r="S554" s="27"/>
      <c r="T554" s="27"/>
      <c r="U554" s="27"/>
      <c r="V554" s="27"/>
      <c r="W554" s="27"/>
      <c r="X554" s="27"/>
      <c r="Y554" s="27"/>
      <c r="Z554" s="27"/>
    </row>
    <row r="555" ht="15.75" customHeight="1">
      <c r="A555" s="113"/>
      <c r="B555" s="113"/>
      <c r="C555" s="113"/>
      <c r="D555" s="115"/>
      <c r="E555" s="116"/>
      <c r="F555" s="37"/>
      <c r="G555" s="114"/>
      <c r="H555" s="27"/>
      <c r="I555" s="27"/>
      <c r="J555" s="27"/>
      <c r="K555" s="27"/>
      <c r="L555" s="27"/>
      <c r="M555" s="27"/>
      <c r="N555" s="27"/>
      <c r="O555" s="27"/>
      <c r="P555" s="27"/>
      <c r="Q555" s="27"/>
      <c r="R555" s="27"/>
      <c r="S555" s="27"/>
      <c r="T555" s="27"/>
      <c r="U555" s="27"/>
      <c r="V555" s="27"/>
      <c r="W555" s="27"/>
      <c r="X555" s="27"/>
      <c r="Y555" s="27"/>
      <c r="Z555" s="27"/>
    </row>
    <row r="556" ht="15.75" customHeight="1">
      <c r="A556" s="113"/>
      <c r="B556" s="113"/>
      <c r="C556" s="113"/>
      <c r="D556" s="115"/>
      <c r="E556" s="116"/>
      <c r="F556" s="37"/>
      <c r="G556" s="114"/>
      <c r="H556" s="27"/>
      <c r="I556" s="27"/>
      <c r="J556" s="27"/>
      <c r="K556" s="27"/>
      <c r="L556" s="27"/>
      <c r="M556" s="27"/>
      <c r="N556" s="27"/>
      <c r="O556" s="27"/>
      <c r="P556" s="27"/>
      <c r="Q556" s="27"/>
      <c r="R556" s="27"/>
      <c r="S556" s="27"/>
      <c r="T556" s="27"/>
      <c r="U556" s="27"/>
      <c r="V556" s="27"/>
      <c r="W556" s="27"/>
      <c r="X556" s="27"/>
      <c r="Y556" s="27"/>
      <c r="Z556" s="27"/>
    </row>
    <row r="557" ht="15.75" customHeight="1">
      <c r="A557" s="113"/>
      <c r="B557" s="113"/>
      <c r="C557" s="113"/>
      <c r="D557" s="115"/>
      <c r="E557" s="116"/>
      <c r="F557" s="37"/>
      <c r="G557" s="114"/>
      <c r="H557" s="27"/>
      <c r="I557" s="27"/>
      <c r="J557" s="27"/>
      <c r="K557" s="27"/>
      <c r="L557" s="27"/>
      <c r="M557" s="27"/>
      <c r="N557" s="27"/>
      <c r="O557" s="27"/>
      <c r="P557" s="27"/>
      <c r="Q557" s="27"/>
      <c r="R557" s="27"/>
      <c r="S557" s="27"/>
      <c r="T557" s="27"/>
      <c r="U557" s="27"/>
      <c r="V557" s="27"/>
      <c r="W557" s="27"/>
      <c r="X557" s="27"/>
      <c r="Y557" s="27"/>
      <c r="Z557" s="27"/>
    </row>
    <row r="558" ht="15.75" customHeight="1">
      <c r="A558" s="113"/>
      <c r="B558" s="113"/>
      <c r="C558" s="113"/>
      <c r="D558" s="115"/>
      <c r="E558" s="116"/>
      <c r="F558" s="37"/>
      <c r="G558" s="114"/>
      <c r="H558" s="27"/>
      <c r="I558" s="27"/>
      <c r="J558" s="27"/>
      <c r="K558" s="27"/>
      <c r="L558" s="27"/>
      <c r="M558" s="27"/>
      <c r="N558" s="27"/>
      <c r="O558" s="27"/>
      <c r="P558" s="27"/>
      <c r="Q558" s="27"/>
      <c r="R558" s="27"/>
      <c r="S558" s="27"/>
      <c r="T558" s="27"/>
      <c r="U558" s="27"/>
      <c r="V558" s="27"/>
      <c r="W558" s="27"/>
      <c r="X558" s="27"/>
      <c r="Y558" s="27"/>
      <c r="Z558" s="27"/>
    </row>
    <row r="559" ht="15.75" customHeight="1">
      <c r="A559" s="113"/>
      <c r="B559" s="113"/>
      <c r="C559" s="113"/>
      <c r="D559" s="115"/>
      <c r="E559" s="116"/>
      <c r="F559" s="37"/>
      <c r="G559" s="114"/>
      <c r="H559" s="27"/>
      <c r="I559" s="27"/>
      <c r="J559" s="27"/>
      <c r="K559" s="27"/>
      <c r="L559" s="27"/>
      <c r="M559" s="27"/>
      <c r="N559" s="27"/>
      <c r="O559" s="27"/>
      <c r="P559" s="27"/>
      <c r="Q559" s="27"/>
      <c r="R559" s="27"/>
      <c r="S559" s="27"/>
      <c r="T559" s="27"/>
      <c r="U559" s="27"/>
      <c r="V559" s="27"/>
      <c r="W559" s="27"/>
      <c r="X559" s="27"/>
      <c r="Y559" s="27"/>
      <c r="Z559" s="27"/>
    </row>
    <row r="560" ht="15.75" customHeight="1">
      <c r="A560" s="113"/>
      <c r="B560" s="113"/>
      <c r="C560" s="113"/>
      <c r="D560" s="115"/>
      <c r="E560" s="116"/>
      <c r="F560" s="37"/>
      <c r="G560" s="114"/>
      <c r="H560" s="27"/>
      <c r="I560" s="27"/>
      <c r="J560" s="27"/>
      <c r="K560" s="27"/>
      <c r="L560" s="27"/>
      <c r="M560" s="27"/>
      <c r="N560" s="27"/>
      <c r="O560" s="27"/>
      <c r="P560" s="27"/>
      <c r="Q560" s="27"/>
      <c r="R560" s="27"/>
      <c r="S560" s="27"/>
      <c r="T560" s="27"/>
      <c r="U560" s="27"/>
      <c r="V560" s="27"/>
      <c r="W560" s="27"/>
      <c r="X560" s="27"/>
      <c r="Y560" s="27"/>
      <c r="Z560" s="27"/>
    </row>
    <row r="561" ht="15.75" customHeight="1">
      <c r="A561" s="113"/>
      <c r="B561" s="113"/>
      <c r="C561" s="113"/>
      <c r="D561" s="115"/>
      <c r="E561" s="116"/>
      <c r="F561" s="37"/>
      <c r="G561" s="114"/>
      <c r="H561" s="27"/>
      <c r="I561" s="27"/>
      <c r="J561" s="27"/>
      <c r="K561" s="27"/>
      <c r="L561" s="27"/>
      <c r="M561" s="27"/>
      <c r="N561" s="27"/>
      <c r="O561" s="27"/>
      <c r="P561" s="27"/>
      <c r="Q561" s="27"/>
      <c r="R561" s="27"/>
      <c r="S561" s="27"/>
      <c r="T561" s="27"/>
      <c r="U561" s="27"/>
      <c r="V561" s="27"/>
      <c r="W561" s="27"/>
      <c r="X561" s="27"/>
      <c r="Y561" s="27"/>
      <c r="Z561" s="27"/>
    </row>
    <row r="562" ht="15.75" customHeight="1">
      <c r="A562" s="113"/>
      <c r="B562" s="113"/>
      <c r="C562" s="113"/>
      <c r="D562" s="115"/>
      <c r="E562" s="116"/>
      <c r="F562" s="37"/>
      <c r="G562" s="114"/>
      <c r="H562" s="27"/>
      <c r="I562" s="27"/>
      <c r="J562" s="27"/>
      <c r="K562" s="27"/>
      <c r="L562" s="27"/>
      <c r="M562" s="27"/>
      <c r="N562" s="27"/>
      <c r="O562" s="27"/>
      <c r="P562" s="27"/>
      <c r="Q562" s="27"/>
      <c r="R562" s="27"/>
      <c r="S562" s="27"/>
      <c r="T562" s="27"/>
      <c r="U562" s="27"/>
      <c r="V562" s="27"/>
      <c r="W562" s="27"/>
      <c r="X562" s="27"/>
      <c r="Y562" s="27"/>
      <c r="Z562" s="27"/>
    </row>
    <row r="563" ht="15.75" customHeight="1">
      <c r="A563" s="113"/>
      <c r="B563" s="113"/>
      <c r="C563" s="113"/>
      <c r="D563" s="115"/>
      <c r="E563" s="116"/>
      <c r="F563" s="37"/>
      <c r="G563" s="114"/>
      <c r="H563" s="27"/>
      <c r="I563" s="27"/>
      <c r="J563" s="27"/>
      <c r="K563" s="27"/>
      <c r="L563" s="27"/>
      <c r="M563" s="27"/>
      <c r="N563" s="27"/>
      <c r="O563" s="27"/>
      <c r="P563" s="27"/>
      <c r="Q563" s="27"/>
      <c r="R563" s="27"/>
      <c r="S563" s="27"/>
      <c r="T563" s="27"/>
      <c r="U563" s="27"/>
      <c r="V563" s="27"/>
      <c r="W563" s="27"/>
      <c r="X563" s="27"/>
      <c r="Y563" s="27"/>
      <c r="Z563" s="27"/>
    </row>
    <row r="564" ht="15.75" customHeight="1">
      <c r="A564" s="113"/>
      <c r="B564" s="113"/>
      <c r="C564" s="113"/>
      <c r="D564" s="115"/>
      <c r="E564" s="116"/>
      <c r="F564" s="37"/>
      <c r="G564" s="114"/>
      <c r="H564" s="27"/>
      <c r="I564" s="27"/>
      <c r="J564" s="27"/>
      <c r="K564" s="27"/>
      <c r="L564" s="27"/>
      <c r="M564" s="27"/>
      <c r="N564" s="27"/>
      <c r="O564" s="27"/>
      <c r="P564" s="27"/>
      <c r="Q564" s="27"/>
      <c r="R564" s="27"/>
      <c r="S564" s="27"/>
      <c r="T564" s="27"/>
      <c r="U564" s="27"/>
      <c r="V564" s="27"/>
      <c r="W564" s="27"/>
      <c r="X564" s="27"/>
      <c r="Y564" s="27"/>
      <c r="Z564" s="27"/>
    </row>
    <row r="565" ht="15.75" customHeight="1">
      <c r="A565" s="113"/>
      <c r="B565" s="113"/>
      <c r="C565" s="113"/>
      <c r="D565" s="115"/>
      <c r="E565" s="116"/>
      <c r="F565" s="37"/>
      <c r="G565" s="114"/>
      <c r="H565" s="27"/>
      <c r="I565" s="27"/>
      <c r="J565" s="27"/>
      <c r="K565" s="27"/>
      <c r="L565" s="27"/>
      <c r="M565" s="27"/>
      <c r="N565" s="27"/>
      <c r="O565" s="27"/>
      <c r="P565" s="27"/>
      <c r="Q565" s="27"/>
      <c r="R565" s="27"/>
      <c r="S565" s="27"/>
      <c r="T565" s="27"/>
      <c r="U565" s="27"/>
      <c r="V565" s="27"/>
      <c r="W565" s="27"/>
      <c r="X565" s="27"/>
      <c r="Y565" s="27"/>
      <c r="Z565" s="27"/>
    </row>
    <row r="566" ht="15.75" customHeight="1">
      <c r="A566" s="113"/>
      <c r="B566" s="113"/>
      <c r="C566" s="113"/>
      <c r="D566" s="115"/>
      <c r="E566" s="116"/>
      <c r="F566" s="37"/>
      <c r="G566" s="114"/>
      <c r="H566" s="27"/>
      <c r="I566" s="27"/>
      <c r="J566" s="27"/>
      <c r="K566" s="27"/>
      <c r="L566" s="27"/>
      <c r="M566" s="27"/>
      <c r="N566" s="27"/>
      <c r="O566" s="27"/>
      <c r="P566" s="27"/>
      <c r="Q566" s="27"/>
      <c r="R566" s="27"/>
      <c r="S566" s="27"/>
      <c r="T566" s="27"/>
      <c r="U566" s="27"/>
      <c r="V566" s="27"/>
      <c r="W566" s="27"/>
      <c r="X566" s="27"/>
      <c r="Y566" s="27"/>
      <c r="Z566" s="27"/>
    </row>
    <row r="567" ht="15.75" customHeight="1">
      <c r="A567" s="113"/>
      <c r="B567" s="113"/>
      <c r="C567" s="113"/>
      <c r="D567" s="115"/>
      <c r="E567" s="116"/>
      <c r="F567" s="37"/>
      <c r="G567" s="114"/>
      <c r="H567" s="27"/>
      <c r="I567" s="27"/>
      <c r="J567" s="27"/>
      <c r="K567" s="27"/>
      <c r="L567" s="27"/>
      <c r="M567" s="27"/>
      <c r="N567" s="27"/>
      <c r="O567" s="27"/>
      <c r="P567" s="27"/>
      <c r="Q567" s="27"/>
      <c r="R567" s="27"/>
      <c r="S567" s="27"/>
      <c r="T567" s="27"/>
      <c r="U567" s="27"/>
      <c r="V567" s="27"/>
      <c r="W567" s="27"/>
      <c r="X567" s="27"/>
      <c r="Y567" s="27"/>
      <c r="Z567" s="27"/>
    </row>
    <row r="568" ht="15.75" customHeight="1">
      <c r="A568" s="113"/>
      <c r="B568" s="113"/>
      <c r="C568" s="113"/>
      <c r="D568" s="115"/>
      <c r="E568" s="116"/>
      <c r="F568" s="37"/>
      <c r="G568" s="114"/>
      <c r="H568" s="27"/>
      <c r="I568" s="27"/>
      <c r="J568" s="27"/>
      <c r="K568" s="27"/>
      <c r="L568" s="27"/>
      <c r="M568" s="27"/>
      <c r="N568" s="27"/>
      <c r="O568" s="27"/>
      <c r="P568" s="27"/>
      <c r="Q568" s="27"/>
      <c r="R568" s="27"/>
      <c r="S568" s="27"/>
      <c r="T568" s="27"/>
      <c r="U568" s="27"/>
      <c r="V568" s="27"/>
      <c r="W568" s="27"/>
      <c r="X568" s="27"/>
      <c r="Y568" s="27"/>
      <c r="Z568" s="27"/>
    </row>
    <row r="569" ht="15.75" customHeight="1">
      <c r="A569" s="113"/>
      <c r="B569" s="113"/>
      <c r="C569" s="113"/>
      <c r="D569" s="115"/>
      <c r="E569" s="116"/>
      <c r="F569" s="37"/>
      <c r="G569" s="114"/>
      <c r="H569" s="27"/>
      <c r="I569" s="27"/>
      <c r="J569" s="27"/>
      <c r="K569" s="27"/>
      <c r="L569" s="27"/>
      <c r="M569" s="27"/>
      <c r="N569" s="27"/>
      <c r="O569" s="27"/>
      <c r="P569" s="27"/>
      <c r="Q569" s="27"/>
      <c r="R569" s="27"/>
      <c r="S569" s="27"/>
      <c r="T569" s="27"/>
      <c r="U569" s="27"/>
      <c r="V569" s="27"/>
      <c r="W569" s="27"/>
      <c r="X569" s="27"/>
      <c r="Y569" s="27"/>
      <c r="Z569" s="27"/>
    </row>
    <row r="570" ht="15.75" customHeight="1">
      <c r="A570" s="113"/>
      <c r="B570" s="113"/>
      <c r="C570" s="113"/>
      <c r="D570" s="115"/>
      <c r="E570" s="116"/>
      <c r="F570" s="37"/>
      <c r="G570" s="114"/>
      <c r="H570" s="27"/>
      <c r="I570" s="27"/>
      <c r="J570" s="27"/>
      <c r="K570" s="27"/>
      <c r="L570" s="27"/>
      <c r="M570" s="27"/>
      <c r="N570" s="27"/>
      <c r="O570" s="27"/>
      <c r="P570" s="27"/>
      <c r="Q570" s="27"/>
      <c r="R570" s="27"/>
      <c r="S570" s="27"/>
      <c r="T570" s="27"/>
      <c r="U570" s="27"/>
      <c r="V570" s="27"/>
      <c r="W570" s="27"/>
      <c r="X570" s="27"/>
      <c r="Y570" s="27"/>
      <c r="Z570" s="27"/>
    </row>
    <row r="571" ht="15.75" customHeight="1">
      <c r="A571" s="113"/>
      <c r="B571" s="113"/>
      <c r="C571" s="113"/>
      <c r="D571" s="115"/>
      <c r="E571" s="116"/>
      <c r="F571" s="37"/>
      <c r="G571" s="114"/>
      <c r="H571" s="27"/>
      <c r="I571" s="27"/>
      <c r="J571" s="27"/>
      <c r="K571" s="27"/>
      <c r="L571" s="27"/>
      <c r="M571" s="27"/>
      <c r="N571" s="27"/>
      <c r="O571" s="27"/>
      <c r="P571" s="27"/>
      <c r="Q571" s="27"/>
      <c r="R571" s="27"/>
      <c r="S571" s="27"/>
      <c r="T571" s="27"/>
      <c r="U571" s="27"/>
      <c r="V571" s="27"/>
      <c r="W571" s="27"/>
      <c r="X571" s="27"/>
      <c r="Y571" s="27"/>
      <c r="Z571" s="27"/>
    </row>
    <row r="572" ht="15.75" customHeight="1">
      <c r="A572" s="113"/>
      <c r="B572" s="113"/>
      <c r="C572" s="113"/>
      <c r="D572" s="115"/>
      <c r="E572" s="116"/>
      <c r="F572" s="37"/>
      <c r="G572" s="114"/>
      <c r="H572" s="27"/>
      <c r="I572" s="27"/>
      <c r="J572" s="27"/>
      <c r="K572" s="27"/>
      <c r="L572" s="27"/>
      <c r="M572" s="27"/>
      <c r="N572" s="27"/>
      <c r="O572" s="27"/>
      <c r="P572" s="27"/>
      <c r="Q572" s="27"/>
      <c r="R572" s="27"/>
      <c r="S572" s="27"/>
      <c r="T572" s="27"/>
      <c r="U572" s="27"/>
      <c r="V572" s="27"/>
      <c r="W572" s="27"/>
      <c r="X572" s="27"/>
      <c r="Y572" s="27"/>
      <c r="Z572" s="27"/>
    </row>
    <row r="573" ht="15.75" customHeight="1">
      <c r="A573" s="113"/>
      <c r="B573" s="113"/>
      <c r="C573" s="113"/>
      <c r="D573" s="115"/>
      <c r="E573" s="116"/>
      <c r="F573" s="37"/>
      <c r="G573" s="114"/>
      <c r="H573" s="27"/>
      <c r="I573" s="27"/>
      <c r="J573" s="27"/>
      <c r="K573" s="27"/>
      <c r="L573" s="27"/>
      <c r="M573" s="27"/>
      <c r="N573" s="27"/>
      <c r="O573" s="27"/>
      <c r="P573" s="27"/>
      <c r="Q573" s="27"/>
      <c r="R573" s="27"/>
      <c r="S573" s="27"/>
      <c r="T573" s="27"/>
      <c r="U573" s="27"/>
      <c r="V573" s="27"/>
      <c r="W573" s="27"/>
      <c r="X573" s="27"/>
      <c r="Y573" s="27"/>
      <c r="Z573" s="27"/>
    </row>
    <row r="574" ht="15.75" customHeight="1">
      <c r="A574" s="113"/>
      <c r="B574" s="113"/>
      <c r="C574" s="113"/>
      <c r="D574" s="115"/>
      <c r="E574" s="116"/>
      <c r="F574" s="37"/>
      <c r="G574" s="114"/>
      <c r="H574" s="27"/>
      <c r="I574" s="27"/>
      <c r="J574" s="27"/>
      <c r="K574" s="27"/>
      <c r="L574" s="27"/>
      <c r="M574" s="27"/>
      <c r="N574" s="27"/>
      <c r="O574" s="27"/>
      <c r="P574" s="27"/>
      <c r="Q574" s="27"/>
      <c r="R574" s="27"/>
      <c r="S574" s="27"/>
      <c r="T574" s="27"/>
      <c r="U574" s="27"/>
      <c r="V574" s="27"/>
      <c r="W574" s="27"/>
      <c r="X574" s="27"/>
      <c r="Y574" s="27"/>
      <c r="Z574" s="27"/>
    </row>
    <row r="575" ht="15.75" customHeight="1">
      <c r="A575" s="113"/>
      <c r="B575" s="113"/>
      <c r="C575" s="113"/>
      <c r="D575" s="115"/>
      <c r="E575" s="116"/>
      <c r="F575" s="37"/>
      <c r="G575" s="114"/>
      <c r="H575" s="27"/>
      <c r="I575" s="27"/>
      <c r="J575" s="27"/>
      <c r="K575" s="27"/>
      <c r="L575" s="27"/>
      <c r="M575" s="27"/>
      <c r="N575" s="27"/>
      <c r="O575" s="27"/>
      <c r="P575" s="27"/>
      <c r="Q575" s="27"/>
      <c r="R575" s="27"/>
      <c r="S575" s="27"/>
      <c r="T575" s="27"/>
      <c r="U575" s="27"/>
      <c r="V575" s="27"/>
      <c r="W575" s="27"/>
      <c r="X575" s="27"/>
      <c r="Y575" s="27"/>
      <c r="Z575" s="27"/>
    </row>
    <row r="576" ht="15.75" customHeight="1">
      <c r="A576" s="113"/>
      <c r="B576" s="113"/>
      <c r="C576" s="113"/>
      <c r="D576" s="115"/>
      <c r="E576" s="116"/>
      <c r="F576" s="37"/>
      <c r="G576" s="114"/>
      <c r="H576" s="27"/>
      <c r="I576" s="27"/>
      <c r="J576" s="27"/>
      <c r="K576" s="27"/>
      <c r="L576" s="27"/>
      <c r="M576" s="27"/>
      <c r="N576" s="27"/>
      <c r="O576" s="27"/>
      <c r="P576" s="27"/>
      <c r="Q576" s="27"/>
      <c r="R576" s="27"/>
      <c r="S576" s="27"/>
      <c r="T576" s="27"/>
      <c r="U576" s="27"/>
      <c r="V576" s="27"/>
      <c r="W576" s="27"/>
      <c r="X576" s="27"/>
      <c r="Y576" s="27"/>
      <c r="Z576" s="27"/>
    </row>
    <row r="577" ht="15.75" customHeight="1">
      <c r="A577" s="113"/>
      <c r="B577" s="113"/>
      <c r="C577" s="113"/>
      <c r="D577" s="115"/>
      <c r="E577" s="116"/>
      <c r="F577" s="37"/>
      <c r="G577" s="114"/>
      <c r="H577" s="27"/>
      <c r="I577" s="27"/>
      <c r="J577" s="27"/>
      <c r="K577" s="27"/>
      <c r="L577" s="27"/>
      <c r="M577" s="27"/>
      <c r="N577" s="27"/>
      <c r="O577" s="27"/>
      <c r="P577" s="27"/>
      <c r="Q577" s="27"/>
      <c r="R577" s="27"/>
      <c r="S577" s="27"/>
      <c r="T577" s="27"/>
      <c r="U577" s="27"/>
      <c r="V577" s="27"/>
      <c r="W577" s="27"/>
      <c r="X577" s="27"/>
      <c r="Y577" s="27"/>
      <c r="Z577" s="27"/>
    </row>
    <row r="578" ht="15.75" customHeight="1">
      <c r="A578" s="113"/>
      <c r="B578" s="113"/>
      <c r="C578" s="113"/>
      <c r="D578" s="115"/>
      <c r="E578" s="116"/>
      <c r="F578" s="37"/>
      <c r="G578" s="114"/>
      <c r="H578" s="27"/>
      <c r="I578" s="27"/>
      <c r="J578" s="27"/>
      <c r="K578" s="27"/>
      <c r="L578" s="27"/>
      <c r="M578" s="27"/>
      <c r="N578" s="27"/>
      <c r="O578" s="27"/>
      <c r="P578" s="27"/>
      <c r="Q578" s="27"/>
      <c r="R578" s="27"/>
      <c r="S578" s="27"/>
      <c r="T578" s="27"/>
      <c r="U578" s="27"/>
      <c r="V578" s="27"/>
      <c r="W578" s="27"/>
      <c r="X578" s="27"/>
      <c r="Y578" s="27"/>
      <c r="Z578" s="27"/>
    </row>
    <row r="579" ht="15.75" customHeight="1">
      <c r="A579" s="113"/>
      <c r="B579" s="113"/>
      <c r="C579" s="113"/>
      <c r="D579" s="115"/>
      <c r="E579" s="116"/>
      <c r="F579" s="37"/>
      <c r="G579" s="114"/>
      <c r="H579" s="27"/>
      <c r="I579" s="27"/>
      <c r="J579" s="27"/>
      <c r="K579" s="27"/>
      <c r="L579" s="27"/>
      <c r="M579" s="27"/>
      <c r="N579" s="27"/>
      <c r="O579" s="27"/>
      <c r="P579" s="27"/>
      <c r="Q579" s="27"/>
      <c r="R579" s="27"/>
      <c r="S579" s="27"/>
      <c r="T579" s="27"/>
      <c r="U579" s="27"/>
      <c r="V579" s="27"/>
      <c r="W579" s="27"/>
      <c r="X579" s="27"/>
      <c r="Y579" s="27"/>
      <c r="Z579" s="27"/>
    </row>
    <row r="580" ht="15.75" customHeight="1">
      <c r="A580" s="113"/>
      <c r="B580" s="113"/>
      <c r="C580" s="113"/>
      <c r="D580" s="115"/>
      <c r="E580" s="116"/>
      <c r="F580" s="37"/>
      <c r="G580" s="114"/>
      <c r="H580" s="27"/>
      <c r="I580" s="27"/>
      <c r="J580" s="27"/>
      <c r="K580" s="27"/>
      <c r="L580" s="27"/>
      <c r="M580" s="27"/>
      <c r="N580" s="27"/>
      <c r="O580" s="27"/>
      <c r="P580" s="27"/>
      <c r="Q580" s="27"/>
      <c r="R580" s="27"/>
      <c r="S580" s="27"/>
      <c r="T580" s="27"/>
      <c r="U580" s="27"/>
      <c r="V580" s="27"/>
      <c r="W580" s="27"/>
      <c r="X580" s="27"/>
      <c r="Y580" s="27"/>
      <c r="Z580" s="27"/>
    </row>
    <row r="581" ht="15.75" customHeight="1">
      <c r="A581" s="113"/>
      <c r="B581" s="113"/>
      <c r="C581" s="113"/>
      <c r="D581" s="115"/>
      <c r="E581" s="116"/>
      <c r="F581" s="37"/>
      <c r="G581" s="114"/>
      <c r="H581" s="27"/>
      <c r="I581" s="27"/>
      <c r="J581" s="27"/>
      <c r="K581" s="27"/>
      <c r="L581" s="27"/>
      <c r="M581" s="27"/>
      <c r="N581" s="27"/>
      <c r="O581" s="27"/>
      <c r="P581" s="27"/>
      <c r="Q581" s="27"/>
      <c r="R581" s="27"/>
      <c r="S581" s="27"/>
      <c r="T581" s="27"/>
      <c r="U581" s="27"/>
      <c r="V581" s="27"/>
      <c r="W581" s="27"/>
      <c r="X581" s="27"/>
      <c r="Y581" s="27"/>
      <c r="Z581" s="27"/>
    </row>
    <row r="582" ht="15.75" customHeight="1">
      <c r="A582" s="113"/>
      <c r="B582" s="113"/>
      <c r="C582" s="113"/>
      <c r="D582" s="115"/>
      <c r="E582" s="116"/>
      <c r="F582" s="37"/>
      <c r="G582" s="114"/>
      <c r="H582" s="27"/>
      <c r="I582" s="27"/>
      <c r="J582" s="27"/>
      <c r="K582" s="27"/>
      <c r="L582" s="27"/>
      <c r="M582" s="27"/>
      <c r="N582" s="27"/>
      <c r="O582" s="27"/>
      <c r="P582" s="27"/>
      <c r="Q582" s="27"/>
      <c r="R582" s="27"/>
      <c r="S582" s="27"/>
      <c r="T582" s="27"/>
      <c r="U582" s="27"/>
      <c r="V582" s="27"/>
      <c r="W582" s="27"/>
      <c r="X582" s="27"/>
      <c r="Y582" s="27"/>
      <c r="Z582" s="27"/>
    </row>
    <row r="583" ht="15.75" customHeight="1">
      <c r="A583" s="113"/>
      <c r="B583" s="113"/>
      <c r="C583" s="113"/>
      <c r="D583" s="115"/>
      <c r="E583" s="116"/>
      <c r="F583" s="37"/>
      <c r="G583" s="114"/>
      <c r="H583" s="27"/>
      <c r="I583" s="27"/>
      <c r="J583" s="27"/>
      <c r="K583" s="27"/>
      <c r="L583" s="27"/>
      <c r="M583" s="27"/>
      <c r="N583" s="27"/>
      <c r="O583" s="27"/>
      <c r="P583" s="27"/>
      <c r="Q583" s="27"/>
      <c r="R583" s="27"/>
      <c r="S583" s="27"/>
      <c r="T583" s="27"/>
      <c r="U583" s="27"/>
      <c r="V583" s="27"/>
      <c r="W583" s="27"/>
      <c r="X583" s="27"/>
      <c r="Y583" s="27"/>
      <c r="Z583" s="27"/>
    </row>
    <row r="584" ht="15.75" customHeight="1">
      <c r="A584" s="113"/>
      <c r="B584" s="113"/>
      <c r="C584" s="113"/>
      <c r="D584" s="115"/>
      <c r="E584" s="116"/>
      <c r="F584" s="37"/>
      <c r="G584" s="114"/>
      <c r="H584" s="27"/>
      <c r="I584" s="27"/>
      <c r="J584" s="27"/>
      <c r="K584" s="27"/>
      <c r="L584" s="27"/>
      <c r="M584" s="27"/>
      <c r="N584" s="27"/>
      <c r="O584" s="27"/>
      <c r="P584" s="27"/>
      <c r="Q584" s="27"/>
      <c r="R584" s="27"/>
      <c r="S584" s="27"/>
      <c r="T584" s="27"/>
      <c r="U584" s="27"/>
      <c r="V584" s="27"/>
      <c r="W584" s="27"/>
      <c r="X584" s="27"/>
      <c r="Y584" s="27"/>
      <c r="Z584" s="27"/>
    </row>
    <row r="585" ht="15.75" customHeight="1">
      <c r="A585" s="113"/>
      <c r="B585" s="113"/>
      <c r="C585" s="113"/>
      <c r="D585" s="115"/>
      <c r="E585" s="116"/>
      <c r="F585" s="37"/>
      <c r="G585" s="114"/>
      <c r="H585" s="27"/>
      <c r="I585" s="27"/>
      <c r="J585" s="27"/>
      <c r="K585" s="27"/>
      <c r="L585" s="27"/>
      <c r="M585" s="27"/>
      <c r="N585" s="27"/>
      <c r="O585" s="27"/>
      <c r="P585" s="27"/>
      <c r="Q585" s="27"/>
      <c r="R585" s="27"/>
      <c r="S585" s="27"/>
      <c r="T585" s="27"/>
      <c r="U585" s="27"/>
      <c r="V585" s="27"/>
      <c r="W585" s="27"/>
      <c r="X585" s="27"/>
      <c r="Y585" s="27"/>
      <c r="Z585" s="27"/>
    </row>
    <row r="586" ht="15.75" customHeight="1">
      <c r="A586" s="113"/>
      <c r="B586" s="113"/>
      <c r="C586" s="113"/>
      <c r="D586" s="115"/>
      <c r="E586" s="116"/>
      <c r="F586" s="37"/>
      <c r="G586" s="114"/>
      <c r="H586" s="27"/>
      <c r="I586" s="27"/>
      <c r="J586" s="27"/>
      <c r="K586" s="27"/>
      <c r="L586" s="27"/>
      <c r="M586" s="27"/>
      <c r="N586" s="27"/>
      <c r="O586" s="27"/>
      <c r="P586" s="27"/>
      <c r="Q586" s="27"/>
      <c r="R586" s="27"/>
      <c r="S586" s="27"/>
      <c r="T586" s="27"/>
      <c r="U586" s="27"/>
      <c r="V586" s="27"/>
      <c r="W586" s="27"/>
      <c r="X586" s="27"/>
      <c r="Y586" s="27"/>
      <c r="Z586" s="27"/>
    </row>
    <row r="587" ht="15.75" customHeight="1">
      <c r="A587" s="113"/>
      <c r="B587" s="113"/>
      <c r="C587" s="113"/>
      <c r="D587" s="115"/>
      <c r="E587" s="116"/>
      <c r="F587" s="37"/>
      <c r="G587" s="114"/>
      <c r="H587" s="27"/>
      <c r="I587" s="27"/>
      <c r="J587" s="27"/>
      <c r="K587" s="27"/>
      <c r="L587" s="27"/>
      <c r="M587" s="27"/>
      <c r="N587" s="27"/>
      <c r="O587" s="27"/>
      <c r="P587" s="27"/>
      <c r="Q587" s="27"/>
      <c r="R587" s="27"/>
      <c r="S587" s="27"/>
      <c r="T587" s="27"/>
      <c r="U587" s="27"/>
      <c r="V587" s="27"/>
      <c r="W587" s="27"/>
      <c r="X587" s="27"/>
      <c r="Y587" s="27"/>
      <c r="Z587" s="27"/>
    </row>
    <row r="588" ht="15.75" customHeight="1">
      <c r="A588" s="113"/>
      <c r="B588" s="113"/>
      <c r="C588" s="113"/>
      <c r="D588" s="115"/>
      <c r="E588" s="116"/>
      <c r="F588" s="37"/>
      <c r="G588" s="114"/>
      <c r="H588" s="27"/>
      <c r="I588" s="27"/>
      <c r="J588" s="27"/>
      <c r="K588" s="27"/>
      <c r="L588" s="27"/>
      <c r="M588" s="27"/>
      <c r="N588" s="27"/>
      <c r="O588" s="27"/>
      <c r="P588" s="27"/>
      <c r="Q588" s="27"/>
      <c r="R588" s="27"/>
      <c r="S588" s="27"/>
      <c r="T588" s="27"/>
      <c r="U588" s="27"/>
      <c r="V588" s="27"/>
      <c r="W588" s="27"/>
      <c r="X588" s="27"/>
      <c r="Y588" s="27"/>
      <c r="Z588" s="27"/>
    </row>
    <row r="589" ht="15.75" customHeight="1">
      <c r="A589" s="113"/>
      <c r="B589" s="113"/>
      <c r="C589" s="113"/>
      <c r="D589" s="115"/>
      <c r="E589" s="116"/>
      <c r="F589" s="37"/>
      <c r="G589" s="114"/>
      <c r="H589" s="27"/>
      <c r="I589" s="27"/>
      <c r="J589" s="27"/>
      <c r="K589" s="27"/>
      <c r="L589" s="27"/>
      <c r="M589" s="27"/>
      <c r="N589" s="27"/>
      <c r="O589" s="27"/>
      <c r="P589" s="27"/>
      <c r="Q589" s="27"/>
      <c r="R589" s="27"/>
      <c r="S589" s="27"/>
      <c r="T589" s="27"/>
      <c r="U589" s="27"/>
      <c r="V589" s="27"/>
      <c r="W589" s="27"/>
      <c r="X589" s="27"/>
      <c r="Y589" s="27"/>
      <c r="Z589" s="27"/>
    </row>
    <row r="590" ht="15.75" customHeight="1">
      <c r="A590" s="113"/>
      <c r="B590" s="113"/>
      <c r="C590" s="113"/>
      <c r="D590" s="115"/>
      <c r="E590" s="116"/>
      <c r="F590" s="37"/>
      <c r="G590" s="114"/>
      <c r="H590" s="27"/>
      <c r="I590" s="27"/>
      <c r="J590" s="27"/>
      <c r="K590" s="27"/>
      <c r="L590" s="27"/>
      <c r="M590" s="27"/>
      <c r="N590" s="27"/>
      <c r="O590" s="27"/>
      <c r="P590" s="27"/>
      <c r="Q590" s="27"/>
      <c r="R590" s="27"/>
      <c r="S590" s="27"/>
      <c r="T590" s="27"/>
      <c r="U590" s="27"/>
      <c r="V590" s="27"/>
      <c r="W590" s="27"/>
      <c r="X590" s="27"/>
      <c r="Y590" s="27"/>
      <c r="Z590" s="27"/>
    </row>
    <row r="591" ht="15.75" customHeight="1">
      <c r="A591" s="113"/>
      <c r="B591" s="113"/>
      <c r="C591" s="113"/>
      <c r="D591" s="115"/>
      <c r="E591" s="116"/>
      <c r="F591" s="37"/>
      <c r="G591" s="114"/>
      <c r="H591" s="27"/>
      <c r="I591" s="27"/>
      <c r="J591" s="27"/>
      <c r="K591" s="27"/>
      <c r="L591" s="27"/>
      <c r="M591" s="27"/>
      <c r="N591" s="27"/>
      <c r="O591" s="27"/>
      <c r="P591" s="27"/>
      <c r="Q591" s="27"/>
      <c r="R591" s="27"/>
      <c r="S591" s="27"/>
      <c r="T591" s="27"/>
      <c r="U591" s="27"/>
      <c r="V591" s="27"/>
      <c r="W591" s="27"/>
      <c r="X591" s="27"/>
      <c r="Y591" s="27"/>
      <c r="Z591" s="27"/>
    </row>
    <row r="592" ht="15.75" customHeight="1">
      <c r="A592" s="113"/>
      <c r="B592" s="113"/>
      <c r="C592" s="113"/>
      <c r="D592" s="115"/>
      <c r="E592" s="116"/>
      <c r="F592" s="37"/>
      <c r="G592" s="114"/>
      <c r="H592" s="27"/>
      <c r="I592" s="27"/>
      <c r="J592" s="27"/>
      <c r="K592" s="27"/>
      <c r="L592" s="27"/>
      <c r="M592" s="27"/>
      <c r="N592" s="27"/>
      <c r="O592" s="27"/>
      <c r="P592" s="27"/>
      <c r="Q592" s="27"/>
      <c r="R592" s="27"/>
      <c r="S592" s="27"/>
      <c r="T592" s="27"/>
      <c r="U592" s="27"/>
      <c r="V592" s="27"/>
      <c r="W592" s="27"/>
      <c r="X592" s="27"/>
      <c r="Y592" s="27"/>
      <c r="Z592" s="27"/>
    </row>
    <row r="593" ht="15.75" customHeight="1">
      <c r="A593" s="113"/>
      <c r="B593" s="113"/>
      <c r="C593" s="113"/>
      <c r="D593" s="115"/>
      <c r="E593" s="116"/>
      <c r="F593" s="37"/>
      <c r="G593" s="114"/>
      <c r="H593" s="27"/>
      <c r="I593" s="27"/>
      <c r="J593" s="27"/>
      <c r="K593" s="27"/>
      <c r="L593" s="27"/>
      <c r="M593" s="27"/>
      <c r="N593" s="27"/>
      <c r="O593" s="27"/>
      <c r="P593" s="27"/>
      <c r="Q593" s="27"/>
      <c r="R593" s="27"/>
      <c r="S593" s="27"/>
      <c r="T593" s="27"/>
      <c r="U593" s="27"/>
      <c r="V593" s="27"/>
      <c r="W593" s="27"/>
      <c r="X593" s="27"/>
      <c r="Y593" s="27"/>
      <c r="Z593" s="27"/>
    </row>
    <row r="594" ht="15.75" customHeight="1">
      <c r="A594" s="113"/>
      <c r="B594" s="113"/>
      <c r="C594" s="113"/>
      <c r="D594" s="115"/>
      <c r="E594" s="116"/>
      <c r="F594" s="37"/>
      <c r="G594" s="114"/>
      <c r="H594" s="27"/>
      <c r="I594" s="27"/>
      <c r="J594" s="27"/>
      <c r="K594" s="27"/>
      <c r="L594" s="27"/>
      <c r="M594" s="27"/>
      <c r="N594" s="27"/>
      <c r="O594" s="27"/>
      <c r="P594" s="27"/>
      <c r="Q594" s="27"/>
      <c r="R594" s="27"/>
      <c r="S594" s="27"/>
      <c r="T594" s="27"/>
      <c r="U594" s="27"/>
      <c r="V594" s="27"/>
      <c r="W594" s="27"/>
      <c r="X594" s="27"/>
      <c r="Y594" s="27"/>
      <c r="Z594" s="27"/>
    </row>
    <row r="595" ht="15.75" customHeight="1">
      <c r="A595" s="113"/>
      <c r="B595" s="113"/>
      <c r="C595" s="113"/>
      <c r="D595" s="115"/>
      <c r="E595" s="116"/>
      <c r="F595" s="37"/>
      <c r="G595" s="114"/>
      <c r="H595" s="27"/>
      <c r="I595" s="27"/>
      <c r="J595" s="27"/>
      <c r="K595" s="27"/>
      <c r="L595" s="27"/>
      <c r="M595" s="27"/>
      <c r="N595" s="27"/>
      <c r="O595" s="27"/>
      <c r="P595" s="27"/>
      <c r="Q595" s="27"/>
      <c r="R595" s="27"/>
      <c r="S595" s="27"/>
      <c r="T595" s="27"/>
      <c r="U595" s="27"/>
      <c r="V595" s="27"/>
      <c r="W595" s="27"/>
      <c r="X595" s="27"/>
      <c r="Y595" s="27"/>
      <c r="Z595" s="27"/>
    </row>
    <row r="596" ht="15.75" customHeight="1">
      <c r="A596" s="113"/>
      <c r="B596" s="113"/>
      <c r="C596" s="113"/>
      <c r="D596" s="115"/>
      <c r="E596" s="116"/>
      <c r="F596" s="37"/>
      <c r="G596" s="114"/>
      <c r="H596" s="27"/>
      <c r="I596" s="27"/>
      <c r="J596" s="27"/>
      <c r="K596" s="27"/>
      <c r="L596" s="27"/>
      <c r="M596" s="27"/>
      <c r="N596" s="27"/>
      <c r="O596" s="27"/>
      <c r="P596" s="27"/>
      <c r="Q596" s="27"/>
      <c r="R596" s="27"/>
      <c r="S596" s="27"/>
      <c r="T596" s="27"/>
      <c r="U596" s="27"/>
      <c r="V596" s="27"/>
      <c r="W596" s="27"/>
      <c r="X596" s="27"/>
      <c r="Y596" s="27"/>
      <c r="Z596" s="27"/>
    </row>
    <row r="597" ht="15.75" customHeight="1">
      <c r="A597" s="113"/>
      <c r="B597" s="113"/>
      <c r="C597" s="113"/>
      <c r="D597" s="115"/>
      <c r="E597" s="116"/>
      <c r="F597" s="37"/>
      <c r="G597" s="114"/>
      <c r="H597" s="27"/>
      <c r="I597" s="27"/>
      <c r="J597" s="27"/>
      <c r="K597" s="27"/>
      <c r="L597" s="27"/>
      <c r="M597" s="27"/>
      <c r="N597" s="27"/>
      <c r="O597" s="27"/>
      <c r="P597" s="27"/>
      <c r="Q597" s="27"/>
      <c r="R597" s="27"/>
      <c r="S597" s="27"/>
      <c r="T597" s="27"/>
      <c r="U597" s="27"/>
      <c r="V597" s="27"/>
      <c r="W597" s="27"/>
      <c r="X597" s="27"/>
      <c r="Y597" s="27"/>
      <c r="Z597" s="27"/>
    </row>
    <row r="598" ht="15.75" customHeight="1">
      <c r="A598" s="113"/>
      <c r="B598" s="113"/>
      <c r="C598" s="113"/>
      <c r="D598" s="115"/>
      <c r="E598" s="116"/>
      <c r="F598" s="37"/>
      <c r="G598" s="114"/>
      <c r="H598" s="27"/>
      <c r="I598" s="27"/>
      <c r="J598" s="27"/>
      <c r="K598" s="27"/>
      <c r="L598" s="27"/>
      <c r="M598" s="27"/>
      <c r="N598" s="27"/>
      <c r="O598" s="27"/>
      <c r="P598" s="27"/>
      <c r="Q598" s="27"/>
      <c r="R598" s="27"/>
      <c r="S598" s="27"/>
      <c r="T598" s="27"/>
      <c r="U598" s="27"/>
      <c r="V598" s="27"/>
      <c r="W598" s="27"/>
      <c r="X598" s="27"/>
      <c r="Y598" s="27"/>
      <c r="Z598" s="27"/>
    </row>
    <row r="599" ht="15.75" customHeight="1">
      <c r="A599" s="113"/>
      <c r="B599" s="113"/>
      <c r="C599" s="113"/>
      <c r="D599" s="115"/>
      <c r="E599" s="116"/>
      <c r="F599" s="37"/>
      <c r="G599" s="114"/>
      <c r="H599" s="27"/>
      <c r="I599" s="27"/>
      <c r="J599" s="27"/>
      <c r="K599" s="27"/>
      <c r="L599" s="27"/>
      <c r="M599" s="27"/>
      <c r="N599" s="27"/>
      <c r="O599" s="27"/>
      <c r="P599" s="27"/>
      <c r="Q599" s="27"/>
      <c r="R599" s="27"/>
      <c r="S599" s="27"/>
      <c r="T599" s="27"/>
      <c r="U599" s="27"/>
      <c r="V599" s="27"/>
      <c r="W599" s="27"/>
      <c r="X599" s="27"/>
      <c r="Y599" s="27"/>
      <c r="Z599" s="27"/>
    </row>
    <row r="600" ht="15.75" customHeight="1">
      <c r="A600" s="113"/>
      <c r="B600" s="113"/>
      <c r="C600" s="113"/>
      <c r="D600" s="115"/>
      <c r="E600" s="116"/>
      <c r="F600" s="37"/>
      <c r="G600" s="114"/>
      <c r="H600" s="27"/>
      <c r="I600" s="27"/>
      <c r="J600" s="27"/>
      <c r="K600" s="27"/>
      <c r="L600" s="27"/>
      <c r="M600" s="27"/>
      <c r="N600" s="27"/>
      <c r="O600" s="27"/>
      <c r="P600" s="27"/>
      <c r="Q600" s="27"/>
      <c r="R600" s="27"/>
      <c r="S600" s="27"/>
      <c r="T600" s="27"/>
      <c r="U600" s="27"/>
      <c r="V600" s="27"/>
      <c r="W600" s="27"/>
      <c r="X600" s="27"/>
      <c r="Y600" s="27"/>
      <c r="Z600" s="27"/>
    </row>
    <row r="601" ht="15.75" customHeight="1">
      <c r="A601" s="113"/>
      <c r="B601" s="113"/>
      <c r="C601" s="113"/>
      <c r="D601" s="115"/>
      <c r="E601" s="116"/>
      <c r="F601" s="37"/>
      <c r="G601" s="114"/>
      <c r="H601" s="27"/>
      <c r="I601" s="27"/>
      <c r="J601" s="27"/>
      <c r="K601" s="27"/>
      <c r="L601" s="27"/>
      <c r="M601" s="27"/>
      <c r="N601" s="27"/>
      <c r="O601" s="27"/>
      <c r="P601" s="27"/>
      <c r="Q601" s="27"/>
      <c r="R601" s="27"/>
      <c r="S601" s="27"/>
      <c r="T601" s="27"/>
      <c r="U601" s="27"/>
      <c r="V601" s="27"/>
      <c r="W601" s="27"/>
      <c r="X601" s="27"/>
      <c r="Y601" s="27"/>
      <c r="Z601" s="27"/>
    </row>
    <row r="602" ht="15.75" customHeight="1">
      <c r="A602" s="113"/>
      <c r="B602" s="113"/>
      <c r="C602" s="113"/>
      <c r="D602" s="115"/>
      <c r="E602" s="116"/>
      <c r="F602" s="37"/>
      <c r="G602" s="114"/>
      <c r="H602" s="27"/>
      <c r="I602" s="27"/>
      <c r="J602" s="27"/>
      <c r="K602" s="27"/>
      <c r="L602" s="27"/>
      <c r="M602" s="27"/>
      <c r="N602" s="27"/>
      <c r="O602" s="27"/>
      <c r="P602" s="27"/>
      <c r="Q602" s="27"/>
      <c r="R602" s="27"/>
      <c r="S602" s="27"/>
      <c r="T602" s="27"/>
      <c r="U602" s="27"/>
      <c r="V602" s="27"/>
      <c r="W602" s="27"/>
      <c r="X602" s="27"/>
      <c r="Y602" s="27"/>
      <c r="Z602" s="27"/>
    </row>
    <row r="603" ht="15.75" customHeight="1">
      <c r="A603" s="113"/>
      <c r="B603" s="113"/>
      <c r="C603" s="113"/>
      <c r="D603" s="115"/>
      <c r="E603" s="116"/>
      <c r="F603" s="37"/>
      <c r="G603" s="114"/>
      <c r="H603" s="27"/>
      <c r="I603" s="27"/>
      <c r="J603" s="27"/>
      <c r="K603" s="27"/>
      <c r="L603" s="27"/>
      <c r="M603" s="27"/>
      <c r="N603" s="27"/>
      <c r="O603" s="27"/>
      <c r="P603" s="27"/>
      <c r="Q603" s="27"/>
      <c r="R603" s="27"/>
      <c r="S603" s="27"/>
      <c r="T603" s="27"/>
      <c r="U603" s="27"/>
      <c r="V603" s="27"/>
      <c r="W603" s="27"/>
      <c r="X603" s="27"/>
      <c r="Y603" s="27"/>
      <c r="Z603" s="27"/>
    </row>
    <row r="604" ht="15.75" customHeight="1">
      <c r="A604" s="113"/>
      <c r="B604" s="113"/>
      <c r="C604" s="113"/>
      <c r="D604" s="115"/>
      <c r="E604" s="116"/>
      <c r="F604" s="37"/>
      <c r="G604" s="114"/>
      <c r="H604" s="27"/>
      <c r="I604" s="27"/>
      <c r="J604" s="27"/>
      <c r="K604" s="27"/>
      <c r="L604" s="27"/>
      <c r="M604" s="27"/>
      <c r="N604" s="27"/>
      <c r="O604" s="27"/>
      <c r="P604" s="27"/>
      <c r="Q604" s="27"/>
      <c r="R604" s="27"/>
      <c r="S604" s="27"/>
      <c r="T604" s="27"/>
      <c r="U604" s="27"/>
      <c r="V604" s="27"/>
      <c r="W604" s="27"/>
      <c r="X604" s="27"/>
      <c r="Y604" s="27"/>
      <c r="Z604" s="27"/>
    </row>
    <row r="605" ht="15.75" customHeight="1">
      <c r="A605" s="113"/>
      <c r="B605" s="113"/>
      <c r="C605" s="113"/>
      <c r="D605" s="115"/>
      <c r="E605" s="116"/>
      <c r="F605" s="37"/>
      <c r="G605" s="114"/>
      <c r="H605" s="27"/>
      <c r="I605" s="27"/>
      <c r="J605" s="27"/>
      <c r="K605" s="27"/>
      <c r="L605" s="27"/>
      <c r="M605" s="27"/>
      <c r="N605" s="27"/>
      <c r="O605" s="27"/>
      <c r="P605" s="27"/>
      <c r="Q605" s="27"/>
      <c r="R605" s="27"/>
      <c r="S605" s="27"/>
      <c r="T605" s="27"/>
      <c r="U605" s="27"/>
      <c r="V605" s="27"/>
      <c r="W605" s="27"/>
      <c r="X605" s="27"/>
      <c r="Y605" s="27"/>
      <c r="Z605" s="27"/>
    </row>
    <row r="606" ht="15.75" customHeight="1">
      <c r="A606" s="113"/>
      <c r="B606" s="113"/>
      <c r="C606" s="113"/>
      <c r="D606" s="115"/>
      <c r="E606" s="116"/>
      <c r="F606" s="37"/>
      <c r="G606" s="114"/>
      <c r="H606" s="27"/>
      <c r="I606" s="27"/>
      <c r="J606" s="27"/>
      <c r="K606" s="27"/>
      <c r="L606" s="27"/>
      <c r="M606" s="27"/>
      <c r="N606" s="27"/>
      <c r="O606" s="27"/>
      <c r="P606" s="27"/>
      <c r="Q606" s="27"/>
      <c r="R606" s="27"/>
      <c r="S606" s="27"/>
      <c r="T606" s="27"/>
      <c r="U606" s="27"/>
      <c r="V606" s="27"/>
      <c r="W606" s="27"/>
      <c r="X606" s="27"/>
      <c r="Y606" s="27"/>
      <c r="Z606" s="27"/>
    </row>
    <row r="607" ht="15.75" customHeight="1">
      <c r="A607" s="113"/>
      <c r="B607" s="113"/>
      <c r="C607" s="113"/>
      <c r="D607" s="115"/>
      <c r="E607" s="116"/>
      <c r="F607" s="37"/>
      <c r="G607" s="114"/>
      <c r="H607" s="27"/>
      <c r="I607" s="27"/>
      <c r="J607" s="27"/>
      <c r="K607" s="27"/>
      <c r="L607" s="27"/>
      <c r="M607" s="27"/>
      <c r="N607" s="27"/>
      <c r="O607" s="27"/>
      <c r="P607" s="27"/>
      <c r="Q607" s="27"/>
      <c r="R607" s="27"/>
      <c r="S607" s="27"/>
      <c r="T607" s="27"/>
      <c r="U607" s="27"/>
      <c r="V607" s="27"/>
      <c r="W607" s="27"/>
      <c r="X607" s="27"/>
      <c r="Y607" s="27"/>
      <c r="Z607" s="27"/>
    </row>
    <row r="608" ht="15.75" customHeight="1">
      <c r="A608" s="113"/>
      <c r="B608" s="113"/>
      <c r="C608" s="113"/>
      <c r="D608" s="115"/>
      <c r="E608" s="116"/>
      <c r="F608" s="37"/>
      <c r="G608" s="114"/>
      <c r="H608" s="27"/>
      <c r="I608" s="27"/>
      <c r="J608" s="27"/>
      <c r="K608" s="27"/>
      <c r="L608" s="27"/>
      <c r="M608" s="27"/>
      <c r="N608" s="27"/>
      <c r="O608" s="27"/>
      <c r="P608" s="27"/>
      <c r="Q608" s="27"/>
      <c r="R608" s="27"/>
      <c r="S608" s="27"/>
      <c r="T608" s="27"/>
      <c r="U608" s="27"/>
      <c r="V608" s="27"/>
      <c r="W608" s="27"/>
      <c r="X608" s="27"/>
      <c r="Y608" s="27"/>
      <c r="Z608" s="27"/>
    </row>
    <row r="609" ht="15.75" customHeight="1">
      <c r="A609" s="113"/>
      <c r="B609" s="113"/>
      <c r="C609" s="113"/>
      <c r="D609" s="115"/>
      <c r="E609" s="116"/>
      <c r="F609" s="37"/>
      <c r="G609" s="114"/>
      <c r="H609" s="27"/>
      <c r="I609" s="27"/>
      <c r="J609" s="27"/>
      <c r="K609" s="27"/>
      <c r="L609" s="27"/>
      <c r="M609" s="27"/>
      <c r="N609" s="27"/>
      <c r="O609" s="27"/>
      <c r="P609" s="27"/>
      <c r="Q609" s="27"/>
      <c r="R609" s="27"/>
      <c r="S609" s="27"/>
      <c r="T609" s="27"/>
      <c r="U609" s="27"/>
      <c r="V609" s="27"/>
      <c r="W609" s="27"/>
      <c r="X609" s="27"/>
      <c r="Y609" s="27"/>
      <c r="Z609" s="27"/>
    </row>
    <row r="610" ht="15.75" customHeight="1">
      <c r="A610" s="113"/>
      <c r="B610" s="113"/>
      <c r="C610" s="113"/>
      <c r="D610" s="115"/>
      <c r="E610" s="116"/>
      <c r="F610" s="37"/>
      <c r="G610" s="114"/>
      <c r="H610" s="27"/>
      <c r="I610" s="27"/>
      <c r="J610" s="27"/>
      <c r="K610" s="27"/>
      <c r="L610" s="27"/>
      <c r="M610" s="27"/>
      <c r="N610" s="27"/>
      <c r="O610" s="27"/>
      <c r="P610" s="27"/>
      <c r="Q610" s="27"/>
      <c r="R610" s="27"/>
      <c r="S610" s="27"/>
      <c r="T610" s="27"/>
      <c r="U610" s="27"/>
      <c r="V610" s="27"/>
      <c r="W610" s="27"/>
      <c r="X610" s="27"/>
      <c r="Y610" s="27"/>
      <c r="Z610" s="27"/>
    </row>
    <row r="611" ht="15.75" customHeight="1">
      <c r="A611" s="113"/>
      <c r="B611" s="113"/>
      <c r="C611" s="113"/>
      <c r="D611" s="115"/>
      <c r="E611" s="116"/>
      <c r="F611" s="37"/>
      <c r="G611" s="114"/>
      <c r="H611" s="27"/>
      <c r="I611" s="27"/>
      <c r="J611" s="27"/>
      <c r="K611" s="27"/>
      <c r="L611" s="27"/>
      <c r="M611" s="27"/>
      <c r="N611" s="27"/>
      <c r="O611" s="27"/>
      <c r="P611" s="27"/>
      <c r="Q611" s="27"/>
      <c r="R611" s="27"/>
      <c r="S611" s="27"/>
      <c r="T611" s="27"/>
      <c r="U611" s="27"/>
      <c r="V611" s="27"/>
      <c r="W611" s="27"/>
      <c r="X611" s="27"/>
      <c r="Y611" s="27"/>
      <c r="Z611" s="27"/>
    </row>
    <row r="612" ht="15.75" customHeight="1">
      <c r="A612" s="113"/>
      <c r="B612" s="113"/>
      <c r="C612" s="113"/>
      <c r="D612" s="115"/>
      <c r="E612" s="116"/>
      <c r="F612" s="37"/>
      <c r="G612" s="114"/>
      <c r="H612" s="27"/>
      <c r="I612" s="27"/>
      <c r="J612" s="27"/>
      <c r="K612" s="27"/>
      <c r="L612" s="27"/>
      <c r="M612" s="27"/>
      <c r="N612" s="27"/>
      <c r="O612" s="27"/>
      <c r="P612" s="27"/>
      <c r="Q612" s="27"/>
      <c r="R612" s="27"/>
      <c r="S612" s="27"/>
      <c r="T612" s="27"/>
      <c r="U612" s="27"/>
      <c r="V612" s="27"/>
      <c r="W612" s="27"/>
      <c r="X612" s="27"/>
      <c r="Y612" s="27"/>
      <c r="Z612" s="27"/>
    </row>
    <row r="613" ht="15.75" customHeight="1">
      <c r="A613" s="113"/>
      <c r="B613" s="113"/>
      <c r="C613" s="113"/>
      <c r="D613" s="115"/>
      <c r="E613" s="116"/>
      <c r="F613" s="37"/>
      <c r="G613" s="114"/>
      <c r="H613" s="27"/>
      <c r="I613" s="27"/>
      <c r="J613" s="27"/>
      <c r="K613" s="27"/>
      <c r="L613" s="27"/>
      <c r="M613" s="27"/>
      <c r="N613" s="27"/>
      <c r="O613" s="27"/>
      <c r="P613" s="27"/>
      <c r="Q613" s="27"/>
      <c r="R613" s="27"/>
      <c r="S613" s="27"/>
      <c r="T613" s="27"/>
      <c r="U613" s="27"/>
      <c r="V613" s="27"/>
      <c r="W613" s="27"/>
      <c r="X613" s="27"/>
      <c r="Y613" s="27"/>
      <c r="Z613" s="27"/>
    </row>
    <row r="614" ht="15.75" customHeight="1">
      <c r="A614" s="113"/>
      <c r="B614" s="113"/>
      <c r="C614" s="113"/>
      <c r="D614" s="115"/>
      <c r="E614" s="116"/>
      <c r="F614" s="37"/>
      <c r="G614" s="114"/>
      <c r="H614" s="27"/>
      <c r="I614" s="27"/>
      <c r="J614" s="27"/>
      <c r="K614" s="27"/>
      <c r="L614" s="27"/>
      <c r="M614" s="27"/>
      <c r="N614" s="27"/>
      <c r="O614" s="27"/>
      <c r="P614" s="27"/>
      <c r="Q614" s="27"/>
      <c r="R614" s="27"/>
      <c r="S614" s="27"/>
      <c r="T614" s="27"/>
      <c r="U614" s="27"/>
      <c r="V614" s="27"/>
      <c r="W614" s="27"/>
      <c r="X614" s="27"/>
      <c r="Y614" s="27"/>
      <c r="Z614" s="27"/>
    </row>
    <row r="615" ht="15.75" customHeight="1">
      <c r="A615" s="113"/>
      <c r="B615" s="113"/>
      <c r="C615" s="113"/>
      <c r="D615" s="115"/>
      <c r="E615" s="116"/>
      <c r="F615" s="37"/>
      <c r="G615" s="114"/>
      <c r="H615" s="27"/>
      <c r="I615" s="27"/>
      <c r="J615" s="27"/>
      <c r="K615" s="27"/>
      <c r="L615" s="27"/>
      <c r="M615" s="27"/>
      <c r="N615" s="27"/>
      <c r="O615" s="27"/>
      <c r="P615" s="27"/>
      <c r="Q615" s="27"/>
      <c r="R615" s="27"/>
      <c r="S615" s="27"/>
      <c r="T615" s="27"/>
      <c r="U615" s="27"/>
      <c r="V615" s="27"/>
      <c r="W615" s="27"/>
      <c r="X615" s="27"/>
      <c r="Y615" s="27"/>
      <c r="Z615" s="27"/>
    </row>
    <row r="616" ht="15.75" customHeight="1">
      <c r="A616" s="113"/>
      <c r="B616" s="113"/>
      <c r="C616" s="113"/>
      <c r="D616" s="115"/>
      <c r="E616" s="116"/>
      <c r="F616" s="37"/>
      <c r="G616" s="114"/>
      <c r="H616" s="27"/>
      <c r="I616" s="27"/>
      <c r="J616" s="27"/>
      <c r="K616" s="27"/>
      <c r="L616" s="27"/>
      <c r="M616" s="27"/>
      <c r="N616" s="27"/>
      <c r="O616" s="27"/>
      <c r="P616" s="27"/>
      <c r="Q616" s="27"/>
      <c r="R616" s="27"/>
      <c r="S616" s="27"/>
      <c r="T616" s="27"/>
      <c r="U616" s="27"/>
      <c r="V616" s="27"/>
      <c r="W616" s="27"/>
      <c r="X616" s="27"/>
      <c r="Y616" s="27"/>
      <c r="Z616" s="27"/>
    </row>
    <row r="617" ht="15.75" customHeight="1">
      <c r="A617" s="113"/>
      <c r="B617" s="113"/>
      <c r="C617" s="113"/>
      <c r="D617" s="115"/>
      <c r="E617" s="116"/>
      <c r="F617" s="37"/>
      <c r="G617" s="114"/>
      <c r="H617" s="27"/>
      <c r="I617" s="27"/>
      <c r="J617" s="27"/>
      <c r="K617" s="27"/>
      <c r="L617" s="27"/>
      <c r="M617" s="27"/>
      <c r="N617" s="27"/>
      <c r="O617" s="27"/>
      <c r="P617" s="27"/>
      <c r="Q617" s="27"/>
      <c r="R617" s="27"/>
      <c r="S617" s="27"/>
      <c r="T617" s="27"/>
      <c r="U617" s="27"/>
      <c r="V617" s="27"/>
      <c r="W617" s="27"/>
      <c r="X617" s="27"/>
      <c r="Y617" s="27"/>
      <c r="Z617" s="27"/>
    </row>
    <row r="618" ht="15.75" customHeight="1">
      <c r="A618" s="113"/>
      <c r="B618" s="113"/>
      <c r="C618" s="113"/>
      <c r="D618" s="115"/>
      <c r="E618" s="116"/>
      <c r="F618" s="37"/>
      <c r="G618" s="114"/>
      <c r="H618" s="27"/>
      <c r="I618" s="27"/>
      <c r="J618" s="27"/>
      <c r="K618" s="27"/>
      <c r="L618" s="27"/>
      <c r="M618" s="27"/>
      <c r="N618" s="27"/>
      <c r="O618" s="27"/>
      <c r="P618" s="27"/>
      <c r="Q618" s="27"/>
      <c r="R618" s="27"/>
      <c r="S618" s="27"/>
      <c r="T618" s="27"/>
      <c r="U618" s="27"/>
      <c r="V618" s="27"/>
      <c r="W618" s="27"/>
      <c r="X618" s="27"/>
      <c r="Y618" s="27"/>
      <c r="Z618" s="27"/>
    </row>
    <row r="619" ht="15.75" customHeight="1">
      <c r="A619" s="113"/>
      <c r="B619" s="113"/>
      <c r="C619" s="113"/>
      <c r="D619" s="115"/>
      <c r="E619" s="116"/>
      <c r="F619" s="37"/>
      <c r="G619" s="114"/>
      <c r="H619" s="27"/>
      <c r="I619" s="27"/>
      <c r="J619" s="27"/>
      <c r="K619" s="27"/>
      <c r="L619" s="27"/>
      <c r="M619" s="27"/>
      <c r="N619" s="27"/>
      <c r="O619" s="27"/>
      <c r="P619" s="27"/>
      <c r="Q619" s="27"/>
      <c r="R619" s="27"/>
      <c r="S619" s="27"/>
      <c r="T619" s="27"/>
      <c r="U619" s="27"/>
      <c r="V619" s="27"/>
      <c r="W619" s="27"/>
      <c r="X619" s="27"/>
      <c r="Y619" s="27"/>
      <c r="Z619" s="27"/>
    </row>
    <row r="620" ht="15.75" customHeight="1">
      <c r="A620" s="113"/>
      <c r="B620" s="113"/>
      <c r="C620" s="113"/>
      <c r="D620" s="115"/>
      <c r="E620" s="116"/>
      <c r="F620" s="37"/>
      <c r="G620" s="114"/>
      <c r="H620" s="27"/>
      <c r="I620" s="27"/>
      <c r="J620" s="27"/>
      <c r="K620" s="27"/>
      <c r="L620" s="27"/>
      <c r="M620" s="27"/>
      <c r="N620" s="27"/>
      <c r="O620" s="27"/>
      <c r="P620" s="27"/>
      <c r="Q620" s="27"/>
      <c r="R620" s="27"/>
      <c r="S620" s="27"/>
      <c r="T620" s="27"/>
      <c r="U620" s="27"/>
      <c r="V620" s="27"/>
      <c r="W620" s="27"/>
      <c r="X620" s="27"/>
      <c r="Y620" s="27"/>
      <c r="Z620" s="27"/>
    </row>
    <row r="621" ht="15.75" customHeight="1">
      <c r="A621" s="113"/>
      <c r="B621" s="113"/>
      <c r="C621" s="113"/>
      <c r="D621" s="115"/>
      <c r="E621" s="116"/>
      <c r="F621" s="37"/>
      <c r="G621" s="114"/>
      <c r="H621" s="27"/>
      <c r="I621" s="27"/>
      <c r="J621" s="27"/>
      <c r="K621" s="27"/>
      <c r="L621" s="27"/>
      <c r="M621" s="27"/>
      <c r="N621" s="27"/>
      <c r="O621" s="27"/>
      <c r="P621" s="27"/>
      <c r="Q621" s="27"/>
      <c r="R621" s="27"/>
      <c r="S621" s="27"/>
      <c r="T621" s="27"/>
      <c r="U621" s="27"/>
      <c r="V621" s="27"/>
      <c r="W621" s="27"/>
      <c r="X621" s="27"/>
      <c r="Y621" s="27"/>
      <c r="Z621" s="27"/>
    </row>
    <row r="622" ht="15.75" customHeight="1">
      <c r="A622" s="113"/>
      <c r="B622" s="113"/>
      <c r="C622" s="113"/>
      <c r="D622" s="115"/>
      <c r="E622" s="116"/>
      <c r="F622" s="37"/>
      <c r="G622" s="114"/>
      <c r="H622" s="27"/>
      <c r="I622" s="27"/>
      <c r="J622" s="27"/>
      <c r="K622" s="27"/>
      <c r="L622" s="27"/>
      <c r="M622" s="27"/>
      <c r="N622" s="27"/>
      <c r="O622" s="27"/>
      <c r="P622" s="27"/>
      <c r="Q622" s="27"/>
      <c r="R622" s="27"/>
      <c r="S622" s="27"/>
      <c r="T622" s="27"/>
      <c r="U622" s="27"/>
      <c r="V622" s="27"/>
      <c r="W622" s="27"/>
      <c r="X622" s="27"/>
      <c r="Y622" s="27"/>
      <c r="Z622" s="27"/>
    </row>
    <row r="623" ht="15.75" customHeight="1">
      <c r="A623" s="113"/>
      <c r="B623" s="113"/>
      <c r="C623" s="113"/>
      <c r="D623" s="115"/>
      <c r="E623" s="116"/>
      <c r="F623" s="37"/>
      <c r="G623" s="114"/>
      <c r="H623" s="27"/>
      <c r="I623" s="27"/>
      <c r="J623" s="27"/>
      <c r="K623" s="27"/>
      <c r="L623" s="27"/>
      <c r="M623" s="27"/>
      <c r="N623" s="27"/>
      <c r="O623" s="27"/>
      <c r="P623" s="27"/>
      <c r="Q623" s="27"/>
      <c r="R623" s="27"/>
      <c r="S623" s="27"/>
      <c r="T623" s="27"/>
      <c r="U623" s="27"/>
      <c r="V623" s="27"/>
      <c r="W623" s="27"/>
      <c r="X623" s="27"/>
      <c r="Y623" s="27"/>
      <c r="Z623" s="27"/>
    </row>
    <row r="624" ht="15.75" customHeight="1">
      <c r="A624" s="113"/>
      <c r="B624" s="113"/>
      <c r="C624" s="113"/>
      <c r="D624" s="115"/>
      <c r="E624" s="116"/>
      <c r="F624" s="37"/>
      <c r="G624" s="114"/>
      <c r="H624" s="27"/>
      <c r="I624" s="27"/>
      <c r="J624" s="27"/>
      <c r="K624" s="27"/>
      <c r="L624" s="27"/>
      <c r="M624" s="27"/>
      <c r="N624" s="27"/>
      <c r="O624" s="27"/>
      <c r="P624" s="27"/>
      <c r="Q624" s="27"/>
      <c r="R624" s="27"/>
      <c r="S624" s="27"/>
      <c r="T624" s="27"/>
      <c r="U624" s="27"/>
      <c r="V624" s="27"/>
      <c r="W624" s="27"/>
      <c r="X624" s="27"/>
      <c r="Y624" s="27"/>
      <c r="Z624" s="27"/>
    </row>
    <row r="625" ht="15.75" customHeight="1">
      <c r="A625" s="113"/>
      <c r="B625" s="113"/>
      <c r="C625" s="113"/>
      <c r="D625" s="115"/>
      <c r="E625" s="116"/>
      <c r="F625" s="37"/>
      <c r="G625" s="114"/>
      <c r="H625" s="27"/>
      <c r="I625" s="27"/>
      <c r="J625" s="27"/>
      <c r="K625" s="27"/>
      <c r="L625" s="27"/>
      <c r="M625" s="27"/>
      <c r="N625" s="27"/>
      <c r="O625" s="27"/>
      <c r="P625" s="27"/>
      <c r="Q625" s="27"/>
      <c r="R625" s="27"/>
      <c r="S625" s="27"/>
      <c r="T625" s="27"/>
      <c r="U625" s="27"/>
      <c r="V625" s="27"/>
      <c r="W625" s="27"/>
      <c r="X625" s="27"/>
      <c r="Y625" s="27"/>
      <c r="Z625" s="27"/>
    </row>
    <row r="626" ht="15.75" customHeight="1">
      <c r="A626" s="113"/>
      <c r="B626" s="113"/>
      <c r="C626" s="113"/>
      <c r="D626" s="115"/>
      <c r="E626" s="116"/>
      <c r="F626" s="37"/>
      <c r="G626" s="114"/>
      <c r="H626" s="27"/>
      <c r="I626" s="27"/>
      <c r="J626" s="27"/>
      <c r="K626" s="27"/>
      <c r="L626" s="27"/>
      <c r="M626" s="27"/>
      <c r="N626" s="27"/>
      <c r="O626" s="27"/>
      <c r="P626" s="27"/>
      <c r="Q626" s="27"/>
      <c r="R626" s="27"/>
      <c r="S626" s="27"/>
      <c r="T626" s="27"/>
      <c r="U626" s="27"/>
      <c r="V626" s="27"/>
      <c r="W626" s="27"/>
      <c r="X626" s="27"/>
      <c r="Y626" s="27"/>
      <c r="Z626" s="27"/>
    </row>
    <row r="627" ht="15.75" customHeight="1">
      <c r="A627" s="113"/>
      <c r="B627" s="113"/>
      <c r="C627" s="113"/>
      <c r="D627" s="115"/>
      <c r="E627" s="116"/>
      <c r="F627" s="37"/>
      <c r="G627" s="114"/>
      <c r="H627" s="27"/>
      <c r="I627" s="27"/>
      <c r="J627" s="27"/>
      <c r="K627" s="27"/>
      <c r="L627" s="27"/>
      <c r="M627" s="27"/>
      <c r="N627" s="27"/>
      <c r="O627" s="27"/>
      <c r="P627" s="27"/>
      <c r="Q627" s="27"/>
      <c r="R627" s="27"/>
      <c r="S627" s="27"/>
      <c r="T627" s="27"/>
      <c r="U627" s="27"/>
      <c r="V627" s="27"/>
      <c r="W627" s="27"/>
      <c r="X627" s="27"/>
      <c r="Y627" s="27"/>
      <c r="Z627" s="27"/>
    </row>
    <row r="628" ht="15.75" customHeight="1">
      <c r="A628" s="113"/>
      <c r="B628" s="113"/>
      <c r="C628" s="113"/>
      <c r="D628" s="115"/>
      <c r="E628" s="116"/>
      <c r="F628" s="37"/>
      <c r="G628" s="114"/>
      <c r="H628" s="27"/>
      <c r="I628" s="27"/>
      <c r="J628" s="27"/>
      <c r="K628" s="27"/>
      <c r="L628" s="27"/>
      <c r="M628" s="27"/>
      <c r="N628" s="27"/>
      <c r="O628" s="27"/>
      <c r="P628" s="27"/>
      <c r="Q628" s="27"/>
      <c r="R628" s="27"/>
      <c r="S628" s="27"/>
      <c r="T628" s="27"/>
      <c r="U628" s="27"/>
      <c r="V628" s="27"/>
      <c r="W628" s="27"/>
      <c r="X628" s="27"/>
      <c r="Y628" s="27"/>
      <c r="Z628" s="27"/>
    </row>
    <row r="629" ht="15.75" customHeight="1">
      <c r="A629" s="113"/>
      <c r="B629" s="113"/>
      <c r="C629" s="113"/>
      <c r="D629" s="115"/>
      <c r="E629" s="116"/>
      <c r="F629" s="37"/>
      <c r="G629" s="114"/>
      <c r="H629" s="27"/>
      <c r="I629" s="27"/>
      <c r="J629" s="27"/>
      <c r="K629" s="27"/>
      <c r="L629" s="27"/>
      <c r="M629" s="27"/>
      <c r="N629" s="27"/>
      <c r="O629" s="27"/>
      <c r="P629" s="27"/>
      <c r="Q629" s="27"/>
      <c r="R629" s="27"/>
      <c r="S629" s="27"/>
      <c r="T629" s="27"/>
      <c r="U629" s="27"/>
      <c r="V629" s="27"/>
      <c r="W629" s="27"/>
      <c r="X629" s="27"/>
      <c r="Y629" s="27"/>
      <c r="Z629" s="27"/>
    </row>
    <row r="630" ht="15.75" customHeight="1">
      <c r="A630" s="113"/>
      <c r="B630" s="113"/>
      <c r="C630" s="113"/>
      <c r="D630" s="115"/>
      <c r="E630" s="116"/>
      <c r="F630" s="37"/>
      <c r="G630" s="114"/>
      <c r="H630" s="27"/>
      <c r="I630" s="27"/>
      <c r="J630" s="27"/>
      <c r="K630" s="27"/>
      <c r="L630" s="27"/>
      <c r="M630" s="27"/>
      <c r="N630" s="27"/>
      <c r="O630" s="27"/>
      <c r="P630" s="27"/>
      <c r="Q630" s="27"/>
      <c r="R630" s="27"/>
      <c r="S630" s="27"/>
      <c r="T630" s="27"/>
      <c r="U630" s="27"/>
      <c r="V630" s="27"/>
      <c r="W630" s="27"/>
      <c r="X630" s="27"/>
      <c r="Y630" s="27"/>
      <c r="Z630" s="27"/>
    </row>
    <row r="631" ht="15.75" customHeight="1">
      <c r="A631" s="113"/>
      <c r="B631" s="113"/>
      <c r="C631" s="113"/>
      <c r="D631" s="115"/>
      <c r="E631" s="116"/>
      <c r="F631" s="37"/>
      <c r="G631" s="114"/>
      <c r="H631" s="27"/>
      <c r="I631" s="27"/>
      <c r="J631" s="27"/>
      <c r="K631" s="27"/>
      <c r="L631" s="27"/>
      <c r="M631" s="27"/>
      <c r="N631" s="27"/>
      <c r="O631" s="27"/>
      <c r="P631" s="27"/>
      <c r="Q631" s="27"/>
      <c r="R631" s="27"/>
      <c r="S631" s="27"/>
      <c r="T631" s="27"/>
      <c r="U631" s="27"/>
      <c r="V631" s="27"/>
      <c r="W631" s="27"/>
      <c r="X631" s="27"/>
      <c r="Y631" s="27"/>
      <c r="Z631" s="27"/>
    </row>
    <row r="632" ht="15.75" customHeight="1">
      <c r="A632" s="113"/>
      <c r="B632" s="113"/>
      <c r="C632" s="113"/>
      <c r="D632" s="115"/>
      <c r="E632" s="116"/>
      <c r="F632" s="37"/>
      <c r="G632" s="114"/>
      <c r="H632" s="27"/>
      <c r="I632" s="27"/>
      <c r="J632" s="27"/>
      <c r="K632" s="27"/>
      <c r="L632" s="27"/>
      <c r="M632" s="27"/>
      <c r="N632" s="27"/>
      <c r="O632" s="27"/>
      <c r="P632" s="27"/>
      <c r="Q632" s="27"/>
      <c r="R632" s="27"/>
      <c r="S632" s="27"/>
      <c r="T632" s="27"/>
      <c r="U632" s="27"/>
      <c r="V632" s="27"/>
      <c r="W632" s="27"/>
      <c r="X632" s="27"/>
      <c r="Y632" s="27"/>
      <c r="Z632" s="27"/>
    </row>
    <row r="633" ht="15.75" customHeight="1">
      <c r="A633" s="113"/>
      <c r="B633" s="113"/>
      <c r="C633" s="113"/>
      <c r="D633" s="115"/>
      <c r="E633" s="116"/>
      <c r="F633" s="37"/>
      <c r="G633" s="114"/>
      <c r="H633" s="27"/>
      <c r="I633" s="27"/>
      <c r="J633" s="27"/>
      <c r="K633" s="27"/>
      <c r="L633" s="27"/>
      <c r="M633" s="27"/>
      <c r="N633" s="27"/>
      <c r="O633" s="27"/>
      <c r="P633" s="27"/>
      <c r="Q633" s="27"/>
      <c r="R633" s="27"/>
      <c r="S633" s="27"/>
      <c r="T633" s="27"/>
      <c r="U633" s="27"/>
      <c r="V633" s="27"/>
      <c r="W633" s="27"/>
      <c r="X633" s="27"/>
      <c r="Y633" s="27"/>
      <c r="Z633" s="27"/>
    </row>
    <row r="634" ht="15.75" customHeight="1">
      <c r="A634" s="113"/>
      <c r="B634" s="113"/>
      <c r="C634" s="113"/>
      <c r="D634" s="115"/>
      <c r="E634" s="116"/>
      <c r="F634" s="37"/>
      <c r="G634" s="114"/>
      <c r="H634" s="27"/>
      <c r="I634" s="27"/>
      <c r="J634" s="27"/>
      <c r="K634" s="27"/>
      <c r="L634" s="27"/>
      <c r="M634" s="27"/>
      <c r="N634" s="27"/>
      <c r="O634" s="27"/>
      <c r="P634" s="27"/>
      <c r="Q634" s="27"/>
      <c r="R634" s="27"/>
      <c r="S634" s="27"/>
      <c r="T634" s="27"/>
      <c r="U634" s="27"/>
      <c r="V634" s="27"/>
      <c r="W634" s="27"/>
      <c r="X634" s="27"/>
      <c r="Y634" s="27"/>
      <c r="Z634" s="27"/>
    </row>
    <row r="635" ht="15.75" customHeight="1">
      <c r="A635" s="113"/>
      <c r="B635" s="113"/>
      <c r="C635" s="113"/>
      <c r="D635" s="115"/>
      <c r="E635" s="116"/>
      <c r="F635" s="37"/>
      <c r="G635" s="114"/>
      <c r="H635" s="27"/>
      <c r="I635" s="27"/>
      <c r="J635" s="27"/>
      <c r="K635" s="27"/>
      <c r="L635" s="27"/>
      <c r="M635" s="27"/>
      <c r="N635" s="27"/>
      <c r="O635" s="27"/>
      <c r="P635" s="27"/>
      <c r="Q635" s="27"/>
      <c r="R635" s="27"/>
      <c r="S635" s="27"/>
      <c r="T635" s="27"/>
      <c r="U635" s="27"/>
      <c r="V635" s="27"/>
      <c r="W635" s="27"/>
      <c r="X635" s="27"/>
      <c r="Y635" s="27"/>
      <c r="Z635" s="27"/>
    </row>
    <row r="636" ht="15.75" customHeight="1">
      <c r="A636" s="113"/>
      <c r="B636" s="113"/>
      <c r="C636" s="113"/>
      <c r="D636" s="115"/>
      <c r="E636" s="116"/>
      <c r="F636" s="37"/>
      <c r="G636" s="114"/>
      <c r="H636" s="27"/>
      <c r="I636" s="27"/>
      <c r="J636" s="27"/>
      <c r="K636" s="27"/>
      <c r="L636" s="27"/>
      <c r="M636" s="27"/>
      <c r="N636" s="27"/>
      <c r="O636" s="27"/>
      <c r="P636" s="27"/>
      <c r="Q636" s="27"/>
      <c r="R636" s="27"/>
      <c r="S636" s="27"/>
      <c r="T636" s="27"/>
      <c r="U636" s="27"/>
      <c r="V636" s="27"/>
      <c r="W636" s="27"/>
      <c r="X636" s="27"/>
      <c r="Y636" s="27"/>
      <c r="Z636" s="27"/>
    </row>
    <row r="637" ht="15.75" customHeight="1">
      <c r="A637" s="113"/>
      <c r="B637" s="113"/>
      <c r="C637" s="113"/>
      <c r="D637" s="115"/>
      <c r="E637" s="116"/>
      <c r="F637" s="37"/>
      <c r="G637" s="114"/>
      <c r="H637" s="27"/>
      <c r="I637" s="27"/>
      <c r="J637" s="27"/>
      <c r="K637" s="27"/>
      <c r="L637" s="27"/>
      <c r="M637" s="27"/>
      <c r="N637" s="27"/>
      <c r="O637" s="27"/>
      <c r="P637" s="27"/>
      <c r="Q637" s="27"/>
      <c r="R637" s="27"/>
      <c r="S637" s="27"/>
      <c r="T637" s="27"/>
      <c r="U637" s="27"/>
      <c r="V637" s="27"/>
      <c r="W637" s="27"/>
      <c r="X637" s="27"/>
      <c r="Y637" s="27"/>
      <c r="Z637" s="27"/>
    </row>
    <row r="638" ht="15.75" customHeight="1">
      <c r="A638" s="113"/>
      <c r="B638" s="113"/>
      <c r="C638" s="113"/>
      <c r="D638" s="115"/>
      <c r="E638" s="116"/>
      <c r="F638" s="37"/>
      <c r="G638" s="114"/>
      <c r="H638" s="27"/>
      <c r="I638" s="27"/>
      <c r="J638" s="27"/>
      <c r="K638" s="27"/>
      <c r="L638" s="27"/>
      <c r="M638" s="27"/>
      <c r="N638" s="27"/>
      <c r="O638" s="27"/>
      <c r="P638" s="27"/>
      <c r="Q638" s="27"/>
      <c r="R638" s="27"/>
      <c r="S638" s="27"/>
      <c r="T638" s="27"/>
      <c r="U638" s="27"/>
      <c r="V638" s="27"/>
      <c r="W638" s="27"/>
      <c r="X638" s="27"/>
      <c r="Y638" s="27"/>
      <c r="Z638" s="27"/>
    </row>
    <row r="639" ht="15.75" customHeight="1">
      <c r="A639" s="113"/>
      <c r="B639" s="113"/>
      <c r="C639" s="113"/>
      <c r="D639" s="115"/>
      <c r="E639" s="116"/>
      <c r="F639" s="37"/>
      <c r="G639" s="114"/>
      <c r="H639" s="27"/>
      <c r="I639" s="27"/>
      <c r="J639" s="27"/>
      <c r="K639" s="27"/>
      <c r="L639" s="27"/>
      <c r="M639" s="27"/>
      <c r="N639" s="27"/>
      <c r="O639" s="27"/>
      <c r="P639" s="27"/>
      <c r="Q639" s="27"/>
      <c r="R639" s="27"/>
      <c r="S639" s="27"/>
      <c r="T639" s="27"/>
      <c r="U639" s="27"/>
      <c r="V639" s="27"/>
      <c r="W639" s="27"/>
      <c r="X639" s="27"/>
      <c r="Y639" s="27"/>
      <c r="Z639" s="27"/>
    </row>
    <row r="640" ht="15.75" customHeight="1">
      <c r="A640" s="113"/>
      <c r="B640" s="113"/>
      <c r="C640" s="113"/>
      <c r="D640" s="115"/>
      <c r="E640" s="116"/>
      <c r="F640" s="37"/>
      <c r="G640" s="114"/>
      <c r="H640" s="27"/>
      <c r="I640" s="27"/>
      <c r="J640" s="27"/>
      <c r="K640" s="27"/>
      <c r="L640" s="27"/>
      <c r="M640" s="27"/>
      <c r="N640" s="27"/>
      <c r="O640" s="27"/>
      <c r="P640" s="27"/>
      <c r="Q640" s="27"/>
      <c r="R640" s="27"/>
      <c r="S640" s="27"/>
      <c r="T640" s="27"/>
      <c r="U640" s="27"/>
      <c r="V640" s="27"/>
      <c r="W640" s="27"/>
      <c r="X640" s="27"/>
      <c r="Y640" s="27"/>
      <c r="Z640" s="27"/>
    </row>
    <row r="641" ht="15.75" customHeight="1">
      <c r="A641" s="113"/>
      <c r="B641" s="113"/>
      <c r="C641" s="113"/>
      <c r="D641" s="115"/>
      <c r="E641" s="116"/>
      <c r="F641" s="37"/>
      <c r="G641" s="114"/>
      <c r="H641" s="27"/>
      <c r="I641" s="27"/>
      <c r="J641" s="27"/>
      <c r="K641" s="27"/>
      <c r="L641" s="27"/>
      <c r="M641" s="27"/>
      <c r="N641" s="27"/>
      <c r="O641" s="27"/>
      <c r="P641" s="27"/>
      <c r="Q641" s="27"/>
      <c r="R641" s="27"/>
      <c r="S641" s="27"/>
      <c r="T641" s="27"/>
      <c r="U641" s="27"/>
      <c r="V641" s="27"/>
      <c r="W641" s="27"/>
      <c r="X641" s="27"/>
      <c r="Y641" s="27"/>
      <c r="Z641" s="27"/>
    </row>
    <row r="642" ht="15.75" customHeight="1">
      <c r="A642" s="113"/>
      <c r="B642" s="113"/>
      <c r="C642" s="113"/>
      <c r="D642" s="115"/>
      <c r="E642" s="116"/>
      <c r="F642" s="37"/>
      <c r="G642" s="114"/>
      <c r="H642" s="27"/>
      <c r="I642" s="27"/>
      <c r="J642" s="27"/>
      <c r="K642" s="27"/>
      <c r="L642" s="27"/>
      <c r="M642" s="27"/>
      <c r="N642" s="27"/>
      <c r="O642" s="27"/>
      <c r="P642" s="27"/>
      <c r="Q642" s="27"/>
      <c r="R642" s="27"/>
      <c r="S642" s="27"/>
      <c r="T642" s="27"/>
      <c r="U642" s="27"/>
      <c r="V642" s="27"/>
      <c r="W642" s="27"/>
      <c r="X642" s="27"/>
      <c r="Y642" s="27"/>
      <c r="Z642" s="27"/>
    </row>
    <row r="643" ht="15.75" customHeight="1">
      <c r="A643" s="113"/>
      <c r="B643" s="113"/>
      <c r="C643" s="113"/>
      <c r="D643" s="115"/>
      <c r="E643" s="116"/>
      <c r="F643" s="37"/>
      <c r="G643" s="114"/>
      <c r="H643" s="27"/>
      <c r="I643" s="27"/>
      <c r="J643" s="27"/>
      <c r="K643" s="27"/>
      <c r="L643" s="27"/>
      <c r="M643" s="27"/>
      <c r="N643" s="27"/>
      <c r="O643" s="27"/>
      <c r="P643" s="27"/>
      <c r="Q643" s="27"/>
      <c r="R643" s="27"/>
      <c r="S643" s="27"/>
      <c r="T643" s="27"/>
      <c r="U643" s="27"/>
      <c r="V643" s="27"/>
      <c r="W643" s="27"/>
      <c r="X643" s="27"/>
      <c r="Y643" s="27"/>
      <c r="Z643" s="27"/>
    </row>
    <row r="644" ht="15.75" customHeight="1">
      <c r="A644" s="113"/>
      <c r="B644" s="113"/>
      <c r="C644" s="113"/>
      <c r="D644" s="115"/>
      <c r="E644" s="116"/>
      <c r="F644" s="37"/>
      <c r="G644" s="114"/>
      <c r="H644" s="27"/>
      <c r="I644" s="27"/>
      <c r="J644" s="27"/>
      <c r="K644" s="27"/>
      <c r="L644" s="27"/>
      <c r="M644" s="27"/>
      <c r="N644" s="27"/>
      <c r="O644" s="27"/>
      <c r="P644" s="27"/>
      <c r="Q644" s="27"/>
      <c r="R644" s="27"/>
      <c r="S644" s="27"/>
      <c r="T644" s="27"/>
      <c r="U644" s="27"/>
      <c r="V644" s="27"/>
      <c r="W644" s="27"/>
      <c r="X644" s="27"/>
      <c r="Y644" s="27"/>
      <c r="Z644" s="27"/>
    </row>
    <row r="645" ht="15.75" customHeight="1">
      <c r="A645" s="113"/>
      <c r="B645" s="113"/>
      <c r="C645" s="113"/>
      <c r="D645" s="115"/>
      <c r="E645" s="116"/>
      <c r="F645" s="37"/>
      <c r="G645" s="114"/>
      <c r="H645" s="27"/>
      <c r="I645" s="27"/>
      <c r="J645" s="27"/>
      <c r="K645" s="27"/>
      <c r="L645" s="27"/>
      <c r="M645" s="27"/>
      <c r="N645" s="27"/>
      <c r="O645" s="27"/>
      <c r="P645" s="27"/>
      <c r="Q645" s="27"/>
      <c r="R645" s="27"/>
      <c r="S645" s="27"/>
      <c r="T645" s="27"/>
      <c r="U645" s="27"/>
      <c r="V645" s="27"/>
      <c r="W645" s="27"/>
      <c r="X645" s="27"/>
      <c r="Y645" s="27"/>
      <c r="Z645" s="27"/>
    </row>
    <row r="646" ht="15.75" customHeight="1">
      <c r="A646" s="113"/>
      <c r="B646" s="113"/>
      <c r="C646" s="113"/>
      <c r="D646" s="115"/>
      <c r="E646" s="116"/>
      <c r="F646" s="37"/>
      <c r="G646" s="114"/>
      <c r="H646" s="27"/>
      <c r="I646" s="27"/>
      <c r="J646" s="27"/>
      <c r="K646" s="27"/>
      <c r="L646" s="27"/>
      <c r="M646" s="27"/>
      <c r="N646" s="27"/>
      <c r="O646" s="27"/>
      <c r="P646" s="27"/>
      <c r="Q646" s="27"/>
      <c r="R646" s="27"/>
      <c r="S646" s="27"/>
      <c r="T646" s="27"/>
      <c r="U646" s="27"/>
      <c r="V646" s="27"/>
      <c r="W646" s="27"/>
      <c r="X646" s="27"/>
      <c r="Y646" s="27"/>
      <c r="Z646" s="27"/>
    </row>
    <row r="647" ht="15.75" customHeight="1">
      <c r="A647" s="113"/>
      <c r="B647" s="113"/>
      <c r="C647" s="113"/>
      <c r="D647" s="115"/>
      <c r="E647" s="116"/>
      <c r="F647" s="37"/>
      <c r="G647" s="114"/>
      <c r="H647" s="27"/>
      <c r="I647" s="27"/>
      <c r="J647" s="27"/>
      <c r="K647" s="27"/>
      <c r="L647" s="27"/>
      <c r="M647" s="27"/>
      <c r="N647" s="27"/>
      <c r="O647" s="27"/>
      <c r="P647" s="27"/>
      <c r="Q647" s="27"/>
      <c r="R647" s="27"/>
      <c r="S647" s="27"/>
      <c r="T647" s="27"/>
      <c r="U647" s="27"/>
      <c r="V647" s="27"/>
      <c r="W647" s="27"/>
      <c r="X647" s="27"/>
      <c r="Y647" s="27"/>
      <c r="Z647" s="27"/>
    </row>
    <row r="648" ht="15.75" customHeight="1">
      <c r="A648" s="113"/>
      <c r="B648" s="113"/>
      <c r="C648" s="113"/>
      <c r="D648" s="115"/>
      <c r="E648" s="116"/>
      <c r="F648" s="37"/>
      <c r="G648" s="114"/>
      <c r="H648" s="27"/>
      <c r="I648" s="27"/>
      <c r="J648" s="27"/>
      <c r="K648" s="27"/>
      <c r="L648" s="27"/>
      <c r="M648" s="27"/>
      <c r="N648" s="27"/>
      <c r="O648" s="27"/>
      <c r="P648" s="27"/>
      <c r="Q648" s="27"/>
      <c r="R648" s="27"/>
      <c r="S648" s="27"/>
      <c r="T648" s="27"/>
      <c r="U648" s="27"/>
      <c r="V648" s="27"/>
      <c r="W648" s="27"/>
      <c r="X648" s="27"/>
      <c r="Y648" s="27"/>
      <c r="Z648" s="27"/>
    </row>
    <row r="649" ht="15.75" customHeight="1">
      <c r="A649" s="113"/>
      <c r="B649" s="113"/>
      <c r="C649" s="113"/>
      <c r="D649" s="115"/>
      <c r="E649" s="116"/>
      <c r="F649" s="37"/>
      <c r="G649" s="114"/>
      <c r="H649" s="27"/>
      <c r="I649" s="27"/>
      <c r="J649" s="27"/>
      <c r="K649" s="27"/>
      <c r="L649" s="27"/>
      <c r="M649" s="27"/>
      <c r="N649" s="27"/>
      <c r="O649" s="27"/>
      <c r="P649" s="27"/>
      <c r="Q649" s="27"/>
      <c r="R649" s="27"/>
      <c r="S649" s="27"/>
      <c r="T649" s="27"/>
      <c r="U649" s="27"/>
      <c r="V649" s="27"/>
      <c r="W649" s="27"/>
      <c r="X649" s="27"/>
      <c r="Y649" s="27"/>
      <c r="Z649" s="27"/>
    </row>
    <row r="650" ht="15.75" customHeight="1">
      <c r="A650" s="113"/>
      <c r="B650" s="113"/>
      <c r="C650" s="113"/>
      <c r="D650" s="115"/>
      <c r="E650" s="116"/>
      <c r="F650" s="37"/>
      <c r="G650" s="114"/>
      <c r="H650" s="27"/>
      <c r="I650" s="27"/>
      <c r="J650" s="27"/>
      <c r="K650" s="27"/>
      <c r="L650" s="27"/>
      <c r="M650" s="27"/>
      <c r="N650" s="27"/>
      <c r="O650" s="27"/>
      <c r="P650" s="27"/>
      <c r="Q650" s="27"/>
      <c r="R650" s="27"/>
      <c r="S650" s="27"/>
      <c r="T650" s="27"/>
      <c r="U650" s="27"/>
      <c r="V650" s="27"/>
      <c r="W650" s="27"/>
      <c r="X650" s="27"/>
      <c r="Y650" s="27"/>
      <c r="Z650" s="27"/>
    </row>
    <row r="651" ht="15.75" customHeight="1">
      <c r="A651" s="113"/>
      <c r="B651" s="113"/>
      <c r="C651" s="113"/>
      <c r="D651" s="115"/>
      <c r="E651" s="116"/>
      <c r="F651" s="37"/>
      <c r="G651" s="114"/>
      <c r="H651" s="27"/>
      <c r="I651" s="27"/>
      <c r="J651" s="27"/>
      <c r="K651" s="27"/>
      <c r="L651" s="27"/>
      <c r="M651" s="27"/>
      <c r="N651" s="27"/>
      <c r="O651" s="27"/>
      <c r="P651" s="27"/>
      <c r="Q651" s="27"/>
      <c r="R651" s="27"/>
      <c r="S651" s="27"/>
      <c r="T651" s="27"/>
      <c r="U651" s="27"/>
      <c r="V651" s="27"/>
      <c r="W651" s="27"/>
      <c r="X651" s="27"/>
      <c r="Y651" s="27"/>
      <c r="Z651" s="27"/>
    </row>
    <row r="652" ht="15.75" customHeight="1">
      <c r="A652" s="113"/>
      <c r="B652" s="113"/>
      <c r="C652" s="113"/>
      <c r="D652" s="115"/>
      <c r="E652" s="116"/>
      <c r="F652" s="37"/>
      <c r="G652" s="114"/>
      <c r="H652" s="27"/>
      <c r="I652" s="27"/>
      <c r="J652" s="27"/>
      <c r="K652" s="27"/>
      <c r="L652" s="27"/>
      <c r="M652" s="27"/>
      <c r="N652" s="27"/>
      <c r="O652" s="27"/>
      <c r="P652" s="27"/>
      <c r="Q652" s="27"/>
      <c r="R652" s="27"/>
      <c r="S652" s="27"/>
      <c r="T652" s="27"/>
      <c r="U652" s="27"/>
      <c r="V652" s="27"/>
      <c r="W652" s="27"/>
      <c r="X652" s="27"/>
      <c r="Y652" s="27"/>
      <c r="Z652" s="27"/>
    </row>
    <row r="653" ht="15.75" customHeight="1">
      <c r="A653" s="113"/>
      <c r="B653" s="113"/>
      <c r="C653" s="113"/>
      <c r="D653" s="115"/>
      <c r="E653" s="116"/>
      <c r="F653" s="37"/>
      <c r="G653" s="114"/>
      <c r="H653" s="27"/>
      <c r="I653" s="27"/>
      <c r="J653" s="27"/>
      <c r="K653" s="27"/>
      <c r="L653" s="27"/>
      <c r="M653" s="27"/>
      <c r="N653" s="27"/>
      <c r="O653" s="27"/>
      <c r="P653" s="27"/>
      <c r="Q653" s="27"/>
      <c r="R653" s="27"/>
      <c r="S653" s="27"/>
      <c r="T653" s="27"/>
      <c r="U653" s="27"/>
      <c r="V653" s="27"/>
      <c r="W653" s="27"/>
      <c r="X653" s="27"/>
      <c r="Y653" s="27"/>
      <c r="Z653" s="27"/>
    </row>
    <row r="654" ht="15.75" customHeight="1">
      <c r="A654" s="113"/>
      <c r="B654" s="113"/>
      <c r="C654" s="113"/>
      <c r="D654" s="115"/>
      <c r="E654" s="116"/>
      <c r="F654" s="37"/>
      <c r="G654" s="114"/>
      <c r="H654" s="27"/>
      <c r="I654" s="27"/>
      <c r="J654" s="27"/>
      <c r="K654" s="27"/>
      <c r="L654" s="27"/>
      <c r="M654" s="27"/>
      <c r="N654" s="27"/>
      <c r="O654" s="27"/>
      <c r="P654" s="27"/>
      <c r="Q654" s="27"/>
      <c r="R654" s="27"/>
      <c r="S654" s="27"/>
      <c r="T654" s="27"/>
      <c r="U654" s="27"/>
      <c r="V654" s="27"/>
      <c r="W654" s="27"/>
      <c r="X654" s="27"/>
      <c r="Y654" s="27"/>
      <c r="Z654" s="27"/>
    </row>
    <row r="655" ht="15.75" customHeight="1">
      <c r="A655" s="113"/>
      <c r="B655" s="113"/>
      <c r="C655" s="113"/>
      <c r="D655" s="115"/>
      <c r="E655" s="116"/>
      <c r="F655" s="37"/>
      <c r="G655" s="114"/>
      <c r="H655" s="27"/>
      <c r="I655" s="27"/>
      <c r="J655" s="27"/>
      <c r="K655" s="27"/>
      <c r="L655" s="27"/>
      <c r="M655" s="27"/>
      <c r="N655" s="27"/>
      <c r="O655" s="27"/>
      <c r="P655" s="27"/>
      <c r="Q655" s="27"/>
      <c r="R655" s="27"/>
      <c r="S655" s="27"/>
      <c r="T655" s="27"/>
      <c r="U655" s="27"/>
      <c r="V655" s="27"/>
      <c r="W655" s="27"/>
      <c r="X655" s="27"/>
      <c r="Y655" s="27"/>
      <c r="Z655" s="27"/>
    </row>
    <row r="656" ht="15.75" customHeight="1">
      <c r="A656" s="113"/>
      <c r="B656" s="113"/>
      <c r="C656" s="113"/>
      <c r="D656" s="115"/>
      <c r="E656" s="116"/>
      <c r="F656" s="37"/>
      <c r="G656" s="114"/>
      <c r="H656" s="27"/>
      <c r="I656" s="27"/>
      <c r="J656" s="27"/>
      <c r="K656" s="27"/>
      <c r="L656" s="27"/>
      <c r="M656" s="27"/>
      <c r="N656" s="27"/>
      <c r="O656" s="27"/>
      <c r="P656" s="27"/>
      <c r="Q656" s="27"/>
      <c r="R656" s="27"/>
      <c r="S656" s="27"/>
      <c r="T656" s="27"/>
      <c r="U656" s="27"/>
      <c r="V656" s="27"/>
      <c r="W656" s="27"/>
      <c r="X656" s="27"/>
      <c r="Y656" s="27"/>
      <c r="Z656" s="27"/>
    </row>
    <row r="657" ht="15.75" customHeight="1">
      <c r="A657" s="113"/>
      <c r="B657" s="113"/>
      <c r="C657" s="113"/>
      <c r="D657" s="115"/>
      <c r="E657" s="116"/>
      <c r="F657" s="37"/>
      <c r="G657" s="114"/>
      <c r="H657" s="27"/>
      <c r="I657" s="27"/>
      <c r="J657" s="27"/>
      <c r="K657" s="27"/>
      <c r="L657" s="27"/>
      <c r="M657" s="27"/>
      <c r="N657" s="27"/>
      <c r="O657" s="27"/>
      <c r="P657" s="27"/>
      <c r="Q657" s="27"/>
      <c r="R657" s="27"/>
      <c r="S657" s="27"/>
      <c r="T657" s="27"/>
      <c r="U657" s="27"/>
      <c r="V657" s="27"/>
      <c r="W657" s="27"/>
      <c r="X657" s="27"/>
      <c r="Y657" s="27"/>
      <c r="Z657" s="27"/>
    </row>
    <row r="658" ht="15.75" customHeight="1">
      <c r="A658" s="113"/>
      <c r="B658" s="113"/>
      <c r="C658" s="113"/>
      <c r="D658" s="115"/>
      <c r="E658" s="116"/>
      <c r="F658" s="37"/>
      <c r="G658" s="114"/>
      <c r="H658" s="27"/>
      <c r="I658" s="27"/>
      <c r="J658" s="27"/>
      <c r="K658" s="27"/>
      <c r="L658" s="27"/>
      <c r="M658" s="27"/>
      <c r="N658" s="27"/>
      <c r="O658" s="27"/>
      <c r="P658" s="27"/>
      <c r="Q658" s="27"/>
      <c r="R658" s="27"/>
      <c r="S658" s="27"/>
      <c r="T658" s="27"/>
      <c r="U658" s="27"/>
      <c r="V658" s="27"/>
      <c r="W658" s="27"/>
      <c r="X658" s="27"/>
      <c r="Y658" s="27"/>
      <c r="Z658" s="27"/>
    </row>
    <row r="659" ht="15.75" customHeight="1">
      <c r="A659" s="113"/>
      <c r="B659" s="113"/>
      <c r="C659" s="113"/>
      <c r="D659" s="115"/>
      <c r="E659" s="116"/>
      <c r="F659" s="37"/>
      <c r="G659" s="114"/>
      <c r="H659" s="27"/>
      <c r="I659" s="27"/>
      <c r="J659" s="27"/>
      <c r="K659" s="27"/>
      <c r="L659" s="27"/>
      <c r="M659" s="27"/>
      <c r="N659" s="27"/>
      <c r="O659" s="27"/>
      <c r="P659" s="27"/>
      <c r="Q659" s="27"/>
      <c r="R659" s="27"/>
      <c r="S659" s="27"/>
      <c r="T659" s="27"/>
      <c r="U659" s="27"/>
      <c r="V659" s="27"/>
      <c r="W659" s="27"/>
      <c r="X659" s="27"/>
      <c r="Y659" s="27"/>
      <c r="Z659" s="27"/>
    </row>
    <row r="660" ht="15.75" customHeight="1">
      <c r="A660" s="113"/>
      <c r="B660" s="113"/>
      <c r="C660" s="113"/>
      <c r="D660" s="115"/>
      <c r="E660" s="116"/>
      <c r="F660" s="37"/>
      <c r="G660" s="114"/>
      <c r="H660" s="27"/>
      <c r="I660" s="27"/>
      <c r="J660" s="27"/>
      <c r="K660" s="27"/>
      <c r="L660" s="27"/>
      <c r="M660" s="27"/>
      <c r="N660" s="27"/>
      <c r="O660" s="27"/>
      <c r="P660" s="27"/>
      <c r="Q660" s="27"/>
      <c r="R660" s="27"/>
      <c r="S660" s="27"/>
      <c r="T660" s="27"/>
      <c r="U660" s="27"/>
      <c r="V660" s="27"/>
      <c r="W660" s="27"/>
      <c r="X660" s="27"/>
      <c r="Y660" s="27"/>
      <c r="Z660" s="27"/>
    </row>
    <row r="661" ht="15.75" customHeight="1">
      <c r="A661" s="113"/>
      <c r="B661" s="113"/>
      <c r="C661" s="113"/>
      <c r="D661" s="115"/>
      <c r="E661" s="116"/>
      <c r="F661" s="37"/>
      <c r="G661" s="114"/>
      <c r="H661" s="27"/>
      <c r="I661" s="27"/>
      <c r="J661" s="27"/>
      <c r="K661" s="27"/>
      <c r="L661" s="27"/>
      <c r="M661" s="27"/>
      <c r="N661" s="27"/>
      <c r="O661" s="27"/>
      <c r="P661" s="27"/>
      <c r="Q661" s="27"/>
      <c r="R661" s="27"/>
      <c r="S661" s="27"/>
      <c r="T661" s="27"/>
      <c r="U661" s="27"/>
      <c r="V661" s="27"/>
      <c r="W661" s="27"/>
      <c r="X661" s="27"/>
      <c r="Y661" s="27"/>
      <c r="Z661" s="27"/>
    </row>
    <row r="662" ht="15.75" customHeight="1">
      <c r="A662" s="113"/>
      <c r="B662" s="113"/>
      <c r="C662" s="113"/>
      <c r="D662" s="115"/>
      <c r="E662" s="116"/>
      <c r="F662" s="37"/>
      <c r="G662" s="114"/>
      <c r="H662" s="27"/>
      <c r="I662" s="27"/>
      <c r="J662" s="27"/>
      <c r="K662" s="27"/>
      <c r="L662" s="27"/>
      <c r="M662" s="27"/>
      <c r="N662" s="27"/>
      <c r="O662" s="27"/>
      <c r="P662" s="27"/>
      <c r="Q662" s="27"/>
      <c r="R662" s="27"/>
      <c r="S662" s="27"/>
      <c r="T662" s="27"/>
      <c r="U662" s="27"/>
      <c r="V662" s="27"/>
      <c r="W662" s="27"/>
      <c r="X662" s="27"/>
      <c r="Y662" s="27"/>
      <c r="Z662" s="27"/>
    </row>
    <row r="663" ht="15.75" customHeight="1">
      <c r="A663" s="113"/>
      <c r="B663" s="113"/>
      <c r="C663" s="113"/>
      <c r="D663" s="115"/>
      <c r="E663" s="116"/>
      <c r="F663" s="37"/>
      <c r="G663" s="114"/>
      <c r="H663" s="27"/>
      <c r="I663" s="27"/>
      <c r="J663" s="27"/>
      <c r="K663" s="27"/>
      <c r="L663" s="27"/>
      <c r="M663" s="27"/>
      <c r="N663" s="27"/>
      <c r="O663" s="27"/>
      <c r="P663" s="27"/>
      <c r="Q663" s="27"/>
      <c r="R663" s="27"/>
      <c r="S663" s="27"/>
      <c r="T663" s="27"/>
      <c r="U663" s="27"/>
      <c r="V663" s="27"/>
      <c r="W663" s="27"/>
      <c r="X663" s="27"/>
      <c r="Y663" s="27"/>
      <c r="Z663" s="27"/>
    </row>
    <row r="664" ht="15.75" customHeight="1">
      <c r="A664" s="113"/>
      <c r="B664" s="113"/>
      <c r="C664" s="113"/>
      <c r="D664" s="115"/>
      <c r="E664" s="116"/>
      <c r="F664" s="37"/>
      <c r="G664" s="114"/>
      <c r="H664" s="27"/>
      <c r="I664" s="27"/>
      <c r="J664" s="27"/>
      <c r="K664" s="27"/>
      <c r="L664" s="27"/>
      <c r="M664" s="27"/>
      <c r="N664" s="27"/>
      <c r="O664" s="27"/>
      <c r="P664" s="27"/>
      <c r="Q664" s="27"/>
      <c r="R664" s="27"/>
      <c r="S664" s="27"/>
      <c r="T664" s="27"/>
      <c r="U664" s="27"/>
      <c r="V664" s="27"/>
      <c r="W664" s="27"/>
      <c r="X664" s="27"/>
      <c r="Y664" s="27"/>
      <c r="Z664" s="27"/>
    </row>
    <row r="665" ht="15.75" customHeight="1">
      <c r="A665" s="113"/>
      <c r="B665" s="113"/>
      <c r="C665" s="113"/>
      <c r="D665" s="115"/>
      <c r="E665" s="116"/>
      <c r="F665" s="37"/>
      <c r="G665" s="114"/>
      <c r="H665" s="27"/>
      <c r="I665" s="27"/>
      <c r="J665" s="27"/>
      <c r="K665" s="27"/>
      <c r="L665" s="27"/>
      <c r="M665" s="27"/>
      <c r="N665" s="27"/>
      <c r="O665" s="27"/>
      <c r="P665" s="27"/>
      <c r="Q665" s="27"/>
      <c r="R665" s="27"/>
      <c r="S665" s="27"/>
      <c r="T665" s="27"/>
      <c r="U665" s="27"/>
      <c r="V665" s="27"/>
      <c r="W665" s="27"/>
      <c r="X665" s="27"/>
      <c r="Y665" s="27"/>
      <c r="Z665" s="27"/>
    </row>
    <row r="666" ht="15.75" customHeight="1">
      <c r="A666" s="113"/>
      <c r="B666" s="113"/>
      <c r="C666" s="113"/>
      <c r="D666" s="115"/>
      <c r="E666" s="116"/>
      <c r="F666" s="37"/>
      <c r="G666" s="114"/>
      <c r="H666" s="27"/>
      <c r="I666" s="27"/>
      <c r="J666" s="27"/>
      <c r="K666" s="27"/>
      <c r="L666" s="27"/>
      <c r="M666" s="27"/>
      <c r="N666" s="27"/>
      <c r="O666" s="27"/>
      <c r="P666" s="27"/>
      <c r="Q666" s="27"/>
      <c r="R666" s="27"/>
      <c r="S666" s="27"/>
      <c r="T666" s="27"/>
      <c r="U666" s="27"/>
      <c r="V666" s="27"/>
      <c r="W666" s="27"/>
      <c r="X666" s="27"/>
      <c r="Y666" s="27"/>
      <c r="Z666" s="27"/>
    </row>
    <row r="667" ht="15.75" customHeight="1">
      <c r="A667" s="113"/>
      <c r="B667" s="113"/>
      <c r="C667" s="113"/>
      <c r="D667" s="115"/>
      <c r="E667" s="116"/>
      <c r="F667" s="37"/>
      <c r="G667" s="114"/>
      <c r="H667" s="27"/>
      <c r="I667" s="27"/>
      <c r="J667" s="27"/>
      <c r="K667" s="27"/>
      <c r="L667" s="27"/>
      <c r="M667" s="27"/>
      <c r="N667" s="27"/>
      <c r="O667" s="27"/>
      <c r="P667" s="27"/>
      <c r="Q667" s="27"/>
      <c r="R667" s="27"/>
      <c r="S667" s="27"/>
      <c r="T667" s="27"/>
      <c r="U667" s="27"/>
      <c r="V667" s="27"/>
      <c r="W667" s="27"/>
      <c r="X667" s="27"/>
      <c r="Y667" s="27"/>
      <c r="Z667" s="27"/>
    </row>
    <row r="668" ht="15.75" customHeight="1">
      <c r="A668" s="113"/>
      <c r="B668" s="113"/>
      <c r="C668" s="113"/>
      <c r="D668" s="115"/>
      <c r="E668" s="116"/>
      <c r="F668" s="37"/>
      <c r="G668" s="114"/>
      <c r="H668" s="27"/>
      <c r="I668" s="27"/>
      <c r="J668" s="27"/>
      <c r="K668" s="27"/>
      <c r="L668" s="27"/>
      <c r="M668" s="27"/>
      <c r="N668" s="27"/>
      <c r="O668" s="27"/>
      <c r="P668" s="27"/>
      <c r="Q668" s="27"/>
      <c r="R668" s="27"/>
      <c r="S668" s="27"/>
      <c r="T668" s="27"/>
      <c r="U668" s="27"/>
      <c r="V668" s="27"/>
      <c r="W668" s="27"/>
      <c r="X668" s="27"/>
      <c r="Y668" s="27"/>
      <c r="Z668" s="27"/>
    </row>
    <row r="669" ht="15.75" customHeight="1">
      <c r="A669" s="113"/>
      <c r="B669" s="113"/>
      <c r="C669" s="113"/>
      <c r="D669" s="115"/>
      <c r="E669" s="116"/>
      <c r="F669" s="37"/>
      <c r="G669" s="114"/>
      <c r="H669" s="27"/>
      <c r="I669" s="27"/>
      <c r="J669" s="27"/>
      <c r="K669" s="27"/>
      <c r="L669" s="27"/>
      <c r="M669" s="27"/>
      <c r="N669" s="27"/>
      <c r="O669" s="27"/>
      <c r="P669" s="27"/>
      <c r="Q669" s="27"/>
      <c r="R669" s="27"/>
      <c r="S669" s="27"/>
      <c r="T669" s="27"/>
      <c r="U669" s="27"/>
      <c r="V669" s="27"/>
      <c r="W669" s="27"/>
      <c r="X669" s="27"/>
      <c r="Y669" s="27"/>
      <c r="Z669" s="27"/>
    </row>
    <row r="670" ht="15.75" customHeight="1">
      <c r="A670" s="113"/>
      <c r="B670" s="113"/>
      <c r="C670" s="113"/>
      <c r="D670" s="115"/>
      <c r="E670" s="116"/>
      <c r="F670" s="37"/>
      <c r="G670" s="114"/>
      <c r="H670" s="27"/>
      <c r="I670" s="27"/>
      <c r="J670" s="27"/>
      <c r="K670" s="27"/>
      <c r="L670" s="27"/>
      <c r="M670" s="27"/>
      <c r="N670" s="27"/>
      <c r="O670" s="27"/>
      <c r="P670" s="27"/>
      <c r="Q670" s="27"/>
      <c r="R670" s="27"/>
      <c r="S670" s="27"/>
      <c r="T670" s="27"/>
      <c r="U670" s="27"/>
      <c r="V670" s="27"/>
      <c r="W670" s="27"/>
      <c r="X670" s="27"/>
      <c r="Y670" s="27"/>
      <c r="Z670" s="27"/>
    </row>
    <row r="671" ht="15.75" customHeight="1">
      <c r="A671" s="113"/>
      <c r="B671" s="113"/>
      <c r="C671" s="113"/>
      <c r="D671" s="115"/>
      <c r="E671" s="116"/>
      <c r="F671" s="37"/>
      <c r="G671" s="114"/>
      <c r="H671" s="27"/>
      <c r="I671" s="27"/>
      <c r="J671" s="27"/>
      <c r="K671" s="27"/>
      <c r="L671" s="27"/>
      <c r="M671" s="27"/>
      <c r="N671" s="27"/>
      <c r="O671" s="27"/>
      <c r="P671" s="27"/>
      <c r="Q671" s="27"/>
      <c r="R671" s="27"/>
      <c r="S671" s="27"/>
      <c r="T671" s="27"/>
      <c r="U671" s="27"/>
      <c r="V671" s="27"/>
      <c r="W671" s="27"/>
      <c r="X671" s="27"/>
      <c r="Y671" s="27"/>
      <c r="Z671" s="27"/>
    </row>
    <row r="672" ht="15.75" customHeight="1">
      <c r="A672" s="113"/>
      <c r="B672" s="113"/>
      <c r="C672" s="113"/>
      <c r="D672" s="115"/>
      <c r="E672" s="116"/>
      <c r="F672" s="37"/>
      <c r="G672" s="114"/>
      <c r="H672" s="27"/>
      <c r="I672" s="27"/>
      <c r="J672" s="27"/>
      <c r="K672" s="27"/>
      <c r="L672" s="27"/>
      <c r="M672" s="27"/>
      <c r="N672" s="27"/>
      <c r="O672" s="27"/>
      <c r="P672" s="27"/>
      <c r="Q672" s="27"/>
      <c r="R672" s="27"/>
      <c r="S672" s="27"/>
      <c r="T672" s="27"/>
      <c r="U672" s="27"/>
      <c r="V672" s="27"/>
      <c r="W672" s="27"/>
      <c r="X672" s="27"/>
      <c r="Y672" s="27"/>
      <c r="Z672" s="27"/>
    </row>
    <row r="673" ht="15.75" customHeight="1">
      <c r="A673" s="113"/>
      <c r="B673" s="113"/>
      <c r="C673" s="113"/>
      <c r="D673" s="115"/>
      <c r="E673" s="116"/>
      <c r="F673" s="37"/>
      <c r="G673" s="114"/>
      <c r="H673" s="27"/>
      <c r="I673" s="27"/>
      <c r="J673" s="27"/>
      <c r="K673" s="27"/>
      <c r="L673" s="27"/>
      <c r="M673" s="27"/>
      <c r="N673" s="27"/>
      <c r="O673" s="27"/>
      <c r="P673" s="27"/>
      <c r="Q673" s="27"/>
      <c r="R673" s="27"/>
      <c r="S673" s="27"/>
      <c r="T673" s="27"/>
      <c r="U673" s="27"/>
      <c r="V673" s="27"/>
      <c r="W673" s="27"/>
      <c r="X673" s="27"/>
      <c r="Y673" s="27"/>
      <c r="Z673" s="27"/>
    </row>
    <row r="674" ht="15.75" customHeight="1">
      <c r="A674" s="113"/>
      <c r="B674" s="113"/>
      <c r="C674" s="113"/>
      <c r="D674" s="115"/>
      <c r="E674" s="116"/>
      <c r="F674" s="37"/>
      <c r="G674" s="114"/>
      <c r="H674" s="27"/>
      <c r="I674" s="27"/>
      <c r="J674" s="27"/>
      <c r="K674" s="27"/>
      <c r="L674" s="27"/>
      <c r="M674" s="27"/>
      <c r="N674" s="27"/>
      <c r="O674" s="27"/>
      <c r="P674" s="27"/>
      <c r="Q674" s="27"/>
      <c r="R674" s="27"/>
      <c r="S674" s="27"/>
      <c r="T674" s="27"/>
      <c r="U674" s="27"/>
      <c r="V674" s="27"/>
      <c r="W674" s="27"/>
      <c r="X674" s="27"/>
      <c r="Y674" s="27"/>
      <c r="Z674" s="27"/>
    </row>
    <row r="675" ht="15.75" customHeight="1">
      <c r="A675" s="113"/>
      <c r="B675" s="113"/>
      <c r="C675" s="113"/>
      <c r="D675" s="115"/>
      <c r="E675" s="116"/>
      <c r="F675" s="37"/>
      <c r="G675" s="114"/>
      <c r="H675" s="27"/>
      <c r="I675" s="27"/>
      <c r="J675" s="27"/>
      <c r="K675" s="27"/>
      <c r="L675" s="27"/>
      <c r="M675" s="27"/>
      <c r="N675" s="27"/>
      <c r="O675" s="27"/>
      <c r="P675" s="27"/>
      <c r="Q675" s="27"/>
      <c r="R675" s="27"/>
      <c r="S675" s="27"/>
      <c r="T675" s="27"/>
      <c r="U675" s="27"/>
      <c r="V675" s="27"/>
      <c r="W675" s="27"/>
      <c r="X675" s="27"/>
      <c r="Y675" s="27"/>
      <c r="Z675" s="27"/>
    </row>
    <row r="676" ht="15.75" customHeight="1">
      <c r="A676" s="113"/>
      <c r="B676" s="113"/>
      <c r="C676" s="113"/>
      <c r="D676" s="115"/>
      <c r="E676" s="116"/>
      <c r="F676" s="37"/>
      <c r="G676" s="114"/>
      <c r="H676" s="27"/>
      <c r="I676" s="27"/>
      <c r="J676" s="27"/>
      <c r="K676" s="27"/>
      <c r="L676" s="27"/>
      <c r="M676" s="27"/>
      <c r="N676" s="27"/>
      <c r="O676" s="27"/>
      <c r="P676" s="27"/>
      <c r="Q676" s="27"/>
      <c r="R676" s="27"/>
      <c r="S676" s="27"/>
      <c r="T676" s="27"/>
      <c r="U676" s="27"/>
      <c r="V676" s="27"/>
      <c r="W676" s="27"/>
      <c r="X676" s="27"/>
      <c r="Y676" s="27"/>
      <c r="Z676" s="27"/>
    </row>
    <row r="677" ht="15.75" customHeight="1">
      <c r="A677" s="113"/>
      <c r="B677" s="113"/>
      <c r="C677" s="113"/>
      <c r="D677" s="115"/>
      <c r="E677" s="116"/>
      <c r="F677" s="37"/>
      <c r="G677" s="114"/>
      <c r="H677" s="27"/>
      <c r="I677" s="27"/>
      <c r="J677" s="27"/>
      <c r="K677" s="27"/>
      <c r="L677" s="27"/>
      <c r="M677" s="27"/>
      <c r="N677" s="27"/>
      <c r="O677" s="27"/>
      <c r="P677" s="27"/>
      <c r="Q677" s="27"/>
      <c r="R677" s="27"/>
      <c r="S677" s="27"/>
      <c r="T677" s="27"/>
      <c r="U677" s="27"/>
      <c r="V677" s="27"/>
      <c r="W677" s="27"/>
      <c r="X677" s="27"/>
      <c r="Y677" s="27"/>
      <c r="Z677" s="27"/>
    </row>
    <row r="678" ht="15.75" customHeight="1">
      <c r="A678" s="113"/>
      <c r="B678" s="113"/>
      <c r="C678" s="113"/>
      <c r="D678" s="115"/>
      <c r="E678" s="116"/>
      <c r="F678" s="37"/>
      <c r="G678" s="114"/>
      <c r="H678" s="27"/>
      <c r="I678" s="27"/>
      <c r="J678" s="27"/>
      <c r="K678" s="27"/>
      <c r="L678" s="27"/>
      <c r="M678" s="27"/>
      <c r="N678" s="27"/>
      <c r="O678" s="27"/>
      <c r="P678" s="27"/>
      <c r="Q678" s="27"/>
      <c r="R678" s="27"/>
      <c r="S678" s="27"/>
      <c r="T678" s="27"/>
      <c r="U678" s="27"/>
      <c r="V678" s="27"/>
      <c r="W678" s="27"/>
      <c r="X678" s="27"/>
      <c r="Y678" s="27"/>
      <c r="Z678" s="27"/>
    </row>
    <row r="679" ht="15.75" customHeight="1">
      <c r="A679" s="113"/>
      <c r="B679" s="113"/>
      <c r="C679" s="113"/>
      <c r="D679" s="115"/>
      <c r="E679" s="116"/>
      <c r="F679" s="37"/>
      <c r="G679" s="114"/>
      <c r="H679" s="27"/>
      <c r="I679" s="27"/>
      <c r="J679" s="27"/>
      <c r="K679" s="27"/>
      <c r="L679" s="27"/>
      <c r="M679" s="27"/>
      <c r="N679" s="27"/>
      <c r="O679" s="27"/>
      <c r="P679" s="27"/>
      <c r="Q679" s="27"/>
      <c r="R679" s="27"/>
      <c r="S679" s="27"/>
      <c r="T679" s="27"/>
      <c r="U679" s="27"/>
      <c r="V679" s="27"/>
      <c r="W679" s="27"/>
      <c r="X679" s="27"/>
      <c r="Y679" s="27"/>
      <c r="Z679" s="27"/>
    </row>
    <row r="680" ht="15.75" customHeight="1">
      <c r="A680" s="113"/>
      <c r="B680" s="113"/>
      <c r="C680" s="113"/>
      <c r="D680" s="115"/>
      <c r="E680" s="116"/>
      <c r="F680" s="37"/>
      <c r="G680" s="114"/>
      <c r="H680" s="27"/>
      <c r="I680" s="27"/>
      <c r="J680" s="27"/>
      <c r="K680" s="27"/>
      <c r="L680" s="27"/>
      <c r="M680" s="27"/>
      <c r="N680" s="27"/>
      <c r="O680" s="27"/>
      <c r="P680" s="27"/>
      <c r="Q680" s="27"/>
      <c r="R680" s="27"/>
      <c r="S680" s="27"/>
      <c r="T680" s="27"/>
      <c r="U680" s="27"/>
      <c r="V680" s="27"/>
      <c r="W680" s="27"/>
      <c r="X680" s="27"/>
      <c r="Y680" s="27"/>
      <c r="Z680" s="27"/>
    </row>
    <row r="681" ht="15.75" customHeight="1">
      <c r="A681" s="113"/>
      <c r="B681" s="113"/>
      <c r="C681" s="113"/>
      <c r="D681" s="115"/>
      <c r="E681" s="116"/>
      <c r="F681" s="37"/>
      <c r="G681" s="114"/>
      <c r="H681" s="27"/>
      <c r="I681" s="27"/>
      <c r="J681" s="27"/>
      <c r="K681" s="27"/>
      <c r="L681" s="27"/>
      <c r="M681" s="27"/>
      <c r="N681" s="27"/>
      <c r="O681" s="27"/>
      <c r="P681" s="27"/>
      <c r="Q681" s="27"/>
      <c r="R681" s="27"/>
      <c r="S681" s="27"/>
      <c r="T681" s="27"/>
      <c r="U681" s="27"/>
      <c r="V681" s="27"/>
      <c r="W681" s="27"/>
      <c r="X681" s="27"/>
      <c r="Y681" s="27"/>
      <c r="Z681" s="27"/>
    </row>
    <row r="682" ht="15.75" customHeight="1">
      <c r="A682" s="113"/>
      <c r="B682" s="113"/>
      <c r="C682" s="113"/>
      <c r="D682" s="115"/>
      <c r="E682" s="116"/>
      <c r="F682" s="37"/>
      <c r="G682" s="114"/>
      <c r="H682" s="27"/>
      <c r="I682" s="27"/>
      <c r="J682" s="27"/>
      <c r="K682" s="27"/>
      <c r="L682" s="27"/>
      <c r="M682" s="27"/>
      <c r="N682" s="27"/>
      <c r="O682" s="27"/>
      <c r="P682" s="27"/>
      <c r="Q682" s="27"/>
      <c r="R682" s="27"/>
      <c r="S682" s="27"/>
      <c r="T682" s="27"/>
      <c r="U682" s="27"/>
      <c r="V682" s="27"/>
      <c r="W682" s="27"/>
      <c r="X682" s="27"/>
      <c r="Y682" s="27"/>
      <c r="Z682" s="27"/>
    </row>
    <row r="683" ht="15.75" customHeight="1">
      <c r="A683" s="113"/>
      <c r="B683" s="113"/>
      <c r="C683" s="113"/>
      <c r="D683" s="115"/>
      <c r="E683" s="116"/>
      <c r="F683" s="37"/>
      <c r="G683" s="114"/>
      <c r="H683" s="27"/>
      <c r="I683" s="27"/>
      <c r="J683" s="27"/>
      <c r="K683" s="27"/>
      <c r="L683" s="27"/>
      <c r="M683" s="27"/>
      <c r="N683" s="27"/>
      <c r="O683" s="27"/>
      <c r="P683" s="27"/>
      <c r="Q683" s="27"/>
      <c r="R683" s="27"/>
      <c r="S683" s="27"/>
      <c r="T683" s="27"/>
      <c r="U683" s="27"/>
      <c r="V683" s="27"/>
      <c r="W683" s="27"/>
      <c r="X683" s="27"/>
      <c r="Y683" s="27"/>
      <c r="Z683" s="27"/>
    </row>
    <row r="684" ht="15.75" customHeight="1">
      <c r="A684" s="113"/>
      <c r="B684" s="113"/>
      <c r="C684" s="113"/>
      <c r="D684" s="115"/>
      <c r="E684" s="116"/>
      <c r="F684" s="37"/>
      <c r="G684" s="114"/>
      <c r="H684" s="27"/>
      <c r="I684" s="27"/>
      <c r="J684" s="27"/>
      <c r="K684" s="27"/>
      <c r="L684" s="27"/>
      <c r="M684" s="27"/>
      <c r="N684" s="27"/>
      <c r="O684" s="27"/>
      <c r="P684" s="27"/>
      <c r="Q684" s="27"/>
      <c r="R684" s="27"/>
      <c r="S684" s="27"/>
      <c r="T684" s="27"/>
      <c r="U684" s="27"/>
      <c r="V684" s="27"/>
      <c r="W684" s="27"/>
      <c r="X684" s="27"/>
      <c r="Y684" s="27"/>
      <c r="Z684" s="27"/>
    </row>
    <row r="685" ht="15.75" customHeight="1">
      <c r="A685" s="113"/>
      <c r="B685" s="113"/>
      <c r="C685" s="113"/>
      <c r="D685" s="115"/>
      <c r="E685" s="116"/>
      <c r="F685" s="37"/>
      <c r="G685" s="114"/>
      <c r="H685" s="27"/>
      <c r="I685" s="27"/>
      <c r="J685" s="27"/>
      <c r="K685" s="27"/>
      <c r="L685" s="27"/>
      <c r="M685" s="27"/>
      <c r="N685" s="27"/>
      <c r="O685" s="27"/>
      <c r="P685" s="27"/>
      <c r="Q685" s="27"/>
      <c r="R685" s="27"/>
      <c r="S685" s="27"/>
      <c r="T685" s="27"/>
      <c r="U685" s="27"/>
      <c r="V685" s="27"/>
      <c r="W685" s="27"/>
      <c r="X685" s="27"/>
      <c r="Y685" s="27"/>
      <c r="Z685" s="27"/>
    </row>
    <row r="686" ht="15.75" customHeight="1">
      <c r="A686" s="113"/>
      <c r="B686" s="113"/>
      <c r="C686" s="113"/>
      <c r="D686" s="115"/>
      <c r="E686" s="116"/>
      <c r="F686" s="37"/>
      <c r="G686" s="114"/>
      <c r="H686" s="27"/>
      <c r="I686" s="27"/>
      <c r="J686" s="27"/>
      <c r="K686" s="27"/>
      <c r="L686" s="27"/>
      <c r="M686" s="27"/>
      <c r="N686" s="27"/>
      <c r="O686" s="27"/>
      <c r="P686" s="27"/>
      <c r="Q686" s="27"/>
      <c r="R686" s="27"/>
      <c r="S686" s="27"/>
      <c r="T686" s="27"/>
      <c r="U686" s="27"/>
      <c r="V686" s="27"/>
      <c r="W686" s="27"/>
      <c r="X686" s="27"/>
      <c r="Y686" s="27"/>
      <c r="Z686" s="27"/>
    </row>
    <row r="687" ht="15.75" customHeight="1">
      <c r="A687" s="113"/>
      <c r="B687" s="113"/>
      <c r="C687" s="113"/>
      <c r="D687" s="115"/>
      <c r="E687" s="116"/>
      <c r="F687" s="37"/>
      <c r="G687" s="114"/>
      <c r="H687" s="27"/>
      <c r="I687" s="27"/>
      <c r="J687" s="27"/>
      <c r="K687" s="27"/>
      <c r="L687" s="27"/>
      <c r="M687" s="27"/>
      <c r="N687" s="27"/>
      <c r="O687" s="27"/>
      <c r="P687" s="27"/>
      <c r="Q687" s="27"/>
      <c r="R687" s="27"/>
      <c r="S687" s="27"/>
      <c r="T687" s="27"/>
      <c r="U687" s="27"/>
      <c r="V687" s="27"/>
      <c r="W687" s="27"/>
      <c r="X687" s="27"/>
      <c r="Y687" s="27"/>
      <c r="Z687" s="27"/>
    </row>
    <row r="688" ht="15.75" customHeight="1">
      <c r="A688" s="113"/>
      <c r="B688" s="113"/>
      <c r="C688" s="113"/>
      <c r="D688" s="115"/>
      <c r="E688" s="116"/>
      <c r="F688" s="37"/>
      <c r="G688" s="114"/>
      <c r="H688" s="27"/>
      <c r="I688" s="27"/>
      <c r="J688" s="27"/>
      <c r="K688" s="27"/>
      <c r="L688" s="27"/>
      <c r="M688" s="27"/>
      <c r="N688" s="27"/>
      <c r="O688" s="27"/>
      <c r="P688" s="27"/>
      <c r="Q688" s="27"/>
      <c r="R688" s="27"/>
      <c r="S688" s="27"/>
      <c r="T688" s="27"/>
      <c r="U688" s="27"/>
      <c r="V688" s="27"/>
      <c r="W688" s="27"/>
      <c r="X688" s="27"/>
      <c r="Y688" s="27"/>
      <c r="Z688" s="27"/>
    </row>
    <row r="689" ht="15.75" customHeight="1">
      <c r="A689" s="113"/>
      <c r="B689" s="113"/>
      <c r="C689" s="113"/>
      <c r="D689" s="115"/>
      <c r="E689" s="116"/>
      <c r="F689" s="37"/>
      <c r="G689" s="114"/>
      <c r="H689" s="27"/>
      <c r="I689" s="27"/>
      <c r="J689" s="27"/>
      <c r="K689" s="27"/>
      <c r="L689" s="27"/>
      <c r="M689" s="27"/>
      <c r="N689" s="27"/>
      <c r="O689" s="27"/>
      <c r="P689" s="27"/>
      <c r="Q689" s="27"/>
      <c r="R689" s="27"/>
      <c r="S689" s="27"/>
      <c r="T689" s="27"/>
      <c r="U689" s="27"/>
      <c r="V689" s="27"/>
      <c r="W689" s="27"/>
      <c r="X689" s="27"/>
      <c r="Y689" s="27"/>
      <c r="Z689" s="27"/>
    </row>
    <row r="690" ht="15.75" customHeight="1">
      <c r="A690" s="113"/>
      <c r="B690" s="113"/>
      <c r="C690" s="113"/>
      <c r="D690" s="115"/>
      <c r="E690" s="116"/>
      <c r="F690" s="37"/>
      <c r="G690" s="114"/>
      <c r="H690" s="27"/>
      <c r="I690" s="27"/>
      <c r="J690" s="27"/>
      <c r="K690" s="27"/>
      <c r="L690" s="27"/>
      <c r="M690" s="27"/>
      <c r="N690" s="27"/>
      <c r="O690" s="27"/>
      <c r="P690" s="27"/>
      <c r="Q690" s="27"/>
      <c r="R690" s="27"/>
      <c r="S690" s="27"/>
      <c r="T690" s="27"/>
      <c r="U690" s="27"/>
      <c r="V690" s="27"/>
      <c r="W690" s="27"/>
      <c r="X690" s="27"/>
      <c r="Y690" s="27"/>
      <c r="Z690" s="27"/>
    </row>
    <row r="691" ht="15.75" customHeight="1">
      <c r="A691" s="113"/>
      <c r="B691" s="113"/>
      <c r="C691" s="113"/>
      <c r="D691" s="115"/>
      <c r="E691" s="116"/>
      <c r="F691" s="37"/>
      <c r="G691" s="114"/>
      <c r="H691" s="27"/>
      <c r="I691" s="27"/>
      <c r="J691" s="27"/>
      <c r="K691" s="27"/>
      <c r="L691" s="27"/>
      <c r="M691" s="27"/>
      <c r="N691" s="27"/>
      <c r="O691" s="27"/>
      <c r="P691" s="27"/>
      <c r="Q691" s="27"/>
      <c r="R691" s="27"/>
      <c r="S691" s="27"/>
      <c r="T691" s="27"/>
      <c r="U691" s="27"/>
      <c r="V691" s="27"/>
      <c r="W691" s="27"/>
      <c r="X691" s="27"/>
      <c r="Y691" s="27"/>
      <c r="Z691" s="27"/>
    </row>
    <row r="692" ht="15.75" customHeight="1">
      <c r="A692" s="113"/>
      <c r="B692" s="113"/>
      <c r="C692" s="113"/>
      <c r="D692" s="115"/>
      <c r="E692" s="116"/>
      <c r="F692" s="37"/>
      <c r="G692" s="114"/>
      <c r="H692" s="27"/>
      <c r="I692" s="27"/>
      <c r="J692" s="27"/>
      <c r="K692" s="27"/>
      <c r="L692" s="27"/>
      <c r="M692" s="27"/>
      <c r="N692" s="27"/>
      <c r="O692" s="27"/>
      <c r="P692" s="27"/>
      <c r="Q692" s="27"/>
      <c r="R692" s="27"/>
      <c r="S692" s="27"/>
      <c r="T692" s="27"/>
      <c r="U692" s="27"/>
      <c r="V692" s="27"/>
      <c r="W692" s="27"/>
      <c r="X692" s="27"/>
      <c r="Y692" s="27"/>
      <c r="Z692" s="27"/>
    </row>
    <row r="693" ht="15.75" customHeight="1">
      <c r="A693" s="113"/>
      <c r="B693" s="113"/>
      <c r="C693" s="113"/>
      <c r="D693" s="115"/>
      <c r="E693" s="116"/>
      <c r="F693" s="37"/>
      <c r="G693" s="114"/>
      <c r="H693" s="27"/>
      <c r="I693" s="27"/>
      <c r="J693" s="27"/>
      <c r="K693" s="27"/>
      <c r="L693" s="27"/>
      <c r="M693" s="27"/>
      <c r="N693" s="27"/>
      <c r="O693" s="27"/>
      <c r="P693" s="27"/>
      <c r="Q693" s="27"/>
      <c r="R693" s="27"/>
      <c r="S693" s="27"/>
      <c r="T693" s="27"/>
      <c r="U693" s="27"/>
      <c r="V693" s="27"/>
      <c r="W693" s="27"/>
      <c r="X693" s="27"/>
      <c r="Y693" s="27"/>
      <c r="Z693" s="27"/>
    </row>
    <row r="694" ht="15.75" customHeight="1">
      <c r="A694" s="113"/>
      <c r="B694" s="113"/>
      <c r="C694" s="113"/>
      <c r="D694" s="115"/>
      <c r="E694" s="116"/>
      <c r="F694" s="37"/>
      <c r="G694" s="114"/>
      <c r="H694" s="27"/>
      <c r="I694" s="27"/>
      <c r="J694" s="27"/>
      <c r="K694" s="27"/>
      <c r="L694" s="27"/>
      <c r="M694" s="27"/>
      <c r="N694" s="27"/>
      <c r="O694" s="27"/>
      <c r="P694" s="27"/>
      <c r="Q694" s="27"/>
      <c r="R694" s="27"/>
      <c r="S694" s="27"/>
      <c r="T694" s="27"/>
      <c r="U694" s="27"/>
      <c r="V694" s="27"/>
      <c r="W694" s="27"/>
      <c r="X694" s="27"/>
      <c r="Y694" s="27"/>
      <c r="Z694" s="27"/>
    </row>
    <row r="695" ht="15.75" customHeight="1">
      <c r="A695" s="113"/>
      <c r="B695" s="113"/>
      <c r="C695" s="113"/>
      <c r="D695" s="115"/>
      <c r="E695" s="116"/>
      <c r="F695" s="37"/>
      <c r="G695" s="114"/>
      <c r="H695" s="27"/>
      <c r="I695" s="27"/>
      <c r="J695" s="27"/>
      <c r="K695" s="27"/>
      <c r="L695" s="27"/>
      <c r="M695" s="27"/>
      <c r="N695" s="27"/>
      <c r="O695" s="27"/>
      <c r="P695" s="27"/>
      <c r="Q695" s="27"/>
      <c r="R695" s="27"/>
      <c r="S695" s="27"/>
      <c r="T695" s="27"/>
      <c r="U695" s="27"/>
      <c r="V695" s="27"/>
      <c r="W695" s="27"/>
      <c r="X695" s="27"/>
      <c r="Y695" s="27"/>
      <c r="Z695" s="27"/>
    </row>
    <row r="696" ht="15.75" customHeight="1">
      <c r="A696" s="113"/>
      <c r="B696" s="113"/>
      <c r="C696" s="113"/>
      <c r="D696" s="115"/>
      <c r="E696" s="116"/>
      <c r="F696" s="37"/>
      <c r="G696" s="114"/>
      <c r="H696" s="27"/>
      <c r="I696" s="27"/>
      <c r="J696" s="27"/>
      <c r="K696" s="27"/>
      <c r="L696" s="27"/>
      <c r="M696" s="27"/>
      <c r="N696" s="27"/>
      <c r="O696" s="27"/>
      <c r="P696" s="27"/>
      <c r="Q696" s="27"/>
      <c r="R696" s="27"/>
      <c r="S696" s="27"/>
      <c r="T696" s="27"/>
      <c r="U696" s="27"/>
      <c r="V696" s="27"/>
      <c r="W696" s="27"/>
      <c r="X696" s="27"/>
      <c r="Y696" s="27"/>
      <c r="Z696" s="27"/>
    </row>
    <row r="697" ht="15.75" customHeight="1">
      <c r="A697" s="113"/>
      <c r="B697" s="113"/>
      <c r="C697" s="113"/>
      <c r="D697" s="115"/>
      <c r="E697" s="116"/>
      <c r="F697" s="37"/>
      <c r="G697" s="114"/>
      <c r="H697" s="27"/>
      <c r="I697" s="27"/>
      <c r="J697" s="27"/>
      <c r="K697" s="27"/>
      <c r="L697" s="27"/>
      <c r="M697" s="27"/>
      <c r="N697" s="27"/>
      <c r="O697" s="27"/>
      <c r="P697" s="27"/>
      <c r="Q697" s="27"/>
      <c r="R697" s="27"/>
      <c r="S697" s="27"/>
      <c r="T697" s="27"/>
      <c r="U697" s="27"/>
      <c r="V697" s="27"/>
      <c r="W697" s="27"/>
      <c r="X697" s="27"/>
      <c r="Y697" s="27"/>
      <c r="Z697" s="27"/>
    </row>
    <row r="698" ht="15.75" customHeight="1">
      <c r="A698" s="113"/>
      <c r="B698" s="113"/>
      <c r="C698" s="113"/>
      <c r="D698" s="115"/>
      <c r="E698" s="116"/>
      <c r="F698" s="37"/>
      <c r="G698" s="114"/>
      <c r="H698" s="27"/>
      <c r="I698" s="27"/>
      <c r="J698" s="27"/>
      <c r="K698" s="27"/>
      <c r="L698" s="27"/>
      <c r="M698" s="27"/>
      <c r="N698" s="27"/>
      <c r="O698" s="27"/>
      <c r="P698" s="27"/>
      <c r="Q698" s="27"/>
      <c r="R698" s="27"/>
      <c r="S698" s="27"/>
      <c r="T698" s="27"/>
      <c r="U698" s="27"/>
      <c r="V698" s="27"/>
      <c r="W698" s="27"/>
      <c r="X698" s="27"/>
      <c r="Y698" s="27"/>
      <c r="Z698" s="27"/>
    </row>
    <row r="699" ht="15.75" customHeight="1">
      <c r="A699" s="113"/>
      <c r="B699" s="113"/>
      <c r="C699" s="113"/>
      <c r="D699" s="115"/>
      <c r="E699" s="116"/>
      <c r="F699" s="37"/>
      <c r="G699" s="114"/>
      <c r="H699" s="27"/>
      <c r="I699" s="27"/>
      <c r="J699" s="27"/>
      <c r="K699" s="27"/>
      <c r="L699" s="27"/>
      <c r="M699" s="27"/>
      <c r="N699" s="27"/>
      <c r="O699" s="27"/>
      <c r="P699" s="27"/>
      <c r="Q699" s="27"/>
      <c r="R699" s="27"/>
      <c r="S699" s="27"/>
      <c r="T699" s="27"/>
      <c r="U699" s="27"/>
      <c r="V699" s="27"/>
      <c r="W699" s="27"/>
      <c r="X699" s="27"/>
      <c r="Y699" s="27"/>
      <c r="Z699" s="27"/>
    </row>
    <row r="700" ht="15.75" customHeight="1">
      <c r="A700" s="113"/>
      <c r="B700" s="113"/>
      <c r="C700" s="113"/>
      <c r="D700" s="115"/>
      <c r="E700" s="116"/>
      <c r="F700" s="37"/>
      <c r="G700" s="114"/>
      <c r="H700" s="27"/>
      <c r="I700" s="27"/>
      <c r="J700" s="27"/>
      <c r="K700" s="27"/>
      <c r="L700" s="27"/>
      <c r="M700" s="27"/>
      <c r="N700" s="27"/>
      <c r="O700" s="27"/>
      <c r="P700" s="27"/>
      <c r="Q700" s="27"/>
      <c r="R700" s="27"/>
      <c r="S700" s="27"/>
      <c r="T700" s="27"/>
      <c r="U700" s="27"/>
      <c r="V700" s="27"/>
      <c r="W700" s="27"/>
      <c r="X700" s="27"/>
      <c r="Y700" s="27"/>
      <c r="Z700" s="27"/>
    </row>
    <row r="701" ht="15.75" customHeight="1">
      <c r="A701" s="113"/>
      <c r="B701" s="113"/>
      <c r="C701" s="113"/>
      <c r="D701" s="115"/>
      <c r="E701" s="116"/>
      <c r="F701" s="37"/>
      <c r="G701" s="114"/>
      <c r="H701" s="27"/>
      <c r="I701" s="27"/>
      <c r="J701" s="27"/>
      <c r="K701" s="27"/>
      <c r="L701" s="27"/>
      <c r="M701" s="27"/>
      <c r="N701" s="27"/>
      <c r="O701" s="27"/>
      <c r="P701" s="27"/>
      <c r="Q701" s="27"/>
      <c r="R701" s="27"/>
      <c r="S701" s="27"/>
      <c r="T701" s="27"/>
      <c r="U701" s="27"/>
      <c r="V701" s="27"/>
      <c r="W701" s="27"/>
      <c r="X701" s="27"/>
      <c r="Y701" s="27"/>
      <c r="Z701" s="27"/>
    </row>
    <row r="702" ht="15.75" customHeight="1">
      <c r="A702" s="113"/>
      <c r="B702" s="113"/>
      <c r="C702" s="113"/>
      <c r="D702" s="115"/>
      <c r="E702" s="116"/>
      <c r="F702" s="37"/>
      <c r="G702" s="114"/>
      <c r="H702" s="27"/>
      <c r="I702" s="27"/>
      <c r="J702" s="27"/>
      <c r="K702" s="27"/>
      <c r="L702" s="27"/>
      <c r="M702" s="27"/>
      <c r="N702" s="27"/>
      <c r="O702" s="27"/>
      <c r="P702" s="27"/>
      <c r="Q702" s="27"/>
      <c r="R702" s="27"/>
      <c r="S702" s="27"/>
      <c r="T702" s="27"/>
      <c r="U702" s="27"/>
      <c r="V702" s="27"/>
      <c r="W702" s="27"/>
      <c r="X702" s="27"/>
      <c r="Y702" s="27"/>
      <c r="Z702" s="27"/>
    </row>
    <row r="703" ht="15.75" customHeight="1">
      <c r="A703" s="113"/>
      <c r="B703" s="113"/>
      <c r="C703" s="113"/>
      <c r="D703" s="115"/>
      <c r="E703" s="116"/>
      <c r="F703" s="37"/>
      <c r="G703" s="114"/>
      <c r="H703" s="27"/>
      <c r="I703" s="27"/>
      <c r="J703" s="27"/>
      <c r="K703" s="27"/>
      <c r="L703" s="27"/>
      <c r="M703" s="27"/>
      <c r="N703" s="27"/>
      <c r="O703" s="27"/>
      <c r="P703" s="27"/>
      <c r="Q703" s="27"/>
      <c r="R703" s="27"/>
      <c r="S703" s="27"/>
      <c r="T703" s="27"/>
      <c r="U703" s="27"/>
      <c r="V703" s="27"/>
      <c r="W703" s="27"/>
      <c r="X703" s="27"/>
      <c r="Y703" s="27"/>
      <c r="Z703" s="27"/>
    </row>
    <row r="704" ht="15.75" customHeight="1">
      <c r="A704" s="113"/>
      <c r="B704" s="113"/>
      <c r="C704" s="113"/>
      <c r="D704" s="115"/>
      <c r="E704" s="116"/>
      <c r="F704" s="37"/>
      <c r="G704" s="114"/>
      <c r="H704" s="27"/>
      <c r="I704" s="27"/>
      <c r="J704" s="27"/>
      <c r="K704" s="27"/>
      <c r="L704" s="27"/>
      <c r="M704" s="27"/>
      <c r="N704" s="27"/>
      <c r="O704" s="27"/>
      <c r="P704" s="27"/>
      <c r="Q704" s="27"/>
      <c r="R704" s="27"/>
      <c r="S704" s="27"/>
      <c r="T704" s="27"/>
      <c r="U704" s="27"/>
      <c r="V704" s="27"/>
      <c r="W704" s="27"/>
      <c r="X704" s="27"/>
      <c r="Y704" s="27"/>
      <c r="Z704" s="27"/>
    </row>
    <row r="705" ht="15.75" customHeight="1">
      <c r="A705" s="113"/>
      <c r="B705" s="113"/>
      <c r="C705" s="113"/>
      <c r="D705" s="115"/>
      <c r="E705" s="116"/>
      <c r="F705" s="37"/>
      <c r="G705" s="114"/>
      <c r="H705" s="27"/>
      <c r="I705" s="27"/>
      <c r="J705" s="27"/>
      <c r="K705" s="27"/>
      <c r="L705" s="27"/>
      <c r="M705" s="27"/>
      <c r="N705" s="27"/>
      <c r="O705" s="27"/>
      <c r="P705" s="27"/>
      <c r="Q705" s="27"/>
      <c r="R705" s="27"/>
      <c r="S705" s="27"/>
      <c r="T705" s="27"/>
      <c r="U705" s="27"/>
      <c r="V705" s="27"/>
      <c r="W705" s="27"/>
      <c r="X705" s="27"/>
      <c r="Y705" s="27"/>
      <c r="Z705" s="27"/>
    </row>
    <row r="706" ht="15.75" customHeight="1">
      <c r="A706" s="113"/>
      <c r="B706" s="113"/>
      <c r="C706" s="113"/>
      <c r="D706" s="115"/>
      <c r="E706" s="116"/>
      <c r="F706" s="37"/>
      <c r="G706" s="114"/>
      <c r="H706" s="27"/>
      <c r="I706" s="27"/>
      <c r="J706" s="27"/>
      <c r="K706" s="27"/>
      <c r="L706" s="27"/>
      <c r="M706" s="27"/>
      <c r="N706" s="27"/>
      <c r="O706" s="27"/>
      <c r="P706" s="27"/>
      <c r="Q706" s="27"/>
      <c r="R706" s="27"/>
      <c r="S706" s="27"/>
      <c r="T706" s="27"/>
      <c r="U706" s="27"/>
      <c r="V706" s="27"/>
      <c r="W706" s="27"/>
      <c r="X706" s="27"/>
      <c r="Y706" s="27"/>
      <c r="Z706" s="27"/>
    </row>
    <row r="707" ht="15.75" customHeight="1">
      <c r="A707" s="113"/>
      <c r="B707" s="113"/>
      <c r="C707" s="113"/>
      <c r="D707" s="115"/>
      <c r="E707" s="116"/>
      <c r="F707" s="37"/>
      <c r="G707" s="114"/>
      <c r="H707" s="27"/>
      <c r="I707" s="27"/>
      <c r="J707" s="27"/>
      <c r="K707" s="27"/>
      <c r="L707" s="27"/>
      <c r="M707" s="27"/>
      <c r="N707" s="27"/>
      <c r="O707" s="27"/>
      <c r="P707" s="27"/>
      <c r="Q707" s="27"/>
      <c r="R707" s="27"/>
      <c r="S707" s="27"/>
      <c r="T707" s="27"/>
      <c r="U707" s="27"/>
      <c r="V707" s="27"/>
      <c r="W707" s="27"/>
      <c r="X707" s="27"/>
      <c r="Y707" s="27"/>
      <c r="Z707" s="27"/>
    </row>
    <row r="708" ht="15.75" customHeight="1">
      <c r="A708" s="113"/>
      <c r="B708" s="113"/>
      <c r="C708" s="113"/>
      <c r="D708" s="115"/>
      <c r="E708" s="116"/>
      <c r="F708" s="37"/>
      <c r="G708" s="114"/>
      <c r="H708" s="27"/>
      <c r="I708" s="27"/>
      <c r="J708" s="27"/>
      <c r="K708" s="27"/>
      <c r="L708" s="27"/>
      <c r="M708" s="27"/>
      <c r="N708" s="27"/>
      <c r="O708" s="27"/>
      <c r="P708" s="27"/>
      <c r="Q708" s="27"/>
      <c r="R708" s="27"/>
      <c r="S708" s="27"/>
      <c r="T708" s="27"/>
      <c r="U708" s="27"/>
      <c r="V708" s="27"/>
      <c r="W708" s="27"/>
      <c r="X708" s="27"/>
      <c r="Y708" s="27"/>
      <c r="Z708" s="27"/>
    </row>
    <row r="709" ht="15.75" customHeight="1">
      <c r="A709" s="113"/>
      <c r="B709" s="113"/>
      <c r="C709" s="113"/>
      <c r="D709" s="115"/>
      <c r="E709" s="116"/>
      <c r="F709" s="37"/>
      <c r="G709" s="114"/>
      <c r="H709" s="27"/>
      <c r="I709" s="27"/>
      <c r="J709" s="27"/>
      <c r="K709" s="27"/>
      <c r="L709" s="27"/>
      <c r="M709" s="27"/>
      <c r="N709" s="27"/>
      <c r="O709" s="27"/>
      <c r="P709" s="27"/>
      <c r="Q709" s="27"/>
      <c r="R709" s="27"/>
      <c r="S709" s="27"/>
      <c r="T709" s="27"/>
      <c r="U709" s="27"/>
      <c r="V709" s="27"/>
      <c r="W709" s="27"/>
      <c r="X709" s="27"/>
      <c r="Y709" s="27"/>
      <c r="Z709" s="27"/>
    </row>
    <row r="710" ht="15.75" customHeight="1">
      <c r="A710" s="113"/>
      <c r="B710" s="113"/>
      <c r="C710" s="113"/>
      <c r="D710" s="115"/>
      <c r="E710" s="116"/>
      <c r="F710" s="37"/>
      <c r="G710" s="114"/>
      <c r="H710" s="27"/>
      <c r="I710" s="27"/>
      <c r="J710" s="27"/>
      <c r="K710" s="27"/>
      <c r="L710" s="27"/>
      <c r="M710" s="27"/>
      <c r="N710" s="27"/>
      <c r="O710" s="27"/>
      <c r="P710" s="27"/>
      <c r="Q710" s="27"/>
      <c r="R710" s="27"/>
      <c r="S710" s="27"/>
      <c r="T710" s="27"/>
      <c r="U710" s="27"/>
      <c r="V710" s="27"/>
      <c r="W710" s="27"/>
      <c r="X710" s="27"/>
      <c r="Y710" s="27"/>
      <c r="Z710" s="27"/>
    </row>
    <row r="711" ht="15.75" customHeight="1">
      <c r="A711" s="113"/>
      <c r="B711" s="113"/>
      <c r="C711" s="113"/>
      <c r="D711" s="115"/>
      <c r="E711" s="116"/>
      <c r="F711" s="37"/>
      <c r="G711" s="114"/>
      <c r="H711" s="27"/>
      <c r="I711" s="27"/>
      <c r="J711" s="27"/>
      <c r="K711" s="27"/>
      <c r="L711" s="27"/>
      <c r="M711" s="27"/>
      <c r="N711" s="27"/>
      <c r="O711" s="27"/>
      <c r="P711" s="27"/>
      <c r="Q711" s="27"/>
      <c r="R711" s="27"/>
      <c r="S711" s="27"/>
      <c r="T711" s="27"/>
      <c r="U711" s="27"/>
      <c r="V711" s="27"/>
      <c r="W711" s="27"/>
      <c r="X711" s="27"/>
      <c r="Y711" s="27"/>
      <c r="Z711" s="27"/>
    </row>
    <row r="712" ht="15.75" customHeight="1">
      <c r="A712" s="113"/>
      <c r="B712" s="113"/>
      <c r="C712" s="113"/>
      <c r="D712" s="115"/>
      <c r="E712" s="116"/>
      <c r="F712" s="37"/>
      <c r="G712" s="114"/>
      <c r="H712" s="27"/>
      <c r="I712" s="27"/>
      <c r="J712" s="27"/>
      <c r="K712" s="27"/>
      <c r="L712" s="27"/>
      <c r="M712" s="27"/>
      <c r="N712" s="27"/>
      <c r="O712" s="27"/>
      <c r="P712" s="27"/>
      <c r="Q712" s="27"/>
      <c r="R712" s="27"/>
      <c r="S712" s="27"/>
      <c r="T712" s="27"/>
      <c r="U712" s="27"/>
      <c r="V712" s="27"/>
      <c r="W712" s="27"/>
      <c r="X712" s="27"/>
      <c r="Y712" s="27"/>
      <c r="Z712" s="27"/>
    </row>
    <row r="713" ht="15.75" customHeight="1">
      <c r="A713" s="113"/>
      <c r="B713" s="113"/>
      <c r="C713" s="113"/>
      <c r="D713" s="115"/>
      <c r="E713" s="116"/>
      <c r="F713" s="37"/>
      <c r="G713" s="114"/>
      <c r="H713" s="27"/>
      <c r="I713" s="27"/>
      <c r="J713" s="27"/>
      <c r="K713" s="27"/>
      <c r="L713" s="27"/>
      <c r="M713" s="27"/>
      <c r="N713" s="27"/>
      <c r="O713" s="27"/>
      <c r="P713" s="27"/>
      <c r="Q713" s="27"/>
      <c r="R713" s="27"/>
      <c r="S713" s="27"/>
      <c r="T713" s="27"/>
      <c r="U713" s="27"/>
      <c r="V713" s="27"/>
      <c r="W713" s="27"/>
      <c r="X713" s="27"/>
      <c r="Y713" s="27"/>
      <c r="Z713" s="27"/>
    </row>
    <row r="714" ht="15.75" customHeight="1">
      <c r="A714" s="113"/>
      <c r="B714" s="113"/>
      <c r="C714" s="113"/>
      <c r="D714" s="115"/>
      <c r="E714" s="116"/>
      <c r="F714" s="37"/>
      <c r="G714" s="114"/>
      <c r="H714" s="27"/>
      <c r="I714" s="27"/>
      <c r="J714" s="27"/>
      <c r="K714" s="27"/>
      <c r="L714" s="27"/>
      <c r="M714" s="27"/>
      <c r="N714" s="27"/>
      <c r="O714" s="27"/>
      <c r="P714" s="27"/>
      <c r="Q714" s="27"/>
      <c r="R714" s="27"/>
      <c r="S714" s="27"/>
      <c r="T714" s="27"/>
      <c r="U714" s="27"/>
      <c r="V714" s="27"/>
      <c r="W714" s="27"/>
      <c r="X714" s="27"/>
      <c r="Y714" s="27"/>
      <c r="Z714" s="27"/>
    </row>
    <row r="715" ht="15.75" customHeight="1">
      <c r="A715" s="113"/>
      <c r="B715" s="113"/>
      <c r="C715" s="113"/>
      <c r="D715" s="115"/>
      <c r="E715" s="116"/>
      <c r="F715" s="37"/>
      <c r="G715" s="114"/>
      <c r="H715" s="27"/>
      <c r="I715" s="27"/>
      <c r="J715" s="27"/>
      <c r="K715" s="27"/>
      <c r="L715" s="27"/>
      <c r="M715" s="27"/>
      <c r="N715" s="27"/>
      <c r="O715" s="27"/>
      <c r="P715" s="27"/>
      <c r="Q715" s="27"/>
      <c r="R715" s="27"/>
      <c r="S715" s="27"/>
      <c r="T715" s="27"/>
      <c r="U715" s="27"/>
      <c r="V715" s="27"/>
      <c r="W715" s="27"/>
      <c r="X715" s="27"/>
      <c r="Y715" s="27"/>
      <c r="Z715" s="27"/>
    </row>
    <row r="716" ht="15.75" customHeight="1">
      <c r="A716" s="113"/>
      <c r="B716" s="113"/>
      <c r="C716" s="113"/>
      <c r="D716" s="115"/>
      <c r="E716" s="116"/>
      <c r="F716" s="37"/>
      <c r="G716" s="114"/>
      <c r="H716" s="27"/>
      <c r="I716" s="27"/>
      <c r="J716" s="27"/>
      <c r="K716" s="27"/>
      <c r="L716" s="27"/>
      <c r="M716" s="27"/>
      <c r="N716" s="27"/>
      <c r="O716" s="27"/>
      <c r="P716" s="27"/>
      <c r="Q716" s="27"/>
      <c r="R716" s="27"/>
      <c r="S716" s="27"/>
      <c r="T716" s="27"/>
      <c r="U716" s="27"/>
      <c r="V716" s="27"/>
      <c r="W716" s="27"/>
      <c r="X716" s="27"/>
      <c r="Y716" s="27"/>
      <c r="Z716" s="27"/>
    </row>
    <row r="717" ht="15.75" customHeight="1">
      <c r="A717" s="113"/>
      <c r="B717" s="113"/>
      <c r="C717" s="113"/>
      <c r="D717" s="115"/>
      <c r="E717" s="116"/>
      <c r="F717" s="37"/>
      <c r="G717" s="114"/>
      <c r="H717" s="27"/>
      <c r="I717" s="27"/>
      <c r="J717" s="27"/>
      <c r="K717" s="27"/>
      <c r="L717" s="27"/>
      <c r="M717" s="27"/>
      <c r="N717" s="27"/>
      <c r="O717" s="27"/>
      <c r="P717" s="27"/>
      <c r="Q717" s="27"/>
      <c r="R717" s="27"/>
      <c r="S717" s="27"/>
      <c r="T717" s="27"/>
      <c r="U717" s="27"/>
      <c r="V717" s="27"/>
      <c r="W717" s="27"/>
      <c r="X717" s="27"/>
      <c r="Y717" s="27"/>
      <c r="Z717" s="27"/>
    </row>
    <row r="718" ht="15.75" customHeight="1">
      <c r="A718" s="113"/>
      <c r="B718" s="113"/>
      <c r="C718" s="113"/>
      <c r="D718" s="115"/>
      <c r="E718" s="116"/>
      <c r="F718" s="37"/>
      <c r="G718" s="114"/>
      <c r="H718" s="27"/>
      <c r="I718" s="27"/>
      <c r="J718" s="27"/>
      <c r="K718" s="27"/>
      <c r="L718" s="27"/>
      <c r="M718" s="27"/>
      <c r="N718" s="27"/>
      <c r="O718" s="27"/>
      <c r="P718" s="27"/>
      <c r="Q718" s="27"/>
      <c r="R718" s="27"/>
      <c r="S718" s="27"/>
      <c r="T718" s="27"/>
      <c r="U718" s="27"/>
      <c r="V718" s="27"/>
      <c r="W718" s="27"/>
      <c r="X718" s="27"/>
      <c r="Y718" s="27"/>
      <c r="Z718" s="27"/>
    </row>
    <row r="719" ht="15.75" customHeight="1">
      <c r="A719" s="113"/>
      <c r="B719" s="113"/>
      <c r="C719" s="113"/>
      <c r="D719" s="115"/>
      <c r="E719" s="116"/>
      <c r="F719" s="37"/>
      <c r="G719" s="114"/>
      <c r="H719" s="27"/>
      <c r="I719" s="27"/>
      <c r="J719" s="27"/>
      <c r="K719" s="27"/>
      <c r="L719" s="27"/>
      <c r="M719" s="27"/>
      <c r="N719" s="27"/>
      <c r="O719" s="27"/>
      <c r="P719" s="27"/>
      <c r="Q719" s="27"/>
      <c r="R719" s="27"/>
      <c r="S719" s="27"/>
      <c r="T719" s="27"/>
      <c r="U719" s="27"/>
      <c r="V719" s="27"/>
      <c r="W719" s="27"/>
      <c r="X719" s="27"/>
      <c r="Y719" s="27"/>
      <c r="Z719" s="27"/>
    </row>
    <row r="720" ht="15.75" customHeight="1">
      <c r="A720" s="113"/>
      <c r="B720" s="113"/>
      <c r="C720" s="113"/>
      <c r="D720" s="115"/>
      <c r="E720" s="116"/>
      <c r="F720" s="37"/>
      <c r="G720" s="114"/>
      <c r="H720" s="27"/>
      <c r="I720" s="27"/>
      <c r="J720" s="27"/>
      <c r="K720" s="27"/>
      <c r="L720" s="27"/>
      <c r="M720" s="27"/>
      <c r="N720" s="27"/>
      <c r="O720" s="27"/>
      <c r="P720" s="27"/>
      <c r="Q720" s="27"/>
      <c r="R720" s="27"/>
      <c r="S720" s="27"/>
      <c r="T720" s="27"/>
      <c r="U720" s="27"/>
      <c r="V720" s="27"/>
      <c r="W720" s="27"/>
      <c r="X720" s="27"/>
      <c r="Y720" s="27"/>
      <c r="Z720" s="27"/>
    </row>
    <row r="721" ht="15.75" customHeight="1">
      <c r="A721" s="113"/>
      <c r="B721" s="113"/>
      <c r="C721" s="113"/>
      <c r="D721" s="115"/>
      <c r="E721" s="116"/>
      <c r="F721" s="37"/>
      <c r="G721" s="114"/>
      <c r="H721" s="27"/>
      <c r="I721" s="27"/>
      <c r="J721" s="27"/>
      <c r="K721" s="27"/>
      <c r="L721" s="27"/>
      <c r="M721" s="27"/>
      <c r="N721" s="27"/>
      <c r="O721" s="27"/>
      <c r="P721" s="27"/>
      <c r="Q721" s="27"/>
      <c r="R721" s="27"/>
      <c r="S721" s="27"/>
      <c r="T721" s="27"/>
      <c r="U721" s="27"/>
      <c r="V721" s="27"/>
      <c r="W721" s="27"/>
      <c r="X721" s="27"/>
      <c r="Y721" s="27"/>
      <c r="Z721" s="27"/>
    </row>
    <row r="722" ht="15.75" customHeight="1">
      <c r="A722" s="113"/>
      <c r="B722" s="113"/>
      <c r="C722" s="113"/>
      <c r="D722" s="115"/>
      <c r="E722" s="116"/>
      <c r="F722" s="37"/>
      <c r="G722" s="114"/>
      <c r="H722" s="27"/>
      <c r="I722" s="27"/>
      <c r="J722" s="27"/>
      <c r="K722" s="27"/>
      <c r="L722" s="27"/>
      <c r="M722" s="27"/>
      <c r="N722" s="27"/>
      <c r="O722" s="27"/>
      <c r="P722" s="27"/>
      <c r="Q722" s="27"/>
      <c r="R722" s="27"/>
      <c r="S722" s="27"/>
      <c r="T722" s="27"/>
      <c r="U722" s="27"/>
      <c r="V722" s="27"/>
      <c r="W722" s="27"/>
      <c r="X722" s="27"/>
      <c r="Y722" s="27"/>
      <c r="Z722" s="27"/>
    </row>
    <row r="723" ht="15.75" customHeight="1">
      <c r="A723" s="113"/>
      <c r="B723" s="113"/>
      <c r="C723" s="113"/>
      <c r="D723" s="115"/>
      <c r="E723" s="116"/>
      <c r="F723" s="37"/>
      <c r="G723" s="114"/>
      <c r="H723" s="27"/>
      <c r="I723" s="27"/>
      <c r="J723" s="27"/>
      <c r="K723" s="27"/>
      <c r="L723" s="27"/>
      <c r="M723" s="27"/>
      <c r="N723" s="27"/>
      <c r="O723" s="27"/>
      <c r="P723" s="27"/>
      <c r="Q723" s="27"/>
      <c r="R723" s="27"/>
      <c r="S723" s="27"/>
      <c r="T723" s="27"/>
      <c r="U723" s="27"/>
      <c r="V723" s="27"/>
      <c r="W723" s="27"/>
      <c r="X723" s="27"/>
      <c r="Y723" s="27"/>
      <c r="Z723" s="27"/>
    </row>
    <row r="724" ht="15.75" customHeight="1">
      <c r="A724" s="113"/>
      <c r="B724" s="113"/>
      <c r="C724" s="113"/>
      <c r="D724" s="115"/>
      <c r="E724" s="116"/>
      <c r="F724" s="37"/>
      <c r="G724" s="114"/>
      <c r="H724" s="27"/>
      <c r="I724" s="27"/>
      <c r="J724" s="27"/>
      <c r="K724" s="27"/>
      <c r="L724" s="27"/>
      <c r="M724" s="27"/>
      <c r="N724" s="27"/>
      <c r="O724" s="27"/>
      <c r="P724" s="27"/>
      <c r="Q724" s="27"/>
      <c r="R724" s="27"/>
      <c r="S724" s="27"/>
      <c r="T724" s="27"/>
      <c r="U724" s="27"/>
      <c r="V724" s="27"/>
      <c r="W724" s="27"/>
      <c r="X724" s="27"/>
      <c r="Y724" s="27"/>
      <c r="Z724" s="27"/>
    </row>
    <row r="725" ht="15.75" customHeight="1">
      <c r="A725" s="113"/>
      <c r="B725" s="113"/>
      <c r="C725" s="113"/>
      <c r="D725" s="115"/>
      <c r="E725" s="116"/>
      <c r="F725" s="37"/>
      <c r="G725" s="114"/>
      <c r="H725" s="27"/>
      <c r="I725" s="27"/>
      <c r="J725" s="27"/>
      <c r="K725" s="27"/>
      <c r="L725" s="27"/>
      <c r="M725" s="27"/>
      <c r="N725" s="27"/>
      <c r="O725" s="27"/>
      <c r="P725" s="27"/>
      <c r="Q725" s="27"/>
      <c r="R725" s="27"/>
      <c r="S725" s="27"/>
      <c r="T725" s="27"/>
      <c r="U725" s="27"/>
      <c r="V725" s="27"/>
      <c r="W725" s="27"/>
      <c r="X725" s="27"/>
      <c r="Y725" s="27"/>
      <c r="Z725" s="27"/>
    </row>
    <row r="726" ht="15.75" customHeight="1">
      <c r="A726" s="113"/>
      <c r="B726" s="113"/>
      <c r="C726" s="113"/>
      <c r="D726" s="115"/>
      <c r="E726" s="116"/>
      <c r="F726" s="37"/>
      <c r="G726" s="114"/>
      <c r="H726" s="27"/>
      <c r="I726" s="27"/>
      <c r="J726" s="27"/>
      <c r="K726" s="27"/>
      <c r="L726" s="27"/>
      <c r="M726" s="27"/>
      <c r="N726" s="27"/>
      <c r="O726" s="27"/>
      <c r="P726" s="27"/>
      <c r="Q726" s="27"/>
      <c r="R726" s="27"/>
      <c r="S726" s="27"/>
      <c r="T726" s="27"/>
      <c r="U726" s="27"/>
      <c r="V726" s="27"/>
      <c r="W726" s="27"/>
      <c r="X726" s="27"/>
      <c r="Y726" s="27"/>
      <c r="Z726" s="27"/>
    </row>
    <row r="727" ht="15.75" customHeight="1">
      <c r="A727" s="113"/>
      <c r="B727" s="113"/>
      <c r="C727" s="113"/>
      <c r="D727" s="115"/>
      <c r="E727" s="116"/>
      <c r="F727" s="37"/>
      <c r="G727" s="114"/>
      <c r="H727" s="27"/>
      <c r="I727" s="27"/>
      <c r="J727" s="27"/>
      <c r="K727" s="27"/>
      <c r="L727" s="27"/>
      <c r="M727" s="27"/>
      <c r="N727" s="27"/>
      <c r="O727" s="27"/>
      <c r="P727" s="27"/>
      <c r="Q727" s="27"/>
      <c r="R727" s="27"/>
      <c r="S727" s="27"/>
      <c r="T727" s="27"/>
      <c r="U727" s="27"/>
      <c r="V727" s="27"/>
      <c r="W727" s="27"/>
      <c r="X727" s="27"/>
      <c r="Y727" s="27"/>
      <c r="Z727" s="27"/>
    </row>
    <row r="728" ht="15.75" customHeight="1">
      <c r="A728" s="113"/>
      <c r="B728" s="113"/>
      <c r="C728" s="113"/>
      <c r="D728" s="115"/>
      <c r="E728" s="116"/>
      <c r="F728" s="37"/>
      <c r="G728" s="114"/>
      <c r="H728" s="27"/>
      <c r="I728" s="27"/>
      <c r="J728" s="27"/>
      <c r="K728" s="27"/>
      <c r="L728" s="27"/>
      <c r="M728" s="27"/>
      <c r="N728" s="27"/>
      <c r="O728" s="27"/>
      <c r="P728" s="27"/>
      <c r="Q728" s="27"/>
      <c r="R728" s="27"/>
      <c r="S728" s="27"/>
      <c r="T728" s="27"/>
      <c r="U728" s="27"/>
      <c r="V728" s="27"/>
      <c r="W728" s="27"/>
      <c r="X728" s="27"/>
      <c r="Y728" s="27"/>
      <c r="Z728" s="27"/>
    </row>
    <row r="729" ht="15.75" customHeight="1">
      <c r="A729" s="113"/>
      <c r="B729" s="113"/>
      <c r="C729" s="113"/>
      <c r="D729" s="115"/>
      <c r="E729" s="116"/>
      <c r="F729" s="37"/>
      <c r="G729" s="114"/>
      <c r="H729" s="27"/>
      <c r="I729" s="27"/>
      <c r="J729" s="27"/>
      <c r="K729" s="27"/>
      <c r="L729" s="27"/>
      <c r="M729" s="27"/>
      <c r="N729" s="27"/>
      <c r="O729" s="27"/>
      <c r="P729" s="27"/>
      <c r="Q729" s="27"/>
      <c r="R729" s="27"/>
      <c r="S729" s="27"/>
      <c r="T729" s="27"/>
      <c r="U729" s="27"/>
      <c r="V729" s="27"/>
      <c r="W729" s="27"/>
      <c r="X729" s="27"/>
      <c r="Y729" s="27"/>
      <c r="Z729" s="27"/>
    </row>
    <row r="730" ht="15.75" customHeight="1">
      <c r="A730" s="113"/>
      <c r="B730" s="113"/>
      <c r="C730" s="113"/>
      <c r="D730" s="115"/>
      <c r="E730" s="116"/>
      <c r="F730" s="37"/>
      <c r="G730" s="114"/>
      <c r="H730" s="27"/>
      <c r="I730" s="27"/>
      <c r="J730" s="27"/>
      <c r="K730" s="27"/>
      <c r="L730" s="27"/>
      <c r="M730" s="27"/>
      <c r="N730" s="27"/>
      <c r="O730" s="27"/>
      <c r="P730" s="27"/>
      <c r="Q730" s="27"/>
      <c r="R730" s="27"/>
      <c r="S730" s="27"/>
      <c r="T730" s="27"/>
      <c r="U730" s="27"/>
      <c r="V730" s="27"/>
      <c r="W730" s="27"/>
      <c r="X730" s="27"/>
      <c r="Y730" s="27"/>
      <c r="Z730" s="27"/>
    </row>
    <row r="731" ht="15.75" customHeight="1">
      <c r="A731" s="113"/>
      <c r="B731" s="113"/>
      <c r="C731" s="113"/>
      <c r="D731" s="36"/>
      <c r="E731" s="36"/>
      <c r="F731" s="37"/>
      <c r="G731" s="117"/>
      <c r="H731" s="27"/>
      <c r="I731" s="27"/>
      <c r="J731" s="27"/>
      <c r="K731" s="27"/>
      <c r="L731" s="27"/>
      <c r="M731" s="27"/>
      <c r="N731" s="27"/>
      <c r="O731" s="27"/>
      <c r="P731" s="27"/>
      <c r="Q731" s="27"/>
      <c r="R731" s="27"/>
      <c r="S731" s="27"/>
      <c r="T731" s="27"/>
      <c r="U731" s="27"/>
      <c r="V731" s="27"/>
      <c r="W731" s="27"/>
      <c r="X731" s="27"/>
      <c r="Y731" s="27"/>
      <c r="Z731" s="27"/>
    </row>
    <row r="732" ht="15.75" customHeight="1">
      <c r="A732" s="113"/>
      <c r="B732" s="113"/>
      <c r="C732" s="113"/>
      <c r="D732" s="36"/>
      <c r="E732" s="36"/>
      <c r="F732" s="37"/>
      <c r="G732" s="117"/>
      <c r="H732" s="27"/>
      <c r="I732" s="27"/>
      <c r="J732" s="27"/>
      <c r="K732" s="27"/>
      <c r="L732" s="27"/>
      <c r="M732" s="27"/>
      <c r="N732" s="27"/>
      <c r="O732" s="27"/>
      <c r="P732" s="27"/>
      <c r="Q732" s="27"/>
      <c r="R732" s="27"/>
      <c r="S732" s="27"/>
      <c r="T732" s="27"/>
      <c r="U732" s="27"/>
      <c r="V732" s="27"/>
      <c r="W732" s="27"/>
      <c r="X732" s="27"/>
      <c r="Y732" s="27"/>
      <c r="Z732" s="27"/>
    </row>
    <row r="733" ht="15.75" customHeight="1">
      <c r="A733" s="113"/>
      <c r="B733" s="113"/>
      <c r="C733" s="113"/>
      <c r="D733" s="36"/>
      <c r="E733" s="36"/>
      <c r="F733" s="37"/>
      <c r="G733" s="117"/>
      <c r="H733" s="27"/>
      <c r="I733" s="27"/>
      <c r="J733" s="27"/>
      <c r="K733" s="27"/>
      <c r="L733" s="27"/>
      <c r="M733" s="27"/>
      <c r="N733" s="27"/>
      <c r="O733" s="27"/>
      <c r="P733" s="27"/>
      <c r="Q733" s="27"/>
      <c r="R733" s="27"/>
      <c r="S733" s="27"/>
      <c r="T733" s="27"/>
      <c r="U733" s="27"/>
      <c r="V733" s="27"/>
      <c r="W733" s="27"/>
      <c r="X733" s="27"/>
      <c r="Y733" s="27"/>
      <c r="Z733" s="27"/>
    </row>
    <row r="734" ht="15.75" customHeight="1">
      <c r="A734" s="113"/>
      <c r="B734" s="113"/>
      <c r="C734" s="113"/>
      <c r="D734" s="36"/>
      <c r="E734" s="36"/>
      <c r="F734" s="37"/>
      <c r="G734" s="117"/>
      <c r="H734" s="27"/>
      <c r="I734" s="27"/>
      <c r="J734" s="27"/>
      <c r="K734" s="27"/>
      <c r="L734" s="27"/>
      <c r="M734" s="27"/>
      <c r="N734" s="27"/>
      <c r="O734" s="27"/>
      <c r="P734" s="27"/>
      <c r="Q734" s="27"/>
      <c r="R734" s="27"/>
      <c r="S734" s="27"/>
      <c r="T734" s="27"/>
      <c r="U734" s="27"/>
      <c r="V734" s="27"/>
      <c r="W734" s="27"/>
      <c r="X734" s="27"/>
      <c r="Y734" s="27"/>
      <c r="Z734" s="27"/>
    </row>
    <row r="735" ht="15.75" customHeight="1">
      <c r="A735" s="113"/>
      <c r="B735" s="113"/>
      <c r="C735" s="113"/>
      <c r="D735" s="36"/>
      <c r="E735" s="36"/>
      <c r="F735" s="37"/>
      <c r="G735" s="117"/>
      <c r="H735" s="27"/>
      <c r="I735" s="27"/>
      <c r="J735" s="27"/>
      <c r="K735" s="27"/>
      <c r="L735" s="27"/>
      <c r="M735" s="27"/>
      <c r="N735" s="27"/>
      <c r="O735" s="27"/>
      <c r="P735" s="27"/>
      <c r="Q735" s="27"/>
      <c r="R735" s="27"/>
      <c r="S735" s="27"/>
      <c r="T735" s="27"/>
      <c r="U735" s="27"/>
      <c r="V735" s="27"/>
      <c r="W735" s="27"/>
      <c r="X735" s="27"/>
      <c r="Y735" s="27"/>
      <c r="Z735" s="27"/>
    </row>
    <row r="736" ht="15.75" customHeight="1">
      <c r="A736" s="113"/>
      <c r="B736" s="113"/>
      <c r="C736" s="113"/>
      <c r="D736" s="36"/>
      <c r="E736" s="36"/>
      <c r="F736" s="37"/>
      <c r="G736" s="117"/>
      <c r="H736" s="27"/>
      <c r="I736" s="27"/>
      <c r="J736" s="27"/>
      <c r="K736" s="27"/>
      <c r="L736" s="27"/>
      <c r="M736" s="27"/>
      <c r="N736" s="27"/>
      <c r="O736" s="27"/>
      <c r="P736" s="27"/>
      <c r="Q736" s="27"/>
      <c r="R736" s="27"/>
      <c r="S736" s="27"/>
      <c r="T736" s="27"/>
      <c r="U736" s="27"/>
      <c r="V736" s="27"/>
      <c r="W736" s="27"/>
      <c r="X736" s="27"/>
      <c r="Y736" s="27"/>
      <c r="Z736" s="27"/>
    </row>
    <row r="737" ht="15.75" customHeight="1">
      <c r="A737" s="113"/>
      <c r="B737" s="113"/>
      <c r="C737" s="113"/>
      <c r="D737" s="36"/>
      <c r="E737" s="36"/>
      <c r="F737" s="37"/>
      <c r="G737" s="117"/>
      <c r="H737" s="27"/>
      <c r="I737" s="27"/>
      <c r="J737" s="27"/>
      <c r="K737" s="27"/>
      <c r="L737" s="27"/>
      <c r="M737" s="27"/>
      <c r="N737" s="27"/>
      <c r="O737" s="27"/>
      <c r="P737" s="27"/>
      <c r="Q737" s="27"/>
      <c r="R737" s="27"/>
      <c r="S737" s="27"/>
      <c r="T737" s="27"/>
      <c r="U737" s="27"/>
      <c r="V737" s="27"/>
      <c r="W737" s="27"/>
      <c r="X737" s="27"/>
      <c r="Y737" s="27"/>
      <c r="Z737" s="27"/>
    </row>
    <row r="738" ht="15.75" customHeight="1">
      <c r="A738" s="113"/>
      <c r="B738" s="113"/>
      <c r="C738" s="113"/>
      <c r="D738" s="36"/>
      <c r="E738" s="36"/>
      <c r="F738" s="37"/>
      <c r="G738" s="117"/>
      <c r="H738" s="27"/>
      <c r="I738" s="27"/>
      <c r="J738" s="27"/>
      <c r="K738" s="27"/>
      <c r="L738" s="27"/>
      <c r="M738" s="27"/>
      <c r="N738" s="27"/>
      <c r="O738" s="27"/>
      <c r="P738" s="27"/>
      <c r="Q738" s="27"/>
      <c r="R738" s="27"/>
      <c r="S738" s="27"/>
      <c r="T738" s="27"/>
      <c r="U738" s="27"/>
      <c r="V738" s="27"/>
      <c r="W738" s="27"/>
      <c r="X738" s="27"/>
      <c r="Y738" s="27"/>
      <c r="Z738" s="27"/>
    </row>
    <row r="739" ht="15.75" customHeight="1">
      <c r="A739" s="113"/>
      <c r="B739" s="113"/>
      <c r="C739" s="113"/>
      <c r="D739" s="36"/>
      <c r="E739" s="36"/>
      <c r="F739" s="37"/>
      <c r="G739" s="117"/>
      <c r="H739" s="27"/>
      <c r="I739" s="27"/>
      <c r="J739" s="27"/>
      <c r="K739" s="27"/>
      <c r="L739" s="27"/>
      <c r="M739" s="27"/>
      <c r="N739" s="27"/>
      <c r="O739" s="27"/>
      <c r="P739" s="27"/>
      <c r="Q739" s="27"/>
      <c r="R739" s="27"/>
      <c r="S739" s="27"/>
      <c r="T739" s="27"/>
      <c r="U739" s="27"/>
      <c r="V739" s="27"/>
      <c r="W739" s="27"/>
      <c r="X739" s="27"/>
      <c r="Y739" s="27"/>
      <c r="Z739" s="27"/>
    </row>
    <row r="740" ht="15.75" customHeight="1">
      <c r="A740" s="113"/>
      <c r="B740" s="113"/>
      <c r="C740" s="113"/>
      <c r="D740" s="36"/>
      <c r="E740" s="36"/>
      <c r="F740" s="37"/>
      <c r="G740" s="117"/>
      <c r="H740" s="27"/>
      <c r="I740" s="27"/>
      <c r="J740" s="27"/>
      <c r="K740" s="27"/>
      <c r="L740" s="27"/>
      <c r="M740" s="27"/>
      <c r="N740" s="27"/>
      <c r="O740" s="27"/>
      <c r="P740" s="27"/>
      <c r="Q740" s="27"/>
      <c r="R740" s="27"/>
      <c r="S740" s="27"/>
      <c r="T740" s="27"/>
      <c r="U740" s="27"/>
      <c r="V740" s="27"/>
      <c r="W740" s="27"/>
      <c r="X740" s="27"/>
      <c r="Y740" s="27"/>
      <c r="Z740" s="27"/>
    </row>
    <row r="741" ht="15.75" customHeight="1">
      <c r="A741" s="113"/>
      <c r="B741" s="113"/>
      <c r="C741" s="113"/>
      <c r="D741" s="36"/>
      <c r="E741" s="36"/>
      <c r="F741" s="37"/>
      <c r="G741" s="117"/>
      <c r="H741" s="27"/>
      <c r="I741" s="27"/>
      <c r="J741" s="27"/>
      <c r="K741" s="27"/>
      <c r="L741" s="27"/>
      <c r="M741" s="27"/>
      <c r="N741" s="27"/>
      <c r="O741" s="27"/>
      <c r="P741" s="27"/>
      <c r="Q741" s="27"/>
      <c r="R741" s="27"/>
      <c r="S741" s="27"/>
      <c r="T741" s="27"/>
      <c r="U741" s="27"/>
      <c r="V741" s="27"/>
      <c r="W741" s="27"/>
      <c r="X741" s="27"/>
      <c r="Y741" s="27"/>
      <c r="Z741" s="27"/>
    </row>
    <row r="742" ht="15.75" customHeight="1">
      <c r="A742" s="113"/>
      <c r="B742" s="113"/>
      <c r="C742" s="113"/>
      <c r="D742" s="36"/>
      <c r="E742" s="36"/>
      <c r="F742" s="37"/>
      <c r="G742" s="117"/>
      <c r="H742" s="27"/>
      <c r="I742" s="27"/>
      <c r="J742" s="27"/>
      <c r="K742" s="27"/>
      <c r="L742" s="27"/>
      <c r="M742" s="27"/>
      <c r="N742" s="27"/>
      <c r="O742" s="27"/>
      <c r="P742" s="27"/>
      <c r="Q742" s="27"/>
      <c r="R742" s="27"/>
      <c r="S742" s="27"/>
      <c r="T742" s="27"/>
      <c r="U742" s="27"/>
      <c r="V742" s="27"/>
      <c r="W742" s="27"/>
      <c r="X742" s="27"/>
      <c r="Y742" s="27"/>
      <c r="Z742" s="27"/>
    </row>
    <row r="743" ht="15.75" customHeight="1">
      <c r="A743" s="113"/>
      <c r="B743" s="113"/>
      <c r="C743" s="113"/>
      <c r="D743" s="36"/>
      <c r="E743" s="36"/>
      <c r="F743" s="37"/>
      <c r="G743" s="117"/>
      <c r="H743" s="27"/>
      <c r="I743" s="27"/>
      <c r="J743" s="27"/>
      <c r="K743" s="27"/>
      <c r="L743" s="27"/>
      <c r="M743" s="27"/>
      <c r="N743" s="27"/>
      <c r="O743" s="27"/>
      <c r="P743" s="27"/>
      <c r="Q743" s="27"/>
      <c r="R743" s="27"/>
      <c r="S743" s="27"/>
      <c r="T743" s="27"/>
      <c r="U743" s="27"/>
      <c r="V743" s="27"/>
      <c r="W743" s="27"/>
      <c r="X743" s="27"/>
      <c r="Y743" s="27"/>
      <c r="Z743" s="27"/>
    </row>
    <row r="744" ht="15.75" customHeight="1">
      <c r="A744" s="113"/>
      <c r="B744" s="113"/>
      <c r="C744" s="113"/>
      <c r="D744" s="36"/>
      <c r="E744" s="36"/>
      <c r="F744" s="37"/>
      <c r="G744" s="117"/>
      <c r="H744" s="27"/>
      <c r="I744" s="27"/>
      <c r="J744" s="27"/>
      <c r="K744" s="27"/>
      <c r="L744" s="27"/>
      <c r="M744" s="27"/>
      <c r="N744" s="27"/>
      <c r="O744" s="27"/>
      <c r="P744" s="27"/>
      <c r="Q744" s="27"/>
      <c r="R744" s="27"/>
      <c r="S744" s="27"/>
      <c r="T744" s="27"/>
      <c r="U744" s="27"/>
      <c r="V744" s="27"/>
      <c r="W744" s="27"/>
      <c r="X744" s="27"/>
      <c r="Y744" s="27"/>
      <c r="Z744" s="27"/>
    </row>
    <row r="745" ht="15.75" customHeight="1">
      <c r="A745" s="113"/>
      <c r="B745" s="113"/>
      <c r="C745" s="113"/>
      <c r="D745" s="36"/>
      <c r="E745" s="36"/>
      <c r="F745" s="37"/>
      <c r="G745" s="117"/>
      <c r="H745" s="27"/>
      <c r="I745" s="27"/>
      <c r="J745" s="27"/>
      <c r="K745" s="27"/>
      <c r="L745" s="27"/>
      <c r="M745" s="27"/>
      <c r="N745" s="27"/>
      <c r="O745" s="27"/>
      <c r="P745" s="27"/>
      <c r="Q745" s="27"/>
      <c r="R745" s="27"/>
      <c r="S745" s="27"/>
      <c r="T745" s="27"/>
      <c r="U745" s="27"/>
      <c r="V745" s="27"/>
      <c r="W745" s="27"/>
      <c r="X745" s="27"/>
      <c r="Y745" s="27"/>
      <c r="Z745" s="27"/>
    </row>
    <row r="746" ht="15.75" customHeight="1">
      <c r="A746" s="113"/>
      <c r="B746" s="113"/>
      <c r="C746" s="113"/>
      <c r="D746" s="36"/>
      <c r="E746" s="36"/>
      <c r="F746" s="37"/>
      <c r="G746" s="117"/>
      <c r="H746" s="27"/>
      <c r="I746" s="27"/>
      <c r="J746" s="27"/>
      <c r="K746" s="27"/>
      <c r="L746" s="27"/>
      <c r="M746" s="27"/>
      <c r="N746" s="27"/>
      <c r="O746" s="27"/>
      <c r="P746" s="27"/>
      <c r="Q746" s="27"/>
      <c r="R746" s="27"/>
      <c r="S746" s="27"/>
      <c r="T746" s="27"/>
      <c r="U746" s="27"/>
      <c r="V746" s="27"/>
      <c r="W746" s="27"/>
      <c r="X746" s="27"/>
      <c r="Y746" s="27"/>
      <c r="Z746" s="27"/>
    </row>
    <row r="747" ht="15.75" customHeight="1">
      <c r="A747" s="113"/>
      <c r="B747" s="113"/>
      <c r="C747" s="113"/>
      <c r="D747" s="36"/>
      <c r="E747" s="36"/>
      <c r="F747" s="37"/>
      <c r="G747" s="117"/>
      <c r="H747" s="27"/>
      <c r="I747" s="27"/>
      <c r="J747" s="27"/>
      <c r="K747" s="27"/>
      <c r="L747" s="27"/>
      <c r="M747" s="27"/>
      <c r="N747" s="27"/>
      <c r="O747" s="27"/>
      <c r="P747" s="27"/>
      <c r="Q747" s="27"/>
      <c r="R747" s="27"/>
      <c r="S747" s="27"/>
      <c r="T747" s="27"/>
      <c r="U747" s="27"/>
      <c r="V747" s="27"/>
      <c r="W747" s="27"/>
      <c r="X747" s="27"/>
      <c r="Y747" s="27"/>
      <c r="Z747" s="27"/>
    </row>
    <row r="748" ht="15.75" customHeight="1">
      <c r="A748" s="113"/>
      <c r="B748" s="113"/>
      <c r="C748" s="113"/>
      <c r="D748" s="36"/>
      <c r="E748" s="36"/>
      <c r="F748" s="37"/>
      <c r="G748" s="117"/>
      <c r="H748" s="27"/>
      <c r="I748" s="27"/>
      <c r="J748" s="27"/>
      <c r="K748" s="27"/>
      <c r="L748" s="27"/>
      <c r="M748" s="27"/>
      <c r="N748" s="27"/>
      <c r="O748" s="27"/>
      <c r="P748" s="27"/>
      <c r="Q748" s="27"/>
      <c r="R748" s="27"/>
      <c r="S748" s="27"/>
      <c r="T748" s="27"/>
      <c r="U748" s="27"/>
      <c r="V748" s="27"/>
      <c r="W748" s="27"/>
      <c r="X748" s="27"/>
      <c r="Y748" s="27"/>
      <c r="Z748" s="27"/>
    </row>
    <row r="749" ht="15.75" customHeight="1">
      <c r="A749" s="113"/>
      <c r="B749" s="113"/>
      <c r="C749" s="113"/>
      <c r="D749" s="36"/>
      <c r="E749" s="36"/>
      <c r="F749" s="37"/>
      <c r="G749" s="117"/>
      <c r="H749" s="27"/>
      <c r="I749" s="27"/>
      <c r="J749" s="27"/>
      <c r="K749" s="27"/>
      <c r="L749" s="27"/>
      <c r="M749" s="27"/>
      <c r="N749" s="27"/>
      <c r="O749" s="27"/>
      <c r="P749" s="27"/>
      <c r="Q749" s="27"/>
      <c r="R749" s="27"/>
      <c r="S749" s="27"/>
      <c r="T749" s="27"/>
      <c r="U749" s="27"/>
      <c r="V749" s="27"/>
      <c r="W749" s="27"/>
      <c r="X749" s="27"/>
      <c r="Y749" s="27"/>
      <c r="Z749" s="27"/>
    </row>
    <row r="750" ht="15.75" customHeight="1">
      <c r="A750" s="113"/>
      <c r="B750" s="113"/>
      <c r="C750" s="113"/>
      <c r="D750" s="36"/>
      <c r="E750" s="36"/>
      <c r="F750" s="37"/>
      <c r="G750" s="117"/>
      <c r="H750" s="27"/>
      <c r="I750" s="27"/>
      <c r="J750" s="27"/>
      <c r="K750" s="27"/>
      <c r="L750" s="27"/>
      <c r="M750" s="27"/>
      <c r="N750" s="27"/>
      <c r="O750" s="27"/>
      <c r="P750" s="27"/>
      <c r="Q750" s="27"/>
      <c r="R750" s="27"/>
      <c r="S750" s="27"/>
      <c r="T750" s="27"/>
      <c r="U750" s="27"/>
      <c r="V750" s="27"/>
      <c r="W750" s="27"/>
      <c r="X750" s="27"/>
      <c r="Y750" s="27"/>
      <c r="Z750" s="27"/>
    </row>
    <row r="751" ht="15.75" customHeight="1">
      <c r="A751" s="113"/>
      <c r="B751" s="113"/>
      <c r="C751" s="113"/>
      <c r="D751" s="36"/>
      <c r="E751" s="36"/>
      <c r="F751" s="37"/>
      <c r="G751" s="118"/>
      <c r="H751" s="27"/>
      <c r="I751" s="27"/>
      <c r="J751" s="27"/>
      <c r="K751" s="27"/>
      <c r="L751" s="27"/>
      <c r="M751" s="27"/>
      <c r="N751" s="27"/>
      <c r="O751" s="27"/>
      <c r="P751" s="27"/>
      <c r="Q751" s="27"/>
      <c r="R751" s="27"/>
      <c r="S751" s="27"/>
      <c r="T751" s="27"/>
      <c r="U751" s="27"/>
      <c r="V751" s="27"/>
      <c r="W751" s="27"/>
      <c r="X751" s="27"/>
      <c r="Y751" s="27"/>
      <c r="Z751" s="27"/>
    </row>
    <row r="752" ht="15.75" customHeight="1">
      <c r="A752" s="113"/>
      <c r="B752" s="113"/>
      <c r="C752" s="113"/>
      <c r="D752" s="36"/>
      <c r="E752" s="36"/>
      <c r="F752" s="37"/>
      <c r="G752" s="118"/>
      <c r="H752" s="27"/>
      <c r="I752" s="27"/>
      <c r="J752" s="27"/>
      <c r="K752" s="27"/>
      <c r="L752" s="27"/>
      <c r="M752" s="27"/>
      <c r="N752" s="27"/>
      <c r="O752" s="27"/>
      <c r="P752" s="27"/>
      <c r="Q752" s="27"/>
      <c r="R752" s="27"/>
      <c r="S752" s="27"/>
      <c r="T752" s="27"/>
      <c r="U752" s="27"/>
      <c r="V752" s="27"/>
      <c r="W752" s="27"/>
      <c r="X752" s="27"/>
      <c r="Y752" s="27"/>
      <c r="Z752" s="27"/>
    </row>
    <row r="753" ht="15.75" customHeight="1">
      <c r="A753" s="113"/>
      <c r="B753" s="113"/>
      <c r="C753" s="113"/>
      <c r="D753" s="36"/>
      <c r="E753" s="36"/>
      <c r="F753" s="37"/>
      <c r="G753" s="118"/>
      <c r="H753" s="27"/>
      <c r="I753" s="27"/>
      <c r="J753" s="27"/>
      <c r="K753" s="27"/>
      <c r="L753" s="27"/>
      <c r="M753" s="27"/>
      <c r="N753" s="27"/>
      <c r="O753" s="27"/>
      <c r="P753" s="27"/>
      <c r="Q753" s="27"/>
      <c r="R753" s="27"/>
      <c r="S753" s="27"/>
      <c r="T753" s="27"/>
      <c r="U753" s="27"/>
      <c r="V753" s="27"/>
      <c r="W753" s="27"/>
      <c r="X753" s="27"/>
      <c r="Y753" s="27"/>
      <c r="Z753" s="27"/>
    </row>
    <row r="754" ht="15.75" customHeight="1">
      <c r="A754" s="113"/>
      <c r="B754" s="113"/>
      <c r="C754" s="113"/>
      <c r="D754" s="36"/>
      <c r="E754" s="36"/>
      <c r="F754" s="37"/>
      <c r="G754" s="118"/>
      <c r="H754" s="27"/>
      <c r="I754" s="27"/>
      <c r="J754" s="27"/>
      <c r="K754" s="27"/>
      <c r="L754" s="27"/>
      <c r="M754" s="27"/>
      <c r="N754" s="27"/>
      <c r="O754" s="27"/>
      <c r="P754" s="27"/>
      <c r="Q754" s="27"/>
      <c r="R754" s="27"/>
      <c r="S754" s="27"/>
      <c r="T754" s="27"/>
      <c r="U754" s="27"/>
      <c r="V754" s="27"/>
      <c r="W754" s="27"/>
      <c r="X754" s="27"/>
      <c r="Y754" s="27"/>
      <c r="Z754" s="27"/>
    </row>
    <row r="755" ht="15.75" customHeight="1">
      <c r="A755" s="113"/>
      <c r="B755" s="113"/>
      <c r="C755" s="113"/>
      <c r="D755" s="36"/>
      <c r="E755" s="36"/>
      <c r="F755" s="37"/>
      <c r="G755" s="118"/>
      <c r="H755" s="27"/>
      <c r="I755" s="27"/>
      <c r="J755" s="27"/>
      <c r="K755" s="27"/>
      <c r="L755" s="27"/>
      <c r="M755" s="27"/>
      <c r="N755" s="27"/>
      <c r="O755" s="27"/>
      <c r="P755" s="27"/>
      <c r="Q755" s="27"/>
      <c r="R755" s="27"/>
      <c r="S755" s="27"/>
      <c r="T755" s="27"/>
      <c r="U755" s="27"/>
      <c r="V755" s="27"/>
      <c r="W755" s="27"/>
      <c r="X755" s="27"/>
      <c r="Y755" s="27"/>
      <c r="Z755" s="27"/>
    </row>
    <row r="756" ht="15.75" customHeight="1">
      <c r="A756" s="113"/>
      <c r="B756" s="113"/>
      <c r="C756" s="113"/>
      <c r="D756" s="36"/>
      <c r="E756" s="36"/>
      <c r="F756" s="37"/>
      <c r="G756" s="118"/>
      <c r="H756" s="27"/>
      <c r="I756" s="27"/>
      <c r="J756" s="27"/>
      <c r="K756" s="27"/>
      <c r="L756" s="27"/>
      <c r="M756" s="27"/>
      <c r="N756" s="27"/>
      <c r="O756" s="27"/>
      <c r="P756" s="27"/>
      <c r="Q756" s="27"/>
      <c r="R756" s="27"/>
      <c r="S756" s="27"/>
      <c r="T756" s="27"/>
      <c r="U756" s="27"/>
      <c r="V756" s="27"/>
      <c r="W756" s="27"/>
      <c r="X756" s="27"/>
      <c r="Y756" s="27"/>
      <c r="Z756" s="27"/>
    </row>
    <row r="757" ht="15.75" customHeight="1">
      <c r="A757" s="113"/>
      <c r="B757" s="113"/>
      <c r="C757" s="113"/>
      <c r="D757" s="36"/>
      <c r="E757" s="36"/>
      <c r="F757" s="37"/>
      <c r="G757" s="118"/>
      <c r="H757" s="27"/>
      <c r="I757" s="27"/>
      <c r="J757" s="27"/>
      <c r="K757" s="27"/>
      <c r="L757" s="27"/>
      <c r="M757" s="27"/>
      <c r="N757" s="27"/>
      <c r="O757" s="27"/>
      <c r="P757" s="27"/>
      <c r="Q757" s="27"/>
      <c r="R757" s="27"/>
      <c r="S757" s="27"/>
      <c r="T757" s="27"/>
      <c r="U757" s="27"/>
      <c r="V757" s="27"/>
      <c r="W757" s="27"/>
      <c r="X757" s="27"/>
      <c r="Y757" s="27"/>
      <c r="Z757" s="27"/>
    </row>
    <row r="758" ht="15.75" customHeight="1">
      <c r="A758" s="113"/>
      <c r="B758" s="113"/>
      <c r="C758" s="113"/>
      <c r="D758" s="36"/>
      <c r="E758" s="36"/>
      <c r="F758" s="37"/>
      <c r="G758" s="118"/>
      <c r="H758" s="27"/>
      <c r="I758" s="27"/>
      <c r="J758" s="27"/>
      <c r="K758" s="27"/>
      <c r="L758" s="27"/>
      <c r="M758" s="27"/>
      <c r="N758" s="27"/>
      <c r="O758" s="27"/>
      <c r="P758" s="27"/>
      <c r="Q758" s="27"/>
      <c r="R758" s="27"/>
      <c r="S758" s="27"/>
      <c r="T758" s="27"/>
      <c r="U758" s="27"/>
      <c r="V758" s="27"/>
      <c r="W758" s="27"/>
      <c r="X758" s="27"/>
      <c r="Y758" s="27"/>
      <c r="Z758" s="27"/>
    </row>
    <row r="759" ht="15.75" customHeight="1">
      <c r="A759" s="113"/>
      <c r="B759" s="113"/>
      <c r="C759" s="113"/>
      <c r="D759" s="36"/>
      <c r="E759" s="36"/>
      <c r="F759" s="37"/>
      <c r="G759" s="118"/>
      <c r="H759" s="27"/>
      <c r="I759" s="27"/>
      <c r="J759" s="27"/>
      <c r="K759" s="27"/>
      <c r="L759" s="27"/>
      <c r="M759" s="27"/>
      <c r="N759" s="27"/>
      <c r="O759" s="27"/>
      <c r="P759" s="27"/>
      <c r="Q759" s="27"/>
      <c r="R759" s="27"/>
      <c r="S759" s="27"/>
      <c r="T759" s="27"/>
      <c r="U759" s="27"/>
      <c r="V759" s="27"/>
      <c r="W759" s="27"/>
      <c r="X759" s="27"/>
      <c r="Y759" s="27"/>
      <c r="Z759" s="27"/>
    </row>
    <row r="760" ht="15.75" customHeight="1">
      <c r="A760" s="113"/>
      <c r="B760" s="113"/>
      <c r="C760" s="113"/>
      <c r="D760" s="36"/>
      <c r="E760" s="36"/>
      <c r="F760" s="37"/>
      <c r="G760" s="118"/>
      <c r="H760" s="27"/>
      <c r="I760" s="27"/>
      <c r="J760" s="27"/>
      <c r="K760" s="27"/>
      <c r="L760" s="27"/>
      <c r="M760" s="27"/>
      <c r="N760" s="27"/>
      <c r="O760" s="27"/>
      <c r="P760" s="27"/>
      <c r="Q760" s="27"/>
      <c r="R760" s="27"/>
      <c r="S760" s="27"/>
      <c r="T760" s="27"/>
      <c r="U760" s="27"/>
      <c r="V760" s="27"/>
      <c r="W760" s="27"/>
      <c r="X760" s="27"/>
      <c r="Y760" s="27"/>
      <c r="Z760" s="27"/>
    </row>
    <row r="761" ht="15.75" customHeight="1">
      <c r="A761" s="113"/>
      <c r="B761" s="113"/>
      <c r="C761" s="113"/>
      <c r="D761" s="36"/>
      <c r="E761" s="36"/>
      <c r="F761" s="37"/>
      <c r="G761" s="118"/>
      <c r="H761" s="27"/>
      <c r="I761" s="27"/>
      <c r="J761" s="27"/>
      <c r="K761" s="27"/>
      <c r="L761" s="27"/>
      <c r="M761" s="27"/>
      <c r="N761" s="27"/>
      <c r="O761" s="27"/>
      <c r="P761" s="27"/>
      <c r="Q761" s="27"/>
      <c r="R761" s="27"/>
      <c r="S761" s="27"/>
      <c r="T761" s="27"/>
      <c r="U761" s="27"/>
      <c r="V761" s="27"/>
      <c r="W761" s="27"/>
      <c r="X761" s="27"/>
      <c r="Y761" s="27"/>
      <c r="Z761" s="27"/>
    </row>
    <row r="762" ht="15.75" customHeight="1">
      <c r="A762" s="113"/>
      <c r="B762" s="113"/>
      <c r="C762" s="113"/>
      <c r="D762" s="36"/>
      <c r="E762" s="36"/>
      <c r="F762" s="37"/>
      <c r="G762" s="118"/>
      <c r="H762" s="27"/>
      <c r="I762" s="27"/>
      <c r="J762" s="27"/>
      <c r="K762" s="27"/>
      <c r="L762" s="27"/>
      <c r="M762" s="27"/>
      <c r="N762" s="27"/>
      <c r="O762" s="27"/>
      <c r="P762" s="27"/>
      <c r="Q762" s="27"/>
      <c r="R762" s="27"/>
      <c r="S762" s="27"/>
      <c r="T762" s="27"/>
      <c r="U762" s="27"/>
      <c r="V762" s="27"/>
      <c r="W762" s="27"/>
      <c r="X762" s="27"/>
      <c r="Y762" s="27"/>
      <c r="Z762" s="27"/>
    </row>
    <row r="763" ht="15.75" customHeight="1">
      <c r="A763" s="113"/>
      <c r="B763" s="113"/>
      <c r="C763" s="113"/>
      <c r="D763" s="36"/>
      <c r="E763" s="36"/>
      <c r="F763" s="37"/>
      <c r="G763" s="118"/>
      <c r="H763" s="27"/>
      <c r="I763" s="27"/>
      <c r="J763" s="27"/>
      <c r="K763" s="27"/>
      <c r="L763" s="27"/>
      <c r="M763" s="27"/>
      <c r="N763" s="27"/>
      <c r="O763" s="27"/>
      <c r="P763" s="27"/>
      <c r="Q763" s="27"/>
      <c r="R763" s="27"/>
      <c r="S763" s="27"/>
      <c r="T763" s="27"/>
      <c r="U763" s="27"/>
      <c r="V763" s="27"/>
      <c r="W763" s="27"/>
      <c r="X763" s="27"/>
      <c r="Y763" s="27"/>
      <c r="Z763" s="27"/>
    </row>
    <row r="764" ht="15.75" customHeight="1">
      <c r="A764" s="113"/>
      <c r="B764" s="113"/>
      <c r="C764" s="113"/>
      <c r="D764" s="36"/>
      <c r="E764" s="36"/>
      <c r="F764" s="37"/>
      <c r="G764" s="118"/>
      <c r="H764" s="27"/>
      <c r="I764" s="27"/>
      <c r="J764" s="27"/>
      <c r="K764" s="27"/>
      <c r="L764" s="27"/>
      <c r="M764" s="27"/>
      <c r="N764" s="27"/>
      <c r="O764" s="27"/>
      <c r="P764" s="27"/>
      <c r="Q764" s="27"/>
      <c r="R764" s="27"/>
      <c r="S764" s="27"/>
      <c r="T764" s="27"/>
      <c r="U764" s="27"/>
      <c r="V764" s="27"/>
      <c r="W764" s="27"/>
      <c r="X764" s="27"/>
      <c r="Y764" s="27"/>
      <c r="Z764" s="27"/>
    </row>
    <row r="765" ht="15.75" customHeight="1">
      <c r="A765" s="113"/>
      <c r="B765" s="113"/>
      <c r="C765" s="113"/>
      <c r="D765" s="36"/>
      <c r="E765" s="36"/>
      <c r="F765" s="37"/>
      <c r="G765" s="118"/>
      <c r="H765" s="27"/>
      <c r="I765" s="27"/>
      <c r="J765" s="27"/>
      <c r="K765" s="27"/>
      <c r="L765" s="27"/>
      <c r="M765" s="27"/>
      <c r="N765" s="27"/>
      <c r="O765" s="27"/>
      <c r="P765" s="27"/>
      <c r="Q765" s="27"/>
      <c r="R765" s="27"/>
      <c r="S765" s="27"/>
      <c r="T765" s="27"/>
      <c r="U765" s="27"/>
      <c r="V765" s="27"/>
      <c r="W765" s="27"/>
      <c r="X765" s="27"/>
      <c r="Y765" s="27"/>
      <c r="Z765" s="27"/>
    </row>
    <row r="766" ht="15.75" customHeight="1">
      <c r="A766" s="113"/>
      <c r="B766" s="113"/>
      <c r="C766" s="113"/>
      <c r="D766" s="36"/>
      <c r="E766" s="36"/>
      <c r="F766" s="37"/>
      <c r="G766" s="118"/>
      <c r="H766" s="27"/>
      <c r="I766" s="27"/>
      <c r="J766" s="27"/>
      <c r="K766" s="27"/>
      <c r="L766" s="27"/>
      <c r="M766" s="27"/>
      <c r="N766" s="27"/>
      <c r="O766" s="27"/>
      <c r="P766" s="27"/>
      <c r="Q766" s="27"/>
      <c r="R766" s="27"/>
      <c r="S766" s="27"/>
      <c r="T766" s="27"/>
      <c r="U766" s="27"/>
      <c r="V766" s="27"/>
      <c r="W766" s="27"/>
      <c r="X766" s="27"/>
      <c r="Y766" s="27"/>
      <c r="Z766" s="27"/>
    </row>
    <row r="767" ht="15.75" customHeight="1">
      <c r="A767" s="113"/>
      <c r="B767" s="113"/>
      <c r="C767" s="113"/>
      <c r="D767" s="36"/>
      <c r="E767" s="36"/>
      <c r="F767" s="37"/>
      <c r="G767" s="118"/>
      <c r="H767" s="27"/>
      <c r="I767" s="27"/>
      <c r="J767" s="27"/>
      <c r="K767" s="27"/>
      <c r="L767" s="27"/>
      <c r="M767" s="27"/>
      <c r="N767" s="27"/>
      <c r="O767" s="27"/>
      <c r="P767" s="27"/>
      <c r="Q767" s="27"/>
      <c r="R767" s="27"/>
      <c r="S767" s="27"/>
      <c r="T767" s="27"/>
      <c r="U767" s="27"/>
      <c r="V767" s="27"/>
      <c r="W767" s="27"/>
      <c r="X767" s="27"/>
      <c r="Y767" s="27"/>
      <c r="Z767" s="27"/>
    </row>
    <row r="768" ht="15.75" customHeight="1">
      <c r="A768" s="113"/>
      <c r="B768" s="113"/>
      <c r="C768" s="113"/>
      <c r="D768" s="36"/>
      <c r="E768" s="36"/>
      <c r="F768" s="37"/>
      <c r="G768" s="118"/>
      <c r="H768" s="27"/>
      <c r="I768" s="27"/>
      <c r="J768" s="27"/>
      <c r="K768" s="27"/>
      <c r="L768" s="27"/>
      <c r="M768" s="27"/>
      <c r="N768" s="27"/>
      <c r="O768" s="27"/>
      <c r="P768" s="27"/>
      <c r="Q768" s="27"/>
      <c r="R768" s="27"/>
      <c r="S768" s="27"/>
      <c r="T768" s="27"/>
      <c r="U768" s="27"/>
      <c r="V768" s="27"/>
      <c r="W768" s="27"/>
      <c r="X768" s="27"/>
      <c r="Y768" s="27"/>
      <c r="Z768" s="27"/>
    </row>
    <row r="769" ht="15.75" customHeight="1">
      <c r="A769" s="113"/>
      <c r="B769" s="113"/>
      <c r="C769" s="113"/>
      <c r="D769" s="36"/>
      <c r="E769" s="36"/>
      <c r="F769" s="37"/>
      <c r="G769" s="118"/>
      <c r="H769" s="27"/>
      <c r="I769" s="27"/>
      <c r="J769" s="27"/>
      <c r="K769" s="27"/>
      <c r="L769" s="27"/>
      <c r="M769" s="27"/>
      <c r="N769" s="27"/>
      <c r="O769" s="27"/>
      <c r="P769" s="27"/>
      <c r="Q769" s="27"/>
      <c r="R769" s="27"/>
      <c r="S769" s="27"/>
      <c r="T769" s="27"/>
      <c r="U769" s="27"/>
      <c r="V769" s="27"/>
      <c r="W769" s="27"/>
      <c r="X769" s="27"/>
      <c r="Y769" s="27"/>
      <c r="Z769" s="27"/>
    </row>
    <row r="770" ht="15.75" customHeight="1">
      <c r="A770" s="113"/>
      <c r="B770" s="113"/>
      <c r="C770" s="113"/>
      <c r="D770" s="36"/>
      <c r="E770" s="36"/>
      <c r="F770" s="37"/>
      <c r="G770" s="118"/>
      <c r="H770" s="27"/>
      <c r="I770" s="27"/>
      <c r="J770" s="27"/>
      <c r="K770" s="27"/>
      <c r="L770" s="27"/>
      <c r="M770" s="27"/>
      <c r="N770" s="27"/>
      <c r="O770" s="27"/>
      <c r="P770" s="27"/>
      <c r="Q770" s="27"/>
      <c r="R770" s="27"/>
      <c r="S770" s="27"/>
      <c r="T770" s="27"/>
      <c r="U770" s="27"/>
      <c r="V770" s="27"/>
      <c r="W770" s="27"/>
      <c r="X770" s="27"/>
      <c r="Y770" s="27"/>
      <c r="Z770" s="27"/>
    </row>
    <row r="771" ht="15.75" customHeight="1">
      <c r="A771" s="113"/>
      <c r="B771" s="113"/>
      <c r="C771" s="113"/>
      <c r="D771" s="36"/>
      <c r="E771" s="36"/>
      <c r="F771" s="37"/>
      <c r="G771" s="118"/>
      <c r="H771" s="27"/>
      <c r="I771" s="27"/>
      <c r="J771" s="27"/>
      <c r="K771" s="27"/>
      <c r="L771" s="27"/>
      <c r="M771" s="27"/>
      <c r="N771" s="27"/>
      <c r="O771" s="27"/>
      <c r="P771" s="27"/>
      <c r="Q771" s="27"/>
      <c r="R771" s="27"/>
      <c r="S771" s="27"/>
      <c r="T771" s="27"/>
      <c r="U771" s="27"/>
      <c r="V771" s="27"/>
      <c r="W771" s="27"/>
      <c r="X771" s="27"/>
      <c r="Y771" s="27"/>
      <c r="Z771" s="27"/>
    </row>
    <row r="772" ht="15.75" customHeight="1">
      <c r="A772" s="113"/>
      <c r="B772" s="113"/>
      <c r="C772" s="113"/>
      <c r="D772" s="36"/>
      <c r="E772" s="36"/>
      <c r="F772" s="37"/>
      <c r="G772" s="118"/>
      <c r="H772" s="27"/>
      <c r="I772" s="27"/>
      <c r="J772" s="27"/>
      <c r="K772" s="27"/>
      <c r="L772" s="27"/>
      <c r="M772" s="27"/>
      <c r="N772" s="27"/>
      <c r="O772" s="27"/>
      <c r="P772" s="27"/>
      <c r="Q772" s="27"/>
      <c r="R772" s="27"/>
      <c r="S772" s="27"/>
      <c r="T772" s="27"/>
      <c r="U772" s="27"/>
      <c r="V772" s="27"/>
      <c r="W772" s="27"/>
      <c r="X772" s="27"/>
      <c r="Y772" s="27"/>
      <c r="Z772" s="27"/>
    </row>
    <row r="773" ht="15.75" customHeight="1">
      <c r="A773" s="113"/>
      <c r="B773" s="113"/>
      <c r="C773" s="113"/>
      <c r="D773" s="36"/>
      <c r="E773" s="36"/>
      <c r="F773" s="37"/>
      <c r="G773" s="118"/>
      <c r="H773" s="27"/>
      <c r="I773" s="27"/>
      <c r="J773" s="27"/>
      <c r="K773" s="27"/>
      <c r="L773" s="27"/>
      <c r="M773" s="27"/>
      <c r="N773" s="27"/>
      <c r="O773" s="27"/>
      <c r="P773" s="27"/>
      <c r="Q773" s="27"/>
      <c r="R773" s="27"/>
      <c r="S773" s="27"/>
      <c r="T773" s="27"/>
      <c r="U773" s="27"/>
      <c r="V773" s="27"/>
      <c r="W773" s="27"/>
      <c r="X773" s="27"/>
      <c r="Y773" s="27"/>
      <c r="Z773" s="27"/>
    </row>
    <row r="774" ht="15.75" customHeight="1">
      <c r="A774" s="113"/>
      <c r="B774" s="113"/>
      <c r="C774" s="113"/>
      <c r="D774" s="36"/>
      <c r="E774" s="36"/>
      <c r="F774" s="37"/>
      <c r="G774" s="118"/>
      <c r="H774" s="27"/>
      <c r="I774" s="27"/>
      <c r="J774" s="27"/>
      <c r="K774" s="27"/>
      <c r="L774" s="27"/>
      <c r="M774" s="27"/>
      <c r="N774" s="27"/>
      <c r="O774" s="27"/>
      <c r="P774" s="27"/>
      <c r="Q774" s="27"/>
      <c r="R774" s="27"/>
      <c r="S774" s="27"/>
      <c r="T774" s="27"/>
      <c r="U774" s="27"/>
      <c r="V774" s="27"/>
      <c r="W774" s="27"/>
      <c r="X774" s="27"/>
      <c r="Y774" s="27"/>
      <c r="Z774" s="27"/>
    </row>
    <row r="775" ht="15.75" customHeight="1">
      <c r="A775" s="113"/>
      <c r="B775" s="113"/>
      <c r="C775" s="113"/>
      <c r="D775" s="36"/>
      <c r="E775" s="36"/>
      <c r="F775" s="37"/>
      <c r="G775" s="118"/>
      <c r="H775" s="27"/>
      <c r="I775" s="27"/>
      <c r="J775" s="27"/>
      <c r="K775" s="27"/>
      <c r="L775" s="27"/>
      <c r="M775" s="27"/>
      <c r="N775" s="27"/>
      <c r="O775" s="27"/>
      <c r="P775" s="27"/>
      <c r="Q775" s="27"/>
      <c r="R775" s="27"/>
      <c r="S775" s="27"/>
      <c r="T775" s="27"/>
      <c r="U775" s="27"/>
      <c r="V775" s="27"/>
      <c r="W775" s="27"/>
      <c r="X775" s="27"/>
      <c r="Y775" s="27"/>
      <c r="Z775" s="27"/>
    </row>
    <row r="776" ht="15.75" customHeight="1">
      <c r="A776" s="113"/>
      <c r="B776" s="113"/>
      <c r="C776" s="113"/>
      <c r="D776" s="36"/>
      <c r="E776" s="36"/>
      <c r="F776" s="37"/>
      <c r="G776" s="118"/>
      <c r="H776" s="27"/>
      <c r="I776" s="27"/>
      <c r="J776" s="27"/>
      <c r="K776" s="27"/>
      <c r="L776" s="27"/>
      <c r="M776" s="27"/>
      <c r="N776" s="27"/>
      <c r="O776" s="27"/>
      <c r="P776" s="27"/>
      <c r="Q776" s="27"/>
      <c r="R776" s="27"/>
      <c r="S776" s="27"/>
      <c r="T776" s="27"/>
      <c r="U776" s="27"/>
      <c r="V776" s="27"/>
      <c r="W776" s="27"/>
      <c r="X776" s="27"/>
      <c r="Y776" s="27"/>
      <c r="Z776" s="27"/>
    </row>
    <row r="777" ht="15.75" customHeight="1">
      <c r="A777" s="113"/>
      <c r="B777" s="113"/>
      <c r="C777" s="113"/>
      <c r="D777" s="36"/>
      <c r="E777" s="36"/>
      <c r="F777" s="37"/>
      <c r="G777" s="118"/>
      <c r="H777" s="27"/>
      <c r="I777" s="27"/>
      <c r="J777" s="27"/>
      <c r="K777" s="27"/>
      <c r="L777" s="27"/>
      <c r="M777" s="27"/>
      <c r="N777" s="27"/>
      <c r="O777" s="27"/>
      <c r="P777" s="27"/>
      <c r="Q777" s="27"/>
      <c r="R777" s="27"/>
      <c r="S777" s="27"/>
      <c r="T777" s="27"/>
      <c r="U777" s="27"/>
      <c r="V777" s="27"/>
      <c r="W777" s="27"/>
      <c r="X777" s="27"/>
      <c r="Y777" s="27"/>
      <c r="Z777" s="27"/>
    </row>
    <row r="778" ht="15.75" customHeight="1">
      <c r="A778" s="113"/>
      <c r="B778" s="113"/>
      <c r="C778" s="113"/>
      <c r="D778" s="36"/>
      <c r="E778" s="36"/>
      <c r="F778" s="37"/>
      <c r="G778" s="118"/>
      <c r="H778" s="27"/>
      <c r="I778" s="27"/>
      <c r="J778" s="27"/>
      <c r="K778" s="27"/>
      <c r="L778" s="27"/>
      <c r="M778" s="27"/>
      <c r="N778" s="27"/>
      <c r="O778" s="27"/>
      <c r="P778" s="27"/>
      <c r="Q778" s="27"/>
      <c r="R778" s="27"/>
      <c r="S778" s="27"/>
      <c r="T778" s="27"/>
      <c r="U778" s="27"/>
      <c r="V778" s="27"/>
      <c r="W778" s="27"/>
      <c r="X778" s="27"/>
      <c r="Y778" s="27"/>
      <c r="Z778" s="27"/>
    </row>
    <row r="779" ht="15.75" customHeight="1">
      <c r="A779" s="113"/>
      <c r="B779" s="113"/>
      <c r="C779" s="113"/>
      <c r="D779" s="36"/>
      <c r="E779" s="36"/>
      <c r="F779" s="37"/>
      <c r="G779" s="118"/>
      <c r="H779" s="27"/>
      <c r="I779" s="27"/>
      <c r="J779" s="27"/>
      <c r="K779" s="27"/>
      <c r="L779" s="27"/>
      <c r="M779" s="27"/>
      <c r="N779" s="27"/>
      <c r="O779" s="27"/>
      <c r="P779" s="27"/>
      <c r="Q779" s="27"/>
      <c r="R779" s="27"/>
      <c r="S779" s="27"/>
      <c r="T779" s="27"/>
      <c r="U779" s="27"/>
      <c r="V779" s="27"/>
      <c r="W779" s="27"/>
      <c r="X779" s="27"/>
      <c r="Y779" s="27"/>
      <c r="Z779" s="27"/>
    </row>
    <row r="780" ht="15.75" customHeight="1">
      <c r="A780" s="113"/>
      <c r="B780" s="113"/>
      <c r="C780" s="113"/>
      <c r="D780" s="36"/>
      <c r="E780" s="36"/>
      <c r="F780" s="37"/>
      <c r="G780" s="118"/>
      <c r="H780" s="27"/>
      <c r="I780" s="27"/>
      <c r="J780" s="27"/>
      <c r="K780" s="27"/>
      <c r="L780" s="27"/>
      <c r="M780" s="27"/>
      <c r="N780" s="27"/>
      <c r="O780" s="27"/>
      <c r="P780" s="27"/>
      <c r="Q780" s="27"/>
      <c r="R780" s="27"/>
      <c r="S780" s="27"/>
      <c r="T780" s="27"/>
      <c r="U780" s="27"/>
      <c r="V780" s="27"/>
      <c r="W780" s="27"/>
      <c r="X780" s="27"/>
      <c r="Y780" s="27"/>
      <c r="Z780" s="27"/>
    </row>
    <row r="781" ht="15.75" customHeight="1">
      <c r="A781" s="113"/>
      <c r="B781" s="113"/>
      <c r="C781" s="113"/>
      <c r="D781" s="36"/>
      <c r="E781" s="36"/>
      <c r="F781" s="37"/>
      <c r="G781" s="118"/>
      <c r="H781" s="27"/>
      <c r="I781" s="27"/>
      <c r="J781" s="27"/>
      <c r="K781" s="27"/>
      <c r="L781" s="27"/>
      <c r="M781" s="27"/>
      <c r="N781" s="27"/>
      <c r="O781" s="27"/>
      <c r="P781" s="27"/>
      <c r="Q781" s="27"/>
      <c r="R781" s="27"/>
      <c r="S781" s="27"/>
      <c r="T781" s="27"/>
      <c r="U781" s="27"/>
      <c r="V781" s="27"/>
      <c r="W781" s="27"/>
      <c r="X781" s="27"/>
      <c r="Y781" s="27"/>
      <c r="Z781" s="27"/>
    </row>
    <row r="782" ht="15.75" customHeight="1">
      <c r="A782" s="113"/>
      <c r="B782" s="113"/>
      <c r="C782" s="113"/>
      <c r="D782" s="36"/>
      <c r="E782" s="36"/>
      <c r="F782" s="37"/>
      <c r="G782" s="118"/>
      <c r="H782" s="27"/>
      <c r="I782" s="27"/>
      <c r="J782" s="27"/>
      <c r="K782" s="27"/>
      <c r="L782" s="27"/>
      <c r="M782" s="27"/>
      <c r="N782" s="27"/>
      <c r="O782" s="27"/>
      <c r="P782" s="27"/>
      <c r="Q782" s="27"/>
      <c r="R782" s="27"/>
      <c r="S782" s="27"/>
      <c r="T782" s="27"/>
      <c r="U782" s="27"/>
      <c r="V782" s="27"/>
      <c r="W782" s="27"/>
      <c r="X782" s="27"/>
      <c r="Y782" s="27"/>
      <c r="Z782" s="27"/>
    </row>
    <row r="783" ht="15.75" customHeight="1">
      <c r="A783" s="113"/>
      <c r="B783" s="113"/>
      <c r="C783" s="113"/>
      <c r="D783" s="36"/>
      <c r="E783" s="36"/>
      <c r="F783" s="37"/>
      <c r="G783" s="118"/>
      <c r="H783" s="27"/>
      <c r="I783" s="27"/>
      <c r="J783" s="27"/>
      <c r="K783" s="27"/>
      <c r="L783" s="27"/>
      <c r="M783" s="27"/>
      <c r="N783" s="27"/>
      <c r="O783" s="27"/>
      <c r="P783" s="27"/>
      <c r="Q783" s="27"/>
      <c r="R783" s="27"/>
      <c r="S783" s="27"/>
      <c r="T783" s="27"/>
      <c r="U783" s="27"/>
      <c r="V783" s="27"/>
      <c r="W783" s="27"/>
      <c r="X783" s="27"/>
      <c r="Y783" s="27"/>
      <c r="Z783" s="27"/>
    </row>
    <row r="784" ht="15.75" customHeight="1">
      <c r="A784" s="113"/>
      <c r="B784" s="113"/>
      <c r="C784" s="113"/>
      <c r="D784" s="36"/>
      <c r="E784" s="36"/>
      <c r="F784" s="37"/>
      <c r="G784" s="118"/>
      <c r="H784" s="27"/>
      <c r="I784" s="27"/>
      <c r="J784" s="27"/>
      <c r="K784" s="27"/>
      <c r="L784" s="27"/>
      <c r="M784" s="27"/>
      <c r="N784" s="27"/>
      <c r="O784" s="27"/>
      <c r="P784" s="27"/>
      <c r="Q784" s="27"/>
      <c r="R784" s="27"/>
      <c r="S784" s="27"/>
      <c r="T784" s="27"/>
      <c r="U784" s="27"/>
      <c r="V784" s="27"/>
      <c r="W784" s="27"/>
      <c r="X784" s="27"/>
      <c r="Y784" s="27"/>
      <c r="Z784" s="27"/>
    </row>
    <row r="785" ht="15.75" customHeight="1">
      <c r="A785" s="113"/>
      <c r="B785" s="113"/>
      <c r="C785" s="113"/>
      <c r="D785" s="36"/>
      <c r="E785" s="36"/>
      <c r="F785" s="37"/>
      <c r="G785" s="118"/>
      <c r="H785" s="27"/>
      <c r="I785" s="27"/>
      <c r="J785" s="27"/>
      <c r="K785" s="27"/>
      <c r="L785" s="27"/>
      <c r="M785" s="27"/>
      <c r="N785" s="27"/>
      <c r="O785" s="27"/>
      <c r="P785" s="27"/>
      <c r="Q785" s="27"/>
      <c r="R785" s="27"/>
      <c r="S785" s="27"/>
      <c r="T785" s="27"/>
      <c r="U785" s="27"/>
      <c r="V785" s="27"/>
      <c r="W785" s="27"/>
      <c r="X785" s="27"/>
      <c r="Y785" s="27"/>
      <c r="Z785" s="27"/>
    </row>
    <row r="786" ht="15.75" customHeight="1">
      <c r="A786" s="113"/>
      <c r="B786" s="113"/>
      <c r="C786" s="113"/>
      <c r="D786" s="36"/>
      <c r="E786" s="36"/>
      <c r="F786" s="37"/>
      <c r="G786" s="118"/>
      <c r="H786" s="27"/>
      <c r="I786" s="27"/>
      <c r="J786" s="27"/>
      <c r="K786" s="27"/>
      <c r="L786" s="27"/>
      <c r="M786" s="27"/>
      <c r="N786" s="27"/>
      <c r="O786" s="27"/>
      <c r="P786" s="27"/>
      <c r="Q786" s="27"/>
      <c r="R786" s="27"/>
      <c r="S786" s="27"/>
      <c r="T786" s="27"/>
      <c r="U786" s="27"/>
      <c r="V786" s="27"/>
      <c r="W786" s="27"/>
      <c r="X786" s="27"/>
      <c r="Y786" s="27"/>
      <c r="Z786" s="27"/>
    </row>
    <row r="787" ht="15.75" customHeight="1">
      <c r="A787" s="113"/>
      <c r="B787" s="113"/>
      <c r="C787" s="113"/>
      <c r="D787" s="36"/>
      <c r="E787" s="36"/>
      <c r="F787" s="37"/>
      <c r="G787" s="118"/>
      <c r="H787" s="27"/>
      <c r="I787" s="27"/>
      <c r="J787" s="27"/>
      <c r="K787" s="27"/>
      <c r="L787" s="27"/>
      <c r="M787" s="27"/>
      <c r="N787" s="27"/>
      <c r="O787" s="27"/>
      <c r="P787" s="27"/>
      <c r="Q787" s="27"/>
      <c r="R787" s="27"/>
      <c r="S787" s="27"/>
      <c r="T787" s="27"/>
      <c r="U787" s="27"/>
      <c r="V787" s="27"/>
      <c r="W787" s="27"/>
      <c r="X787" s="27"/>
      <c r="Y787" s="27"/>
      <c r="Z787" s="27"/>
    </row>
    <row r="788" ht="15.75" customHeight="1">
      <c r="A788" s="113"/>
      <c r="B788" s="113"/>
      <c r="C788" s="113"/>
      <c r="D788" s="36"/>
      <c r="E788" s="36"/>
      <c r="F788" s="37"/>
      <c r="G788" s="118"/>
      <c r="H788" s="27"/>
      <c r="I788" s="27"/>
      <c r="J788" s="27"/>
      <c r="K788" s="27"/>
      <c r="L788" s="27"/>
      <c r="M788" s="27"/>
      <c r="N788" s="27"/>
      <c r="O788" s="27"/>
      <c r="P788" s="27"/>
      <c r="Q788" s="27"/>
      <c r="R788" s="27"/>
      <c r="S788" s="27"/>
      <c r="T788" s="27"/>
      <c r="U788" s="27"/>
      <c r="V788" s="27"/>
      <c r="W788" s="27"/>
      <c r="X788" s="27"/>
      <c r="Y788" s="27"/>
      <c r="Z788" s="27"/>
    </row>
    <row r="789" ht="15.75" customHeight="1">
      <c r="A789" s="113"/>
      <c r="B789" s="113"/>
      <c r="C789" s="113"/>
      <c r="D789" s="36"/>
      <c r="E789" s="36"/>
      <c r="F789" s="37"/>
      <c r="G789" s="118"/>
      <c r="H789" s="27"/>
      <c r="I789" s="27"/>
      <c r="J789" s="27"/>
      <c r="K789" s="27"/>
      <c r="L789" s="27"/>
      <c r="M789" s="27"/>
      <c r="N789" s="27"/>
      <c r="O789" s="27"/>
      <c r="P789" s="27"/>
      <c r="Q789" s="27"/>
      <c r="R789" s="27"/>
      <c r="S789" s="27"/>
      <c r="T789" s="27"/>
      <c r="U789" s="27"/>
      <c r="V789" s="27"/>
      <c r="W789" s="27"/>
      <c r="X789" s="27"/>
      <c r="Y789" s="27"/>
      <c r="Z789" s="27"/>
    </row>
    <row r="790" ht="15.75" customHeight="1">
      <c r="A790" s="113"/>
      <c r="B790" s="113"/>
      <c r="C790" s="113"/>
      <c r="D790" s="36"/>
      <c r="E790" s="36"/>
      <c r="F790" s="37"/>
      <c r="G790" s="118"/>
      <c r="H790" s="27"/>
      <c r="I790" s="27"/>
      <c r="J790" s="27"/>
      <c r="K790" s="27"/>
      <c r="L790" s="27"/>
      <c r="M790" s="27"/>
      <c r="N790" s="27"/>
      <c r="O790" s="27"/>
      <c r="P790" s="27"/>
      <c r="Q790" s="27"/>
      <c r="R790" s="27"/>
      <c r="S790" s="27"/>
      <c r="T790" s="27"/>
      <c r="U790" s="27"/>
      <c r="V790" s="27"/>
      <c r="W790" s="27"/>
      <c r="X790" s="27"/>
      <c r="Y790" s="27"/>
      <c r="Z790" s="27"/>
    </row>
    <row r="791" ht="15.75" customHeight="1">
      <c r="A791" s="113"/>
      <c r="B791" s="113"/>
      <c r="C791" s="113"/>
      <c r="D791" s="36"/>
      <c r="E791" s="36"/>
      <c r="F791" s="37"/>
      <c r="G791" s="118"/>
      <c r="H791" s="27"/>
      <c r="I791" s="27"/>
      <c r="J791" s="27"/>
      <c r="K791" s="27"/>
      <c r="L791" s="27"/>
      <c r="M791" s="27"/>
      <c r="N791" s="27"/>
      <c r="O791" s="27"/>
      <c r="P791" s="27"/>
      <c r="Q791" s="27"/>
      <c r="R791" s="27"/>
      <c r="S791" s="27"/>
      <c r="T791" s="27"/>
      <c r="U791" s="27"/>
      <c r="V791" s="27"/>
      <c r="W791" s="27"/>
      <c r="X791" s="27"/>
      <c r="Y791" s="27"/>
      <c r="Z791" s="27"/>
    </row>
    <row r="792" ht="15.75" customHeight="1">
      <c r="A792" s="113"/>
      <c r="B792" s="113"/>
      <c r="C792" s="113"/>
      <c r="D792" s="36"/>
      <c r="E792" s="36"/>
      <c r="F792" s="37"/>
      <c r="G792" s="118"/>
      <c r="H792" s="27"/>
      <c r="I792" s="27"/>
      <c r="J792" s="27"/>
      <c r="K792" s="27"/>
      <c r="L792" s="27"/>
      <c r="M792" s="27"/>
      <c r="N792" s="27"/>
      <c r="O792" s="27"/>
      <c r="P792" s="27"/>
      <c r="Q792" s="27"/>
      <c r="R792" s="27"/>
      <c r="S792" s="27"/>
      <c r="T792" s="27"/>
      <c r="U792" s="27"/>
      <c r="V792" s="27"/>
      <c r="W792" s="27"/>
      <c r="X792" s="27"/>
      <c r="Y792" s="27"/>
      <c r="Z792" s="27"/>
    </row>
    <row r="793" ht="15.75" customHeight="1">
      <c r="A793" s="113"/>
      <c r="B793" s="113"/>
      <c r="C793" s="113"/>
      <c r="D793" s="36"/>
      <c r="E793" s="36"/>
      <c r="F793" s="37"/>
      <c r="G793" s="118"/>
      <c r="H793" s="27"/>
      <c r="I793" s="27"/>
      <c r="J793" s="27"/>
      <c r="K793" s="27"/>
      <c r="L793" s="27"/>
      <c r="M793" s="27"/>
      <c r="N793" s="27"/>
      <c r="O793" s="27"/>
      <c r="P793" s="27"/>
      <c r="Q793" s="27"/>
      <c r="R793" s="27"/>
      <c r="S793" s="27"/>
      <c r="T793" s="27"/>
      <c r="U793" s="27"/>
      <c r="V793" s="27"/>
      <c r="W793" s="27"/>
      <c r="X793" s="27"/>
      <c r="Y793" s="27"/>
      <c r="Z793" s="27"/>
    </row>
    <row r="794" ht="15.75" customHeight="1">
      <c r="A794" s="113"/>
      <c r="B794" s="113"/>
      <c r="C794" s="113"/>
      <c r="D794" s="36"/>
      <c r="E794" s="36"/>
      <c r="F794" s="37"/>
      <c r="G794" s="118"/>
      <c r="H794" s="27"/>
      <c r="I794" s="27"/>
      <c r="J794" s="27"/>
      <c r="K794" s="27"/>
      <c r="L794" s="27"/>
      <c r="M794" s="27"/>
      <c r="N794" s="27"/>
      <c r="O794" s="27"/>
      <c r="P794" s="27"/>
      <c r="Q794" s="27"/>
      <c r="R794" s="27"/>
      <c r="S794" s="27"/>
      <c r="T794" s="27"/>
      <c r="U794" s="27"/>
      <c r="V794" s="27"/>
      <c r="W794" s="27"/>
      <c r="X794" s="27"/>
      <c r="Y794" s="27"/>
      <c r="Z794" s="27"/>
    </row>
    <row r="795" ht="15.75" customHeight="1">
      <c r="A795" s="113"/>
      <c r="B795" s="113"/>
      <c r="C795" s="113"/>
      <c r="D795" s="36"/>
      <c r="E795" s="36"/>
      <c r="F795" s="37"/>
      <c r="G795" s="118"/>
      <c r="H795" s="27"/>
      <c r="I795" s="27"/>
      <c r="J795" s="27"/>
      <c r="K795" s="27"/>
      <c r="L795" s="27"/>
      <c r="M795" s="27"/>
      <c r="N795" s="27"/>
      <c r="O795" s="27"/>
      <c r="P795" s="27"/>
      <c r="Q795" s="27"/>
      <c r="R795" s="27"/>
      <c r="S795" s="27"/>
      <c r="T795" s="27"/>
      <c r="U795" s="27"/>
      <c r="V795" s="27"/>
      <c r="W795" s="27"/>
      <c r="X795" s="27"/>
      <c r="Y795" s="27"/>
      <c r="Z795" s="27"/>
    </row>
    <row r="796" ht="15.75" customHeight="1">
      <c r="A796" s="113"/>
      <c r="B796" s="113"/>
      <c r="C796" s="113"/>
      <c r="D796" s="36"/>
      <c r="E796" s="36"/>
      <c r="F796" s="37"/>
      <c r="G796" s="118"/>
      <c r="H796" s="27"/>
      <c r="I796" s="27"/>
      <c r="J796" s="27"/>
      <c r="K796" s="27"/>
      <c r="L796" s="27"/>
      <c r="M796" s="27"/>
      <c r="N796" s="27"/>
      <c r="O796" s="27"/>
      <c r="P796" s="27"/>
      <c r="Q796" s="27"/>
      <c r="R796" s="27"/>
      <c r="S796" s="27"/>
      <c r="T796" s="27"/>
      <c r="U796" s="27"/>
      <c r="V796" s="27"/>
      <c r="W796" s="27"/>
      <c r="X796" s="27"/>
      <c r="Y796" s="27"/>
      <c r="Z796" s="27"/>
    </row>
    <row r="797" ht="15.75" customHeight="1">
      <c r="A797" s="113"/>
      <c r="B797" s="113"/>
      <c r="C797" s="113"/>
      <c r="D797" s="36"/>
      <c r="E797" s="36"/>
      <c r="F797" s="37"/>
      <c r="G797" s="118"/>
      <c r="H797" s="27"/>
      <c r="I797" s="27"/>
      <c r="J797" s="27"/>
      <c r="K797" s="27"/>
      <c r="L797" s="27"/>
      <c r="M797" s="27"/>
      <c r="N797" s="27"/>
      <c r="O797" s="27"/>
      <c r="P797" s="27"/>
      <c r="Q797" s="27"/>
      <c r="R797" s="27"/>
      <c r="S797" s="27"/>
      <c r="T797" s="27"/>
      <c r="U797" s="27"/>
      <c r="V797" s="27"/>
      <c r="W797" s="27"/>
      <c r="X797" s="27"/>
      <c r="Y797" s="27"/>
      <c r="Z797" s="27"/>
    </row>
    <row r="798" ht="15.75" customHeight="1">
      <c r="A798" s="113"/>
      <c r="B798" s="113"/>
      <c r="C798" s="113"/>
      <c r="D798" s="36"/>
      <c r="E798" s="36"/>
      <c r="F798" s="37"/>
      <c r="G798" s="118"/>
      <c r="H798" s="27"/>
      <c r="I798" s="27"/>
      <c r="J798" s="27"/>
      <c r="K798" s="27"/>
      <c r="L798" s="27"/>
      <c r="M798" s="27"/>
      <c r="N798" s="27"/>
      <c r="O798" s="27"/>
      <c r="P798" s="27"/>
      <c r="Q798" s="27"/>
      <c r="R798" s="27"/>
      <c r="S798" s="27"/>
      <c r="T798" s="27"/>
      <c r="U798" s="27"/>
      <c r="V798" s="27"/>
      <c r="W798" s="27"/>
      <c r="X798" s="27"/>
      <c r="Y798" s="27"/>
      <c r="Z798" s="27"/>
    </row>
    <row r="799" ht="15.75" customHeight="1">
      <c r="A799" s="113"/>
      <c r="B799" s="113"/>
      <c r="C799" s="113"/>
      <c r="D799" s="36"/>
      <c r="E799" s="36"/>
      <c r="F799" s="37"/>
      <c r="G799" s="118"/>
      <c r="H799" s="27"/>
      <c r="I799" s="27"/>
      <c r="J799" s="27"/>
      <c r="K799" s="27"/>
      <c r="L799" s="27"/>
      <c r="M799" s="27"/>
      <c r="N799" s="27"/>
      <c r="O799" s="27"/>
      <c r="P799" s="27"/>
      <c r="Q799" s="27"/>
      <c r="R799" s="27"/>
      <c r="S799" s="27"/>
      <c r="T799" s="27"/>
      <c r="U799" s="27"/>
      <c r="V799" s="27"/>
      <c r="W799" s="27"/>
      <c r="X799" s="27"/>
      <c r="Y799" s="27"/>
      <c r="Z799" s="27"/>
    </row>
    <row r="800" ht="15.75" customHeight="1">
      <c r="A800" s="113"/>
      <c r="B800" s="113"/>
      <c r="C800" s="113"/>
      <c r="D800" s="36"/>
      <c r="E800" s="36"/>
      <c r="F800" s="37"/>
      <c r="G800" s="118"/>
      <c r="H800" s="27"/>
      <c r="I800" s="27"/>
      <c r="J800" s="27"/>
      <c r="K800" s="27"/>
      <c r="L800" s="27"/>
      <c r="M800" s="27"/>
      <c r="N800" s="27"/>
      <c r="O800" s="27"/>
      <c r="P800" s="27"/>
      <c r="Q800" s="27"/>
      <c r="R800" s="27"/>
      <c r="S800" s="27"/>
      <c r="T800" s="27"/>
      <c r="U800" s="27"/>
      <c r="V800" s="27"/>
      <c r="W800" s="27"/>
      <c r="X800" s="27"/>
      <c r="Y800" s="27"/>
      <c r="Z800" s="27"/>
    </row>
    <row r="801" ht="15.75" customHeight="1">
      <c r="A801" s="113"/>
      <c r="B801" s="113"/>
      <c r="C801" s="113"/>
      <c r="D801" s="36"/>
      <c r="E801" s="36"/>
      <c r="F801" s="37"/>
      <c r="G801" s="118"/>
      <c r="H801" s="27"/>
      <c r="I801" s="27"/>
      <c r="J801" s="27"/>
      <c r="K801" s="27"/>
      <c r="L801" s="27"/>
      <c r="M801" s="27"/>
      <c r="N801" s="27"/>
      <c r="O801" s="27"/>
      <c r="P801" s="27"/>
      <c r="Q801" s="27"/>
      <c r="R801" s="27"/>
      <c r="S801" s="27"/>
      <c r="T801" s="27"/>
      <c r="U801" s="27"/>
      <c r="V801" s="27"/>
      <c r="W801" s="27"/>
      <c r="X801" s="27"/>
      <c r="Y801" s="27"/>
      <c r="Z801" s="27"/>
    </row>
    <row r="802" ht="15.75" customHeight="1">
      <c r="A802" s="113"/>
      <c r="B802" s="113"/>
      <c r="C802" s="113"/>
      <c r="D802" s="36"/>
      <c r="E802" s="36"/>
      <c r="F802" s="37"/>
      <c r="G802" s="118"/>
      <c r="H802" s="27"/>
      <c r="I802" s="27"/>
      <c r="J802" s="27"/>
      <c r="K802" s="27"/>
      <c r="L802" s="27"/>
      <c r="M802" s="27"/>
      <c r="N802" s="27"/>
      <c r="O802" s="27"/>
      <c r="P802" s="27"/>
      <c r="Q802" s="27"/>
      <c r="R802" s="27"/>
      <c r="S802" s="27"/>
      <c r="T802" s="27"/>
      <c r="U802" s="27"/>
      <c r="V802" s="27"/>
      <c r="W802" s="27"/>
      <c r="X802" s="27"/>
      <c r="Y802" s="27"/>
      <c r="Z802" s="27"/>
    </row>
    <row r="803" ht="15.75" customHeight="1">
      <c r="A803" s="113"/>
      <c r="B803" s="113"/>
      <c r="C803" s="113"/>
      <c r="D803" s="36"/>
      <c r="E803" s="36"/>
      <c r="F803" s="37"/>
      <c r="G803" s="118"/>
      <c r="H803" s="27"/>
      <c r="I803" s="27"/>
      <c r="J803" s="27"/>
      <c r="K803" s="27"/>
      <c r="L803" s="27"/>
      <c r="M803" s="27"/>
      <c r="N803" s="27"/>
      <c r="O803" s="27"/>
      <c r="P803" s="27"/>
      <c r="Q803" s="27"/>
      <c r="R803" s="27"/>
      <c r="S803" s="27"/>
      <c r="T803" s="27"/>
      <c r="U803" s="27"/>
      <c r="V803" s="27"/>
      <c r="W803" s="27"/>
      <c r="X803" s="27"/>
      <c r="Y803" s="27"/>
      <c r="Z803" s="27"/>
    </row>
    <row r="804" ht="15.75" customHeight="1">
      <c r="A804" s="113"/>
      <c r="B804" s="113"/>
      <c r="C804" s="113"/>
      <c r="D804" s="36"/>
      <c r="E804" s="36"/>
      <c r="F804" s="37"/>
      <c r="G804" s="118"/>
      <c r="H804" s="27"/>
      <c r="I804" s="27"/>
      <c r="J804" s="27"/>
      <c r="K804" s="27"/>
      <c r="L804" s="27"/>
      <c r="M804" s="27"/>
      <c r="N804" s="27"/>
      <c r="O804" s="27"/>
      <c r="P804" s="27"/>
      <c r="Q804" s="27"/>
      <c r="R804" s="27"/>
      <c r="S804" s="27"/>
      <c r="T804" s="27"/>
      <c r="U804" s="27"/>
      <c r="V804" s="27"/>
      <c r="W804" s="27"/>
      <c r="X804" s="27"/>
      <c r="Y804" s="27"/>
      <c r="Z804" s="27"/>
    </row>
    <row r="805" ht="15.75" customHeight="1">
      <c r="A805" s="113"/>
      <c r="B805" s="113"/>
      <c r="C805" s="113"/>
      <c r="D805" s="36"/>
      <c r="E805" s="36"/>
      <c r="F805" s="37"/>
      <c r="G805" s="118"/>
      <c r="H805" s="27"/>
      <c r="I805" s="27"/>
      <c r="J805" s="27"/>
      <c r="K805" s="27"/>
      <c r="L805" s="27"/>
      <c r="M805" s="27"/>
      <c r="N805" s="27"/>
      <c r="O805" s="27"/>
      <c r="P805" s="27"/>
      <c r="Q805" s="27"/>
      <c r="R805" s="27"/>
      <c r="S805" s="27"/>
      <c r="T805" s="27"/>
      <c r="U805" s="27"/>
      <c r="V805" s="27"/>
      <c r="W805" s="27"/>
      <c r="X805" s="27"/>
      <c r="Y805" s="27"/>
      <c r="Z805" s="27"/>
    </row>
    <row r="806" ht="15.75" customHeight="1">
      <c r="A806" s="113"/>
      <c r="B806" s="113"/>
      <c r="C806" s="113"/>
      <c r="D806" s="36"/>
      <c r="E806" s="36"/>
      <c r="F806" s="37"/>
      <c r="G806" s="118"/>
      <c r="H806" s="27"/>
      <c r="I806" s="27"/>
      <c r="J806" s="27"/>
      <c r="K806" s="27"/>
      <c r="L806" s="27"/>
      <c r="M806" s="27"/>
      <c r="N806" s="27"/>
      <c r="O806" s="27"/>
      <c r="P806" s="27"/>
      <c r="Q806" s="27"/>
      <c r="R806" s="27"/>
      <c r="S806" s="27"/>
      <c r="T806" s="27"/>
      <c r="U806" s="27"/>
      <c r="V806" s="27"/>
      <c r="W806" s="27"/>
      <c r="X806" s="27"/>
      <c r="Y806" s="27"/>
      <c r="Z806" s="27"/>
    </row>
    <row r="807" ht="15.75" customHeight="1">
      <c r="A807" s="113"/>
      <c r="B807" s="113"/>
      <c r="C807" s="113"/>
      <c r="D807" s="36"/>
      <c r="E807" s="36"/>
      <c r="F807" s="37"/>
      <c r="G807" s="118"/>
      <c r="H807" s="27"/>
      <c r="I807" s="27"/>
      <c r="J807" s="27"/>
      <c r="K807" s="27"/>
      <c r="L807" s="27"/>
      <c r="M807" s="27"/>
      <c r="N807" s="27"/>
      <c r="O807" s="27"/>
      <c r="P807" s="27"/>
      <c r="Q807" s="27"/>
      <c r="R807" s="27"/>
      <c r="S807" s="27"/>
      <c r="T807" s="27"/>
      <c r="U807" s="27"/>
      <c r="V807" s="27"/>
      <c r="W807" s="27"/>
      <c r="X807" s="27"/>
      <c r="Y807" s="27"/>
      <c r="Z807" s="27"/>
    </row>
    <row r="808" ht="15.75" customHeight="1">
      <c r="A808" s="113"/>
      <c r="B808" s="113"/>
      <c r="C808" s="113"/>
      <c r="D808" s="36"/>
      <c r="E808" s="36"/>
      <c r="F808" s="37"/>
      <c r="G808" s="118"/>
      <c r="H808" s="27"/>
      <c r="I808" s="27"/>
      <c r="J808" s="27"/>
      <c r="K808" s="27"/>
      <c r="L808" s="27"/>
      <c r="M808" s="27"/>
      <c r="N808" s="27"/>
      <c r="O808" s="27"/>
      <c r="P808" s="27"/>
      <c r="Q808" s="27"/>
      <c r="R808" s="27"/>
      <c r="S808" s="27"/>
      <c r="T808" s="27"/>
      <c r="U808" s="27"/>
      <c r="V808" s="27"/>
      <c r="W808" s="27"/>
      <c r="X808" s="27"/>
      <c r="Y808" s="27"/>
      <c r="Z808" s="27"/>
    </row>
    <row r="809" ht="15.75" customHeight="1">
      <c r="A809" s="113"/>
      <c r="B809" s="113"/>
      <c r="C809" s="113"/>
      <c r="D809" s="36"/>
      <c r="E809" s="36"/>
      <c r="F809" s="37"/>
      <c r="G809" s="118"/>
      <c r="H809" s="27"/>
      <c r="I809" s="27"/>
      <c r="J809" s="27"/>
      <c r="K809" s="27"/>
      <c r="L809" s="27"/>
      <c r="M809" s="27"/>
      <c r="N809" s="27"/>
      <c r="O809" s="27"/>
      <c r="P809" s="27"/>
      <c r="Q809" s="27"/>
      <c r="R809" s="27"/>
      <c r="S809" s="27"/>
      <c r="T809" s="27"/>
      <c r="U809" s="27"/>
      <c r="V809" s="27"/>
      <c r="W809" s="27"/>
      <c r="X809" s="27"/>
      <c r="Y809" s="27"/>
      <c r="Z809" s="27"/>
    </row>
    <row r="810" ht="15.75" customHeight="1">
      <c r="A810" s="113"/>
      <c r="B810" s="113"/>
      <c r="C810" s="113"/>
      <c r="D810" s="36"/>
      <c r="E810" s="36"/>
      <c r="F810" s="37"/>
      <c r="G810" s="118"/>
      <c r="H810" s="27"/>
      <c r="I810" s="27"/>
      <c r="J810" s="27"/>
      <c r="K810" s="27"/>
      <c r="L810" s="27"/>
      <c r="M810" s="27"/>
      <c r="N810" s="27"/>
      <c r="O810" s="27"/>
      <c r="P810" s="27"/>
      <c r="Q810" s="27"/>
      <c r="R810" s="27"/>
      <c r="S810" s="27"/>
      <c r="T810" s="27"/>
      <c r="U810" s="27"/>
      <c r="V810" s="27"/>
      <c r="W810" s="27"/>
      <c r="X810" s="27"/>
      <c r="Y810" s="27"/>
      <c r="Z810" s="27"/>
    </row>
    <row r="811" ht="15.75" customHeight="1">
      <c r="A811" s="113"/>
      <c r="B811" s="113"/>
      <c r="C811" s="113"/>
      <c r="D811" s="36"/>
      <c r="E811" s="36"/>
      <c r="F811" s="37"/>
      <c r="G811" s="118"/>
      <c r="H811" s="27"/>
      <c r="I811" s="27"/>
      <c r="J811" s="27"/>
      <c r="K811" s="27"/>
      <c r="L811" s="27"/>
      <c r="M811" s="27"/>
      <c r="N811" s="27"/>
      <c r="O811" s="27"/>
      <c r="P811" s="27"/>
      <c r="Q811" s="27"/>
      <c r="R811" s="27"/>
      <c r="S811" s="27"/>
      <c r="T811" s="27"/>
      <c r="U811" s="27"/>
      <c r="V811" s="27"/>
      <c r="W811" s="27"/>
      <c r="X811" s="27"/>
      <c r="Y811" s="27"/>
      <c r="Z811" s="27"/>
    </row>
    <row r="812" ht="15.75" customHeight="1">
      <c r="A812" s="113"/>
      <c r="B812" s="113"/>
      <c r="C812" s="113"/>
      <c r="D812" s="36"/>
      <c r="E812" s="36"/>
      <c r="F812" s="37"/>
      <c r="G812" s="118"/>
      <c r="H812" s="27"/>
      <c r="I812" s="27"/>
      <c r="J812" s="27"/>
      <c r="K812" s="27"/>
      <c r="L812" s="27"/>
      <c r="M812" s="27"/>
      <c r="N812" s="27"/>
      <c r="O812" s="27"/>
      <c r="P812" s="27"/>
      <c r="Q812" s="27"/>
      <c r="R812" s="27"/>
      <c r="S812" s="27"/>
      <c r="T812" s="27"/>
      <c r="U812" s="27"/>
      <c r="V812" s="27"/>
      <c r="W812" s="27"/>
      <c r="X812" s="27"/>
      <c r="Y812" s="27"/>
      <c r="Z812" s="27"/>
    </row>
    <row r="813" ht="15.75" customHeight="1">
      <c r="A813" s="113"/>
      <c r="B813" s="113"/>
      <c r="C813" s="113"/>
      <c r="D813" s="36"/>
      <c r="E813" s="36"/>
      <c r="F813" s="37"/>
      <c r="G813" s="118"/>
      <c r="H813" s="27"/>
      <c r="I813" s="27"/>
      <c r="J813" s="27"/>
      <c r="K813" s="27"/>
      <c r="L813" s="27"/>
      <c r="M813" s="27"/>
      <c r="N813" s="27"/>
      <c r="O813" s="27"/>
      <c r="P813" s="27"/>
      <c r="Q813" s="27"/>
      <c r="R813" s="27"/>
      <c r="S813" s="27"/>
      <c r="T813" s="27"/>
      <c r="U813" s="27"/>
      <c r="V813" s="27"/>
      <c r="W813" s="27"/>
      <c r="X813" s="27"/>
      <c r="Y813" s="27"/>
      <c r="Z813" s="27"/>
    </row>
    <row r="814" ht="15.75" customHeight="1">
      <c r="A814" s="113"/>
      <c r="B814" s="113"/>
      <c r="C814" s="113"/>
      <c r="D814" s="36"/>
      <c r="E814" s="36"/>
      <c r="F814" s="37"/>
      <c r="G814" s="118"/>
      <c r="H814" s="27"/>
      <c r="I814" s="27"/>
      <c r="J814" s="27"/>
      <c r="K814" s="27"/>
      <c r="L814" s="27"/>
      <c r="M814" s="27"/>
      <c r="N814" s="27"/>
      <c r="O814" s="27"/>
      <c r="P814" s="27"/>
      <c r="Q814" s="27"/>
      <c r="R814" s="27"/>
      <c r="S814" s="27"/>
      <c r="T814" s="27"/>
      <c r="U814" s="27"/>
      <c r="V814" s="27"/>
      <c r="W814" s="27"/>
      <c r="X814" s="27"/>
      <c r="Y814" s="27"/>
      <c r="Z814" s="27"/>
    </row>
    <row r="815" ht="15.75" customHeight="1">
      <c r="A815" s="113"/>
      <c r="B815" s="113"/>
      <c r="C815" s="113"/>
      <c r="D815" s="36"/>
      <c r="E815" s="36"/>
      <c r="F815" s="37"/>
      <c r="G815" s="118"/>
      <c r="H815" s="27"/>
      <c r="I815" s="27"/>
      <c r="J815" s="27"/>
      <c r="K815" s="27"/>
      <c r="L815" s="27"/>
      <c r="M815" s="27"/>
      <c r="N815" s="27"/>
      <c r="O815" s="27"/>
      <c r="P815" s="27"/>
      <c r="Q815" s="27"/>
      <c r="R815" s="27"/>
      <c r="S815" s="27"/>
      <c r="T815" s="27"/>
      <c r="U815" s="27"/>
      <c r="V815" s="27"/>
      <c r="W815" s="27"/>
      <c r="X815" s="27"/>
      <c r="Y815" s="27"/>
      <c r="Z815" s="27"/>
    </row>
    <row r="816" ht="15.75" customHeight="1">
      <c r="A816" s="113"/>
      <c r="B816" s="113"/>
      <c r="C816" s="113"/>
      <c r="D816" s="36"/>
      <c r="E816" s="36"/>
      <c r="F816" s="37"/>
      <c r="G816" s="118"/>
      <c r="H816" s="27"/>
      <c r="I816" s="27"/>
      <c r="J816" s="27"/>
      <c r="K816" s="27"/>
      <c r="L816" s="27"/>
      <c r="M816" s="27"/>
      <c r="N816" s="27"/>
      <c r="O816" s="27"/>
      <c r="P816" s="27"/>
      <c r="Q816" s="27"/>
      <c r="R816" s="27"/>
      <c r="S816" s="27"/>
      <c r="T816" s="27"/>
      <c r="U816" s="27"/>
      <c r="V816" s="27"/>
      <c r="W816" s="27"/>
      <c r="X816" s="27"/>
      <c r="Y816" s="27"/>
      <c r="Z816" s="27"/>
    </row>
    <row r="817" ht="15.75" customHeight="1">
      <c r="A817" s="113"/>
      <c r="B817" s="113"/>
      <c r="C817" s="113"/>
      <c r="D817" s="36"/>
      <c r="E817" s="36"/>
      <c r="F817" s="37"/>
      <c r="G817" s="118"/>
      <c r="H817" s="27"/>
      <c r="I817" s="27"/>
      <c r="J817" s="27"/>
      <c r="K817" s="27"/>
      <c r="L817" s="27"/>
      <c r="M817" s="27"/>
      <c r="N817" s="27"/>
      <c r="O817" s="27"/>
      <c r="P817" s="27"/>
      <c r="Q817" s="27"/>
      <c r="R817" s="27"/>
      <c r="S817" s="27"/>
      <c r="T817" s="27"/>
      <c r="U817" s="27"/>
      <c r="V817" s="27"/>
      <c r="W817" s="27"/>
      <c r="X817" s="27"/>
      <c r="Y817" s="27"/>
      <c r="Z817" s="27"/>
    </row>
    <row r="818" ht="15.75" customHeight="1">
      <c r="A818" s="113"/>
      <c r="B818" s="113"/>
      <c r="C818" s="113"/>
      <c r="D818" s="36"/>
      <c r="E818" s="36"/>
      <c r="F818" s="37"/>
      <c r="G818" s="118"/>
      <c r="H818" s="27"/>
      <c r="I818" s="27"/>
      <c r="J818" s="27"/>
      <c r="K818" s="27"/>
      <c r="L818" s="27"/>
      <c r="M818" s="27"/>
      <c r="N818" s="27"/>
      <c r="O818" s="27"/>
      <c r="P818" s="27"/>
      <c r="Q818" s="27"/>
      <c r="R818" s="27"/>
      <c r="S818" s="27"/>
      <c r="T818" s="27"/>
      <c r="U818" s="27"/>
      <c r="V818" s="27"/>
      <c r="W818" s="27"/>
      <c r="X818" s="27"/>
      <c r="Y818" s="27"/>
      <c r="Z818" s="27"/>
    </row>
    <row r="819" ht="15.75" customHeight="1">
      <c r="A819" s="113"/>
      <c r="B819" s="113"/>
      <c r="C819" s="113"/>
      <c r="D819" s="36"/>
      <c r="E819" s="36"/>
      <c r="F819" s="37"/>
      <c r="G819" s="118"/>
      <c r="H819" s="27"/>
      <c r="I819" s="27"/>
      <c r="J819" s="27"/>
      <c r="K819" s="27"/>
      <c r="L819" s="27"/>
      <c r="M819" s="27"/>
      <c r="N819" s="27"/>
      <c r="O819" s="27"/>
      <c r="P819" s="27"/>
      <c r="Q819" s="27"/>
      <c r="R819" s="27"/>
      <c r="S819" s="27"/>
      <c r="T819" s="27"/>
      <c r="U819" s="27"/>
      <c r="V819" s="27"/>
      <c r="W819" s="27"/>
      <c r="X819" s="27"/>
      <c r="Y819" s="27"/>
      <c r="Z819" s="27"/>
    </row>
    <row r="820" ht="15.75" customHeight="1">
      <c r="A820" s="113"/>
      <c r="B820" s="113"/>
      <c r="C820" s="113"/>
      <c r="D820" s="36"/>
      <c r="E820" s="36"/>
      <c r="F820" s="37"/>
      <c r="G820" s="118"/>
      <c r="H820" s="27"/>
      <c r="I820" s="27"/>
      <c r="J820" s="27"/>
      <c r="K820" s="27"/>
      <c r="L820" s="27"/>
      <c r="M820" s="27"/>
      <c r="N820" s="27"/>
      <c r="O820" s="27"/>
      <c r="P820" s="27"/>
      <c r="Q820" s="27"/>
      <c r="R820" s="27"/>
      <c r="S820" s="27"/>
      <c r="T820" s="27"/>
      <c r="U820" s="27"/>
      <c r="V820" s="27"/>
      <c r="W820" s="27"/>
      <c r="X820" s="27"/>
      <c r="Y820" s="27"/>
      <c r="Z820" s="27"/>
    </row>
    <row r="821" ht="15.75" customHeight="1">
      <c r="A821" s="113"/>
      <c r="B821" s="113"/>
      <c r="C821" s="113"/>
      <c r="D821" s="36"/>
      <c r="E821" s="36"/>
      <c r="F821" s="37"/>
      <c r="G821" s="118"/>
      <c r="H821" s="27"/>
      <c r="I821" s="27"/>
      <c r="J821" s="27"/>
      <c r="K821" s="27"/>
      <c r="L821" s="27"/>
      <c r="M821" s="27"/>
      <c r="N821" s="27"/>
      <c r="O821" s="27"/>
      <c r="P821" s="27"/>
      <c r="Q821" s="27"/>
      <c r="R821" s="27"/>
      <c r="S821" s="27"/>
      <c r="T821" s="27"/>
      <c r="U821" s="27"/>
      <c r="V821" s="27"/>
      <c r="W821" s="27"/>
      <c r="X821" s="27"/>
      <c r="Y821" s="27"/>
      <c r="Z821" s="27"/>
    </row>
    <row r="822" ht="15.75" customHeight="1">
      <c r="A822" s="113"/>
      <c r="B822" s="113"/>
      <c r="C822" s="113"/>
      <c r="D822" s="36"/>
      <c r="E822" s="36"/>
      <c r="F822" s="37"/>
      <c r="G822" s="118"/>
      <c r="H822" s="27"/>
      <c r="I822" s="27"/>
      <c r="J822" s="27"/>
      <c r="K822" s="27"/>
      <c r="L822" s="27"/>
      <c r="M822" s="27"/>
      <c r="N822" s="27"/>
      <c r="O822" s="27"/>
      <c r="P822" s="27"/>
      <c r="Q822" s="27"/>
      <c r="R822" s="27"/>
      <c r="S822" s="27"/>
      <c r="T822" s="27"/>
      <c r="U822" s="27"/>
      <c r="V822" s="27"/>
      <c r="W822" s="27"/>
      <c r="X822" s="27"/>
      <c r="Y822" s="27"/>
      <c r="Z822" s="27"/>
    </row>
    <row r="823" ht="15.75" customHeight="1">
      <c r="A823" s="113"/>
      <c r="B823" s="113"/>
      <c r="C823" s="113"/>
      <c r="D823" s="36"/>
      <c r="E823" s="36"/>
      <c r="F823" s="37"/>
      <c r="G823" s="118"/>
      <c r="H823" s="27"/>
      <c r="I823" s="27"/>
      <c r="J823" s="27"/>
      <c r="K823" s="27"/>
      <c r="L823" s="27"/>
      <c r="M823" s="27"/>
      <c r="N823" s="27"/>
      <c r="O823" s="27"/>
      <c r="P823" s="27"/>
      <c r="Q823" s="27"/>
      <c r="R823" s="27"/>
      <c r="S823" s="27"/>
      <c r="T823" s="27"/>
      <c r="U823" s="27"/>
      <c r="V823" s="27"/>
      <c r="W823" s="27"/>
      <c r="X823" s="27"/>
      <c r="Y823" s="27"/>
      <c r="Z823" s="27"/>
    </row>
    <row r="824" ht="15.75" customHeight="1">
      <c r="A824" s="113"/>
      <c r="B824" s="113"/>
      <c r="C824" s="113"/>
      <c r="D824" s="36"/>
      <c r="E824" s="36"/>
      <c r="F824" s="37"/>
      <c r="G824" s="118"/>
      <c r="H824" s="27"/>
      <c r="I824" s="27"/>
      <c r="J824" s="27"/>
      <c r="K824" s="27"/>
      <c r="L824" s="27"/>
      <c r="M824" s="27"/>
      <c r="N824" s="27"/>
      <c r="O824" s="27"/>
      <c r="P824" s="27"/>
      <c r="Q824" s="27"/>
      <c r="R824" s="27"/>
      <c r="S824" s="27"/>
      <c r="T824" s="27"/>
      <c r="U824" s="27"/>
      <c r="V824" s="27"/>
      <c r="W824" s="27"/>
      <c r="X824" s="27"/>
      <c r="Y824" s="27"/>
      <c r="Z824" s="27"/>
    </row>
    <row r="825" ht="15.75" customHeight="1">
      <c r="A825" s="113"/>
      <c r="B825" s="113"/>
      <c r="C825" s="113"/>
      <c r="D825" s="36"/>
      <c r="E825" s="36"/>
      <c r="F825" s="37"/>
      <c r="G825" s="118"/>
      <c r="H825" s="27"/>
      <c r="I825" s="27"/>
      <c r="J825" s="27"/>
      <c r="K825" s="27"/>
      <c r="L825" s="27"/>
      <c r="M825" s="27"/>
      <c r="N825" s="27"/>
      <c r="O825" s="27"/>
      <c r="P825" s="27"/>
      <c r="Q825" s="27"/>
      <c r="R825" s="27"/>
      <c r="S825" s="27"/>
      <c r="T825" s="27"/>
      <c r="U825" s="27"/>
      <c r="V825" s="27"/>
      <c r="W825" s="27"/>
      <c r="X825" s="27"/>
      <c r="Y825" s="27"/>
      <c r="Z825" s="27"/>
    </row>
    <row r="826" ht="15.75" customHeight="1">
      <c r="A826" s="113"/>
      <c r="B826" s="113"/>
      <c r="C826" s="113"/>
      <c r="D826" s="36"/>
      <c r="E826" s="36"/>
      <c r="F826" s="37"/>
      <c r="G826" s="118"/>
      <c r="H826" s="27"/>
      <c r="I826" s="27"/>
      <c r="J826" s="27"/>
      <c r="K826" s="27"/>
      <c r="L826" s="27"/>
      <c r="M826" s="27"/>
      <c r="N826" s="27"/>
      <c r="O826" s="27"/>
      <c r="P826" s="27"/>
      <c r="Q826" s="27"/>
      <c r="R826" s="27"/>
      <c r="S826" s="27"/>
      <c r="T826" s="27"/>
      <c r="U826" s="27"/>
      <c r="V826" s="27"/>
      <c r="W826" s="27"/>
      <c r="X826" s="27"/>
      <c r="Y826" s="27"/>
      <c r="Z826" s="27"/>
    </row>
    <row r="827" ht="15.75" customHeight="1">
      <c r="A827" s="113"/>
      <c r="B827" s="113"/>
      <c r="C827" s="113"/>
      <c r="D827" s="36"/>
      <c r="E827" s="36"/>
      <c r="F827" s="37"/>
      <c r="G827" s="118"/>
      <c r="H827" s="27"/>
      <c r="I827" s="27"/>
      <c r="J827" s="27"/>
      <c r="K827" s="27"/>
      <c r="L827" s="27"/>
      <c r="M827" s="27"/>
      <c r="N827" s="27"/>
      <c r="O827" s="27"/>
      <c r="P827" s="27"/>
      <c r="Q827" s="27"/>
      <c r="R827" s="27"/>
      <c r="S827" s="27"/>
      <c r="T827" s="27"/>
      <c r="U827" s="27"/>
      <c r="V827" s="27"/>
      <c r="W827" s="27"/>
      <c r="X827" s="27"/>
      <c r="Y827" s="27"/>
      <c r="Z827" s="27"/>
    </row>
    <row r="828" ht="15.75" customHeight="1">
      <c r="A828" s="113"/>
      <c r="B828" s="113"/>
      <c r="C828" s="113"/>
      <c r="D828" s="36"/>
      <c r="E828" s="36"/>
      <c r="F828" s="37"/>
      <c r="G828" s="118"/>
      <c r="H828" s="27"/>
      <c r="I828" s="27"/>
      <c r="J828" s="27"/>
      <c r="K828" s="27"/>
      <c r="L828" s="27"/>
      <c r="M828" s="27"/>
      <c r="N828" s="27"/>
      <c r="O828" s="27"/>
      <c r="P828" s="27"/>
      <c r="Q828" s="27"/>
      <c r="R828" s="27"/>
      <c r="S828" s="27"/>
      <c r="T828" s="27"/>
      <c r="U828" s="27"/>
      <c r="V828" s="27"/>
      <c r="W828" s="27"/>
      <c r="X828" s="27"/>
      <c r="Y828" s="27"/>
      <c r="Z828" s="27"/>
    </row>
    <row r="829" ht="15.75" customHeight="1">
      <c r="A829" s="113"/>
      <c r="B829" s="113"/>
      <c r="C829" s="113"/>
      <c r="D829" s="36"/>
      <c r="E829" s="36"/>
      <c r="F829" s="37"/>
      <c r="G829" s="118"/>
      <c r="H829" s="27"/>
      <c r="I829" s="27"/>
      <c r="J829" s="27"/>
      <c r="K829" s="27"/>
      <c r="L829" s="27"/>
      <c r="M829" s="27"/>
      <c r="N829" s="27"/>
      <c r="O829" s="27"/>
      <c r="P829" s="27"/>
      <c r="Q829" s="27"/>
      <c r="R829" s="27"/>
      <c r="S829" s="27"/>
      <c r="T829" s="27"/>
      <c r="U829" s="27"/>
      <c r="V829" s="27"/>
      <c r="W829" s="27"/>
      <c r="X829" s="27"/>
      <c r="Y829" s="27"/>
      <c r="Z829" s="27"/>
    </row>
    <row r="830" ht="15.75" customHeight="1">
      <c r="A830" s="113"/>
      <c r="B830" s="113"/>
      <c r="C830" s="113"/>
      <c r="D830" s="36"/>
      <c r="E830" s="36"/>
      <c r="F830" s="37"/>
      <c r="G830" s="118"/>
      <c r="H830" s="27"/>
      <c r="I830" s="27"/>
      <c r="J830" s="27"/>
      <c r="K830" s="27"/>
      <c r="L830" s="27"/>
      <c r="M830" s="27"/>
      <c r="N830" s="27"/>
      <c r="O830" s="27"/>
      <c r="P830" s="27"/>
      <c r="Q830" s="27"/>
      <c r="R830" s="27"/>
      <c r="S830" s="27"/>
      <c r="T830" s="27"/>
      <c r="U830" s="27"/>
      <c r="V830" s="27"/>
      <c r="W830" s="27"/>
      <c r="X830" s="27"/>
      <c r="Y830" s="27"/>
      <c r="Z830" s="27"/>
    </row>
    <row r="831" ht="15.75" customHeight="1">
      <c r="A831" s="113"/>
      <c r="B831" s="113"/>
      <c r="C831" s="113"/>
      <c r="D831" s="36"/>
      <c r="E831" s="36"/>
      <c r="F831" s="37"/>
      <c r="G831" s="118"/>
      <c r="H831" s="27"/>
      <c r="I831" s="27"/>
      <c r="J831" s="27"/>
      <c r="K831" s="27"/>
      <c r="L831" s="27"/>
      <c r="M831" s="27"/>
      <c r="N831" s="27"/>
      <c r="O831" s="27"/>
      <c r="P831" s="27"/>
      <c r="Q831" s="27"/>
      <c r="R831" s="27"/>
      <c r="S831" s="27"/>
      <c r="T831" s="27"/>
      <c r="U831" s="27"/>
      <c r="V831" s="27"/>
      <c r="W831" s="27"/>
      <c r="X831" s="27"/>
      <c r="Y831" s="27"/>
      <c r="Z831" s="27"/>
    </row>
    <row r="832" ht="15.75" customHeight="1">
      <c r="A832" s="113"/>
      <c r="B832" s="113"/>
      <c r="C832" s="113"/>
      <c r="D832" s="36"/>
      <c r="E832" s="36"/>
      <c r="F832" s="37"/>
      <c r="G832" s="118"/>
      <c r="H832" s="27"/>
      <c r="I832" s="27"/>
      <c r="J832" s="27"/>
      <c r="K832" s="27"/>
      <c r="L832" s="27"/>
      <c r="M832" s="27"/>
      <c r="N832" s="27"/>
      <c r="O832" s="27"/>
      <c r="P832" s="27"/>
      <c r="Q832" s="27"/>
      <c r="R832" s="27"/>
      <c r="S832" s="27"/>
      <c r="T832" s="27"/>
      <c r="U832" s="27"/>
      <c r="V832" s="27"/>
      <c r="W832" s="27"/>
      <c r="X832" s="27"/>
      <c r="Y832" s="27"/>
      <c r="Z832" s="27"/>
    </row>
    <row r="833" ht="15.75" customHeight="1">
      <c r="A833" s="113"/>
      <c r="B833" s="113"/>
      <c r="C833" s="113"/>
      <c r="D833" s="36"/>
      <c r="E833" s="36"/>
      <c r="F833" s="37"/>
      <c r="G833" s="118"/>
      <c r="H833" s="27"/>
      <c r="I833" s="27"/>
      <c r="J833" s="27"/>
      <c r="K833" s="27"/>
      <c r="L833" s="27"/>
      <c r="M833" s="27"/>
      <c r="N833" s="27"/>
      <c r="O833" s="27"/>
      <c r="P833" s="27"/>
      <c r="Q833" s="27"/>
      <c r="R833" s="27"/>
      <c r="S833" s="27"/>
      <c r="T833" s="27"/>
      <c r="U833" s="27"/>
      <c r="V833" s="27"/>
      <c r="W833" s="27"/>
      <c r="X833" s="27"/>
      <c r="Y833" s="27"/>
      <c r="Z833" s="27"/>
    </row>
    <row r="834" ht="15.75" customHeight="1">
      <c r="A834" s="113"/>
      <c r="B834" s="113"/>
      <c r="C834" s="113"/>
      <c r="D834" s="36"/>
      <c r="E834" s="36"/>
      <c r="F834" s="37"/>
      <c r="G834" s="118"/>
      <c r="H834" s="27"/>
      <c r="I834" s="27"/>
      <c r="J834" s="27"/>
      <c r="K834" s="27"/>
      <c r="L834" s="27"/>
      <c r="M834" s="27"/>
      <c r="N834" s="27"/>
      <c r="O834" s="27"/>
      <c r="P834" s="27"/>
      <c r="Q834" s="27"/>
      <c r="R834" s="27"/>
      <c r="S834" s="27"/>
      <c r="T834" s="27"/>
      <c r="U834" s="27"/>
      <c r="V834" s="27"/>
      <c r="W834" s="27"/>
      <c r="X834" s="27"/>
      <c r="Y834" s="27"/>
      <c r="Z834" s="27"/>
    </row>
    <row r="835" ht="15.75" customHeight="1">
      <c r="A835" s="113"/>
      <c r="B835" s="113"/>
      <c r="C835" s="113"/>
      <c r="D835" s="36"/>
      <c r="E835" s="36"/>
      <c r="F835" s="37"/>
      <c r="G835" s="118"/>
      <c r="H835" s="27"/>
      <c r="I835" s="27"/>
      <c r="J835" s="27"/>
      <c r="K835" s="27"/>
      <c r="L835" s="27"/>
      <c r="M835" s="27"/>
      <c r="N835" s="27"/>
      <c r="O835" s="27"/>
      <c r="P835" s="27"/>
      <c r="Q835" s="27"/>
      <c r="R835" s="27"/>
      <c r="S835" s="27"/>
      <c r="T835" s="27"/>
      <c r="U835" s="27"/>
      <c r="V835" s="27"/>
      <c r="W835" s="27"/>
      <c r="X835" s="27"/>
      <c r="Y835" s="27"/>
      <c r="Z835" s="27"/>
    </row>
    <row r="836" ht="15.75" customHeight="1">
      <c r="A836" s="113"/>
      <c r="B836" s="113"/>
      <c r="C836" s="113"/>
      <c r="D836" s="36"/>
      <c r="E836" s="36"/>
      <c r="F836" s="37"/>
      <c r="G836" s="118"/>
      <c r="H836" s="27"/>
      <c r="I836" s="27"/>
      <c r="J836" s="27"/>
      <c r="K836" s="27"/>
      <c r="L836" s="27"/>
      <c r="M836" s="27"/>
      <c r="N836" s="27"/>
      <c r="O836" s="27"/>
      <c r="P836" s="27"/>
      <c r="Q836" s="27"/>
      <c r="R836" s="27"/>
      <c r="S836" s="27"/>
      <c r="T836" s="27"/>
      <c r="U836" s="27"/>
      <c r="V836" s="27"/>
      <c r="W836" s="27"/>
      <c r="X836" s="27"/>
      <c r="Y836" s="27"/>
      <c r="Z836" s="27"/>
    </row>
    <row r="837" ht="15.75" customHeight="1">
      <c r="A837" s="113"/>
      <c r="B837" s="113"/>
      <c r="C837" s="113"/>
      <c r="D837" s="36"/>
      <c r="E837" s="36"/>
      <c r="F837" s="37"/>
      <c r="G837" s="118"/>
      <c r="H837" s="27"/>
      <c r="I837" s="27"/>
      <c r="J837" s="27"/>
      <c r="K837" s="27"/>
      <c r="L837" s="27"/>
      <c r="M837" s="27"/>
      <c r="N837" s="27"/>
      <c r="O837" s="27"/>
      <c r="P837" s="27"/>
      <c r="Q837" s="27"/>
      <c r="R837" s="27"/>
      <c r="S837" s="27"/>
      <c r="T837" s="27"/>
      <c r="U837" s="27"/>
      <c r="V837" s="27"/>
      <c r="W837" s="27"/>
      <c r="X837" s="27"/>
      <c r="Y837" s="27"/>
      <c r="Z837" s="27"/>
    </row>
    <row r="838" ht="15.75" customHeight="1">
      <c r="A838" s="113"/>
      <c r="B838" s="113"/>
      <c r="C838" s="113"/>
      <c r="D838" s="36"/>
      <c r="E838" s="36"/>
      <c r="F838" s="37"/>
      <c r="G838" s="118"/>
      <c r="H838" s="27"/>
      <c r="I838" s="27"/>
      <c r="J838" s="27"/>
      <c r="K838" s="27"/>
      <c r="L838" s="27"/>
      <c r="M838" s="27"/>
      <c r="N838" s="27"/>
      <c r="O838" s="27"/>
      <c r="P838" s="27"/>
      <c r="Q838" s="27"/>
      <c r="R838" s="27"/>
      <c r="S838" s="27"/>
      <c r="T838" s="27"/>
      <c r="U838" s="27"/>
      <c r="V838" s="27"/>
      <c r="W838" s="27"/>
      <c r="X838" s="27"/>
      <c r="Y838" s="27"/>
      <c r="Z838" s="27"/>
    </row>
    <row r="839" ht="15.75" customHeight="1">
      <c r="A839" s="113"/>
      <c r="B839" s="113"/>
      <c r="C839" s="113"/>
      <c r="D839" s="36"/>
      <c r="E839" s="36"/>
      <c r="F839" s="37"/>
      <c r="G839" s="118"/>
      <c r="H839" s="27"/>
      <c r="I839" s="27"/>
      <c r="J839" s="27"/>
      <c r="K839" s="27"/>
      <c r="L839" s="27"/>
      <c r="M839" s="27"/>
      <c r="N839" s="27"/>
      <c r="O839" s="27"/>
      <c r="P839" s="27"/>
      <c r="Q839" s="27"/>
      <c r="R839" s="27"/>
      <c r="S839" s="27"/>
      <c r="T839" s="27"/>
      <c r="U839" s="27"/>
      <c r="V839" s="27"/>
      <c r="W839" s="27"/>
      <c r="X839" s="27"/>
      <c r="Y839" s="27"/>
      <c r="Z839" s="27"/>
    </row>
    <row r="840" ht="15.75" customHeight="1">
      <c r="A840" s="113"/>
      <c r="B840" s="113"/>
      <c r="C840" s="113"/>
      <c r="D840" s="36"/>
      <c r="E840" s="36"/>
      <c r="F840" s="37"/>
      <c r="G840" s="118"/>
      <c r="H840" s="27"/>
      <c r="I840" s="27"/>
      <c r="J840" s="27"/>
      <c r="K840" s="27"/>
      <c r="L840" s="27"/>
      <c r="M840" s="27"/>
      <c r="N840" s="27"/>
      <c r="O840" s="27"/>
      <c r="P840" s="27"/>
      <c r="Q840" s="27"/>
      <c r="R840" s="27"/>
      <c r="S840" s="27"/>
      <c r="T840" s="27"/>
      <c r="U840" s="27"/>
      <c r="V840" s="27"/>
      <c r="W840" s="27"/>
      <c r="X840" s="27"/>
      <c r="Y840" s="27"/>
      <c r="Z840" s="27"/>
    </row>
    <row r="841" ht="15.75" customHeight="1">
      <c r="A841" s="113"/>
      <c r="B841" s="113"/>
      <c r="C841" s="113"/>
      <c r="D841" s="36"/>
      <c r="E841" s="36"/>
      <c r="F841" s="37"/>
      <c r="G841" s="118"/>
      <c r="H841" s="27"/>
      <c r="I841" s="27"/>
      <c r="J841" s="27"/>
      <c r="K841" s="27"/>
      <c r="L841" s="27"/>
      <c r="M841" s="27"/>
      <c r="N841" s="27"/>
      <c r="O841" s="27"/>
      <c r="P841" s="27"/>
      <c r="Q841" s="27"/>
      <c r="R841" s="27"/>
      <c r="S841" s="27"/>
      <c r="T841" s="27"/>
      <c r="U841" s="27"/>
      <c r="V841" s="27"/>
      <c r="W841" s="27"/>
      <c r="X841" s="27"/>
      <c r="Y841" s="27"/>
      <c r="Z841" s="27"/>
    </row>
    <row r="842" ht="15.75" customHeight="1">
      <c r="A842" s="113"/>
      <c r="B842" s="113"/>
      <c r="C842" s="113"/>
      <c r="D842" s="36"/>
      <c r="E842" s="36"/>
      <c r="F842" s="37"/>
      <c r="G842" s="118"/>
      <c r="H842" s="27"/>
      <c r="I842" s="27"/>
      <c r="J842" s="27"/>
      <c r="K842" s="27"/>
      <c r="L842" s="27"/>
      <c r="M842" s="27"/>
      <c r="N842" s="27"/>
      <c r="O842" s="27"/>
      <c r="P842" s="27"/>
      <c r="Q842" s="27"/>
      <c r="R842" s="27"/>
      <c r="S842" s="27"/>
      <c r="T842" s="27"/>
      <c r="U842" s="27"/>
      <c r="V842" s="27"/>
      <c r="W842" s="27"/>
      <c r="X842" s="27"/>
      <c r="Y842" s="27"/>
      <c r="Z842" s="27"/>
    </row>
    <row r="843" ht="15.75" customHeight="1">
      <c r="A843" s="113"/>
      <c r="B843" s="113"/>
      <c r="C843" s="113"/>
      <c r="D843" s="36"/>
      <c r="E843" s="36"/>
      <c r="F843" s="37"/>
      <c r="G843" s="118"/>
      <c r="H843" s="27"/>
      <c r="I843" s="27"/>
      <c r="J843" s="27"/>
      <c r="K843" s="27"/>
      <c r="L843" s="27"/>
      <c r="M843" s="27"/>
      <c r="N843" s="27"/>
      <c r="O843" s="27"/>
      <c r="P843" s="27"/>
      <c r="Q843" s="27"/>
      <c r="R843" s="27"/>
      <c r="S843" s="27"/>
      <c r="T843" s="27"/>
      <c r="U843" s="27"/>
      <c r="V843" s="27"/>
      <c r="W843" s="27"/>
      <c r="X843" s="27"/>
      <c r="Y843" s="27"/>
      <c r="Z843" s="27"/>
    </row>
    <row r="844" ht="15.75" customHeight="1">
      <c r="A844" s="113"/>
      <c r="B844" s="113"/>
      <c r="C844" s="113"/>
      <c r="D844" s="36"/>
      <c r="E844" s="36"/>
      <c r="F844" s="37"/>
      <c r="G844" s="118"/>
      <c r="H844" s="27"/>
      <c r="I844" s="27"/>
      <c r="J844" s="27"/>
      <c r="K844" s="27"/>
      <c r="L844" s="27"/>
      <c r="M844" s="27"/>
      <c r="N844" s="27"/>
      <c r="O844" s="27"/>
      <c r="P844" s="27"/>
      <c r="Q844" s="27"/>
      <c r="R844" s="27"/>
      <c r="S844" s="27"/>
      <c r="T844" s="27"/>
      <c r="U844" s="27"/>
      <c r="V844" s="27"/>
      <c r="W844" s="27"/>
      <c r="X844" s="27"/>
      <c r="Y844" s="27"/>
      <c r="Z844" s="27"/>
    </row>
    <row r="845" ht="15.75" customHeight="1">
      <c r="A845" s="113"/>
      <c r="B845" s="113"/>
      <c r="C845" s="113"/>
      <c r="D845" s="36"/>
      <c r="E845" s="36"/>
      <c r="F845" s="37"/>
      <c r="G845" s="118"/>
      <c r="H845" s="27"/>
      <c r="I845" s="27"/>
      <c r="J845" s="27"/>
      <c r="K845" s="27"/>
      <c r="L845" s="27"/>
      <c r="M845" s="27"/>
      <c r="N845" s="27"/>
      <c r="O845" s="27"/>
      <c r="P845" s="27"/>
      <c r="Q845" s="27"/>
      <c r="R845" s="27"/>
      <c r="S845" s="27"/>
      <c r="T845" s="27"/>
      <c r="U845" s="27"/>
      <c r="V845" s="27"/>
      <c r="W845" s="27"/>
      <c r="X845" s="27"/>
      <c r="Y845" s="27"/>
      <c r="Z845" s="27"/>
    </row>
    <row r="846" ht="15.75" customHeight="1">
      <c r="A846" s="113"/>
      <c r="B846" s="113"/>
      <c r="C846" s="113"/>
      <c r="D846" s="36"/>
      <c r="E846" s="36"/>
      <c r="F846" s="37"/>
      <c r="G846" s="118"/>
      <c r="H846" s="27"/>
      <c r="I846" s="27"/>
      <c r="J846" s="27"/>
      <c r="K846" s="27"/>
      <c r="L846" s="27"/>
      <c r="M846" s="27"/>
      <c r="N846" s="27"/>
      <c r="O846" s="27"/>
      <c r="P846" s="27"/>
      <c r="Q846" s="27"/>
      <c r="R846" s="27"/>
      <c r="S846" s="27"/>
      <c r="T846" s="27"/>
      <c r="U846" s="27"/>
      <c r="V846" s="27"/>
      <c r="W846" s="27"/>
      <c r="X846" s="27"/>
      <c r="Y846" s="27"/>
      <c r="Z846" s="27"/>
    </row>
    <row r="847" ht="15.75" customHeight="1">
      <c r="A847" s="113"/>
      <c r="B847" s="113"/>
      <c r="C847" s="113"/>
      <c r="D847" s="36"/>
      <c r="E847" s="36"/>
      <c r="F847" s="37"/>
      <c r="G847" s="118"/>
      <c r="H847" s="27"/>
      <c r="I847" s="27"/>
      <c r="J847" s="27"/>
      <c r="K847" s="27"/>
      <c r="L847" s="27"/>
      <c r="M847" s="27"/>
      <c r="N847" s="27"/>
      <c r="O847" s="27"/>
      <c r="P847" s="27"/>
      <c r="Q847" s="27"/>
      <c r="R847" s="27"/>
      <c r="S847" s="27"/>
      <c r="T847" s="27"/>
      <c r="U847" s="27"/>
      <c r="V847" s="27"/>
      <c r="W847" s="27"/>
      <c r="X847" s="27"/>
      <c r="Y847" s="27"/>
      <c r="Z847" s="27"/>
    </row>
    <row r="848" ht="15.75" customHeight="1">
      <c r="A848" s="113"/>
      <c r="B848" s="113"/>
      <c r="C848" s="113"/>
      <c r="D848" s="36"/>
      <c r="E848" s="36"/>
      <c r="F848" s="37"/>
      <c r="G848" s="118"/>
      <c r="H848" s="27"/>
      <c r="I848" s="27"/>
      <c r="J848" s="27"/>
      <c r="K848" s="27"/>
      <c r="L848" s="27"/>
      <c r="M848" s="27"/>
      <c r="N848" s="27"/>
      <c r="O848" s="27"/>
      <c r="P848" s="27"/>
      <c r="Q848" s="27"/>
      <c r="R848" s="27"/>
      <c r="S848" s="27"/>
      <c r="T848" s="27"/>
      <c r="U848" s="27"/>
      <c r="V848" s="27"/>
      <c r="W848" s="27"/>
      <c r="X848" s="27"/>
      <c r="Y848" s="27"/>
      <c r="Z848" s="27"/>
    </row>
    <row r="849" ht="15.75" customHeight="1">
      <c r="A849" s="113"/>
      <c r="B849" s="113"/>
      <c r="C849" s="113"/>
      <c r="D849" s="36"/>
      <c r="E849" s="36"/>
      <c r="F849" s="37"/>
      <c r="G849" s="118"/>
      <c r="H849" s="27"/>
      <c r="I849" s="27"/>
      <c r="J849" s="27"/>
      <c r="K849" s="27"/>
      <c r="L849" s="27"/>
      <c r="M849" s="27"/>
      <c r="N849" s="27"/>
      <c r="O849" s="27"/>
      <c r="P849" s="27"/>
      <c r="Q849" s="27"/>
      <c r="R849" s="27"/>
      <c r="S849" s="27"/>
      <c r="T849" s="27"/>
      <c r="U849" s="27"/>
      <c r="V849" s="27"/>
      <c r="W849" s="27"/>
      <c r="X849" s="27"/>
      <c r="Y849" s="27"/>
      <c r="Z849" s="27"/>
    </row>
    <row r="850" ht="15.75" customHeight="1">
      <c r="A850" s="113"/>
      <c r="B850" s="113"/>
      <c r="C850" s="113"/>
      <c r="D850" s="36"/>
      <c r="E850" s="36"/>
      <c r="F850" s="37"/>
      <c r="G850" s="118"/>
      <c r="H850" s="27"/>
      <c r="I850" s="27"/>
      <c r="J850" s="27"/>
      <c r="K850" s="27"/>
      <c r="L850" s="27"/>
      <c r="M850" s="27"/>
      <c r="N850" s="27"/>
      <c r="O850" s="27"/>
      <c r="P850" s="27"/>
      <c r="Q850" s="27"/>
      <c r="R850" s="27"/>
      <c r="S850" s="27"/>
      <c r="T850" s="27"/>
      <c r="U850" s="27"/>
      <c r="V850" s="27"/>
      <c r="W850" s="27"/>
      <c r="X850" s="27"/>
      <c r="Y850" s="27"/>
      <c r="Z850" s="27"/>
    </row>
    <row r="851" ht="15.75" customHeight="1">
      <c r="A851" s="113"/>
      <c r="B851" s="113"/>
      <c r="C851" s="113"/>
      <c r="D851" s="36"/>
      <c r="E851" s="36"/>
      <c r="F851" s="37"/>
      <c r="G851" s="118"/>
      <c r="H851" s="27"/>
      <c r="I851" s="27"/>
      <c r="J851" s="27"/>
      <c r="K851" s="27"/>
      <c r="L851" s="27"/>
      <c r="M851" s="27"/>
      <c r="N851" s="27"/>
      <c r="O851" s="27"/>
      <c r="P851" s="27"/>
      <c r="Q851" s="27"/>
      <c r="R851" s="27"/>
      <c r="S851" s="27"/>
      <c r="T851" s="27"/>
      <c r="U851" s="27"/>
      <c r="V851" s="27"/>
      <c r="W851" s="27"/>
      <c r="X851" s="27"/>
      <c r="Y851" s="27"/>
      <c r="Z851" s="27"/>
    </row>
    <row r="852" ht="15.75" customHeight="1">
      <c r="A852" s="113"/>
      <c r="B852" s="113"/>
      <c r="C852" s="113"/>
      <c r="D852" s="36"/>
      <c r="E852" s="36"/>
      <c r="F852" s="37"/>
      <c r="G852" s="118"/>
      <c r="H852" s="27"/>
      <c r="I852" s="27"/>
      <c r="J852" s="27"/>
      <c r="K852" s="27"/>
      <c r="L852" s="27"/>
      <c r="M852" s="27"/>
      <c r="N852" s="27"/>
      <c r="O852" s="27"/>
      <c r="P852" s="27"/>
      <c r="Q852" s="27"/>
      <c r="R852" s="27"/>
      <c r="S852" s="27"/>
      <c r="T852" s="27"/>
      <c r="U852" s="27"/>
      <c r="V852" s="27"/>
      <c r="W852" s="27"/>
      <c r="X852" s="27"/>
      <c r="Y852" s="27"/>
      <c r="Z852" s="27"/>
    </row>
    <row r="853" ht="15.75" customHeight="1">
      <c r="A853" s="113"/>
      <c r="B853" s="113"/>
      <c r="C853" s="113"/>
      <c r="D853" s="36"/>
      <c r="E853" s="36"/>
      <c r="F853" s="37"/>
      <c r="G853" s="118"/>
      <c r="H853" s="27"/>
      <c r="I853" s="27"/>
      <c r="J853" s="27"/>
      <c r="K853" s="27"/>
      <c r="L853" s="27"/>
      <c r="M853" s="27"/>
      <c r="N853" s="27"/>
      <c r="O853" s="27"/>
      <c r="P853" s="27"/>
      <c r="Q853" s="27"/>
      <c r="R853" s="27"/>
      <c r="S853" s="27"/>
      <c r="T853" s="27"/>
      <c r="U853" s="27"/>
      <c r="V853" s="27"/>
      <c r="W853" s="27"/>
      <c r="X853" s="27"/>
      <c r="Y853" s="27"/>
      <c r="Z853" s="27"/>
    </row>
    <row r="854" ht="15.75" customHeight="1">
      <c r="A854" s="113"/>
      <c r="B854" s="113"/>
      <c r="C854" s="113"/>
      <c r="D854" s="36"/>
      <c r="E854" s="36"/>
      <c r="F854" s="37"/>
      <c r="G854" s="118"/>
      <c r="H854" s="27"/>
      <c r="I854" s="27"/>
      <c r="J854" s="27"/>
      <c r="K854" s="27"/>
      <c r="L854" s="27"/>
      <c r="M854" s="27"/>
      <c r="N854" s="27"/>
      <c r="O854" s="27"/>
      <c r="P854" s="27"/>
      <c r="Q854" s="27"/>
      <c r="R854" s="27"/>
      <c r="S854" s="27"/>
      <c r="T854" s="27"/>
      <c r="U854" s="27"/>
      <c r="V854" s="27"/>
      <c r="W854" s="27"/>
      <c r="X854" s="27"/>
      <c r="Y854" s="27"/>
      <c r="Z854" s="27"/>
    </row>
    <row r="855" ht="15.75" customHeight="1">
      <c r="A855" s="113"/>
      <c r="B855" s="113"/>
      <c r="C855" s="113"/>
      <c r="D855" s="36"/>
      <c r="E855" s="36"/>
      <c r="F855" s="37"/>
      <c r="G855" s="118"/>
      <c r="H855" s="27"/>
      <c r="I855" s="27"/>
      <c r="J855" s="27"/>
      <c r="K855" s="27"/>
      <c r="L855" s="27"/>
      <c r="M855" s="27"/>
      <c r="N855" s="27"/>
      <c r="O855" s="27"/>
      <c r="P855" s="27"/>
      <c r="Q855" s="27"/>
      <c r="R855" s="27"/>
      <c r="S855" s="27"/>
      <c r="T855" s="27"/>
      <c r="U855" s="27"/>
      <c r="V855" s="27"/>
      <c r="W855" s="27"/>
      <c r="X855" s="27"/>
      <c r="Y855" s="27"/>
      <c r="Z855" s="27"/>
    </row>
    <row r="856" ht="15.75" customHeight="1">
      <c r="A856" s="113"/>
      <c r="B856" s="113"/>
      <c r="C856" s="113"/>
      <c r="D856" s="36"/>
      <c r="E856" s="36"/>
      <c r="F856" s="37"/>
      <c r="G856" s="118"/>
      <c r="H856" s="27"/>
      <c r="I856" s="27"/>
      <c r="J856" s="27"/>
      <c r="K856" s="27"/>
      <c r="L856" s="27"/>
      <c r="M856" s="27"/>
      <c r="N856" s="27"/>
      <c r="O856" s="27"/>
      <c r="P856" s="27"/>
      <c r="Q856" s="27"/>
      <c r="R856" s="27"/>
      <c r="S856" s="27"/>
      <c r="T856" s="27"/>
      <c r="U856" s="27"/>
      <c r="V856" s="27"/>
      <c r="W856" s="27"/>
      <c r="X856" s="27"/>
      <c r="Y856" s="27"/>
      <c r="Z856" s="27"/>
    </row>
    <row r="857" ht="15.75" customHeight="1">
      <c r="A857" s="113"/>
      <c r="B857" s="113"/>
      <c r="C857" s="113"/>
      <c r="D857" s="36"/>
      <c r="E857" s="36"/>
      <c r="F857" s="37"/>
      <c r="G857" s="118"/>
      <c r="H857" s="27"/>
      <c r="I857" s="27"/>
      <c r="J857" s="27"/>
      <c r="K857" s="27"/>
      <c r="L857" s="27"/>
      <c r="M857" s="27"/>
      <c r="N857" s="27"/>
      <c r="O857" s="27"/>
      <c r="P857" s="27"/>
      <c r="Q857" s="27"/>
      <c r="R857" s="27"/>
      <c r="S857" s="27"/>
      <c r="T857" s="27"/>
      <c r="U857" s="27"/>
      <c r="V857" s="27"/>
      <c r="W857" s="27"/>
      <c r="X857" s="27"/>
      <c r="Y857" s="27"/>
      <c r="Z857" s="27"/>
    </row>
    <row r="858" ht="15.75" customHeight="1">
      <c r="A858" s="113"/>
      <c r="B858" s="113"/>
      <c r="C858" s="113"/>
      <c r="D858" s="36"/>
      <c r="E858" s="36"/>
      <c r="F858" s="37"/>
      <c r="G858" s="118"/>
      <c r="H858" s="27"/>
      <c r="I858" s="27"/>
      <c r="J858" s="27"/>
      <c r="K858" s="27"/>
      <c r="L858" s="27"/>
      <c r="M858" s="27"/>
      <c r="N858" s="27"/>
      <c r="O858" s="27"/>
      <c r="P858" s="27"/>
      <c r="Q858" s="27"/>
      <c r="R858" s="27"/>
      <c r="S858" s="27"/>
      <c r="T858" s="27"/>
      <c r="U858" s="27"/>
      <c r="V858" s="27"/>
      <c r="W858" s="27"/>
      <c r="X858" s="27"/>
      <c r="Y858" s="27"/>
      <c r="Z858" s="27"/>
    </row>
    <row r="859" ht="15.75" customHeight="1">
      <c r="A859" s="113"/>
      <c r="B859" s="113"/>
      <c r="C859" s="113"/>
      <c r="D859" s="36"/>
      <c r="E859" s="36"/>
      <c r="F859" s="37"/>
      <c r="G859" s="118"/>
      <c r="H859" s="27"/>
      <c r="I859" s="27"/>
      <c r="J859" s="27"/>
      <c r="K859" s="27"/>
      <c r="L859" s="27"/>
      <c r="M859" s="27"/>
      <c r="N859" s="27"/>
      <c r="O859" s="27"/>
      <c r="P859" s="27"/>
      <c r="Q859" s="27"/>
      <c r="R859" s="27"/>
      <c r="S859" s="27"/>
      <c r="T859" s="27"/>
      <c r="U859" s="27"/>
      <c r="V859" s="27"/>
      <c r="W859" s="27"/>
      <c r="X859" s="27"/>
      <c r="Y859" s="27"/>
      <c r="Z859" s="27"/>
    </row>
    <row r="860" ht="15.75" customHeight="1">
      <c r="A860" s="113"/>
      <c r="B860" s="113"/>
      <c r="C860" s="113"/>
      <c r="D860" s="36"/>
      <c r="E860" s="36"/>
      <c r="F860" s="37"/>
      <c r="G860" s="118"/>
      <c r="H860" s="27"/>
      <c r="I860" s="27"/>
      <c r="J860" s="27"/>
      <c r="K860" s="27"/>
      <c r="L860" s="27"/>
      <c r="M860" s="27"/>
      <c r="N860" s="27"/>
      <c r="O860" s="27"/>
      <c r="P860" s="27"/>
      <c r="Q860" s="27"/>
      <c r="R860" s="27"/>
      <c r="S860" s="27"/>
      <c r="T860" s="27"/>
      <c r="U860" s="27"/>
      <c r="V860" s="27"/>
      <c r="W860" s="27"/>
      <c r="X860" s="27"/>
      <c r="Y860" s="27"/>
      <c r="Z860" s="27"/>
    </row>
    <row r="861" ht="15.75" customHeight="1">
      <c r="A861" s="113"/>
      <c r="B861" s="113"/>
      <c r="C861" s="113"/>
      <c r="D861" s="36"/>
      <c r="E861" s="36"/>
      <c r="F861" s="37"/>
      <c r="G861" s="118"/>
      <c r="H861" s="27"/>
      <c r="I861" s="27"/>
      <c r="J861" s="27"/>
      <c r="K861" s="27"/>
      <c r="L861" s="27"/>
      <c r="M861" s="27"/>
      <c r="N861" s="27"/>
      <c r="O861" s="27"/>
      <c r="P861" s="27"/>
      <c r="Q861" s="27"/>
      <c r="R861" s="27"/>
      <c r="S861" s="27"/>
      <c r="T861" s="27"/>
      <c r="U861" s="27"/>
      <c r="V861" s="27"/>
      <c r="W861" s="27"/>
      <c r="X861" s="27"/>
      <c r="Y861" s="27"/>
      <c r="Z861" s="27"/>
    </row>
    <row r="862" ht="15.75" customHeight="1">
      <c r="A862" s="113"/>
      <c r="B862" s="113"/>
      <c r="C862" s="113"/>
      <c r="D862" s="36"/>
      <c r="E862" s="36"/>
      <c r="F862" s="37"/>
      <c r="G862" s="118"/>
      <c r="H862" s="27"/>
      <c r="I862" s="27"/>
      <c r="J862" s="27"/>
      <c r="K862" s="27"/>
      <c r="L862" s="27"/>
      <c r="M862" s="27"/>
      <c r="N862" s="27"/>
      <c r="O862" s="27"/>
      <c r="P862" s="27"/>
      <c r="Q862" s="27"/>
      <c r="R862" s="27"/>
      <c r="S862" s="27"/>
      <c r="T862" s="27"/>
      <c r="U862" s="27"/>
      <c r="V862" s="27"/>
      <c r="W862" s="27"/>
      <c r="X862" s="27"/>
      <c r="Y862" s="27"/>
      <c r="Z862" s="27"/>
    </row>
    <row r="863" ht="15.75" customHeight="1">
      <c r="A863" s="113"/>
      <c r="B863" s="113"/>
      <c r="C863" s="113"/>
      <c r="D863" s="36"/>
      <c r="E863" s="36"/>
      <c r="F863" s="37"/>
      <c r="G863" s="118"/>
      <c r="H863" s="27"/>
      <c r="I863" s="27"/>
      <c r="J863" s="27"/>
      <c r="K863" s="27"/>
      <c r="L863" s="27"/>
      <c r="M863" s="27"/>
      <c r="N863" s="27"/>
      <c r="O863" s="27"/>
      <c r="P863" s="27"/>
      <c r="Q863" s="27"/>
      <c r="R863" s="27"/>
      <c r="S863" s="27"/>
      <c r="T863" s="27"/>
      <c r="U863" s="27"/>
      <c r="V863" s="27"/>
      <c r="W863" s="27"/>
      <c r="X863" s="27"/>
      <c r="Y863" s="27"/>
      <c r="Z863" s="27"/>
    </row>
    <row r="864" ht="15.75" customHeight="1">
      <c r="A864" s="113"/>
      <c r="B864" s="113"/>
      <c r="C864" s="113"/>
      <c r="D864" s="36"/>
      <c r="E864" s="36"/>
      <c r="F864" s="37"/>
      <c r="G864" s="118"/>
      <c r="H864" s="27"/>
      <c r="I864" s="27"/>
      <c r="J864" s="27"/>
      <c r="K864" s="27"/>
      <c r="L864" s="27"/>
      <c r="M864" s="27"/>
      <c r="N864" s="27"/>
      <c r="O864" s="27"/>
      <c r="P864" s="27"/>
      <c r="Q864" s="27"/>
      <c r="R864" s="27"/>
      <c r="S864" s="27"/>
      <c r="T864" s="27"/>
      <c r="U864" s="27"/>
      <c r="V864" s="27"/>
      <c r="W864" s="27"/>
      <c r="X864" s="27"/>
      <c r="Y864" s="27"/>
      <c r="Z864" s="27"/>
    </row>
    <row r="865" ht="15.75" customHeight="1">
      <c r="A865" s="113"/>
      <c r="B865" s="113"/>
      <c r="C865" s="113"/>
      <c r="D865" s="36"/>
      <c r="E865" s="36"/>
      <c r="F865" s="37"/>
      <c r="G865" s="118"/>
      <c r="H865" s="27"/>
      <c r="I865" s="27"/>
      <c r="J865" s="27"/>
      <c r="K865" s="27"/>
      <c r="L865" s="27"/>
      <c r="M865" s="27"/>
      <c r="N865" s="27"/>
      <c r="O865" s="27"/>
      <c r="P865" s="27"/>
      <c r="Q865" s="27"/>
      <c r="R865" s="27"/>
      <c r="S865" s="27"/>
      <c r="T865" s="27"/>
      <c r="U865" s="27"/>
      <c r="V865" s="27"/>
      <c r="W865" s="27"/>
      <c r="X865" s="27"/>
      <c r="Y865" s="27"/>
      <c r="Z865" s="27"/>
    </row>
    <row r="866" ht="15.75" customHeight="1">
      <c r="A866" s="113"/>
      <c r="B866" s="113"/>
      <c r="C866" s="113"/>
      <c r="D866" s="36"/>
      <c r="E866" s="36"/>
      <c r="F866" s="37"/>
      <c r="G866" s="118"/>
      <c r="H866" s="27"/>
      <c r="I866" s="27"/>
      <c r="J866" s="27"/>
      <c r="K866" s="27"/>
      <c r="L866" s="27"/>
      <c r="M866" s="27"/>
      <c r="N866" s="27"/>
      <c r="O866" s="27"/>
      <c r="P866" s="27"/>
      <c r="Q866" s="27"/>
      <c r="R866" s="27"/>
      <c r="S866" s="27"/>
      <c r="T866" s="27"/>
      <c r="U866" s="27"/>
      <c r="V866" s="27"/>
      <c r="W866" s="27"/>
      <c r="X866" s="27"/>
      <c r="Y866" s="27"/>
      <c r="Z866" s="27"/>
    </row>
    <row r="867" ht="15.75" customHeight="1">
      <c r="A867" s="113"/>
      <c r="B867" s="113"/>
      <c r="C867" s="113"/>
      <c r="D867" s="36"/>
      <c r="E867" s="36"/>
      <c r="F867" s="37"/>
      <c r="G867" s="118"/>
      <c r="H867" s="27"/>
      <c r="I867" s="27"/>
      <c r="J867" s="27"/>
      <c r="K867" s="27"/>
      <c r="L867" s="27"/>
      <c r="M867" s="27"/>
      <c r="N867" s="27"/>
      <c r="O867" s="27"/>
      <c r="P867" s="27"/>
      <c r="Q867" s="27"/>
      <c r="R867" s="27"/>
      <c r="S867" s="27"/>
      <c r="T867" s="27"/>
      <c r="U867" s="27"/>
      <c r="V867" s="27"/>
      <c r="W867" s="27"/>
      <c r="X867" s="27"/>
      <c r="Y867" s="27"/>
      <c r="Z867" s="27"/>
    </row>
    <row r="868" ht="15.75" customHeight="1">
      <c r="A868" s="113"/>
      <c r="B868" s="113"/>
      <c r="C868" s="113"/>
      <c r="D868" s="36"/>
      <c r="E868" s="36"/>
      <c r="F868" s="37"/>
      <c r="G868" s="118"/>
      <c r="H868" s="27"/>
      <c r="I868" s="27"/>
      <c r="J868" s="27"/>
      <c r="K868" s="27"/>
      <c r="L868" s="27"/>
      <c r="M868" s="27"/>
      <c r="N868" s="27"/>
      <c r="O868" s="27"/>
      <c r="P868" s="27"/>
      <c r="Q868" s="27"/>
      <c r="R868" s="27"/>
      <c r="S868" s="27"/>
      <c r="T868" s="27"/>
      <c r="U868" s="27"/>
      <c r="V868" s="27"/>
      <c r="W868" s="27"/>
      <c r="X868" s="27"/>
      <c r="Y868" s="27"/>
      <c r="Z868" s="27"/>
    </row>
    <row r="869" ht="15.75" customHeight="1">
      <c r="A869" s="113"/>
      <c r="B869" s="113"/>
      <c r="C869" s="113"/>
      <c r="D869" s="36"/>
      <c r="E869" s="36"/>
      <c r="F869" s="37"/>
      <c r="G869" s="118"/>
      <c r="H869" s="27"/>
      <c r="I869" s="27"/>
      <c r="J869" s="27"/>
      <c r="K869" s="27"/>
      <c r="L869" s="27"/>
      <c r="M869" s="27"/>
      <c r="N869" s="27"/>
      <c r="O869" s="27"/>
      <c r="P869" s="27"/>
      <c r="Q869" s="27"/>
      <c r="R869" s="27"/>
      <c r="S869" s="27"/>
      <c r="T869" s="27"/>
      <c r="U869" s="27"/>
      <c r="V869" s="27"/>
      <c r="W869" s="27"/>
      <c r="X869" s="27"/>
      <c r="Y869" s="27"/>
      <c r="Z869" s="27"/>
    </row>
    <row r="870" ht="15.75" customHeight="1">
      <c r="A870" s="113"/>
      <c r="B870" s="113"/>
      <c r="C870" s="113"/>
      <c r="D870" s="36"/>
      <c r="E870" s="36"/>
      <c r="F870" s="37"/>
      <c r="G870" s="118"/>
      <c r="H870" s="27"/>
      <c r="I870" s="27"/>
      <c r="J870" s="27"/>
      <c r="K870" s="27"/>
      <c r="L870" s="27"/>
      <c r="M870" s="27"/>
      <c r="N870" s="27"/>
      <c r="O870" s="27"/>
      <c r="P870" s="27"/>
      <c r="Q870" s="27"/>
      <c r="R870" s="27"/>
      <c r="S870" s="27"/>
      <c r="T870" s="27"/>
      <c r="U870" s="27"/>
      <c r="V870" s="27"/>
      <c r="W870" s="27"/>
      <c r="X870" s="27"/>
      <c r="Y870" s="27"/>
      <c r="Z870" s="27"/>
    </row>
    <row r="871" ht="15.75" customHeight="1">
      <c r="A871" s="113"/>
      <c r="B871" s="113"/>
      <c r="C871" s="113"/>
      <c r="D871" s="36"/>
      <c r="E871" s="36"/>
      <c r="F871" s="37"/>
      <c r="G871" s="118"/>
      <c r="H871" s="27"/>
      <c r="I871" s="27"/>
      <c r="J871" s="27"/>
      <c r="K871" s="27"/>
      <c r="L871" s="27"/>
      <c r="M871" s="27"/>
      <c r="N871" s="27"/>
      <c r="O871" s="27"/>
      <c r="P871" s="27"/>
      <c r="Q871" s="27"/>
      <c r="R871" s="27"/>
      <c r="S871" s="27"/>
      <c r="T871" s="27"/>
      <c r="U871" s="27"/>
      <c r="V871" s="27"/>
      <c r="W871" s="27"/>
      <c r="X871" s="27"/>
      <c r="Y871" s="27"/>
      <c r="Z871" s="27"/>
    </row>
    <row r="872" ht="15.75" customHeight="1">
      <c r="A872" s="113"/>
      <c r="B872" s="113"/>
      <c r="C872" s="113"/>
      <c r="D872" s="36"/>
      <c r="E872" s="36"/>
      <c r="F872" s="37"/>
      <c r="G872" s="118"/>
      <c r="H872" s="27"/>
      <c r="I872" s="27"/>
      <c r="J872" s="27"/>
      <c r="K872" s="27"/>
      <c r="L872" s="27"/>
      <c r="M872" s="27"/>
      <c r="N872" s="27"/>
      <c r="O872" s="27"/>
      <c r="P872" s="27"/>
      <c r="Q872" s="27"/>
      <c r="R872" s="27"/>
      <c r="S872" s="27"/>
      <c r="T872" s="27"/>
      <c r="U872" s="27"/>
      <c r="V872" s="27"/>
      <c r="W872" s="27"/>
      <c r="X872" s="27"/>
      <c r="Y872" s="27"/>
      <c r="Z872" s="27"/>
    </row>
    <row r="873" ht="15.75" customHeight="1">
      <c r="A873" s="113"/>
      <c r="B873" s="113"/>
      <c r="C873" s="113"/>
      <c r="D873" s="36"/>
      <c r="E873" s="36"/>
      <c r="F873" s="37"/>
      <c r="G873" s="118"/>
      <c r="H873" s="27"/>
      <c r="I873" s="27"/>
      <c r="J873" s="27"/>
      <c r="K873" s="27"/>
      <c r="L873" s="27"/>
      <c r="M873" s="27"/>
      <c r="N873" s="27"/>
      <c r="O873" s="27"/>
      <c r="P873" s="27"/>
      <c r="Q873" s="27"/>
      <c r="R873" s="27"/>
      <c r="S873" s="27"/>
      <c r="T873" s="27"/>
      <c r="U873" s="27"/>
      <c r="V873" s="27"/>
      <c r="W873" s="27"/>
      <c r="X873" s="27"/>
      <c r="Y873" s="27"/>
      <c r="Z873" s="27"/>
    </row>
    <row r="874" ht="15.75" customHeight="1">
      <c r="A874" s="113"/>
      <c r="B874" s="113"/>
      <c r="C874" s="113"/>
      <c r="D874" s="36"/>
      <c r="E874" s="36"/>
      <c r="F874" s="37"/>
      <c r="G874" s="118"/>
      <c r="H874" s="27"/>
      <c r="I874" s="27"/>
      <c r="J874" s="27"/>
      <c r="K874" s="27"/>
      <c r="L874" s="27"/>
      <c r="M874" s="27"/>
      <c r="N874" s="27"/>
      <c r="O874" s="27"/>
      <c r="P874" s="27"/>
      <c r="Q874" s="27"/>
      <c r="R874" s="27"/>
      <c r="S874" s="27"/>
      <c r="T874" s="27"/>
      <c r="U874" s="27"/>
      <c r="V874" s="27"/>
      <c r="W874" s="27"/>
      <c r="X874" s="27"/>
      <c r="Y874" s="27"/>
      <c r="Z874" s="27"/>
    </row>
    <row r="875" ht="15.75" customHeight="1">
      <c r="A875" s="113"/>
      <c r="B875" s="113"/>
      <c r="C875" s="113"/>
      <c r="D875" s="36"/>
      <c r="E875" s="36"/>
      <c r="F875" s="37"/>
      <c r="G875" s="118"/>
      <c r="H875" s="27"/>
      <c r="I875" s="27"/>
      <c r="J875" s="27"/>
      <c r="K875" s="27"/>
      <c r="L875" s="27"/>
      <c r="M875" s="27"/>
      <c r="N875" s="27"/>
      <c r="O875" s="27"/>
      <c r="P875" s="27"/>
      <c r="Q875" s="27"/>
      <c r="R875" s="27"/>
      <c r="S875" s="27"/>
      <c r="T875" s="27"/>
      <c r="U875" s="27"/>
      <c r="V875" s="27"/>
      <c r="W875" s="27"/>
      <c r="X875" s="27"/>
      <c r="Y875" s="27"/>
      <c r="Z875" s="27"/>
    </row>
    <row r="876" ht="15.75" customHeight="1">
      <c r="A876" s="113"/>
      <c r="B876" s="113"/>
      <c r="C876" s="113"/>
      <c r="D876" s="36"/>
      <c r="E876" s="36"/>
      <c r="F876" s="37"/>
      <c r="G876" s="118"/>
      <c r="H876" s="27"/>
      <c r="I876" s="27"/>
      <c r="J876" s="27"/>
      <c r="K876" s="27"/>
      <c r="L876" s="27"/>
      <c r="M876" s="27"/>
      <c r="N876" s="27"/>
      <c r="O876" s="27"/>
      <c r="P876" s="27"/>
      <c r="Q876" s="27"/>
      <c r="R876" s="27"/>
      <c r="S876" s="27"/>
      <c r="T876" s="27"/>
      <c r="U876" s="27"/>
      <c r="V876" s="27"/>
      <c r="W876" s="27"/>
      <c r="X876" s="27"/>
      <c r="Y876" s="27"/>
      <c r="Z876" s="27"/>
    </row>
    <row r="877" ht="15.75" customHeight="1">
      <c r="A877" s="113"/>
      <c r="B877" s="113"/>
      <c r="C877" s="113"/>
      <c r="D877" s="36"/>
      <c r="E877" s="36"/>
      <c r="F877" s="37"/>
      <c r="G877" s="118"/>
      <c r="H877" s="27"/>
      <c r="I877" s="27"/>
      <c r="J877" s="27"/>
      <c r="K877" s="27"/>
      <c r="L877" s="27"/>
      <c r="M877" s="27"/>
      <c r="N877" s="27"/>
      <c r="O877" s="27"/>
      <c r="P877" s="27"/>
      <c r="Q877" s="27"/>
      <c r="R877" s="27"/>
      <c r="S877" s="27"/>
      <c r="T877" s="27"/>
      <c r="U877" s="27"/>
      <c r="V877" s="27"/>
      <c r="W877" s="27"/>
      <c r="X877" s="27"/>
      <c r="Y877" s="27"/>
      <c r="Z877" s="27"/>
    </row>
    <row r="878" ht="15.75" customHeight="1">
      <c r="A878" s="113"/>
      <c r="B878" s="113"/>
      <c r="C878" s="113"/>
      <c r="D878" s="36"/>
      <c r="E878" s="36"/>
      <c r="F878" s="37"/>
      <c r="G878" s="118"/>
      <c r="H878" s="27"/>
      <c r="I878" s="27"/>
      <c r="J878" s="27"/>
      <c r="K878" s="27"/>
      <c r="L878" s="27"/>
      <c r="M878" s="27"/>
      <c r="N878" s="27"/>
      <c r="O878" s="27"/>
      <c r="P878" s="27"/>
      <c r="Q878" s="27"/>
      <c r="R878" s="27"/>
      <c r="S878" s="27"/>
      <c r="T878" s="27"/>
      <c r="U878" s="27"/>
      <c r="V878" s="27"/>
      <c r="W878" s="27"/>
      <c r="X878" s="27"/>
      <c r="Y878" s="27"/>
      <c r="Z878" s="27"/>
    </row>
    <row r="879" ht="15.75" customHeight="1">
      <c r="A879" s="113"/>
      <c r="B879" s="113"/>
      <c r="C879" s="113"/>
      <c r="D879" s="36"/>
      <c r="E879" s="36"/>
      <c r="F879" s="37"/>
      <c r="G879" s="118"/>
      <c r="H879" s="27"/>
      <c r="I879" s="27"/>
      <c r="J879" s="27"/>
      <c r="K879" s="27"/>
      <c r="L879" s="27"/>
      <c r="M879" s="27"/>
      <c r="N879" s="27"/>
      <c r="O879" s="27"/>
      <c r="P879" s="27"/>
      <c r="Q879" s="27"/>
      <c r="R879" s="27"/>
      <c r="S879" s="27"/>
      <c r="T879" s="27"/>
      <c r="U879" s="27"/>
      <c r="V879" s="27"/>
      <c r="W879" s="27"/>
      <c r="X879" s="27"/>
      <c r="Y879" s="27"/>
      <c r="Z879" s="27"/>
    </row>
    <row r="880" ht="15.75" customHeight="1">
      <c r="A880" s="113"/>
      <c r="B880" s="113"/>
      <c r="C880" s="113"/>
      <c r="D880" s="36"/>
      <c r="E880" s="36"/>
      <c r="F880" s="37"/>
      <c r="G880" s="118"/>
      <c r="H880" s="27"/>
      <c r="I880" s="27"/>
      <c r="J880" s="27"/>
      <c r="K880" s="27"/>
      <c r="L880" s="27"/>
      <c r="M880" s="27"/>
      <c r="N880" s="27"/>
      <c r="O880" s="27"/>
      <c r="P880" s="27"/>
      <c r="Q880" s="27"/>
      <c r="R880" s="27"/>
      <c r="S880" s="27"/>
      <c r="T880" s="27"/>
      <c r="U880" s="27"/>
      <c r="V880" s="27"/>
      <c r="W880" s="27"/>
      <c r="X880" s="27"/>
      <c r="Y880" s="27"/>
      <c r="Z880" s="27"/>
    </row>
    <row r="881" ht="15.75" customHeight="1">
      <c r="A881" s="113"/>
      <c r="B881" s="113"/>
      <c r="C881" s="113"/>
      <c r="D881" s="36"/>
      <c r="E881" s="36"/>
      <c r="F881" s="37"/>
      <c r="G881" s="118"/>
      <c r="H881" s="27"/>
      <c r="I881" s="27"/>
      <c r="J881" s="27"/>
      <c r="K881" s="27"/>
      <c r="L881" s="27"/>
      <c r="M881" s="27"/>
      <c r="N881" s="27"/>
      <c r="O881" s="27"/>
      <c r="P881" s="27"/>
      <c r="Q881" s="27"/>
      <c r="R881" s="27"/>
      <c r="S881" s="27"/>
      <c r="T881" s="27"/>
      <c r="U881" s="27"/>
      <c r="V881" s="27"/>
      <c r="W881" s="27"/>
      <c r="X881" s="27"/>
      <c r="Y881" s="27"/>
      <c r="Z881" s="27"/>
    </row>
    <row r="882" ht="15.75" customHeight="1">
      <c r="A882" s="113"/>
      <c r="B882" s="113"/>
      <c r="C882" s="113"/>
      <c r="D882" s="36"/>
      <c r="E882" s="36"/>
      <c r="F882" s="37"/>
      <c r="G882" s="118"/>
      <c r="H882" s="27"/>
      <c r="I882" s="27"/>
      <c r="J882" s="27"/>
      <c r="K882" s="27"/>
      <c r="L882" s="27"/>
      <c r="M882" s="27"/>
      <c r="N882" s="27"/>
      <c r="O882" s="27"/>
      <c r="P882" s="27"/>
      <c r="Q882" s="27"/>
      <c r="R882" s="27"/>
      <c r="S882" s="27"/>
      <c r="T882" s="27"/>
      <c r="U882" s="27"/>
      <c r="V882" s="27"/>
      <c r="W882" s="27"/>
      <c r="X882" s="27"/>
      <c r="Y882" s="27"/>
      <c r="Z882" s="27"/>
    </row>
    <row r="883" ht="15.75" customHeight="1">
      <c r="A883" s="113"/>
      <c r="B883" s="113"/>
      <c r="C883" s="113"/>
      <c r="D883" s="36"/>
      <c r="E883" s="36"/>
      <c r="F883" s="37"/>
      <c r="G883" s="118"/>
      <c r="H883" s="27"/>
      <c r="I883" s="27"/>
      <c r="J883" s="27"/>
      <c r="K883" s="27"/>
      <c r="L883" s="27"/>
      <c r="M883" s="27"/>
      <c r="N883" s="27"/>
      <c r="O883" s="27"/>
      <c r="P883" s="27"/>
      <c r="Q883" s="27"/>
      <c r="R883" s="27"/>
      <c r="S883" s="27"/>
      <c r="T883" s="27"/>
      <c r="U883" s="27"/>
      <c r="V883" s="27"/>
      <c r="W883" s="27"/>
      <c r="X883" s="27"/>
      <c r="Y883" s="27"/>
      <c r="Z883" s="27"/>
    </row>
    <row r="884" ht="15.75" customHeight="1">
      <c r="A884" s="113"/>
      <c r="B884" s="113"/>
      <c r="C884" s="113"/>
      <c r="D884" s="36"/>
      <c r="E884" s="36"/>
      <c r="F884" s="37"/>
      <c r="G884" s="118"/>
      <c r="H884" s="27"/>
      <c r="I884" s="27"/>
      <c r="J884" s="27"/>
      <c r="K884" s="27"/>
      <c r="L884" s="27"/>
      <c r="M884" s="27"/>
      <c r="N884" s="27"/>
      <c r="O884" s="27"/>
      <c r="P884" s="27"/>
      <c r="Q884" s="27"/>
      <c r="R884" s="27"/>
      <c r="S884" s="27"/>
      <c r="T884" s="27"/>
      <c r="U884" s="27"/>
      <c r="V884" s="27"/>
      <c r="W884" s="27"/>
      <c r="X884" s="27"/>
      <c r="Y884" s="27"/>
      <c r="Z884" s="27"/>
    </row>
    <row r="885" ht="15.75" customHeight="1">
      <c r="A885" s="113"/>
      <c r="B885" s="113"/>
      <c r="C885" s="113"/>
      <c r="D885" s="36"/>
      <c r="E885" s="36"/>
      <c r="F885" s="37"/>
      <c r="G885" s="118"/>
      <c r="H885" s="27"/>
      <c r="I885" s="27"/>
      <c r="J885" s="27"/>
      <c r="K885" s="27"/>
      <c r="L885" s="27"/>
      <c r="M885" s="27"/>
      <c r="N885" s="27"/>
      <c r="O885" s="27"/>
      <c r="P885" s="27"/>
      <c r="Q885" s="27"/>
      <c r="R885" s="27"/>
      <c r="S885" s="27"/>
      <c r="T885" s="27"/>
      <c r="U885" s="27"/>
      <c r="V885" s="27"/>
      <c r="W885" s="27"/>
      <c r="X885" s="27"/>
      <c r="Y885" s="27"/>
      <c r="Z885" s="27"/>
    </row>
    <row r="886" ht="15.75" customHeight="1">
      <c r="A886" s="113"/>
      <c r="B886" s="113"/>
      <c r="C886" s="113"/>
      <c r="D886" s="36"/>
      <c r="E886" s="36"/>
      <c r="F886" s="37"/>
      <c r="G886" s="118"/>
      <c r="H886" s="27"/>
      <c r="I886" s="27"/>
      <c r="J886" s="27"/>
      <c r="K886" s="27"/>
      <c r="L886" s="27"/>
      <c r="M886" s="27"/>
      <c r="N886" s="27"/>
      <c r="O886" s="27"/>
      <c r="P886" s="27"/>
      <c r="Q886" s="27"/>
      <c r="R886" s="27"/>
      <c r="S886" s="27"/>
      <c r="T886" s="27"/>
      <c r="U886" s="27"/>
      <c r="V886" s="27"/>
      <c r="W886" s="27"/>
      <c r="X886" s="27"/>
      <c r="Y886" s="27"/>
      <c r="Z886" s="27"/>
    </row>
    <row r="887" ht="15.75" customHeight="1">
      <c r="A887" s="113"/>
      <c r="B887" s="113"/>
      <c r="C887" s="113"/>
      <c r="D887" s="36"/>
      <c r="E887" s="36"/>
      <c r="F887" s="37"/>
      <c r="G887" s="118"/>
      <c r="H887" s="27"/>
      <c r="I887" s="27"/>
      <c r="J887" s="27"/>
      <c r="K887" s="27"/>
      <c r="L887" s="27"/>
      <c r="M887" s="27"/>
      <c r="N887" s="27"/>
      <c r="O887" s="27"/>
      <c r="P887" s="27"/>
      <c r="Q887" s="27"/>
      <c r="R887" s="27"/>
      <c r="S887" s="27"/>
      <c r="T887" s="27"/>
      <c r="U887" s="27"/>
      <c r="V887" s="27"/>
      <c r="W887" s="27"/>
      <c r="X887" s="27"/>
      <c r="Y887" s="27"/>
      <c r="Z887" s="27"/>
    </row>
    <row r="888" ht="15.75" customHeight="1">
      <c r="A888" s="113"/>
      <c r="B888" s="113"/>
      <c r="C888" s="113"/>
      <c r="D888" s="36"/>
      <c r="E888" s="36"/>
      <c r="F888" s="37"/>
      <c r="G888" s="118"/>
      <c r="H888" s="27"/>
      <c r="I888" s="27"/>
      <c r="J888" s="27"/>
      <c r="K888" s="27"/>
      <c r="L888" s="27"/>
      <c r="M888" s="27"/>
      <c r="N888" s="27"/>
      <c r="O888" s="27"/>
      <c r="P888" s="27"/>
      <c r="Q888" s="27"/>
      <c r="R888" s="27"/>
      <c r="S888" s="27"/>
      <c r="T888" s="27"/>
      <c r="U888" s="27"/>
      <c r="V888" s="27"/>
      <c r="W888" s="27"/>
      <c r="X888" s="27"/>
      <c r="Y888" s="27"/>
      <c r="Z888" s="27"/>
    </row>
    <row r="889" ht="15.75" customHeight="1">
      <c r="A889" s="113"/>
      <c r="B889" s="113"/>
      <c r="C889" s="113"/>
      <c r="D889" s="36"/>
      <c r="E889" s="36"/>
      <c r="F889" s="37"/>
      <c r="G889" s="118"/>
      <c r="H889" s="27"/>
      <c r="I889" s="27"/>
      <c r="J889" s="27"/>
      <c r="K889" s="27"/>
      <c r="L889" s="27"/>
      <c r="M889" s="27"/>
      <c r="N889" s="27"/>
      <c r="O889" s="27"/>
      <c r="P889" s="27"/>
      <c r="Q889" s="27"/>
      <c r="R889" s="27"/>
      <c r="S889" s="27"/>
      <c r="T889" s="27"/>
      <c r="U889" s="27"/>
      <c r="V889" s="27"/>
      <c r="W889" s="27"/>
      <c r="X889" s="27"/>
      <c r="Y889" s="27"/>
      <c r="Z889" s="27"/>
    </row>
    <row r="890" ht="15.75" customHeight="1">
      <c r="A890" s="113"/>
      <c r="B890" s="113"/>
      <c r="C890" s="113"/>
      <c r="D890" s="36"/>
      <c r="E890" s="36"/>
      <c r="F890" s="37"/>
      <c r="G890" s="118"/>
      <c r="H890" s="27"/>
      <c r="I890" s="27"/>
      <c r="J890" s="27"/>
      <c r="K890" s="27"/>
      <c r="L890" s="27"/>
      <c r="M890" s="27"/>
      <c r="N890" s="27"/>
      <c r="O890" s="27"/>
      <c r="P890" s="27"/>
      <c r="Q890" s="27"/>
      <c r="R890" s="27"/>
      <c r="S890" s="27"/>
      <c r="T890" s="27"/>
      <c r="U890" s="27"/>
      <c r="V890" s="27"/>
      <c r="W890" s="27"/>
      <c r="X890" s="27"/>
      <c r="Y890" s="27"/>
      <c r="Z890" s="27"/>
    </row>
    <row r="891" ht="15.75" customHeight="1">
      <c r="A891" s="113"/>
      <c r="B891" s="113"/>
      <c r="C891" s="113"/>
      <c r="D891" s="36"/>
      <c r="E891" s="36"/>
      <c r="F891" s="37"/>
      <c r="G891" s="118"/>
      <c r="H891" s="27"/>
      <c r="I891" s="27"/>
      <c r="J891" s="27"/>
      <c r="K891" s="27"/>
      <c r="L891" s="27"/>
      <c r="M891" s="27"/>
      <c r="N891" s="27"/>
      <c r="O891" s="27"/>
      <c r="P891" s="27"/>
      <c r="Q891" s="27"/>
      <c r="R891" s="27"/>
      <c r="S891" s="27"/>
      <c r="T891" s="27"/>
      <c r="U891" s="27"/>
      <c r="V891" s="27"/>
      <c r="W891" s="27"/>
      <c r="X891" s="27"/>
      <c r="Y891" s="27"/>
      <c r="Z891" s="27"/>
    </row>
    <row r="892" ht="15.75" customHeight="1">
      <c r="A892" s="113"/>
      <c r="B892" s="113"/>
      <c r="C892" s="113"/>
      <c r="D892" s="36"/>
      <c r="E892" s="36"/>
      <c r="F892" s="37"/>
      <c r="G892" s="118"/>
      <c r="H892" s="27"/>
      <c r="I892" s="27"/>
      <c r="J892" s="27"/>
      <c r="K892" s="27"/>
      <c r="L892" s="27"/>
      <c r="M892" s="27"/>
      <c r="N892" s="27"/>
      <c r="O892" s="27"/>
      <c r="P892" s="27"/>
      <c r="Q892" s="27"/>
      <c r="R892" s="27"/>
      <c r="S892" s="27"/>
      <c r="T892" s="27"/>
      <c r="U892" s="27"/>
      <c r="V892" s="27"/>
      <c r="W892" s="27"/>
      <c r="X892" s="27"/>
      <c r="Y892" s="27"/>
      <c r="Z892" s="27"/>
    </row>
    <row r="893" ht="15.75" customHeight="1">
      <c r="A893" s="113"/>
      <c r="B893" s="113"/>
      <c r="C893" s="113"/>
      <c r="D893" s="36"/>
      <c r="E893" s="36"/>
      <c r="F893" s="37"/>
      <c r="G893" s="118"/>
      <c r="H893" s="27"/>
      <c r="I893" s="27"/>
      <c r="J893" s="27"/>
      <c r="K893" s="27"/>
      <c r="L893" s="27"/>
      <c r="M893" s="27"/>
      <c r="N893" s="27"/>
      <c r="O893" s="27"/>
      <c r="P893" s="27"/>
      <c r="Q893" s="27"/>
      <c r="R893" s="27"/>
      <c r="S893" s="27"/>
      <c r="T893" s="27"/>
      <c r="U893" s="27"/>
      <c r="V893" s="27"/>
      <c r="W893" s="27"/>
      <c r="X893" s="27"/>
      <c r="Y893" s="27"/>
      <c r="Z893" s="27"/>
    </row>
    <row r="894" ht="15.75" customHeight="1">
      <c r="A894" s="113"/>
      <c r="B894" s="113"/>
      <c r="C894" s="113"/>
      <c r="D894" s="36"/>
      <c r="E894" s="36"/>
      <c r="F894" s="37"/>
      <c r="G894" s="118"/>
      <c r="H894" s="27"/>
      <c r="I894" s="27"/>
      <c r="J894" s="27"/>
      <c r="K894" s="27"/>
      <c r="L894" s="27"/>
      <c r="M894" s="27"/>
      <c r="N894" s="27"/>
      <c r="O894" s="27"/>
      <c r="P894" s="27"/>
      <c r="Q894" s="27"/>
      <c r="R894" s="27"/>
      <c r="S894" s="27"/>
      <c r="T894" s="27"/>
      <c r="U894" s="27"/>
      <c r="V894" s="27"/>
      <c r="W894" s="27"/>
      <c r="X894" s="27"/>
      <c r="Y894" s="27"/>
      <c r="Z894" s="27"/>
    </row>
    <row r="895" ht="15.75" customHeight="1">
      <c r="A895" s="113"/>
      <c r="B895" s="113"/>
      <c r="C895" s="113"/>
      <c r="D895" s="36"/>
      <c r="E895" s="36"/>
      <c r="F895" s="37"/>
      <c r="G895" s="118"/>
      <c r="H895" s="27"/>
      <c r="I895" s="27"/>
      <c r="J895" s="27"/>
      <c r="K895" s="27"/>
      <c r="L895" s="27"/>
      <c r="M895" s="27"/>
      <c r="N895" s="27"/>
      <c r="O895" s="27"/>
      <c r="P895" s="27"/>
      <c r="Q895" s="27"/>
      <c r="R895" s="27"/>
      <c r="S895" s="27"/>
      <c r="T895" s="27"/>
      <c r="U895" s="27"/>
      <c r="V895" s="27"/>
      <c r="W895" s="27"/>
      <c r="X895" s="27"/>
      <c r="Y895" s="27"/>
      <c r="Z895" s="27"/>
    </row>
    <row r="896" ht="15.75" customHeight="1">
      <c r="A896" s="113"/>
      <c r="B896" s="113"/>
      <c r="C896" s="113"/>
      <c r="D896" s="36"/>
      <c r="E896" s="36"/>
      <c r="F896" s="37"/>
      <c r="G896" s="118"/>
      <c r="H896" s="27"/>
      <c r="I896" s="27"/>
      <c r="J896" s="27"/>
      <c r="K896" s="27"/>
      <c r="L896" s="27"/>
      <c r="M896" s="27"/>
      <c r="N896" s="27"/>
      <c r="O896" s="27"/>
      <c r="P896" s="27"/>
      <c r="Q896" s="27"/>
      <c r="R896" s="27"/>
      <c r="S896" s="27"/>
      <c r="T896" s="27"/>
      <c r="U896" s="27"/>
      <c r="V896" s="27"/>
      <c r="W896" s="27"/>
      <c r="X896" s="27"/>
      <c r="Y896" s="27"/>
      <c r="Z896" s="27"/>
    </row>
    <row r="897" ht="15.75" customHeight="1">
      <c r="A897" s="113"/>
      <c r="B897" s="113"/>
      <c r="C897" s="113"/>
      <c r="D897" s="36"/>
      <c r="E897" s="36"/>
      <c r="F897" s="37"/>
      <c r="G897" s="118"/>
      <c r="H897" s="27"/>
      <c r="I897" s="27"/>
      <c r="J897" s="27"/>
      <c r="K897" s="27"/>
      <c r="L897" s="27"/>
      <c r="M897" s="27"/>
      <c r="N897" s="27"/>
      <c r="O897" s="27"/>
      <c r="P897" s="27"/>
      <c r="Q897" s="27"/>
      <c r="R897" s="27"/>
      <c r="S897" s="27"/>
      <c r="T897" s="27"/>
      <c r="U897" s="27"/>
      <c r="V897" s="27"/>
      <c r="W897" s="27"/>
      <c r="X897" s="27"/>
      <c r="Y897" s="27"/>
      <c r="Z897" s="27"/>
    </row>
    <row r="898" ht="15.75" customHeight="1">
      <c r="A898" s="113"/>
      <c r="B898" s="113"/>
      <c r="C898" s="113"/>
      <c r="D898" s="36"/>
      <c r="E898" s="36"/>
      <c r="F898" s="37"/>
      <c r="G898" s="118"/>
      <c r="H898" s="27"/>
      <c r="I898" s="27"/>
      <c r="J898" s="27"/>
      <c r="K898" s="27"/>
      <c r="L898" s="27"/>
      <c r="M898" s="27"/>
      <c r="N898" s="27"/>
      <c r="O898" s="27"/>
      <c r="P898" s="27"/>
      <c r="Q898" s="27"/>
      <c r="R898" s="27"/>
      <c r="S898" s="27"/>
      <c r="T898" s="27"/>
      <c r="U898" s="27"/>
      <c r="V898" s="27"/>
      <c r="W898" s="27"/>
      <c r="X898" s="27"/>
      <c r="Y898" s="27"/>
      <c r="Z898" s="27"/>
    </row>
    <row r="899" ht="15.75" customHeight="1">
      <c r="A899" s="113"/>
      <c r="B899" s="113"/>
      <c r="C899" s="113"/>
      <c r="D899" s="36"/>
      <c r="E899" s="36"/>
      <c r="F899" s="37"/>
      <c r="G899" s="118"/>
      <c r="H899" s="27"/>
      <c r="I899" s="27"/>
      <c r="J899" s="27"/>
      <c r="K899" s="27"/>
      <c r="L899" s="27"/>
      <c r="M899" s="27"/>
      <c r="N899" s="27"/>
      <c r="O899" s="27"/>
      <c r="P899" s="27"/>
      <c r="Q899" s="27"/>
      <c r="R899" s="27"/>
      <c r="S899" s="27"/>
      <c r="T899" s="27"/>
      <c r="U899" s="27"/>
      <c r="V899" s="27"/>
      <c r="W899" s="27"/>
      <c r="X899" s="27"/>
      <c r="Y899" s="27"/>
      <c r="Z899" s="27"/>
    </row>
    <row r="900" ht="15.75" customHeight="1">
      <c r="A900" s="113"/>
      <c r="B900" s="113"/>
      <c r="C900" s="113"/>
      <c r="D900" s="36"/>
      <c r="E900" s="36"/>
      <c r="F900" s="37"/>
      <c r="G900" s="118"/>
      <c r="H900" s="27"/>
      <c r="I900" s="27"/>
      <c r="J900" s="27"/>
      <c r="K900" s="27"/>
      <c r="L900" s="27"/>
      <c r="M900" s="27"/>
      <c r="N900" s="27"/>
      <c r="O900" s="27"/>
      <c r="P900" s="27"/>
      <c r="Q900" s="27"/>
      <c r="R900" s="27"/>
      <c r="S900" s="27"/>
      <c r="T900" s="27"/>
      <c r="U900" s="27"/>
      <c r="V900" s="27"/>
      <c r="W900" s="27"/>
      <c r="X900" s="27"/>
      <c r="Y900" s="27"/>
      <c r="Z900" s="27"/>
    </row>
    <row r="901" ht="15.75" customHeight="1">
      <c r="A901" s="113"/>
      <c r="B901" s="113"/>
      <c r="C901" s="113"/>
      <c r="D901" s="36"/>
      <c r="E901" s="36"/>
      <c r="F901" s="37"/>
      <c r="G901" s="118"/>
      <c r="H901" s="27"/>
      <c r="I901" s="27"/>
      <c r="J901" s="27"/>
      <c r="K901" s="27"/>
      <c r="L901" s="27"/>
      <c r="M901" s="27"/>
      <c r="N901" s="27"/>
      <c r="O901" s="27"/>
      <c r="P901" s="27"/>
      <c r="Q901" s="27"/>
      <c r="R901" s="27"/>
      <c r="S901" s="27"/>
      <c r="T901" s="27"/>
      <c r="U901" s="27"/>
      <c r="V901" s="27"/>
      <c r="W901" s="27"/>
      <c r="X901" s="27"/>
      <c r="Y901" s="27"/>
      <c r="Z901" s="27"/>
    </row>
    <row r="902" ht="15.75" customHeight="1">
      <c r="A902" s="113"/>
      <c r="B902" s="113"/>
      <c r="C902" s="113"/>
      <c r="D902" s="36"/>
      <c r="E902" s="36"/>
      <c r="F902" s="37"/>
      <c r="G902" s="118"/>
      <c r="H902" s="27"/>
      <c r="I902" s="27"/>
      <c r="J902" s="27"/>
      <c r="K902" s="27"/>
      <c r="L902" s="27"/>
      <c r="M902" s="27"/>
      <c r="N902" s="27"/>
      <c r="O902" s="27"/>
      <c r="P902" s="27"/>
      <c r="Q902" s="27"/>
      <c r="R902" s="27"/>
      <c r="S902" s="27"/>
      <c r="T902" s="27"/>
      <c r="U902" s="27"/>
      <c r="V902" s="27"/>
      <c r="W902" s="27"/>
      <c r="X902" s="27"/>
      <c r="Y902" s="27"/>
      <c r="Z902" s="27"/>
    </row>
    <row r="903" ht="15.75" customHeight="1">
      <c r="A903" s="113"/>
      <c r="B903" s="113"/>
      <c r="C903" s="113"/>
      <c r="D903" s="36"/>
      <c r="E903" s="36"/>
      <c r="F903" s="37"/>
      <c r="G903" s="118"/>
      <c r="H903" s="27"/>
      <c r="I903" s="27"/>
      <c r="J903" s="27"/>
      <c r="K903" s="27"/>
      <c r="L903" s="27"/>
      <c r="M903" s="27"/>
      <c r="N903" s="27"/>
      <c r="O903" s="27"/>
      <c r="P903" s="27"/>
      <c r="Q903" s="27"/>
      <c r="R903" s="27"/>
      <c r="S903" s="27"/>
      <c r="T903" s="27"/>
      <c r="U903" s="27"/>
      <c r="V903" s="27"/>
      <c r="W903" s="27"/>
      <c r="X903" s="27"/>
      <c r="Y903" s="27"/>
      <c r="Z903" s="27"/>
    </row>
    <row r="904" ht="15.75" customHeight="1">
      <c r="A904" s="113"/>
      <c r="B904" s="113"/>
      <c r="C904" s="113"/>
      <c r="D904" s="36"/>
      <c r="E904" s="36"/>
      <c r="F904" s="37"/>
      <c r="G904" s="118"/>
      <c r="H904" s="27"/>
      <c r="I904" s="27"/>
      <c r="J904" s="27"/>
      <c r="K904" s="27"/>
      <c r="L904" s="27"/>
      <c r="M904" s="27"/>
      <c r="N904" s="27"/>
      <c r="O904" s="27"/>
      <c r="P904" s="27"/>
      <c r="Q904" s="27"/>
      <c r="R904" s="27"/>
      <c r="S904" s="27"/>
      <c r="T904" s="27"/>
      <c r="U904" s="27"/>
      <c r="V904" s="27"/>
      <c r="W904" s="27"/>
      <c r="X904" s="27"/>
      <c r="Y904" s="27"/>
      <c r="Z904" s="27"/>
    </row>
    <row r="905" ht="15.75" customHeight="1">
      <c r="A905" s="113"/>
      <c r="B905" s="113"/>
      <c r="C905" s="113"/>
      <c r="D905" s="36"/>
      <c r="E905" s="36"/>
      <c r="F905" s="37"/>
      <c r="G905" s="118"/>
      <c r="H905" s="27"/>
      <c r="I905" s="27"/>
      <c r="J905" s="27"/>
      <c r="K905" s="27"/>
      <c r="L905" s="27"/>
      <c r="M905" s="27"/>
      <c r="N905" s="27"/>
      <c r="O905" s="27"/>
      <c r="P905" s="27"/>
      <c r="Q905" s="27"/>
      <c r="R905" s="27"/>
      <c r="S905" s="27"/>
      <c r="T905" s="27"/>
      <c r="U905" s="27"/>
      <c r="V905" s="27"/>
      <c r="W905" s="27"/>
      <c r="X905" s="27"/>
      <c r="Y905" s="27"/>
      <c r="Z905" s="27"/>
    </row>
    <row r="906" ht="15.75" customHeight="1">
      <c r="A906" s="113"/>
      <c r="B906" s="113"/>
      <c r="C906" s="113"/>
      <c r="D906" s="36"/>
      <c r="E906" s="36"/>
      <c r="F906" s="37"/>
      <c r="G906" s="118"/>
      <c r="H906" s="27"/>
      <c r="I906" s="27"/>
      <c r="J906" s="27"/>
      <c r="K906" s="27"/>
      <c r="L906" s="27"/>
      <c r="M906" s="27"/>
      <c r="N906" s="27"/>
      <c r="O906" s="27"/>
      <c r="P906" s="27"/>
      <c r="Q906" s="27"/>
      <c r="R906" s="27"/>
      <c r="S906" s="27"/>
      <c r="T906" s="27"/>
      <c r="U906" s="27"/>
      <c r="V906" s="27"/>
      <c r="W906" s="27"/>
      <c r="X906" s="27"/>
      <c r="Y906" s="27"/>
      <c r="Z906" s="27"/>
    </row>
    <row r="907" ht="15.75" customHeight="1">
      <c r="A907" s="113"/>
      <c r="B907" s="113"/>
      <c r="C907" s="113"/>
      <c r="D907" s="36"/>
      <c r="E907" s="36"/>
      <c r="F907" s="37"/>
      <c r="G907" s="118"/>
      <c r="H907" s="27"/>
      <c r="I907" s="27"/>
      <c r="J907" s="27"/>
      <c r="K907" s="27"/>
      <c r="L907" s="27"/>
      <c r="M907" s="27"/>
      <c r="N907" s="27"/>
      <c r="O907" s="27"/>
      <c r="P907" s="27"/>
      <c r="Q907" s="27"/>
      <c r="R907" s="27"/>
      <c r="S907" s="27"/>
      <c r="T907" s="27"/>
      <c r="U907" s="27"/>
      <c r="V907" s="27"/>
      <c r="W907" s="27"/>
      <c r="X907" s="27"/>
      <c r="Y907" s="27"/>
      <c r="Z907" s="27"/>
    </row>
    <row r="908" ht="15.75" customHeight="1">
      <c r="A908" s="113"/>
      <c r="B908" s="113"/>
      <c r="C908" s="113"/>
      <c r="D908" s="36"/>
      <c r="E908" s="36"/>
      <c r="F908" s="37"/>
      <c r="G908" s="118"/>
      <c r="H908" s="27"/>
      <c r="I908" s="27"/>
      <c r="J908" s="27"/>
      <c r="K908" s="27"/>
      <c r="L908" s="27"/>
      <c r="M908" s="27"/>
      <c r="N908" s="27"/>
      <c r="O908" s="27"/>
      <c r="P908" s="27"/>
      <c r="Q908" s="27"/>
      <c r="R908" s="27"/>
      <c r="S908" s="27"/>
      <c r="T908" s="27"/>
      <c r="U908" s="27"/>
      <c r="V908" s="27"/>
      <c r="W908" s="27"/>
      <c r="X908" s="27"/>
      <c r="Y908" s="27"/>
      <c r="Z908" s="27"/>
    </row>
    <row r="909" ht="15.75" customHeight="1">
      <c r="A909" s="113"/>
      <c r="B909" s="113"/>
      <c r="C909" s="113"/>
      <c r="D909" s="36"/>
      <c r="E909" s="36"/>
      <c r="F909" s="37"/>
      <c r="G909" s="118"/>
      <c r="H909" s="27"/>
      <c r="I909" s="27"/>
      <c r="J909" s="27"/>
      <c r="K909" s="27"/>
      <c r="L909" s="27"/>
      <c r="M909" s="27"/>
      <c r="N909" s="27"/>
      <c r="O909" s="27"/>
      <c r="P909" s="27"/>
      <c r="Q909" s="27"/>
      <c r="R909" s="27"/>
      <c r="S909" s="27"/>
      <c r="T909" s="27"/>
      <c r="U909" s="27"/>
      <c r="V909" s="27"/>
      <c r="W909" s="27"/>
      <c r="X909" s="27"/>
      <c r="Y909" s="27"/>
      <c r="Z909" s="27"/>
    </row>
    <row r="910" ht="15.75" customHeight="1">
      <c r="A910" s="113"/>
      <c r="B910" s="113"/>
      <c r="C910" s="113"/>
      <c r="D910" s="36"/>
      <c r="E910" s="36"/>
      <c r="F910" s="37"/>
      <c r="G910" s="118"/>
      <c r="H910" s="27"/>
      <c r="I910" s="27"/>
      <c r="J910" s="27"/>
      <c r="K910" s="27"/>
      <c r="L910" s="27"/>
      <c r="M910" s="27"/>
      <c r="N910" s="27"/>
      <c r="O910" s="27"/>
      <c r="P910" s="27"/>
      <c r="Q910" s="27"/>
      <c r="R910" s="27"/>
      <c r="S910" s="27"/>
      <c r="T910" s="27"/>
      <c r="U910" s="27"/>
      <c r="V910" s="27"/>
      <c r="W910" s="27"/>
      <c r="X910" s="27"/>
      <c r="Y910" s="27"/>
      <c r="Z910" s="27"/>
    </row>
    <row r="911" ht="15.75" customHeight="1">
      <c r="A911" s="113"/>
      <c r="B911" s="113"/>
      <c r="C911" s="113"/>
      <c r="D911" s="36"/>
      <c r="E911" s="36"/>
      <c r="F911" s="37"/>
      <c r="G911" s="118"/>
      <c r="H911" s="27"/>
      <c r="I911" s="27"/>
      <c r="J911" s="27"/>
      <c r="K911" s="27"/>
      <c r="L911" s="27"/>
      <c r="M911" s="27"/>
      <c r="N911" s="27"/>
      <c r="O911" s="27"/>
      <c r="P911" s="27"/>
      <c r="Q911" s="27"/>
      <c r="R911" s="27"/>
      <c r="S911" s="27"/>
      <c r="T911" s="27"/>
      <c r="U911" s="27"/>
      <c r="V911" s="27"/>
      <c r="W911" s="27"/>
      <c r="X911" s="27"/>
      <c r="Y911" s="27"/>
      <c r="Z911" s="27"/>
    </row>
    <row r="912" ht="15.75" customHeight="1">
      <c r="A912" s="113"/>
      <c r="B912" s="113"/>
      <c r="C912" s="113"/>
      <c r="D912" s="36"/>
      <c r="E912" s="36"/>
      <c r="F912" s="37"/>
      <c r="G912" s="118"/>
      <c r="H912" s="27"/>
      <c r="I912" s="27"/>
      <c r="J912" s="27"/>
      <c r="K912" s="27"/>
      <c r="L912" s="27"/>
      <c r="M912" s="27"/>
      <c r="N912" s="27"/>
      <c r="O912" s="27"/>
      <c r="P912" s="27"/>
      <c r="Q912" s="27"/>
      <c r="R912" s="27"/>
      <c r="S912" s="27"/>
      <c r="T912" s="27"/>
      <c r="U912" s="27"/>
      <c r="V912" s="27"/>
      <c r="W912" s="27"/>
      <c r="X912" s="27"/>
      <c r="Y912" s="27"/>
      <c r="Z912" s="27"/>
    </row>
    <row r="913" ht="15.75" customHeight="1">
      <c r="A913" s="113"/>
      <c r="B913" s="113"/>
      <c r="C913" s="113"/>
      <c r="D913" s="36"/>
      <c r="E913" s="36"/>
      <c r="F913" s="37"/>
      <c r="G913" s="118"/>
      <c r="H913" s="27"/>
      <c r="I913" s="27"/>
      <c r="J913" s="27"/>
      <c r="K913" s="27"/>
      <c r="L913" s="27"/>
      <c r="M913" s="27"/>
      <c r="N913" s="27"/>
      <c r="O913" s="27"/>
      <c r="P913" s="27"/>
      <c r="Q913" s="27"/>
      <c r="R913" s="27"/>
      <c r="S913" s="27"/>
      <c r="T913" s="27"/>
      <c r="U913" s="27"/>
      <c r="V913" s="27"/>
      <c r="W913" s="27"/>
      <c r="X913" s="27"/>
      <c r="Y913" s="27"/>
      <c r="Z913" s="27"/>
    </row>
    <row r="914" ht="15.75" customHeight="1">
      <c r="A914" s="113"/>
      <c r="B914" s="113"/>
      <c r="C914" s="113"/>
      <c r="D914" s="36"/>
      <c r="E914" s="36"/>
      <c r="F914" s="37"/>
      <c r="G914" s="118"/>
      <c r="H914" s="27"/>
      <c r="I914" s="27"/>
      <c r="J914" s="27"/>
      <c r="K914" s="27"/>
      <c r="L914" s="27"/>
      <c r="M914" s="27"/>
      <c r="N914" s="27"/>
      <c r="O914" s="27"/>
      <c r="P914" s="27"/>
      <c r="Q914" s="27"/>
      <c r="R914" s="27"/>
      <c r="S914" s="27"/>
      <c r="T914" s="27"/>
      <c r="U914" s="27"/>
      <c r="V914" s="27"/>
      <c r="W914" s="27"/>
      <c r="X914" s="27"/>
      <c r="Y914" s="27"/>
      <c r="Z914" s="27"/>
    </row>
    <row r="915" ht="15.75" customHeight="1">
      <c r="A915" s="113"/>
      <c r="B915" s="113"/>
      <c r="C915" s="113"/>
      <c r="D915" s="36"/>
      <c r="E915" s="36"/>
      <c r="F915" s="37"/>
      <c r="G915" s="118"/>
      <c r="H915" s="27"/>
      <c r="I915" s="27"/>
      <c r="J915" s="27"/>
      <c r="K915" s="27"/>
      <c r="L915" s="27"/>
      <c r="M915" s="27"/>
      <c r="N915" s="27"/>
      <c r="O915" s="27"/>
      <c r="P915" s="27"/>
      <c r="Q915" s="27"/>
      <c r="R915" s="27"/>
      <c r="S915" s="27"/>
      <c r="T915" s="27"/>
      <c r="U915" s="27"/>
      <c r="V915" s="27"/>
      <c r="W915" s="27"/>
      <c r="X915" s="27"/>
      <c r="Y915" s="27"/>
      <c r="Z915" s="27"/>
    </row>
    <row r="916" ht="15.75" customHeight="1">
      <c r="A916" s="113"/>
      <c r="B916" s="113"/>
      <c r="C916" s="113"/>
      <c r="D916" s="36"/>
      <c r="E916" s="36"/>
      <c r="F916" s="37"/>
      <c r="G916" s="118"/>
      <c r="H916" s="27"/>
      <c r="I916" s="27"/>
      <c r="J916" s="27"/>
      <c r="K916" s="27"/>
      <c r="L916" s="27"/>
      <c r="M916" s="27"/>
      <c r="N916" s="27"/>
      <c r="O916" s="27"/>
      <c r="P916" s="27"/>
      <c r="Q916" s="27"/>
      <c r="R916" s="27"/>
      <c r="S916" s="27"/>
      <c r="T916" s="27"/>
      <c r="U916" s="27"/>
      <c r="V916" s="27"/>
      <c r="W916" s="27"/>
      <c r="X916" s="27"/>
      <c r="Y916" s="27"/>
      <c r="Z916" s="27"/>
    </row>
    <row r="917" ht="15.75" customHeight="1">
      <c r="A917" s="113"/>
      <c r="B917" s="113"/>
      <c r="C917" s="113"/>
      <c r="D917" s="36"/>
      <c r="E917" s="36"/>
      <c r="F917" s="37"/>
      <c r="G917" s="118"/>
      <c r="H917" s="27"/>
      <c r="I917" s="27"/>
      <c r="J917" s="27"/>
      <c r="K917" s="27"/>
      <c r="L917" s="27"/>
      <c r="M917" s="27"/>
      <c r="N917" s="27"/>
      <c r="O917" s="27"/>
      <c r="P917" s="27"/>
      <c r="Q917" s="27"/>
      <c r="R917" s="27"/>
      <c r="S917" s="27"/>
      <c r="T917" s="27"/>
      <c r="U917" s="27"/>
      <c r="V917" s="27"/>
      <c r="W917" s="27"/>
      <c r="X917" s="27"/>
      <c r="Y917" s="27"/>
      <c r="Z917" s="27"/>
    </row>
    <row r="918" ht="15.75" customHeight="1">
      <c r="A918" s="113"/>
      <c r="B918" s="113"/>
      <c r="C918" s="113"/>
      <c r="D918" s="36"/>
      <c r="E918" s="36"/>
      <c r="F918" s="37"/>
      <c r="G918" s="118"/>
      <c r="H918" s="27"/>
      <c r="I918" s="27"/>
      <c r="J918" s="27"/>
      <c r="K918" s="27"/>
      <c r="L918" s="27"/>
      <c r="M918" s="27"/>
      <c r="N918" s="27"/>
      <c r="O918" s="27"/>
      <c r="P918" s="27"/>
      <c r="Q918" s="27"/>
      <c r="R918" s="27"/>
      <c r="S918" s="27"/>
      <c r="T918" s="27"/>
      <c r="U918" s="27"/>
      <c r="V918" s="27"/>
      <c r="W918" s="27"/>
      <c r="X918" s="27"/>
      <c r="Y918" s="27"/>
      <c r="Z918" s="27"/>
    </row>
    <row r="919" ht="15.75" customHeight="1">
      <c r="A919" s="113"/>
      <c r="B919" s="113"/>
      <c r="C919" s="113"/>
      <c r="D919" s="36"/>
      <c r="E919" s="36"/>
      <c r="F919" s="37"/>
      <c r="G919" s="118"/>
      <c r="H919" s="27"/>
      <c r="I919" s="27"/>
      <c r="J919" s="27"/>
      <c r="K919" s="27"/>
      <c r="L919" s="27"/>
      <c r="M919" s="27"/>
      <c r="N919" s="27"/>
      <c r="O919" s="27"/>
      <c r="P919" s="27"/>
      <c r="Q919" s="27"/>
      <c r="R919" s="27"/>
      <c r="S919" s="27"/>
      <c r="T919" s="27"/>
      <c r="U919" s="27"/>
      <c r="V919" s="27"/>
      <c r="W919" s="27"/>
      <c r="X919" s="27"/>
      <c r="Y919" s="27"/>
      <c r="Z919" s="27"/>
    </row>
    <row r="920" ht="15.75" customHeight="1">
      <c r="A920" s="113"/>
      <c r="B920" s="113"/>
      <c r="C920" s="113"/>
      <c r="D920" s="36"/>
      <c r="E920" s="36"/>
      <c r="F920" s="37"/>
      <c r="G920" s="118"/>
      <c r="H920" s="27"/>
      <c r="I920" s="27"/>
      <c r="J920" s="27"/>
      <c r="K920" s="27"/>
      <c r="L920" s="27"/>
      <c r="M920" s="27"/>
      <c r="N920" s="27"/>
      <c r="O920" s="27"/>
      <c r="P920" s="27"/>
      <c r="Q920" s="27"/>
      <c r="R920" s="27"/>
      <c r="S920" s="27"/>
      <c r="T920" s="27"/>
      <c r="U920" s="27"/>
      <c r="V920" s="27"/>
      <c r="W920" s="27"/>
      <c r="X920" s="27"/>
      <c r="Y920" s="27"/>
      <c r="Z920" s="27"/>
    </row>
    <row r="921" ht="15.75" customHeight="1">
      <c r="A921" s="113"/>
      <c r="B921" s="113"/>
      <c r="C921" s="113"/>
      <c r="D921" s="36"/>
      <c r="E921" s="36"/>
      <c r="F921" s="37"/>
      <c r="G921" s="118"/>
      <c r="H921" s="27"/>
      <c r="I921" s="27"/>
      <c r="J921" s="27"/>
      <c r="K921" s="27"/>
      <c r="L921" s="27"/>
      <c r="M921" s="27"/>
      <c r="N921" s="27"/>
      <c r="O921" s="27"/>
      <c r="P921" s="27"/>
      <c r="Q921" s="27"/>
      <c r="R921" s="27"/>
      <c r="S921" s="27"/>
      <c r="T921" s="27"/>
      <c r="U921" s="27"/>
      <c r="V921" s="27"/>
      <c r="W921" s="27"/>
      <c r="X921" s="27"/>
      <c r="Y921" s="27"/>
      <c r="Z921" s="27"/>
    </row>
    <row r="922" ht="15.75" customHeight="1">
      <c r="A922" s="113"/>
      <c r="B922" s="113"/>
      <c r="C922" s="113"/>
      <c r="D922" s="36"/>
      <c r="E922" s="36"/>
      <c r="F922" s="37"/>
      <c r="G922" s="118"/>
      <c r="H922" s="27"/>
      <c r="I922" s="27"/>
      <c r="J922" s="27"/>
      <c r="K922" s="27"/>
      <c r="L922" s="27"/>
      <c r="M922" s="27"/>
      <c r="N922" s="27"/>
      <c r="O922" s="27"/>
      <c r="P922" s="27"/>
      <c r="Q922" s="27"/>
      <c r="R922" s="27"/>
      <c r="S922" s="27"/>
      <c r="T922" s="27"/>
      <c r="U922" s="27"/>
      <c r="V922" s="27"/>
      <c r="W922" s="27"/>
      <c r="X922" s="27"/>
      <c r="Y922" s="27"/>
      <c r="Z922" s="27"/>
    </row>
    <row r="923" ht="15.75" customHeight="1">
      <c r="A923" s="113"/>
      <c r="B923" s="113"/>
      <c r="C923" s="113"/>
      <c r="D923" s="36"/>
      <c r="E923" s="36"/>
      <c r="F923" s="37"/>
      <c r="G923" s="118"/>
      <c r="H923" s="27"/>
      <c r="I923" s="27"/>
      <c r="J923" s="27"/>
      <c r="K923" s="27"/>
      <c r="L923" s="27"/>
      <c r="M923" s="27"/>
      <c r="N923" s="27"/>
      <c r="O923" s="27"/>
      <c r="P923" s="27"/>
      <c r="Q923" s="27"/>
      <c r="R923" s="27"/>
      <c r="S923" s="27"/>
      <c r="T923" s="27"/>
      <c r="U923" s="27"/>
      <c r="V923" s="27"/>
      <c r="W923" s="27"/>
      <c r="X923" s="27"/>
      <c r="Y923" s="27"/>
      <c r="Z923" s="27"/>
    </row>
    <row r="924" ht="15.75" customHeight="1">
      <c r="A924" s="113"/>
      <c r="B924" s="113"/>
      <c r="C924" s="113"/>
      <c r="D924" s="36"/>
      <c r="E924" s="36"/>
      <c r="F924" s="37"/>
      <c r="G924" s="118"/>
      <c r="H924" s="27"/>
      <c r="I924" s="27"/>
      <c r="J924" s="27"/>
      <c r="K924" s="27"/>
      <c r="L924" s="27"/>
      <c r="M924" s="27"/>
      <c r="N924" s="27"/>
      <c r="O924" s="27"/>
      <c r="P924" s="27"/>
      <c r="Q924" s="27"/>
      <c r="R924" s="27"/>
      <c r="S924" s="27"/>
      <c r="T924" s="27"/>
      <c r="U924" s="27"/>
      <c r="V924" s="27"/>
      <c r="W924" s="27"/>
      <c r="X924" s="27"/>
      <c r="Y924" s="27"/>
      <c r="Z924" s="27"/>
    </row>
    <row r="925" ht="15.75" customHeight="1">
      <c r="A925" s="113"/>
      <c r="B925" s="113"/>
      <c r="C925" s="113"/>
      <c r="D925" s="36"/>
      <c r="E925" s="36"/>
      <c r="F925" s="37"/>
      <c r="G925" s="118"/>
      <c r="H925" s="27"/>
      <c r="I925" s="27"/>
      <c r="J925" s="27"/>
      <c r="K925" s="27"/>
      <c r="L925" s="27"/>
      <c r="M925" s="27"/>
      <c r="N925" s="27"/>
      <c r="O925" s="27"/>
      <c r="P925" s="27"/>
      <c r="Q925" s="27"/>
      <c r="R925" s="27"/>
      <c r="S925" s="27"/>
      <c r="T925" s="27"/>
      <c r="U925" s="27"/>
      <c r="V925" s="27"/>
      <c r="W925" s="27"/>
      <c r="X925" s="27"/>
      <c r="Y925" s="27"/>
      <c r="Z925" s="27"/>
    </row>
    <row r="926" ht="15.75" customHeight="1">
      <c r="A926" s="113"/>
      <c r="B926" s="113"/>
      <c r="C926" s="113"/>
      <c r="D926" s="36"/>
      <c r="E926" s="36"/>
      <c r="F926" s="37"/>
      <c r="G926" s="118"/>
      <c r="H926" s="27"/>
      <c r="I926" s="27"/>
      <c r="J926" s="27"/>
      <c r="K926" s="27"/>
      <c r="L926" s="27"/>
      <c r="M926" s="27"/>
      <c r="N926" s="27"/>
      <c r="O926" s="27"/>
      <c r="P926" s="27"/>
      <c r="Q926" s="27"/>
      <c r="R926" s="27"/>
      <c r="S926" s="27"/>
      <c r="T926" s="27"/>
      <c r="U926" s="27"/>
      <c r="V926" s="27"/>
      <c r="W926" s="27"/>
      <c r="X926" s="27"/>
      <c r="Y926" s="27"/>
      <c r="Z926" s="27"/>
    </row>
    <row r="927" ht="15.75" customHeight="1">
      <c r="A927" s="113"/>
      <c r="B927" s="113"/>
      <c r="C927" s="113"/>
      <c r="D927" s="36"/>
      <c r="E927" s="36"/>
      <c r="F927" s="37"/>
      <c r="G927" s="118"/>
      <c r="H927" s="27"/>
      <c r="I927" s="27"/>
      <c r="J927" s="27"/>
      <c r="K927" s="27"/>
      <c r="L927" s="27"/>
      <c r="M927" s="27"/>
      <c r="N927" s="27"/>
      <c r="O927" s="27"/>
      <c r="P927" s="27"/>
      <c r="Q927" s="27"/>
      <c r="R927" s="27"/>
      <c r="S927" s="27"/>
      <c r="T927" s="27"/>
      <c r="U927" s="27"/>
      <c r="V927" s="27"/>
      <c r="W927" s="27"/>
      <c r="X927" s="27"/>
      <c r="Y927" s="27"/>
      <c r="Z927" s="27"/>
    </row>
    <row r="928" ht="15.75" customHeight="1">
      <c r="A928" s="113"/>
      <c r="B928" s="113"/>
      <c r="C928" s="113"/>
      <c r="D928" s="36"/>
      <c r="E928" s="36"/>
      <c r="F928" s="37"/>
      <c r="G928" s="118"/>
      <c r="H928" s="27"/>
      <c r="I928" s="27"/>
      <c r="J928" s="27"/>
      <c r="K928" s="27"/>
      <c r="L928" s="27"/>
      <c r="M928" s="27"/>
      <c r="N928" s="27"/>
      <c r="O928" s="27"/>
      <c r="P928" s="27"/>
      <c r="Q928" s="27"/>
      <c r="R928" s="27"/>
      <c r="S928" s="27"/>
      <c r="T928" s="27"/>
      <c r="U928" s="27"/>
      <c r="V928" s="27"/>
      <c r="W928" s="27"/>
      <c r="X928" s="27"/>
      <c r="Y928" s="27"/>
      <c r="Z928" s="27"/>
    </row>
    <row r="929" ht="15.75" customHeight="1">
      <c r="A929" s="113"/>
      <c r="B929" s="113"/>
      <c r="C929" s="113"/>
      <c r="D929" s="36"/>
      <c r="E929" s="36"/>
      <c r="F929" s="37"/>
      <c r="G929" s="118"/>
      <c r="H929" s="27"/>
      <c r="I929" s="27"/>
      <c r="J929" s="27"/>
      <c r="K929" s="27"/>
      <c r="L929" s="27"/>
      <c r="M929" s="27"/>
      <c r="N929" s="27"/>
      <c r="O929" s="27"/>
      <c r="P929" s="27"/>
      <c r="Q929" s="27"/>
      <c r="R929" s="27"/>
      <c r="S929" s="27"/>
      <c r="T929" s="27"/>
      <c r="U929" s="27"/>
      <c r="V929" s="27"/>
      <c r="W929" s="27"/>
      <c r="X929" s="27"/>
      <c r="Y929" s="27"/>
      <c r="Z929" s="27"/>
    </row>
    <row r="930" ht="15.75" customHeight="1">
      <c r="A930" s="113"/>
      <c r="B930" s="113"/>
      <c r="C930" s="113"/>
      <c r="D930" s="36"/>
      <c r="E930" s="36"/>
      <c r="F930" s="37"/>
      <c r="G930" s="118"/>
      <c r="H930" s="27"/>
      <c r="I930" s="27"/>
      <c r="J930" s="27"/>
      <c r="K930" s="27"/>
      <c r="L930" s="27"/>
      <c r="M930" s="27"/>
      <c r="N930" s="27"/>
      <c r="O930" s="27"/>
      <c r="P930" s="27"/>
      <c r="Q930" s="27"/>
      <c r="R930" s="27"/>
      <c r="S930" s="27"/>
      <c r="T930" s="27"/>
      <c r="U930" s="27"/>
      <c r="V930" s="27"/>
      <c r="W930" s="27"/>
      <c r="X930" s="27"/>
      <c r="Y930" s="27"/>
      <c r="Z930" s="27"/>
    </row>
    <row r="931" ht="15.75" customHeight="1">
      <c r="A931" s="113"/>
      <c r="B931" s="113"/>
      <c r="C931" s="113"/>
      <c r="D931" s="36"/>
      <c r="E931" s="36"/>
      <c r="F931" s="37"/>
      <c r="G931" s="118"/>
      <c r="H931" s="27"/>
      <c r="I931" s="27"/>
      <c r="J931" s="27"/>
      <c r="K931" s="27"/>
      <c r="L931" s="27"/>
      <c r="M931" s="27"/>
      <c r="N931" s="27"/>
      <c r="O931" s="27"/>
      <c r="P931" s="27"/>
      <c r="Q931" s="27"/>
      <c r="R931" s="27"/>
      <c r="S931" s="27"/>
      <c r="T931" s="27"/>
      <c r="U931" s="27"/>
      <c r="V931" s="27"/>
      <c r="W931" s="27"/>
      <c r="X931" s="27"/>
      <c r="Y931" s="27"/>
      <c r="Z931" s="27"/>
    </row>
    <row r="932" ht="15.75" customHeight="1">
      <c r="A932" s="113"/>
      <c r="B932" s="113"/>
      <c r="C932" s="113"/>
      <c r="D932" s="36"/>
      <c r="E932" s="36"/>
      <c r="F932" s="37"/>
      <c r="G932" s="118"/>
      <c r="H932" s="27"/>
      <c r="I932" s="27"/>
      <c r="J932" s="27"/>
      <c r="K932" s="27"/>
      <c r="L932" s="27"/>
      <c r="M932" s="27"/>
      <c r="N932" s="27"/>
      <c r="O932" s="27"/>
      <c r="P932" s="27"/>
      <c r="Q932" s="27"/>
      <c r="R932" s="27"/>
      <c r="S932" s="27"/>
      <c r="T932" s="27"/>
      <c r="U932" s="27"/>
      <c r="V932" s="27"/>
      <c r="W932" s="27"/>
      <c r="X932" s="27"/>
      <c r="Y932" s="27"/>
      <c r="Z932" s="27"/>
    </row>
    <row r="933" ht="15.75" customHeight="1">
      <c r="A933" s="113"/>
      <c r="B933" s="113"/>
      <c r="C933" s="113"/>
      <c r="D933" s="36"/>
      <c r="E933" s="36"/>
      <c r="F933" s="37"/>
      <c r="G933" s="118"/>
      <c r="H933" s="27"/>
      <c r="I933" s="27"/>
      <c r="J933" s="27"/>
      <c r="K933" s="27"/>
      <c r="L933" s="27"/>
      <c r="M933" s="27"/>
      <c r="N933" s="27"/>
      <c r="O933" s="27"/>
      <c r="P933" s="27"/>
      <c r="Q933" s="27"/>
      <c r="R933" s="27"/>
      <c r="S933" s="27"/>
      <c r="T933" s="27"/>
      <c r="U933" s="27"/>
      <c r="V933" s="27"/>
      <c r="W933" s="27"/>
      <c r="X933" s="27"/>
      <c r="Y933" s="27"/>
      <c r="Z933" s="27"/>
    </row>
    <row r="934" ht="15.75" customHeight="1">
      <c r="A934" s="113"/>
      <c r="B934" s="113"/>
      <c r="C934" s="113"/>
      <c r="D934" s="36"/>
      <c r="E934" s="36"/>
      <c r="F934" s="37"/>
      <c r="G934" s="118"/>
      <c r="H934" s="27"/>
      <c r="I934" s="27"/>
      <c r="J934" s="27"/>
      <c r="K934" s="27"/>
      <c r="L934" s="27"/>
      <c r="M934" s="27"/>
      <c r="N934" s="27"/>
      <c r="O934" s="27"/>
      <c r="P934" s="27"/>
      <c r="Q934" s="27"/>
      <c r="R934" s="27"/>
      <c r="S934" s="27"/>
      <c r="T934" s="27"/>
      <c r="U934" s="27"/>
      <c r="V934" s="27"/>
      <c r="W934" s="27"/>
      <c r="X934" s="27"/>
      <c r="Y934" s="27"/>
      <c r="Z934" s="27"/>
    </row>
    <row r="935" ht="15.75" customHeight="1">
      <c r="A935" s="113"/>
      <c r="B935" s="113"/>
      <c r="C935" s="113"/>
      <c r="D935" s="36"/>
      <c r="E935" s="36"/>
      <c r="F935" s="37"/>
      <c r="G935" s="118"/>
      <c r="H935" s="27"/>
      <c r="I935" s="27"/>
      <c r="J935" s="27"/>
      <c r="K935" s="27"/>
      <c r="L935" s="27"/>
      <c r="M935" s="27"/>
      <c r="N935" s="27"/>
      <c r="O935" s="27"/>
      <c r="P935" s="27"/>
      <c r="Q935" s="27"/>
      <c r="R935" s="27"/>
      <c r="S935" s="27"/>
      <c r="T935" s="27"/>
      <c r="U935" s="27"/>
      <c r="V935" s="27"/>
      <c r="W935" s="27"/>
      <c r="X935" s="27"/>
      <c r="Y935" s="27"/>
      <c r="Z935" s="27"/>
    </row>
    <row r="936" ht="15.75" customHeight="1">
      <c r="A936" s="113"/>
      <c r="B936" s="113"/>
      <c r="C936" s="113"/>
      <c r="D936" s="36"/>
      <c r="E936" s="36"/>
      <c r="F936" s="37"/>
      <c r="G936" s="118"/>
      <c r="H936" s="27"/>
      <c r="I936" s="27"/>
      <c r="J936" s="27"/>
      <c r="K936" s="27"/>
      <c r="L936" s="27"/>
      <c r="M936" s="27"/>
      <c r="N936" s="27"/>
      <c r="O936" s="27"/>
      <c r="P936" s="27"/>
      <c r="Q936" s="27"/>
      <c r="R936" s="27"/>
      <c r="S936" s="27"/>
      <c r="T936" s="27"/>
      <c r="U936" s="27"/>
      <c r="V936" s="27"/>
      <c r="W936" s="27"/>
      <c r="X936" s="27"/>
      <c r="Y936" s="27"/>
      <c r="Z936" s="27"/>
    </row>
    <row r="937" ht="15.75" customHeight="1">
      <c r="A937" s="113"/>
      <c r="B937" s="113"/>
      <c r="C937" s="113"/>
      <c r="D937" s="36"/>
      <c r="E937" s="36"/>
      <c r="F937" s="37"/>
      <c r="G937" s="118"/>
      <c r="H937" s="27"/>
      <c r="I937" s="27"/>
      <c r="J937" s="27"/>
      <c r="K937" s="27"/>
      <c r="L937" s="27"/>
      <c r="M937" s="27"/>
      <c r="N937" s="27"/>
      <c r="O937" s="27"/>
      <c r="P937" s="27"/>
      <c r="Q937" s="27"/>
      <c r="R937" s="27"/>
      <c r="S937" s="27"/>
      <c r="T937" s="27"/>
      <c r="U937" s="27"/>
      <c r="V937" s="27"/>
      <c r="W937" s="27"/>
      <c r="X937" s="27"/>
      <c r="Y937" s="27"/>
      <c r="Z937" s="27"/>
    </row>
    <row r="938" ht="15.75" customHeight="1">
      <c r="A938" s="113"/>
      <c r="B938" s="113"/>
      <c r="C938" s="113"/>
      <c r="D938" s="36"/>
      <c r="E938" s="36"/>
      <c r="F938" s="37"/>
      <c r="G938" s="118"/>
      <c r="H938" s="27"/>
      <c r="I938" s="27"/>
      <c r="J938" s="27"/>
      <c r="K938" s="27"/>
      <c r="L938" s="27"/>
      <c r="M938" s="27"/>
      <c r="N938" s="27"/>
      <c r="O938" s="27"/>
      <c r="P938" s="27"/>
      <c r="Q938" s="27"/>
      <c r="R938" s="27"/>
      <c r="S938" s="27"/>
      <c r="T938" s="27"/>
      <c r="U938" s="27"/>
      <c r="V938" s="27"/>
      <c r="W938" s="27"/>
      <c r="X938" s="27"/>
      <c r="Y938" s="27"/>
      <c r="Z938" s="27"/>
    </row>
    <row r="939" ht="15.75" customHeight="1">
      <c r="A939" s="113"/>
      <c r="B939" s="113"/>
      <c r="C939" s="113"/>
      <c r="D939" s="36"/>
      <c r="E939" s="36"/>
      <c r="F939" s="37"/>
      <c r="G939" s="118"/>
      <c r="H939" s="27"/>
      <c r="I939" s="27"/>
      <c r="J939" s="27"/>
      <c r="K939" s="27"/>
      <c r="L939" s="27"/>
      <c r="M939" s="27"/>
      <c r="N939" s="27"/>
      <c r="O939" s="27"/>
      <c r="P939" s="27"/>
      <c r="Q939" s="27"/>
      <c r="R939" s="27"/>
      <c r="S939" s="27"/>
      <c r="T939" s="27"/>
      <c r="U939" s="27"/>
      <c r="V939" s="27"/>
      <c r="W939" s="27"/>
      <c r="X939" s="27"/>
      <c r="Y939" s="27"/>
      <c r="Z939" s="27"/>
    </row>
    <row r="940" ht="15.75" customHeight="1">
      <c r="A940" s="113"/>
      <c r="B940" s="113"/>
      <c r="C940" s="113"/>
      <c r="D940" s="36"/>
      <c r="E940" s="36"/>
      <c r="F940" s="37"/>
      <c r="G940" s="118"/>
      <c r="H940" s="27"/>
      <c r="I940" s="27"/>
      <c r="J940" s="27"/>
      <c r="K940" s="27"/>
      <c r="L940" s="27"/>
      <c r="M940" s="27"/>
      <c r="N940" s="27"/>
      <c r="O940" s="27"/>
      <c r="P940" s="27"/>
      <c r="Q940" s="27"/>
      <c r="R940" s="27"/>
      <c r="S940" s="27"/>
      <c r="T940" s="27"/>
      <c r="U940" s="27"/>
      <c r="V940" s="27"/>
      <c r="W940" s="27"/>
      <c r="X940" s="27"/>
      <c r="Y940" s="27"/>
      <c r="Z940" s="27"/>
    </row>
    <row r="941" ht="15.75" customHeight="1">
      <c r="A941" s="113"/>
      <c r="B941" s="113"/>
      <c r="C941" s="113"/>
      <c r="D941" s="36"/>
      <c r="E941" s="36"/>
      <c r="F941" s="37"/>
      <c r="G941" s="118"/>
      <c r="H941" s="27"/>
      <c r="I941" s="27"/>
      <c r="J941" s="27"/>
      <c r="K941" s="27"/>
      <c r="L941" s="27"/>
      <c r="M941" s="27"/>
      <c r="N941" s="27"/>
      <c r="O941" s="27"/>
      <c r="P941" s="27"/>
      <c r="Q941" s="27"/>
      <c r="R941" s="27"/>
      <c r="S941" s="27"/>
      <c r="T941" s="27"/>
      <c r="U941" s="27"/>
      <c r="V941" s="27"/>
      <c r="W941" s="27"/>
      <c r="X941" s="27"/>
      <c r="Y941" s="27"/>
      <c r="Z941" s="27"/>
    </row>
    <row r="942" ht="15.75" customHeight="1">
      <c r="A942" s="113"/>
      <c r="B942" s="113"/>
      <c r="C942" s="113"/>
      <c r="D942" s="36"/>
      <c r="E942" s="36"/>
      <c r="F942" s="37"/>
      <c r="G942" s="118"/>
      <c r="H942" s="27"/>
      <c r="I942" s="27"/>
      <c r="J942" s="27"/>
      <c r="K942" s="27"/>
      <c r="L942" s="27"/>
      <c r="M942" s="27"/>
      <c r="N942" s="27"/>
      <c r="O942" s="27"/>
      <c r="P942" s="27"/>
      <c r="Q942" s="27"/>
      <c r="R942" s="27"/>
      <c r="S942" s="27"/>
      <c r="T942" s="27"/>
      <c r="U942" s="27"/>
      <c r="V942" s="27"/>
      <c r="W942" s="27"/>
      <c r="X942" s="27"/>
      <c r="Y942" s="27"/>
      <c r="Z942" s="27"/>
    </row>
    <row r="943" ht="15.75" customHeight="1">
      <c r="A943" s="113"/>
      <c r="B943" s="113"/>
      <c r="C943" s="113"/>
      <c r="D943" s="36"/>
      <c r="E943" s="36"/>
      <c r="F943" s="37"/>
      <c r="G943" s="118"/>
      <c r="H943" s="27"/>
      <c r="I943" s="27"/>
      <c r="J943" s="27"/>
      <c r="K943" s="27"/>
      <c r="L943" s="27"/>
      <c r="M943" s="27"/>
      <c r="N943" s="27"/>
      <c r="O943" s="27"/>
      <c r="P943" s="27"/>
      <c r="Q943" s="27"/>
      <c r="R943" s="27"/>
      <c r="S943" s="27"/>
      <c r="T943" s="27"/>
      <c r="U943" s="27"/>
      <c r="V943" s="27"/>
      <c r="W943" s="27"/>
      <c r="X943" s="27"/>
      <c r="Y943" s="27"/>
      <c r="Z943" s="27"/>
    </row>
    <row r="944" ht="15.75" customHeight="1">
      <c r="A944" s="113"/>
      <c r="B944" s="113"/>
      <c r="C944" s="113"/>
      <c r="D944" s="36"/>
      <c r="E944" s="36"/>
      <c r="F944" s="37"/>
      <c r="G944" s="118"/>
      <c r="H944" s="27"/>
      <c r="I944" s="27"/>
      <c r="J944" s="27"/>
      <c r="K944" s="27"/>
      <c r="L944" s="27"/>
      <c r="M944" s="27"/>
      <c r="N944" s="27"/>
      <c r="O944" s="27"/>
      <c r="P944" s="27"/>
      <c r="Q944" s="27"/>
      <c r="R944" s="27"/>
      <c r="S944" s="27"/>
      <c r="T944" s="27"/>
      <c r="U944" s="27"/>
      <c r="V944" s="27"/>
      <c r="W944" s="27"/>
      <c r="X944" s="27"/>
      <c r="Y944" s="27"/>
      <c r="Z944" s="27"/>
    </row>
    <row r="945" ht="15.75" customHeight="1">
      <c r="A945" s="113"/>
      <c r="B945" s="113"/>
      <c r="C945" s="113"/>
      <c r="D945" s="36"/>
      <c r="E945" s="36"/>
      <c r="F945" s="37"/>
      <c r="G945" s="118"/>
      <c r="H945" s="27"/>
      <c r="I945" s="27"/>
      <c r="J945" s="27"/>
      <c r="K945" s="27"/>
      <c r="L945" s="27"/>
      <c r="M945" s="27"/>
      <c r="N945" s="27"/>
      <c r="O945" s="27"/>
      <c r="P945" s="27"/>
      <c r="Q945" s="27"/>
      <c r="R945" s="27"/>
      <c r="S945" s="27"/>
      <c r="T945" s="27"/>
      <c r="U945" s="27"/>
      <c r="V945" s="27"/>
      <c r="W945" s="27"/>
      <c r="X945" s="27"/>
      <c r="Y945" s="27"/>
      <c r="Z945" s="27"/>
    </row>
    <row r="946" ht="15.75" customHeight="1">
      <c r="A946" s="113"/>
      <c r="B946" s="113"/>
      <c r="C946" s="113"/>
      <c r="D946" s="36"/>
      <c r="E946" s="36"/>
      <c r="F946" s="37"/>
      <c r="G946" s="118"/>
      <c r="H946" s="27"/>
      <c r="I946" s="27"/>
      <c r="J946" s="27"/>
      <c r="K946" s="27"/>
      <c r="L946" s="27"/>
      <c r="M946" s="27"/>
      <c r="N946" s="27"/>
      <c r="O946" s="27"/>
      <c r="P946" s="27"/>
      <c r="Q946" s="27"/>
      <c r="R946" s="27"/>
      <c r="S946" s="27"/>
      <c r="T946" s="27"/>
      <c r="U946" s="27"/>
      <c r="V946" s="27"/>
      <c r="W946" s="27"/>
      <c r="X946" s="27"/>
      <c r="Y946" s="27"/>
      <c r="Z946" s="27"/>
    </row>
    <row r="947" ht="15.75" customHeight="1">
      <c r="A947" s="113"/>
      <c r="B947" s="113"/>
      <c r="C947" s="113"/>
      <c r="D947" s="36"/>
      <c r="E947" s="36"/>
      <c r="F947" s="37"/>
      <c r="G947" s="118"/>
      <c r="H947" s="27"/>
      <c r="I947" s="27"/>
      <c r="J947" s="27"/>
      <c r="K947" s="27"/>
      <c r="L947" s="27"/>
      <c r="M947" s="27"/>
      <c r="N947" s="27"/>
      <c r="O947" s="27"/>
      <c r="P947" s="27"/>
      <c r="Q947" s="27"/>
      <c r="R947" s="27"/>
      <c r="S947" s="27"/>
      <c r="T947" s="27"/>
      <c r="U947" s="27"/>
      <c r="V947" s="27"/>
      <c r="W947" s="27"/>
      <c r="X947" s="27"/>
      <c r="Y947" s="27"/>
      <c r="Z947" s="27"/>
    </row>
    <row r="948" ht="15.75" customHeight="1">
      <c r="A948" s="113"/>
      <c r="B948" s="113"/>
      <c r="C948" s="113"/>
      <c r="D948" s="36"/>
      <c r="E948" s="36"/>
      <c r="F948" s="37"/>
      <c r="G948" s="118"/>
      <c r="H948" s="27"/>
      <c r="I948" s="27"/>
      <c r="J948" s="27"/>
      <c r="K948" s="27"/>
      <c r="L948" s="27"/>
      <c r="M948" s="27"/>
      <c r="N948" s="27"/>
      <c r="O948" s="27"/>
      <c r="P948" s="27"/>
      <c r="Q948" s="27"/>
      <c r="R948" s="27"/>
      <c r="S948" s="27"/>
      <c r="T948" s="27"/>
      <c r="U948" s="27"/>
      <c r="V948" s="27"/>
      <c r="W948" s="27"/>
      <c r="X948" s="27"/>
      <c r="Y948" s="27"/>
      <c r="Z948" s="27"/>
    </row>
    <row r="949" ht="15.75" customHeight="1">
      <c r="A949" s="113"/>
      <c r="B949" s="113"/>
      <c r="C949" s="113"/>
      <c r="D949" s="36"/>
      <c r="E949" s="36"/>
      <c r="F949" s="37"/>
      <c r="G949" s="118"/>
      <c r="H949" s="27"/>
      <c r="I949" s="27"/>
      <c r="J949" s="27"/>
      <c r="K949" s="27"/>
      <c r="L949" s="27"/>
      <c r="M949" s="27"/>
      <c r="N949" s="27"/>
      <c r="O949" s="27"/>
      <c r="P949" s="27"/>
      <c r="Q949" s="27"/>
      <c r="R949" s="27"/>
      <c r="S949" s="27"/>
      <c r="T949" s="27"/>
      <c r="U949" s="27"/>
      <c r="V949" s="27"/>
      <c r="W949" s="27"/>
      <c r="X949" s="27"/>
      <c r="Y949" s="27"/>
      <c r="Z949" s="27"/>
    </row>
    <row r="950" ht="15.75" customHeight="1">
      <c r="A950" s="113"/>
      <c r="B950" s="113"/>
      <c r="C950" s="113"/>
      <c r="D950" s="36"/>
      <c r="E950" s="36"/>
      <c r="F950" s="37"/>
      <c r="G950" s="118"/>
      <c r="H950" s="27"/>
      <c r="I950" s="27"/>
      <c r="J950" s="27"/>
      <c r="K950" s="27"/>
      <c r="L950" s="27"/>
      <c r="M950" s="27"/>
      <c r="N950" s="27"/>
      <c r="O950" s="27"/>
      <c r="P950" s="27"/>
      <c r="Q950" s="27"/>
      <c r="R950" s="27"/>
      <c r="S950" s="27"/>
      <c r="T950" s="27"/>
      <c r="U950" s="27"/>
      <c r="V950" s="27"/>
      <c r="W950" s="27"/>
      <c r="X950" s="27"/>
      <c r="Y950" s="27"/>
      <c r="Z950" s="27"/>
    </row>
    <row r="951" ht="15.75" customHeight="1">
      <c r="A951" s="113"/>
      <c r="B951" s="113"/>
      <c r="C951" s="113"/>
      <c r="D951" s="36"/>
      <c r="E951" s="36"/>
      <c r="F951" s="37"/>
      <c r="G951" s="118"/>
      <c r="H951" s="27"/>
      <c r="I951" s="27"/>
      <c r="J951" s="27"/>
      <c r="K951" s="27"/>
      <c r="L951" s="27"/>
      <c r="M951" s="27"/>
      <c r="N951" s="27"/>
      <c r="O951" s="27"/>
      <c r="P951" s="27"/>
      <c r="Q951" s="27"/>
      <c r="R951" s="27"/>
      <c r="S951" s="27"/>
      <c r="T951" s="27"/>
      <c r="U951" s="27"/>
      <c r="V951" s="27"/>
      <c r="W951" s="27"/>
      <c r="X951" s="27"/>
      <c r="Y951" s="27"/>
      <c r="Z951" s="27"/>
    </row>
    <row r="952" ht="15.75" customHeight="1">
      <c r="A952" s="113"/>
      <c r="B952" s="113"/>
      <c r="C952" s="113"/>
      <c r="D952" s="36"/>
      <c r="E952" s="36"/>
      <c r="F952" s="37"/>
      <c r="G952" s="118"/>
      <c r="H952" s="27"/>
      <c r="I952" s="27"/>
      <c r="J952" s="27"/>
      <c r="K952" s="27"/>
      <c r="L952" s="27"/>
      <c r="M952" s="27"/>
      <c r="N952" s="27"/>
      <c r="O952" s="27"/>
      <c r="P952" s="27"/>
      <c r="Q952" s="27"/>
      <c r="R952" s="27"/>
      <c r="S952" s="27"/>
      <c r="T952" s="27"/>
      <c r="U952" s="27"/>
      <c r="V952" s="27"/>
      <c r="W952" s="27"/>
      <c r="X952" s="27"/>
      <c r="Y952" s="27"/>
      <c r="Z952" s="27"/>
    </row>
    <row r="953" ht="15.75" customHeight="1">
      <c r="A953" s="113"/>
      <c r="B953" s="113"/>
      <c r="C953" s="113"/>
      <c r="D953" s="36"/>
      <c r="E953" s="36"/>
      <c r="F953" s="37"/>
      <c r="G953" s="118"/>
      <c r="H953" s="27"/>
      <c r="I953" s="27"/>
      <c r="J953" s="27"/>
      <c r="K953" s="27"/>
      <c r="L953" s="27"/>
      <c r="M953" s="27"/>
      <c r="N953" s="27"/>
      <c r="O953" s="27"/>
      <c r="P953" s="27"/>
      <c r="Q953" s="27"/>
      <c r="R953" s="27"/>
      <c r="S953" s="27"/>
      <c r="T953" s="27"/>
      <c r="U953" s="27"/>
      <c r="V953" s="27"/>
      <c r="W953" s="27"/>
      <c r="X953" s="27"/>
      <c r="Y953" s="27"/>
      <c r="Z953" s="27"/>
    </row>
    <row r="954" ht="15.75" customHeight="1">
      <c r="A954" s="113"/>
      <c r="B954" s="113"/>
      <c r="C954" s="113"/>
      <c r="D954" s="36"/>
      <c r="E954" s="36"/>
      <c r="F954" s="37"/>
      <c r="G954" s="118"/>
      <c r="H954" s="27"/>
      <c r="I954" s="27"/>
      <c r="J954" s="27"/>
      <c r="K954" s="27"/>
      <c r="L954" s="27"/>
      <c r="M954" s="27"/>
      <c r="N954" s="27"/>
      <c r="O954" s="27"/>
      <c r="P954" s="27"/>
      <c r="Q954" s="27"/>
      <c r="R954" s="27"/>
      <c r="S954" s="27"/>
      <c r="T954" s="27"/>
      <c r="U954" s="27"/>
      <c r="V954" s="27"/>
      <c r="W954" s="27"/>
      <c r="X954" s="27"/>
      <c r="Y954" s="27"/>
      <c r="Z954" s="27"/>
    </row>
    <row r="955" ht="15.75" customHeight="1">
      <c r="A955" s="113"/>
      <c r="B955" s="113"/>
      <c r="C955" s="113"/>
      <c r="D955" s="36"/>
      <c r="E955" s="36"/>
      <c r="F955" s="37"/>
      <c r="G955" s="118"/>
      <c r="H955" s="27"/>
      <c r="I955" s="27"/>
      <c r="J955" s="27"/>
      <c r="K955" s="27"/>
      <c r="L955" s="27"/>
      <c r="M955" s="27"/>
      <c r="N955" s="27"/>
      <c r="O955" s="27"/>
      <c r="P955" s="27"/>
      <c r="Q955" s="27"/>
      <c r="R955" s="27"/>
      <c r="S955" s="27"/>
      <c r="T955" s="27"/>
      <c r="U955" s="27"/>
      <c r="V955" s="27"/>
      <c r="W955" s="27"/>
      <c r="X955" s="27"/>
      <c r="Y955" s="27"/>
      <c r="Z955" s="27"/>
    </row>
    <row r="956" ht="15.75" customHeight="1">
      <c r="A956" s="113"/>
      <c r="B956" s="113"/>
      <c r="C956" s="113"/>
      <c r="D956" s="36"/>
      <c r="E956" s="36"/>
      <c r="F956" s="37"/>
      <c r="G956" s="118"/>
      <c r="H956" s="27"/>
      <c r="I956" s="27"/>
      <c r="J956" s="27"/>
      <c r="K956" s="27"/>
      <c r="L956" s="27"/>
      <c r="M956" s="27"/>
      <c r="N956" s="27"/>
      <c r="O956" s="27"/>
      <c r="P956" s="27"/>
      <c r="Q956" s="27"/>
      <c r="R956" s="27"/>
      <c r="S956" s="27"/>
      <c r="T956" s="27"/>
      <c r="U956" s="27"/>
      <c r="V956" s="27"/>
      <c r="W956" s="27"/>
      <c r="X956" s="27"/>
      <c r="Y956" s="27"/>
      <c r="Z956" s="27"/>
    </row>
    <row r="957" ht="15.75" customHeight="1">
      <c r="A957" s="113"/>
      <c r="B957" s="113"/>
      <c r="C957" s="113"/>
      <c r="D957" s="36"/>
      <c r="E957" s="36"/>
      <c r="F957" s="37"/>
      <c r="G957" s="118"/>
      <c r="H957" s="27"/>
      <c r="I957" s="27"/>
      <c r="J957" s="27"/>
      <c r="K957" s="27"/>
      <c r="L957" s="27"/>
      <c r="M957" s="27"/>
      <c r="N957" s="27"/>
      <c r="O957" s="27"/>
      <c r="P957" s="27"/>
      <c r="Q957" s="27"/>
      <c r="R957" s="27"/>
      <c r="S957" s="27"/>
      <c r="T957" s="27"/>
      <c r="U957" s="27"/>
      <c r="V957" s="27"/>
      <c r="W957" s="27"/>
      <c r="X957" s="27"/>
      <c r="Y957" s="27"/>
      <c r="Z957" s="27"/>
    </row>
    <row r="958" ht="15.75" customHeight="1">
      <c r="A958" s="113"/>
      <c r="B958" s="113"/>
      <c r="C958" s="113"/>
      <c r="D958" s="36"/>
      <c r="E958" s="36"/>
      <c r="F958" s="37"/>
      <c r="G958" s="118"/>
      <c r="H958" s="27"/>
      <c r="I958" s="27"/>
      <c r="J958" s="27"/>
      <c r="K958" s="27"/>
      <c r="L958" s="27"/>
      <c r="M958" s="27"/>
      <c r="N958" s="27"/>
      <c r="O958" s="27"/>
      <c r="P958" s="27"/>
      <c r="Q958" s="27"/>
      <c r="R958" s="27"/>
      <c r="S958" s="27"/>
      <c r="T958" s="27"/>
      <c r="U958" s="27"/>
      <c r="V958" s="27"/>
      <c r="W958" s="27"/>
      <c r="X958" s="27"/>
      <c r="Y958" s="27"/>
      <c r="Z958" s="27"/>
    </row>
    <row r="959" ht="15.75" customHeight="1">
      <c r="A959" s="113"/>
      <c r="B959" s="113"/>
      <c r="C959" s="113"/>
      <c r="D959" s="36"/>
      <c r="E959" s="36"/>
      <c r="F959" s="37"/>
      <c r="G959" s="118"/>
      <c r="H959" s="27"/>
      <c r="I959" s="27"/>
      <c r="J959" s="27"/>
      <c r="K959" s="27"/>
      <c r="L959" s="27"/>
      <c r="M959" s="27"/>
      <c r="N959" s="27"/>
      <c r="O959" s="27"/>
      <c r="P959" s="27"/>
      <c r="Q959" s="27"/>
      <c r="R959" s="27"/>
      <c r="S959" s="27"/>
      <c r="T959" s="27"/>
      <c r="U959" s="27"/>
      <c r="V959" s="27"/>
      <c r="W959" s="27"/>
      <c r="X959" s="27"/>
      <c r="Y959" s="27"/>
      <c r="Z959" s="27"/>
    </row>
    <row r="960" ht="15.75" customHeight="1">
      <c r="A960" s="113"/>
      <c r="B960" s="113"/>
      <c r="C960" s="113"/>
      <c r="D960" s="36"/>
      <c r="E960" s="36"/>
      <c r="F960" s="37"/>
      <c r="G960" s="118"/>
      <c r="H960" s="27"/>
      <c r="I960" s="27"/>
      <c r="J960" s="27"/>
      <c r="K960" s="27"/>
      <c r="L960" s="27"/>
      <c r="M960" s="27"/>
      <c r="N960" s="27"/>
      <c r="O960" s="27"/>
      <c r="P960" s="27"/>
      <c r="Q960" s="27"/>
      <c r="R960" s="27"/>
      <c r="S960" s="27"/>
      <c r="T960" s="27"/>
      <c r="U960" s="27"/>
      <c r="V960" s="27"/>
      <c r="W960" s="27"/>
      <c r="X960" s="27"/>
      <c r="Y960" s="27"/>
      <c r="Z960" s="27"/>
    </row>
    <row r="961" ht="15.75" customHeight="1">
      <c r="A961" s="113"/>
      <c r="B961" s="113"/>
      <c r="C961" s="113"/>
      <c r="D961" s="36"/>
      <c r="E961" s="36"/>
      <c r="F961" s="37"/>
      <c r="G961" s="118"/>
      <c r="H961" s="27"/>
      <c r="I961" s="27"/>
      <c r="J961" s="27"/>
      <c r="K961" s="27"/>
      <c r="L961" s="27"/>
      <c r="M961" s="27"/>
      <c r="N961" s="27"/>
      <c r="O961" s="27"/>
      <c r="P961" s="27"/>
      <c r="Q961" s="27"/>
      <c r="R961" s="27"/>
      <c r="S961" s="27"/>
      <c r="T961" s="27"/>
      <c r="U961" s="27"/>
      <c r="V961" s="27"/>
      <c r="W961" s="27"/>
      <c r="X961" s="27"/>
      <c r="Y961" s="27"/>
      <c r="Z961" s="27"/>
    </row>
    <row r="962" ht="15.75" customHeight="1">
      <c r="A962" s="113"/>
      <c r="B962" s="113"/>
      <c r="C962" s="113"/>
      <c r="D962" s="36"/>
      <c r="E962" s="36"/>
      <c r="F962" s="37"/>
      <c r="G962" s="118"/>
      <c r="H962" s="27"/>
      <c r="I962" s="27"/>
      <c r="J962" s="27"/>
      <c r="K962" s="27"/>
      <c r="L962" s="27"/>
      <c r="M962" s="27"/>
      <c r="N962" s="27"/>
      <c r="O962" s="27"/>
      <c r="P962" s="27"/>
      <c r="Q962" s="27"/>
      <c r="R962" s="27"/>
      <c r="S962" s="27"/>
      <c r="T962" s="27"/>
      <c r="U962" s="27"/>
      <c r="V962" s="27"/>
      <c r="W962" s="27"/>
      <c r="X962" s="27"/>
      <c r="Y962" s="27"/>
      <c r="Z962" s="27"/>
    </row>
    <row r="963" ht="15.75" customHeight="1">
      <c r="A963" s="113"/>
      <c r="B963" s="113"/>
      <c r="C963" s="113"/>
      <c r="D963" s="36"/>
      <c r="E963" s="36"/>
      <c r="F963" s="37"/>
      <c r="G963" s="118"/>
      <c r="H963" s="27"/>
      <c r="I963" s="27"/>
      <c r="J963" s="27"/>
      <c r="K963" s="27"/>
      <c r="L963" s="27"/>
      <c r="M963" s="27"/>
      <c r="N963" s="27"/>
      <c r="O963" s="27"/>
      <c r="P963" s="27"/>
      <c r="Q963" s="27"/>
      <c r="R963" s="27"/>
      <c r="S963" s="27"/>
      <c r="T963" s="27"/>
      <c r="U963" s="27"/>
      <c r="V963" s="27"/>
      <c r="W963" s="27"/>
      <c r="X963" s="27"/>
      <c r="Y963" s="27"/>
      <c r="Z963" s="27"/>
    </row>
    <row r="964" ht="15.75" customHeight="1">
      <c r="A964" s="113"/>
      <c r="B964" s="113"/>
      <c r="C964" s="113"/>
      <c r="D964" s="36"/>
      <c r="E964" s="36"/>
      <c r="F964" s="37"/>
      <c r="G964" s="118"/>
      <c r="H964" s="27"/>
      <c r="I964" s="27"/>
      <c r="J964" s="27"/>
      <c r="K964" s="27"/>
      <c r="L964" s="27"/>
      <c r="M964" s="27"/>
      <c r="N964" s="27"/>
      <c r="O964" s="27"/>
      <c r="P964" s="27"/>
      <c r="Q964" s="27"/>
      <c r="R964" s="27"/>
      <c r="S964" s="27"/>
      <c r="T964" s="27"/>
      <c r="U964" s="27"/>
      <c r="V964" s="27"/>
      <c r="W964" s="27"/>
      <c r="X964" s="27"/>
      <c r="Y964" s="27"/>
      <c r="Z964" s="27"/>
    </row>
    <row r="965" ht="15.75" customHeight="1">
      <c r="A965" s="113"/>
      <c r="B965" s="113"/>
      <c r="C965" s="113"/>
      <c r="D965" s="36"/>
      <c r="E965" s="36"/>
      <c r="F965" s="37"/>
      <c r="G965" s="118"/>
      <c r="H965" s="27"/>
      <c r="I965" s="27"/>
      <c r="J965" s="27"/>
      <c r="K965" s="27"/>
      <c r="L965" s="27"/>
      <c r="M965" s="27"/>
      <c r="N965" s="27"/>
      <c r="O965" s="27"/>
      <c r="P965" s="27"/>
      <c r="Q965" s="27"/>
      <c r="R965" s="27"/>
      <c r="S965" s="27"/>
      <c r="T965" s="27"/>
      <c r="U965" s="27"/>
      <c r="V965" s="27"/>
      <c r="W965" s="27"/>
      <c r="X965" s="27"/>
      <c r="Y965" s="27"/>
      <c r="Z965" s="27"/>
    </row>
    <row r="966" ht="15.75" customHeight="1">
      <c r="A966" s="113"/>
      <c r="B966" s="113"/>
      <c r="C966" s="113"/>
      <c r="D966" s="36"/>
      <c r="E966" s="36"/>
      <c r="F966" s="37"/>
      <c r="G966" s="118"/>
      <c r="H966" s="27"/>
      <c r="I966" s="27"/>
      <c r="J966" s="27"/>
      <c r="K966" s="27"/>
      <c r="L966" s="27"/>
      <c r="M966" s="27"/>
      <c r="N966" s="27"/>
      <c r="O966" s="27"/>
      <c r="P966" s="27"/>
      <c r="Q966" s="27"/>
      <c r="R966" s="27"/>
      <c r="S966" s="27"/>
      <c r="T966" s="27"/>
      <c r="U966" s="27"/>
      <c r="V966" s="27"/>
      <c r="W966" s="27"/>
      <c r="X966" s="27"/>
      <c r="Y966" s="27"/>
      <c r="Z966" s="27"/>
    </row>
    <row r="967" ht="15.75" customHeight="1">
      <c r="A967" s="113"/>
      <c r="B967" s="113"/>
      <c r="C967" s="113"/>
      <c r="D967" s="36"/>
      <c r="E967" s="36"/>
      <c r="F967" s="37"/>
      <c r="G967" s="118"/>
      <c r="H967" s="27"/>
      <c r="I967" s="27"/>
      <c r="J967" s="27"/>
      <c r="K967" s="27"/>
      <c r="L967" s="27"/>
      <c r="M967" s="27"/>
      <c r="N967" s="27"/>
      <c r="O967" s="27"/>
      <c r="P967" s="27"/>
      <c r="Q967" s="27"/>
      <c r="R967" s="27"/>
      <c r="S967" s="27"/>
      <c r="T967" s="27"/>
      <c r="U967" s="27"/>
      <c r="V967" s="27"/>
      <c r="W967" s="27"/>
      <c r="X967" s="27"/>
      <c r="Y967" s="27"/>
      <c r="Z967" s="27"/>
    </row>
    <row r="968" ht="15.75" customHeight="1">
      <c r="A968" s="113"/>
      <c r="B968" s="113"/>
      <c r="C968" s="113"/>
      <c r="D968" s="36"/>
      <c r="E968" s="36"/>
      <c r="F968" s="37"/>
      <c r="G968" s="118"/>
      <c r="H968" s="27"/>
      <c r="I968" s="27"/>
      <c r="J968" s="27"/>
      <c r="K968" s="27"/>
      <c r="L968" s="27"/>
      <c r="M968" s="27"/>
      <c r="N968" s="27"/>
      <c r="O968" s="27"/>
      <c r="P968" s="27"/>
      <c r="Q968" s="27"/>
      <c r="R968" s="27"/>
      <c r="S968" s="27"/>
      <c r="T968" s="27"/>
      <c r="U968" s="27"/>
      <c r="V968" s="27"/>
      <c r="W968" s="27"/>
      <c r="X968" s="27"/>
      <c r="Y968" s="27"/>
      <c r="Z968" s="27"/>
    </row>
    <row r="969" ht="15.75" customHeight="1">
      <c r="A969" s="113"/>
      <c r="B969" s="113"/>
      <c r="C969" s="113"/>
      <c r="D969" s="36"/>
      <c r="E969" s="36"/>
      <c r="F969" s="37"/>
      <c r="G969" s="118"/>
      <c r="H969" s="27"/>
      <c r="I969" s="27"/>
      <c r="J969" s="27"/>
      <c r="K969" s="27"/>
      <c r="L969" s="27"/>
      <c r="M969" s="27"/>
      <c r="N969" s="27"/>
      <c r="O969" s="27"/>
      <c r="P969" s="27"/>
      <c r="Q969" s="27"/>
      <c r="R969" s="27"/>
      <c r="S969" s="27"/>
      <c r="T969" s="27"/>
      <c r="U969" s="27"/>
      <c r="V969" s="27"/>
      <c r="W969" s="27"/>
      <c r="X969" s="27"/>
      <c r="Y969" s="27"/>
      <c r="Z969" s="27"/>
    </row>
    <row r="970" ht="15.75" customHeight="1">
      <c r="A970" s="113"/>
      <c r="B970" s="113"/>
      <c r="C970" s="113"/>
      <c r="D970" s="36"/>
      <c r="E970" s="36"/>
      <c r="F970" s="37"/>
      <c r="G970" s="118"/>
      <c r="H970" s="27"/>
      <c r="I970" s="27"/>
      <c r="J970" s="27"/>
      <c r="K970" s="27"/>
      <c r="L970" s="27"/>
      <c r="M970" s="27"/>
      <c r="N970" s="27"/>
      <c r="O970" s="27"/>
      <c r="P970" s="27"/>
      <c r="Q970" s="27"/>
      <c r="R970" s="27"/>
      <c r="S970" s="27"/>
      <c r="T970" s="27"/>
      <c r="U970" s="27"/>
      <c r="V970" s="27"/>
      <c r="W970" s="27"/>
      <c r="X970" s="27"/>
      <c r="Y970" s="27"/>
      <c r="Z970" s="27"/>
    </row>
    <row r="971" ht="15.75" customHeight="1">
      <c r="A971" s="113"/>
      <c r="B971" s="113"/>
      <c r="C971" s="113"/>
      <c r="D971" s="36"/>
      <c r="E971" s="36"/>
      <c r="F971" s="37"/>
      <c r="G971" s="118"/>
      <c r="H971" s="27"/>
      <c r="I971" s="27"/>
      <c r="J971" s="27"/>
      <c r="K971" s="27"/>
      <c r="L971" s="27"/>
      <c r="M971" s="27"/>
      <c r="N971" s="27"/>
      <c r="O971" s="27"/>
      <c r="P971" s="27"/>
      <c r="Q971" s="27"/>
      <c r="R971" s="27"/>
      <c r="S971" s="27"/>
      <c r="T971" s="27"/>
      <c r="U971" s="27"/>
      <c r="V971" s="27"/>
      <c r="W971" s="27"/>
      <c r="X971" s="27"/>
      <c r="Y971" s="27"/>
      <c r="Z971" s="27"/>
    </row>
    <row r="972" ht="15.75" customHeight="1">
      <c r="A972" s="113"/>
      <c r="B972" s="113"/>
      <c r="C972" s="113"/>
      <c r="D972" s="36"/>
      <c r="E972" s="36"/>
      <c r="F972" s="37"/>
      <c r="G972" s="118"/>
      <c r="H972" s="27"/>
      <c r="I972" s="27"/>
      <c r="J972" s="27"/>
      <c r="K972" s="27"/>
      <c r="L972" s="27"/>
      <c r="M972" s="27"/>
      <c r="N972" s="27"/>
      <c r="O972" s="27"/>
      <c r="P972" s="27"/>
      <c r="Q972" s="27"/>
      <c r="R972" s="27"/>
      <c r="S972" s="27"/>
      <c r="T972" s="27"/>
      <c r="U972" s="27"/>
      <c r="V972" s="27"/>
      <c r="W972" s="27"/>
      <c r="X972" s="27"/>
      <c r="Y972" s="27"/>
      <c r="Z972" s="27"/>
    </row>
    <row r="973" ht="15.75" customHeight="1">
      <c r="A973" s="113"/>
      <c r="B973" s="113"/>
      <c r="C973" s="113"/>
      <c r="D973" s="36"/>
      <c r="E973" s="36"/>
      <c r="F973" s="37"/>
      <c r="G973" s="118"/>
      <c r="H973" s="27"/>
      <c r="I973" s="27"/>
      <c r="J973" s="27"/>
      <c r="K973" s="27"/>
      <c r="L973" s="27"/>
      <c r="M973" s="27"/>
      <c r="N973" s="27"/>
      <c r="O973" s="27"/>
      <c r="P973" s="27"/>
      <c r="Q973" s="27"/>
      <c r="R973" s="27"/>
      <c r="S973" s="27"/>
      <c r="T973" s="27"/>
      <c r="U973" s="27"/>
      <c r="V973" s="27"/>
      <c r="W973" s="27"/>
      <c r="X973" s="27"/>
      <c r="Y973" s="27"/>
      <c r="Z973" s="27"/>
    </row>
    <row r="974" ht="15.75" customHeight="1">
      <c r="A974" s="113"/>
      <c r="B974" s="113"/>
      <c r="C974" s="113"/>
      <c r="D974" s="36"/>
      <c r="E974" s="36"/>
      <c r="F974" s="37"/>
      <c r="G974" s="118"/>
      <c r="H974" s="27"/>
      <c r="I974" s="27"/>
      <c r="J974" s="27"/>
      <c r="K974" s="27"/>
      <c r="L974" s="27"/>
      <c r="M974" s="27"/>
      <c r="N974" s="27"/>
      <c r="O974" s="27"/>
      <c r="P974" s="27"/>
      <c r="Q974" s="27"/>
      <c r="R974" s="27"/>
      <c r="S974" s="27"/>
      <c r="T974" s="27"/>
      <c r="U974" s="27"/>
      <c r="V974" s="27"/>
      <c r="W974" s="27"/>
      <c r="X974" s="27"/>
      <c r="Y974" s="27"/>
      <c r="Z974" s="27"/>
    </row>
    <row r="975" ht="15.75" customHeight="1">
      <c r="A975" s="113"/>
      <c r="B975" s="113"/>
      <c r="C975" s="113"/>
      <c r="D975" s="36"/>
      <c r="E975" s="36"/>
      <c r="F975" s="37"/>
      <c r="G975" s="118"/>
      <c r="H975" s="27"/>
      <c r="I975" s="27"/>
      <c r="J975" s="27"/>
      <c r="K975" s="27"/>
      <c r="L975" s="27"/>
      <c r="M975" s="27"/>
      <c r="N975" s="27"/>
      <c r="O975" s="27"/>
      <c r="P975" s="27"/>
      <c r="Q975" s="27"/>
      <c r="R975" s="27"/>
      <c r="S975" s="27"/>
      <c r="T975" s="27"/>
      <c r="U975" s="27"/>
      <c r="V975" s="27"/>
      <c r="W975" s="27"/>
      <c r="X975" s="27"/>
      <c r="Y975" s="27"/>
      <c r="Z975" s="27"/>
    </row>
    <row r="976" ht="15.75" customHeight="1">
      <c r="A976" s="113"/>
      <c r="B976" s="113"/>
      <c r="C976" s="113"/>
      <c r="D976" s="36"/>
      <c r="E976" s="36"/>
      <c r="F976" s="37"/>
      <c r="G976" s="118"/>
      <c r="H976" s="27"/>
      <c r="I976" s="27"/>
      <c r="J976" s="27"/>
      <c r="K976" s="27"/>
      <c r="L976" s="27"/>
      <c r="M976" s="27"/>
      <c r="N976" s="27"/>
      <c r="O976" s="27"/>
      <c r="P976" s="27"/>
      <c r="Q976" s="27"/>
      <c r="R976" s="27"/>
      <c r="S976" s="27"/>
      <c r="T976" s="27"/>
      <c r="U976" s="27"/>
      <c r="V976" s="27"/>
      <c r="W976" s="27"/>
      <c r="X976" s="27"/>
      <c r="Y976" s="27"/>
      <c r="Z976" s="27"/>
    </row>
    <row r="977" ht="15.75" customHeight="1">
      <c r="A977" s="113"/>
      <c r="B977" s="113"/>
      <c r="C977" s="113"/>
      <c r="D977" s="36"/>
      <c r="E977" s="36"/>
      <c r="F977" s="37"/>
      <c r="G977" s="118"/>
      <c r="H977" s="27"/>
      <c r="I977" s="27"/>
      <c r="J977" s="27"/>
      <c r="K977" s="27"/>
      <c r="L977" s="27"/>
      <c r="M977" s="27"/>
      <c r="N977" s="27"/>
      <c r="O977" s="27"/>
      <c r="P977" s="27"/>
      <c r="Q977" s="27"/>
      <c r="R977" s="27"/>
      <c r="S977" s="27"/>
      <c r="T977" s="27"/>
      <c r="U977" s="27"/>
      <c r="V977" s="27"/>
      <c r="W977" s="27"/>
      <c r="X977" s="27"/>
      <c r="Y977" s="27"/>
      <c r="Z977" s="27"/>
    </row>
    <row r="978" ht="15.75" customHeight="1">
      <c r="A978" s="113"/>
      <c r="B978" s="113"/>
      <c r="C978" s="113"/>
      <c r="D978" s="36"/>
      <c r="E978" s="36"/>
      <c r="F978" s="37"/>
      <c r="G978" s="118"/>
      <c r="H978" s="27"/>
      <c r="I978" s="27"/>
      <c r="J978" s="27"/>
      <c r="K978" s="27"/>
      <c r="L978" s="27"/>
      <c r="M978" s="27"/>
      <c r="N978" s="27"/>
      <c r="O978" s="27"/>
      <c r="P978" s="27"/>
      <c r="Q978" s="27"/>
      <c r="R978" s="27"/>
      <c r="S978" s="27"/>
      <c r="T978" s="27"/>
      <c r="U978" s="27"/>
      <c r="V978" s="27"/>
      <c r="W978" s="27"/>
      <c r="X978" s="27"/>
      <c r="Y978" s="27"/>
      <c r="Z978" s="27"/>
    </row>
    <row r="979" ht="15.75" customHeight="1">
      <c r="A979" s="113"/>
      <c r="B979" s="113"/>
      <c r="C979" s="113"/>
      <c r="D979" s="36"/>
      <c r="E979" s="36"/>
      <c r="F979" s="37"/>
      <c r="G979" s="118"/>
      <c r="H979" s="27"/>
      <c r="I979" s="27"/>
      <c r="J979" s="27"/>
      <c r="K979" s="27"/>
      <c r="L979" s="27"/>
      <c r="M979" s="27"/>
      <c r="N979" s="27"/>
      <c r="O979" s="27"/>
      <c r="P979" s="27"/>
      <c r="Q979" s="27"/>
      <c r="R979" s="27"/>
      <c r="S979" s="27"/>
      <c r="T979" s="27"/>
      <c r="U979" s="27"/>
      <c r="V979" s="27"/>
      <c r="W979" s="27"/>
      <c r="X979" s="27"/>
      <c r="Y979" s="27"/>
      <c r="Z979" s="27"/>
    </row>
    <row r="980" ht="15.75" customHeight="1">
      <c r="A980" s="113"/>
      <c r="B980" s="113"/>
      <c r="C980" s="113"/>
      <c r="D980" s="36"/>
      <c r="E980" s="36"/>
      <c r="F980" s="37"/>
      <c r="G980" s="118"/>
      <c r="H980" s="27"/>
      <c r="I980" s="27"/>
      <c r="J980" s="27"/>
      <c r="K980" s="27"/>
      <c r="L980" s="27"/>
      <c r="M980" s="27"/>
      <c r="N980" s="27"/>
      <c r="O980" s="27"/>
      <c r="P980" s="27"/>
      <c r="Q980" s="27"/>
      <c r="R980" s="27"/>
      <c r="S980" s="27"/>
      <c r="T980" s="27"/>
      <c r="U980" s="27"/>
      <c r="V980" s="27"/>
      <c r="W980" s="27"/>
      <c r="X980" s="27"/>
      <c r="Y980" s="27"/>
      <c r="Z980" s="27"/>
    </row>
    <row r="981" ht="15.75" customHeight="1">
      <c r="A981" s="113"/>
      <c r="B981" s="113"/>
      <c r="C981" s="113"/>
      <c r="D981" s="36"/>
      <c r="E981" s="36"/>
      <c r="F981" s="37"/>
      <c r="G981" s="118"/>
      <c r="H981" s="27"/>
      <c r="I981" s="27"/>
      <c r="J981" s="27"/>
      <c r="K981" s="27"/>
      <c r="L981" s="27"/>
      <c r="M981" s="27"/>
      <c r="N981" s="27"/>
      <c r="O981" s="27"/>
      <c r="P981" s="27"/>
      <c r="Q981" s="27"/>
      <c r="R981" s="27"/>
      <c r="S981" s="27"/>
      <c r="T981" s="27"/>
      <c r="U981" s="27"/>
      <c r="V981" s="27"/>
      <c r="W981" s="27"/>
      <c r="X981" s="27"/>
      <c r="Y981" s="27"/>
      <c r="Z981" s="27"/>
    </row>
    <row r="982" ht="15.75" customHeight="1">
      <c r="A982" s="113"/>
      <c r="B982" s="113"/>
      <c r="C982" s="113"/>
      <c r="D982" s="36"/>
      <c r="E982" s="36"/>
      <c r="F982" s="37"/>
      <c r="G982" s="118"/>
      <c r="H982" s="27"/>
      <c r="I982" s="27"/>
      <c r="J982" s="27"/>
      <c r="K982" s="27"/>
      <c r="L982" s="27"/>
      <c r="M982" s="27"/>
      <c r="N982" s="27"/>
      <c r="O982" s="27"/>
      <c r="P982" s="27"/>
      <c r="Q982" s="27"/>
      <c r="R982" s="27"/>
      <c r="S982" s="27"/>
      <c r="T982" s="27"/>
      <c r="U982" s="27"/>
      <c r="V982" s="27"/>
      <c r="W982" s="27"/>
      <c r="X982" s="27"/>
      <c r="Y982" s="27"/>
      <c r="Z982" s="27"/>
    </row>
    <row r="983" ht="15.75" customHeight="1">
      <c r="A983" s="113"/>
      <c r="B983" s="113"/>
      <c r="C983" s="113"/>
      <c r="D983" s="36"/>
      <c r="E983" s="36"/>
      <c r="F983" s="37"/>
      <c r="G983" s="118"/>
      <c r="H983" s="27"/>
      <c r="I983" s="27"/>
      <c r="J983" s="27"/>
      <c r="K983" s="27"/>
      <c r="L983" s="27"/>
      <c r="M983" s="27"/>
      <c r="N983" s="27"/>
      <c r="O983" s="27"/>
      <c r="P983" s="27"/>
      <c r="Q983" s="27"/>
      <c r="R983" s="27"/>
      <c r="S983" s="27"/>
      <c r="T983" s="27"/>
      <c r="U983" s="27"/>
      <c r="V983" s="27"/>
      <c r="W983" s="27"/>
      <c r="X983" s="27"/>
      <c r="Y983" s="27"/>
      <c r="Z983" s="27"/>
    </row>
    <row r="984" ht="15.75" customHeight="1">
      <c r="A984" s="113"/>
      <c r="B984" s="113"/>
      <c r="C984" s="113"/>
      <c r="D984" s="36"/>
      <c r="E984" s="36"/>
      <c r="F984" s="37"/>
      <c r="G984" s="118"/>
      <c r="H984" s="27"/>
      <c r="I984" s="27"/>
      <c r="J984" s="27"/>
      <c r="K984" s="27"/>
      <c r="L984" s="27"/>
      <c r="M984" s="27"/>
      <c r="N984" s="27"/>
      <c r="O984" s="27"/>
      <c r="P984" s="27"/>
      <c r="Q984" s="27"/>
      <c r="R984" s="27"/>
      <c r="S984" s="27"/>
      <c r="T984" s="27"/>
      <c r="U984" s="27"/>
      <c r="V984" s="27"/>
      <c r="W984" s="27"/>
      <c r="X984" s="27"/>
      <c r="Y984" s="27"/>
      <c r="Z984" s="27"/>
    </row>
    <row r="985" ht="15.75" customHeight="1">
      <c r="A985" s="113"/>
      <c r="B985" s="113"/>
      <c r="C985" s="113"/>
      <c r="D985" s="36"/>
      <c r="E985" s="36"/>
      <c r="F985" s="37"/>
      <c r="G985" s="118"/>
      <c r="H985" s="27"/>
      <c r="I985" s="27"/>
      <c r="J985" s="27"/>
      <c r="K985" s="27"/>
      <c r="L985" s="27"/>
      <c r="M985" s="27"/>
      <c r="N985" s="27"/>
      <c r="O985" s="27"/>
      <c r="P985" s="27"/>
      <c r="Q985" s="27"/>
      <c r="R985" s="27"/>
      <c r="S985" s="27"/>
      <c r="T985" s="27"/>
      <c r="U985" s="27"/>
      <c r="V985" s="27"/>
      <c r="W985" s="27"/>
      <c r="X985" s="27"/>
      <c r="Y985" s="27"/>
      <c r="Z985" s="27"/>
    </row>
    <row r="986" ht="15.75" customHeight="1">
      <c r="A986" s="113"/>
      <c r="B986" s="113"/>
      <c r="C986" s="113"/>
      <c r="D986" s="36"/>
      <c r="E986" s="36"/>
      <c r="F986" s="37"/>
      <c r="G986" s="118"/>
      <c r="H986" s="27"/>
      <c r="I986" s="27"/>
      <c r="J986" s="27"/>
      <c r="K986" s="27"/>
      <c r="L986" s="27"/>
      <c r="M986" s="27"/>
      <c r="N986" s="27"/>
      <c r="O986" s="27"/>
      <c r="P986" s="27"/>
      <c r="Q986" s="27"/>
      <c r="R986" s="27"/>
      <c r="S986" s="27"/>
      <c r="T986" s="27"/>
      <c r="U986" s="27"/>
      <c r="V986" s="27"/>
      <c r="W986" s="27"/>
      <c r="X986" s="27"/>
      <c r="Y986" s="27"/>
      <c r="Z986" s="27"/>
    </row>
    <row r="987" ht="15.75" customHeight="1">
      <c r="A987" s="113"/>
      <c r="B987" s="113"/>
      <c r="C987" s="113"/>
      <c r="D987" s="36"/>
      <c r="E987" s="36"/>
      <c r="F987" s="37"/>
      <c r="G987" s="118"/>
      <c r="H987" s="27"/>
      <c r="I987" s="27"/>
      <c r="J987" s="27"/>
      <c r="K987" s="27"/>
      <c r="L987" s="27"/>
      <c r="M987" s="27"/>
      <c r="N987" s="27"/>
      <c r="O987" s="27"/>
      <c r="P987" s="27"/>
      <c r="Q987" s="27"/>
      <c r="R987" s="27"/>
      <c r="S987" s="27"/>
      <c r="T987" s="27"/>
      <c r="U987" s="27"/>
      <c r="V987" s="27"/>
      <c r="W987" s="27"/>
      <c r="X987" s="27"/>
      <c r="Y987" s="27"/>
      <c r="Z987" s="27"/>
    </row>
    <row r="988" ht="15.75" customHeight="1">
      <c r="A988" s="113"/>
      <c r="B988" s="113"/>
      <c r="C988" s="113"/>
      <c r="D988" s="36"/>
      <c r="E988" s="36"/>
      <c r="F988" s="37"/>
      <c r="G988" s="118"/>
      <c r="H988" s="27"/>
      <c r="I988" s="27"/>
      <c r="J988" s="27"/>
      <c r="K988" s="27"/>
      <c r="L988" s="27"/>
      <c r="M988" s="27"/>
      <c r="N988" s="27"/>
      <c r="O988" s="27"/>
      <c r="P988" s="27"/>
      <c r="Q988" s="27"/>
      <c r="R988" s="27"/>
      <c r="S988" s="27"/>
      <c r="T988" s="27"/>
      <c r="U988" s="27"/>
      <c r="V988" s="27"/>
      <c r="W988" s="27"/>
      <c r="X988" s="27"/>
      <c r="Y988" s="27"/>
      <c r="Z988" s="27"/>
    </row>
    <row r="989" ht="15.75" customHeight="1">
      <c r="A989" s="113"/>
      <c r="B989" s="113"/>
      <c r="C989" s="113"/>
      <c r="D989" s="36"/>
      <c r="E989" s="36"/>
      <c r="F989" s="37"/>
      <c r="G989" s="118"/>
      <c r="H989" s="27"/>
      <c r="I989" s="27"/>
      <c r="J989" s="27"/>
      <c r="K989" s="27"/>
      <c r="L989" s="27"/>
      <c r="M989" s="27"/>
      <c r="N989" s="27"/>
      <c r="O989" s="27"/>
      <c r="P989" s="27"/>
      <c r="Q989" s="27"/>
      <c r="R989" s="27"/>
      <c r="S989" s="27"/>
      <c r="T989" s="27"/>
      <c r="U989" s="27"/>
      <c r="V989" s="27"/>
      <c r="W989" s="27"/>
      <c r="X989" s="27"/>
      <c r="Y989" s="27"/>
      <c r="Z989" s="27"/>
    </row>
    <row r="990" ht="15.75" customHeight="1">
      <c r="A990" s="113"/>
      <c r="B990" s="113"/>
      <c r="C990" s="113"/>
      <c r="D990" s="36"/>
      <c r="E990" s="36"/>
      <c r="F990" s="37"/>
      <c r="G990" s="118"/>
      <c r="H990" s="27"/>
      <c r="I990" s="27"/>
      <c r="J990" s="27"/>
      <c r="K990" s="27"/>
      <c r="L990" s="27"/>
      <c r="M990" s="27"/>
      <c r="N990" s="27"/>
      <c r="O990" s="27"/>
      <c r="P990" s="27"/>
      <c r="Q990" s="27"/>
      <c r="R990" s="27"/>
      <c r="S990" s="27"/>
      <c r="T990" s="27"/>
      <c r="U990" s="27"/>
      <c r="V990" s="27"/>
      <c r="W990" s="27"/>
      <c r="X990" s="27"/>
      <c r="Y990" s="27"/>
      <c r="Z990" s="27"/>
    </row>
    <row r="991" ht="15.75" customHeight="1">
      <c r="A991" s="113"/>
      <c r="B991" s="113"/>
      <c r="C991" s="113"/>
      <c r="D991" s="36"/>
      <c r="E991" s="36"/>
      <c r="F991" s="37"/>
      <c r="G991" s="118"/>
      <c r="H991" s="27"/>
      <c r="I991" s="27"/>
      <c r="J991" s="27"/>
      <c r="K991" s="27"/>
      <c r="L991" s="27"/>
      <c r="M991" s="27"/>
      <c r="N991" s="27"/>
      <c r="O991" s="27"/>
      <c r="P991" s="27"/>
      <c r="Q991" s="27"/>
      <c r="R991" s="27"/>
      <c r="S991" s="27"/>
      <c r="T991" s="27"/>
      <c r="U991" s="27"/>
      <c r="V991" s="27"/>
      <c r="W991" s="27"/>
      <c r="X991" s="27"/>
      <c r="Y991" s="27"/>
      <c r="Z991" s="27"/>
    </row>
    <row r="992" ht="15.75" customHeight="1">
      <c r="A992" s="113"/>
      <c r="B992" s="113"/>
      <c r="C992" s="113"/>
      <c r="D992" s="36"/>
      <c r="E992" s="36"/>
      <c r="F992" s="37"/>
      <c r="G992" s="118"/>
      <c r="H992" s="27"/>
      <c r="I992" s="27"/>
      <c r="J992" s="27"/>
      <c r="K992" s="27"/>
      <c r="L992" s="27"/>
      <c r="M992" s="27"/>
      <c r="N992" s="27"/>
      <c r="O992" s="27"/>
      <c r="P992" s="27"/>
      <c r="Q992" s="27"/>
      <c r="R992" s="27"/>
      <c r="S992" s="27"/>
      <c r="T992" s="27"/>
      <c r="U992" s="27"/>
      <c r="V992" s="27"/>
      <c r="W992" s="27"/>
      <c r="X992" s="27"/>
      <c r="Y992" s="27"/>
      <c r="Z992" s="27"/>
    </row>
    <row r="993" ht="15.75" customHeight="1">
      <c r="A993" s="113"/>
      <c r="B993" s="113"/>
      <c r="C993" s="113"/>
      <c r="D993" s="36"/>
      <c r="E993" s="36"/>
      <c r="F993" s="37"/>
      <c r="G993" s="118"/>
      <c r="H993" s="27"/>
      <c r="I993" s="27"/>
      <c r="J993" s="27"/>
      <c r="K993" s="27"/>
      <c r="L993" s="27"/>
      <c r="M993" s="27"/>
      <c r="N993" s="27"/>
      <c r="O993" s="27"/>
      <c r="P993" s="27"/>
      <c r="Q993" s="27"/>
      <c r="R993" s="27"/>
      <c r="S993" s="27"/>
      <c r="T993" s="27"/>
      <c r="U993" s="27"/>
      <c r="V993" s="27"/>
      <c r="W993" s="27"/>
      <c r="X993" s="27"/>
      <c r="Y993" s="27"/>
      <c r="Z993" s="27"/>
    </row>
    <row r="994" ht="15.75" customHeight="1">
      <c r="A994" s="113"/>
      <c r="B994" s="113"/>
      <c r="C994" s="113"/>
      <c r="D994" s="36"/>
      <c r="E994" s="36"/>
      <c r="F994" s="37"/>
      <c r="G994" s="118"/>
      <c r="H994" s="27"/>
      <c r="I994" s="27"/>
      <c r="J994" s="27"/>
      <c r="K994" s="27"/>
      <c r="L994" s="27"/>
      <c r="M994" s="27"/>
      <c r="N994" s="27"/>
      <c r="O994" s="27"/>
      <c r="P994" s="27"/>
      <c r="Q994" s="27"/>
      <c r="R994" s="27"/>
      <c r="S994" s="27"/>
      <c r="T994" s="27"/>
      <c r="U994" s="27"/>
      <c r="V994" s="27"/>
      <c r="W994" s="27"/>
      <c r="X994" s="27"/>
      <c r="Y994" s="27"/>
      <c r="Z994" s="27"/>
    </row>
    <row r="995" ht="15.75" customHeight="1">
      <c r="A995" s="113"/>
      <c r="B995" s="113"/>
      <c r="C995" s="113"/>
      <c r="D995" s="36"/>
      <c r="E995" s="36"/>
      <c r="F995" s="37"/>
      <c r="G995" s="118"/>
      <c r="H995" s="27"/>
      <c r="I995" s="27"/>
      <c r="J995" s="27"/>
      <c r="K995" s="27"/>
      <c r="L995" s="27"/>
      <c r="M995" s="27"/>
      <c r="N995" s="27"/>
      <c r="O995" s="27"/>
      <c r="P995" s="27"/>
      <c r="Q995" s="27"/>
      <c r="R995" s="27"/>
      <c r="S995" s="27"/>
      <c r="T995" s="27"/>
      <c r="U995" s="27"/>
      <c r="V995" s="27"/>
      <c r="W995" s="27"/>
      <c r="X995" s="27"/>
      <c r="Y995" s="27"/>
      <c r="Z995" s="27"/>
    </row>
    <row r="996" ht="15.75" customHeight="1">
      <c r="A996" s="113"/>
      <c r="B996" s="113"/>
      <c r="C996" s="113"/>
      <c r="D996" s="36"/>
      <c r="E996" s="36"/>
      <c r="F996" s="37"/>
      <c r="G996" s="118"/>
      <c r="H996" s="27"/>
      <c r="I996" s="27"/>
      <c r="J996" s="27"/>
      <c r="K996" s="27"/>
      <c r="L996" s="27"/>
      <c r="M996" s="27"/>
      <c r="N996" s="27"/>
      <c r="O996" s="27"/>
      <c r="P996" s="27"/>
      <c r="Q996" s="27"/>
      <c r="R996" s="27"/>
      <c r="S996" s="27"/>
      <c r="T996" s="27"/>
      <c r="U996" s="27"/>
      <c r="V996" s="27"/>
      <c r="W996" s="27"/>
      <c r="X996" s="27"/>
      <c r="Y996" s="27"/>
      <c r="Z996" s="27"/>
    </row>
    <row r="997" ht="15.75" customHeight="1">
      <c r="A997" s="113"/>
      <c r="B997" s="113"/>
      <c r="C997" s="113"/>
      <c r="D997" s="36"/>
      <c r="E997" s="36"/>
      <c r="F997" s="37"/>
      <c r="G997" s="118"/>
      <c r="H997" s="27"/>
      <c r="I997" s="27"/>
      <c r="J997" s="27"/>
      <c r="K997" s="27"/>
      <c r="L997" s="27"/>
      <c r="M997" s="27"/>
      <c r="N997" s="27"/>
      <c r="O997" s="27"/>
      <c r="P997" s="27"/>
      <c r="Q997" s="27"/>
      <c r="R997" s="27"/>
      <c r="S997" s="27"/>
      <c r="T997" s="27"/>
      <c r="U997" s="27"/>
      <c r="V997" s="27"/>
      <c r="W997" s="27"/>
      <c r="X997" s="27"/>
      <c r="Y997" s="27"/>
      <c r="Z997" s="27"/>
    </row>
    <row r="998" ht="15.75" customHeight="1">
      <c r="A998" s="113"/>
      <c r="B998" s="113"/>
      <c r="C998" s="113"/>
      <c r="D998" s="36"/>
      <c r="E998" s="36"/>
      <c r="F998" s="37"/>
      <c r="G998" s="118"/>
      <c r="H998" s="27"/>
      <c r="I998" s="27"/>
      <c r="J998" s="27"/>
      <c r="K998" s="27"/>
      <c r="L998" s="27"/>
      <c r="M998" s="27"/>
      <c r="N998" s="27"/>
      <c r="O998" s="27"/>
      <c r="P998" s="27"/>
      <c r="Q998" s="27"/>
      <c r="R998" s="27"/>
      <c r="S998" s="27"/>
      <c r="T998" s="27"/>
      <c r="U998" s="27"/>
      <c r="V998" s="27"/>
      <c r="W998" s="27"/>
      <c r="X998" s="27"/>
      <c r="Y998" s="27"/>
      <c r="Z998" s="27"/>
    </row>
    <row r="999" ht="15.75" customHeight="1">
      <c r="A999" s="113"/>
      <c r="B999" s="113"/>
      <c r="C999" s="113"/>
      <c r="D999" s="36"/>
      <c r="E999" s="36"/>
      <c r="F999" s="37"/>
      <c r="G999" s="118"/>
      <c r="H999" s="27"/>
      <c r="I999" s="27"/>
      <c r="J999" s="27"/>
      <c r="K999" s="27"/>
      <c r="L999" s="27"/>
      <c r="M999" s="27"/>
      <c r="N999" s="27"/>
      <c r="O999" s="27"/>
      <c r="P999" s="27"/>
      <c r="Q999" s="27"/>
      <c r="R999" s="27"/>
      <c r="S999" s="27"/>
      <c r="T999" s="27"/>
      <c r="U999" s="27"/>
      <c r="V999" s="27"/>
      <c r="W999" s="27"/>
      <c r="X999" s="27"/>
      <c r="Y999" s="27"/>
      <c r="Z999" s="27"/>
    </row>
    <row r="1000" ht="15.75" customHeight="1">
      <c r="A1000" s="113"/>
      <c r="B1000" s="113"/>
      <c r="C1000" s="113"/>
      <c r="D1000" s="36"/>
      <c r="E1000" s="36"/>
      <c r="F1000" s="37"/>
      <c r="G1000" s="118"/>
      <c r="H1000" s="27"/>
      <c r="I1000" s="27"/>
      <c r="J1000" s="27"/>
      <c r="K1000" s="27"/>
      <c r="L1000" s="27"/>
      <c r="M1000" s="27"/>
      <c r="N1000" s="27"/>
      <c r="O1000" s="27"/>
      <c r="P1000" s="27"/>
      <c r="Q1000" s="27"/>
      <c r="R1000" s="27"/>
      <c r="S1000" s="27"/>
      <c r="T1000" s="27"/>
      <c r="U1000" s="27"/>
      <c r="V1000" s="27"/>
      <c r="W1000" s="27"/>
      <c r="X1000" s="27"/>
      <c r="Y1000" s="27"/>
      <c r="Z1000" s="27"/>
    </row>
  </sheetData>
  <mergeCells count="19">
    <mergeCell ref="A3:B3"/>
    <mergeCell ref="A7:B7"/>
    <mergeCell ref="A13:B13"/>
    <mergeCell ref="A18:B18"/>
    <mergeCell ref="A23:B23"/>
    <mergeCell ref="A29:B29"/>
    <mergeCell ref="A38:B38"/>
    <mergeCell ref="A111:B111"/>
    <mergeCell ref="A114:B114"/>
    <mergeCell ref="A123:B123"/>
    <mergeCell ref="A129:B129"/>
    <mergeCell ref="A133:B133"/>
    <mergeCell ref="A41:B41"/>
    <mergeCell ref="A43:B43"/>
    <mergeCell ref="A61:B61"/>
    <mergeCell ref="A78:B78"/>
    <mergeCell ref="A92:B92"/>
    <mergeCell ref="A104:B104"/>
    <mergeCell ref="A109:B109"/>
  </mergeCells>
  <conditionalFormatting sqref="F4:F6 F8:F12 F14:F15 F17:F20 F22:F25 F27:F31 F33:F40 F42:F43 F45 F47:F62 F65:F80 F82:F94 F96:F105 F108:F111 F113 F115 F118:F125 F127:F131 F133:F135 F137:F1000">
    <cfRule type="containsText" dxfId="1" priority="1" operator="containsText" text="Mayor a 5">
      <formula>NOT(ISERROR(SEARCH(("Mayor a 5"),(F4))))</formula>
    </cfRule>
  </conditionalFormatting>
  <conditionalFormatting sqref="F4:F6 F8:F12 F14:F15 F17:F20 F22:F25 F27:F31 F33:F40 F42:F43 F45 F47:F62 F65:F80 F82:F94 F96:F105 F108:F111 F113 F115 F118:F125 F127:F131 F133:F135 F137:F1000">
    <cfRule type="containsText" dxfId="2" priority="2" operator="containsText" text="Menor a 5">
      <formula>NOT(ISERROR(SEARCH(("Menor a 5"),(F4))))</formula>
    </cfRule>
  </conditionalFormatting>
  <conditionalFormatting sqref="F4:F6 F8:F12 F14:F15 F17:F20 F22:F25 F27:F31 F33:F40 F42:F43 F45 F47:F62 F65:F80 F82:F94 F96:F105 F108:F111 F113 F115 F118:F125 F127:F131 F133:F135 F137:F1000">
    <cfRule type="containsText" dxfId="3" priority="3" operator="containsText" text="Sin stock">
      <formula>NOT(ISERROR(SEARCH(("Sin stock"),(F4))))</formula>
    </cfRule>
  </conditionalFormatting>
  <conditionalFormatting sqref="G7:G1000">
    <cfRule type="containsText" dxfId="1" priority="4" operator="containsText" text="Mayor a 5">
      <formula>NOT(ISERROR(SEARCH(("Mayor a 5"),(G7))))</formula>
    </cfRule>
  </conditionalFormatting>
  <conditionalFormatting sqref="G7:G1000">
    <cfRule type="containsText" dxfId="2" priority="5" operator="containsText" text="Menor a 5">
      <formula>NOT(ISERROR(SEARCH(("Menor a 5"),(G7))))</formula>
    </cfRule>
  </conditionalFormatting>
  <conditionalFormatting sqref="G7:G1000">
    <cfRule type="containsText" dxfId="3" priority="6" operator="containsText" text="SIN STOCK">
      <formula>NOT(ISERROR(SEARCH(("SIN STOCK"),(G7))))</formula>
    </cfRule>
  </conditionalFormatting>
  <hyperlinks>
    <hyperlink r:id="rId1" ref="B4"/>
    <hyperlink r:id="rId2" ref="B5"/>
    <hyperlink r:id="rId3" ref="B6"/>
    <hyperlink r:id="rId4" ref="B8"/>
    <hyperlink r:id="rId5" ref="B9"/>
    <hyperlink r:id="rId6" ref="B10"/>
    <hyperlink r:id="rId7" ref="B11"/>
    <hyperlink r:id="rId8" ref="B12"/>
    <hyperlink r:id="rId9" ref="B14"/>
    <hyperlink r:id="rId10" ref="B15"/>
    <hyperlink r:id="rId11" ref="B16"/>
    <hyperlink r:id="rId12" ref="B17"/>
    <hyperlink r:id="rId13" ref="B19"/>
    <hyperlink r:id="rId14" ref="B20"/>
    <hyperlink r:id="rId15" ref="B21"/>
    <hyperlink r:id="rId16" ref="B22"/>
    <hyperlink r:id="rId17" ref="B24"/>
    <hyperlink r:id="rId18" ref="B25"/>
    <hyperlink r:id="rId19" ref="B26"/>
    <hyperlink r:id="rId20" ref="B27"/>
    <hyperlink r:id="rId21" ref="B28"/>
    <hyperlink r:id="rId22" ref="B30"/>
    <hyperlink r:id="rId23" ref="B31"/>
    <hyperlink r:id="rId24" ref="B34"/>
    <hyperlink r:id="rId25" ref="B35"/>
    <hyperlink r:id="rId26" ref="B39"/>
    <hyperlink r:id="rId27" ref="B40"/>
    <hyperlink r:id="rId28" ref="B42"/>
    <hyperlink r:id="rId29" ref="B62"/>
    <hyperlink r:id="rId30" ref="B63"/>
    <hyperlink r:id="rId31" ref="B64"/>
    <hyperlink r:id="rId32" ref="B65"/>
    <hyperlink r:id="rId33" ref="B66"/>
    <hyperlink r:id="rId34" ref="B67"/>
    <hyperlink r:id="rId35" ref="B68"/>
    <hyperlink r:id="rId36" ref="B69"/>
    <hyperlink r:id="rId37" ref="B70"/>
    <hyperlink r:id="rId38" ref="B71"/>
    <hyperlink r:id="rId39" ref="B72"/>
    <hyperlink r:id="rId40" ref="B73"/>
    <hyperlink r:id="rId41" ref="B74"/>
    <hyperlink r:id="rId42" ref="B75"/>
    <hyperlink r:id="rId43" ref="B76"/>
    <hyperlink r:id="rId44" ref="B77"/>
    <hyperlink r:id="rId45" ref="B84"/>
    <hyperlink r:id="rId46" ref="B85"/>
    <hyperlink r:id="rId47" ref="B86"/>
    <hyperlink r:id="rId48" ref="B87"/>
    <hyperlink r:id="rId49" ref="B88"/>
    <hyperlink r:id="rId50" ref="B89"/>
    <hyperlink r:id="rId51" ref="B90"/>
    <hyperlink r:id="rId52" ref="B91"/>
    <hyperlink r:id="rId53" ref="B93"/>
    <hyperlink r:id="rId54" ref="B94"/>
    <hyperlink r:id="rId55" ref="B97"/>
    <hyperlink r:id="rId56" ref="B98"/>
    <hyperlink r:id="rId57" ref="B99"/>
    <hyperlink r:id="rId58" ref="B100"/>
    <hyperlink r:id="rId59" ref="B101"/>
    <hyperlink r:id="rId60" ref="B102"/>
    <hyperlink r:id="rId61" ref="B105"/>
    <hyperlink r:id="rId62" ref="B106"/>
    <hyperlink r:id="rId63" ref="B107"/>
    <hyperlink r:id="rId64" ref="B108"/>
    <hyperlink r:id="rId65" ref="B112"/>
    <hyperlink r:id="rId66" ref="B115"/>
    <hyperlink r:id="rId67" ref="B116"/>
    <hyperlink r:id="rId68" ref="B117"/>
    <hyperlink r:id="rId69" ref="B118"/>
    <hyperlink r:id="rId70" ref="B119"/>
    <hyperlink r:id="rId71" ref="B120"/>
    <hyperlink r:id="rId72" ref="B121"/>
    <hyperlink r:id="rId73" ref="B122"/>
    <hyperlink r:id="rId74" ref="B124"/>
    <hyperlink r:id="rId75" ref="B125"/>
    <hyperlink r:id="rId76" ref="B126"/>
    <hyperlink r:id="rId77" ref="B127"/>
    <hyperlink r:id="rId78" ref="B128"/>
    <hyperlink r:id="rId79" ref="B130"/>
    <hyperlink r:id="rId80" ref="B131"/>
    <hyperlink r:id="rId81" ref="B132"/>
    <hyperlink r:id="rId82" ref="B134"/>
    <hyperlink r:id="rId83" ref="B135"/>
    <hyperlink r:id="rId84" ref="B136"/>
    <hyperlink r:id="rId85" ref="B137"/>
  </hyperlinks>
  <printOptions/>
  <pageMargins bottom="0.75" footer="0.0" header="0.0" left="0.7" right="0.7" top="0.75"/>
  <pageSetup orientation="landscape"/>
  <drawing r:id="rId8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F7B0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25"/>
    <col customWidth="1" min="2" max="2" width="21.5"/>
    <col customWidth="1" min="3" max="3" width="74.0"/>
    <col customWidth="1" min="4" max="4" width="15.0"/>
    <col customWidth="1" min="5" max="5" width="14.25"/>
    <col customWidth="1" min="6" max="7" width="9.25"/>
  </cols>
  <sheetData>
    <row r="1" ht="15.75" customHeight="1">
      <c r="A1" s="8" t="s">
        <v>23</v>
      </c>
      <c r="B1" s="8" t="s">
        <v>24</v>
      </c>
      <c r="C1" s="8" t="s">
        <v>25</v>
      </c>
      <c r="D1" s="119" t="s">
        <v>26</v>
      </c>
      <c r="E1" s="26" t="s">
        <v>27</v>
      </c>
      <c r="F1" s="83" t="s">
        <v>28</v>
      </c>
      <c r="G1" s="120" t="s">
        <v>29</v>
      </c>
    </row>
    <row r="2" ht="15.75" customHeight="1">
      <c r="A2" s="28" t="s">
        <v>2136</v>
      </c>
      <c r="C2" s="92"/>
      <c r="D2" s="51"/>
      <c r="E2" s="121"/>
      <c r="F2" s="106"/>
      <c r="G2" s="31"/>
    </row>
    <row r="3" ht="15.75" customHeight="1">
      <c r="A3" s="40" t="s">
        <v>1403</v>
      </c>
      <c r="B3" s="41" t="s">
        <v>2137</v>
      </c>
      <c r="C3" s="40" t="s">
        <v>2138</v>
      </c>
      <c r="D3" s="96" t="s">
        <v>447</v>
      </c>
      <c r="E3" s="96" t="s">
        <v>448</v>
      </c>
      <c r="F3" s="122">
        <v>0.21</v>
      </c>
      <c r="G3" s="123" t="s">
        <v>2139</v>
      </c>
    </row>
    <row r="4" ht="15.75" customHeight="1">
      <c r="A4" s="33" t="s">
        <v>1403</v>
      </c>
      <c r="B4" s="45" t="s">
        <v>2140</v>
      </c>
      <c r="C4" s="33" t="s">
        <v>2141</v>
      </c>
      <c r="D4" s="101" t="s">
        <v>447</v>
      </c>
      <c r="E4" s="101" t="s">
        <v>448</v>
      </c>
      <c r="F4" s="37">
        <v>0.21</v>
      </c>
      <c r="G4" s="124" t="s">
        <v>516</v>
      </c>
    </row>
    <row r="5" ht="15.75" customHeight="1">
      <c r="A5" s="40" t="s">
        <v>1403</v>
      </c>
      <c r="B5" s="41" t="s">
        <v>2142</v>
      </c>
      <c r="C5" s="40" t="s">
        <v>2143</v>
      </c>
      <c r="D5" s="96" t="s">
        <v>222</v>
      </c>
      <c r="E5" s="96" t="s">
        <v>223</v>
      </c>
      <c r="F5" s="122">
        <v>0.21</v>
      </c>
      <c r="G5" s="123" t="s">
        <v>2139</v>
      </c>
    </row>
    <row r="6" ht="15.75" customHeight="1">
      <c r="A6" s="33" t="s">
        <v>1403</v>
      </c>
      <c r="B6" s="45" t="s">
        <v>2144</v>
      </c>
      <c r="C6" s="33" t="s">
        <v>2145</v>
      </c>
      <c r="D6" s="101" t="s">
        <v>222</v>
      </c>
      <c r="E6" s="101" t="s">
        <v>223</v>
      </c>
      <c r="F6" s="37">
        <v>0.21</v>
      </c>
      <c r="G6" s="124" t="s">
        <v>516</v>
      </c>
    </row>
    <row r="7" ht="15.75" customHeight="1">
      <c r="A7" s="40" t="s">
        <v>1403</v>
      </c>
      <c r="B7" s="41" t="s">
        <v>2146</v>
      </c>
      <c r="C7" s="40" t="s">
        <v>2147</v>
      </c>
      <c r="D7" s="96" t="s">
        <v>222</v>
      </c>
      <c r="E7" s="96" t="s">
        <v>223</v>
      </c>
      <c r="F7" s="122">
        <v>0.21</v>
      </c>
      <c r="G7" s="123" t="s">
        <v>2139</v>
      </c>
    </row>
    <row r="8" ht="15.75" customHeight="1">
      <c r="A8" s="33" t="s">
        <v>1403</v>
      </c>
      <c r="B8" s="45" t="s">
        <v>2148</v>
      </c>
      <c r="C8" s="33" t="s">
        <v>2149</v>
      </c>
      <c r="D8" s="101" t="s">
        <v>222</v>
      </c>
      <c r="E8" s="101" t="s">
        <v>223</v>
      </c>
      <c r="F8" s="37">
        <v>0.21</v>
      </c>
      <c r="G8" s="124" t="s">
        <v>516</v>
      </c>
    </row>
    <row r="9" ht="15.75" customHeight="1">
      <c r="A9" s="40" t="s">
        <v>1403</v>
      </c>
      <c r="B9" s="41" t="s">
        <v>2150</v>
      </c>
      <c r="C9" s="40" t="s">
        <v>2151</v>
      </c>
      <c r="D9" s="96" t="s">
        <v>960</v>
      </c>
      <c r="E9" s="96" t="s">
        <v>961</v>
      </c>
      <c r="F9" s="122">
        <v>0.21</v>
      </c>
      <c r="G9" s="124" t="s">
        <v>516</v>
      </c>
    </row>
    <row r="10" ht="15.75" customHeight="1">
      <c r="A10" s="33" t="s">
        <v>1403</v>
      </c>
      <c r="B10" s="45" t="s">
        <v>2152</v>
      </c>
      <c r="C10" s="33" t="s">
        <v>2153</v>
      </c>
      <c r="D10" s="101" t="s">
        <v>960</v>
      </c>
      <c r="E10" s="101" t="s">
        <v>961</v>
      </c>
      <c r="F10" s="37">
        <v>0.21</v>
      </c>
      <c r="G10" s="124" t="s">
        <v>516</v>
      </c>
    </row>
    <row r="11" ht="15.75" customHeight="1">
      <c r="A11" s="40" t="s">
        <v>1403</v>
      </c>
      <c r="B11" s="41" t="s">
        <v>2154</v>
      </c>
      <c r="C11" s="40" t="s">
        <v>2155</v>
      </c>
      <c r="D11" s="96" t="s">
        <v>2156</v>
      </c>
      <c r="E11" s="96" t="s">
        <v>2157</v>
      </c>
      <c r="F11" s="122">
        <v>0.21</v>
      </c>
      <c r="G11" s="123" t="s">
        <v>2139</v>
      </c>
    </row>
    <row r="12" ht="15.75" customHeight="1">
      <c r="A12" s="33" t="s">
        <v>1403</v>
      </c>
      <c r="B12" s="45" t="s">
        <v>2158</v>
      </c>
      <c r="C12" s="33" t="s">
        <v>2159</v>
      </c>
      <c r="D12" s="101" t="s">
        <v>255</v>
      </c>
      <c r="E12" s="101" t="s">
        <v>256</v>
      </c>
      <c r="F12" s="37">
        <v>0.21</v>
      </c>
      <c r="G12" s="124" t="s">
        <v>516</v>
      </c>
    </row>
    <row r="13" ht="15.75" customHeight="1">
      <c r="A13" s="40" t="s">
        <v>1403</v>
      </c>
      <c r="B13" s="41" t="s">
        <v>2160</v>
      </c>
      <c r="C13" s="40" t="s">
        <v>2161</v>
      </c>
      <c r="D13" s="96" t="s">
        <v>2156</v>
      </c>
      <c r="E13" s="96" t="s">
        <v>2157</v>
      </c>
      <c r="F13" s="122">
        <v>0.21</v>
      </c>
      <c r="G13" s="124" t="s">
        <v>516</v>
      </c>
    </row>
    <row r="14" ht="15.75" customHeight="1">
      <c r="A14" s="33" t="s">
        <v>1403</v>
      </c>
      <c r="B14" s="45" t="s">
        <v>2162</v>
      </c>
      <c r="C14" s="33" t="s">
        <v>2163</v>
      </c>
      <c r="D14" s="101" t="s">
        <v>255</v>
      </c>
      <c r="E14" s="101" t="s">
        <v>256</v>
      </c>
      <c r="F14" s="37">
        <v>0.21</v>
      </c>
      <c r="G14" s="124" t="s">
        <v>516</v>
      </c>
    </row>
    <row r="15" ht="15.75" customHeight="1">
      <c r="A15" s="40" t="s">
        <v>1403</v>
      </c>
      <c r="B15" s="41" t="s">
        <v>2164</v>
      </c>
      <c r="C15" s="40" t="s">
        <v>2165</v>
      </c>
      <c r="D15" s="96" t="s">
        <v>2166</v>
      </c>
      <c r="E15" s="96" t="s">
        <v>2167</v>
      </c>
      <c r="F15" s="122">
        <v>0.21</v>
      </c>
      <c r="G15" s="125" t="s">
        <v>2168</v>
      </c>
    </row>
    <row r="16" ht="15.75" customHeight="1">
      <c r="A16" s="33" t="s">
        <v>1403</v>
      </c>
      <c r="B16" s="45" t="s">
        <v>2169</v>
      </c>
      <c r="C16" s="33" t="s">
        <v>2170</v>
      </c>
      <c r="D16" s="101" t="s">
        <v>2166</v>
      </c>
      <c r="E16" s="101" t="s">
        <v>2167</v>
      </c>
      <c r="F16" s="37">
        <v>0.21</v>
      </c>
      <c r="G16" s="125" t="s">
        <v>2168</v>
      </c>
    </row>
    <row r="17" ht="15.75" customHeight="1">
      <c r="A17" s="40" t="s">
        <v>1403</v>
      </c>
      <c r="B17" s="41" t="s">
        <v>2171</v>
      </c>
      <c r="C17" s="40" t="s">
        <v>2172</v>
      </c>
      <c r="D17" s="96" t="s">
        <v>2173</v>
      </c>
      <c r="E17" s="96" t="s">
        <v>2174</v>
      </c>
      <c r="F17" s="122">
        <v>0.21</v>
      </c>
      <c r="G17" s="124" t="s">
        <v>516</v>
      </c>
    </row>
    <row r="18" ht="15.75" customHeight="1">
      <c r="A18" s="33" t="s">
        <v>1403</v>
      </c>
      <c r="B18" s="45" t="s">
        <v>2175</v>
      </c>
      <c r="C18" s="33" t="s">
        <v>2176</v>
      </c>
      <c r="D18" s="101" t="s">
        <v>2177</v>
      </c>
      <c r="E18" s="101" t="s">
        <v>2178</v>
      </c>
      <c r="F18" s="37">
        <v>0.21</v>
      </c>
      <c r="G18" s="124" t="s">
        <v>516</v>
      </c>
    </row>
    <row r="19" ht="15.75" customHeight="1">
      <c r="A19" s="40" t="s">
        <v>1403</v>
      </c>
      <c r="B19" s="41" t="s">
        <v>2179</v>
      </c>
      <c r="C19" s="40" t="s">
        <v>2180</v>
      </c>
      <c r="D19" s="96" t="s">
        <v>2181</v>
      </c>
      <c r="E19" s="96" t="s">
        <v>2182</v>
      </c>
      <c r="F19" s="122">
        <v>0.21</v>
      </c>
      <c r="G19" s="123" t="s">
        <v>2139</v>
      </c>
    </row>
    <row r="20" ht="15.75" customHeight="1">
      <c r="A20" s="33" t="s">
        <v>1403</v>
      </c>
      <c r="B20" s="45" t="s">
        <v>2183</v>
      </c>
      <c r="C20" s="33" t="s">
        <v>2184</v>
      </c>
      <c r="D20" s="101" t="s">
        <v>2185</v>
      </c>
      <c r="E20" s="101" t="s">
        <v>2186</v>
      </c>
      <c r="F20" s="37">
        <v>0.21</v>
      </c>
      <c r="G20" s="125" t="s">
        <v>2168</v>
      </c>
    </row>
    <row r="21" ht="15.75" customHeight="1">
      <c r="A21" s="40" t="s">
        <v>1403</v>
      </c>
      <c r="B21" s="41" t="s">
        <v>2187</v>
      </c>
      <c r="C21" s="40" t="s">
        <v>2188</v>
      </c>
      <c r="D21" s="96" t="s">
        <v>2189</v>
      </c>
      <c r="E21" s="96" t="s">
        <v>2190</v>
      </c>
      <c r="F21" s="122">
        <v>0.21</v>
      </c>
      <c r="G21" s="125" t="s">
        <v>2168</v>
      </c>
    </row>
    <row r="22" ht="15.75" customHeight="1">
      <c r="A22" s="28" t="s">
        <v>2191</v>
      </c>
      <c r="C22" s="92"/>
      <c r="D22" s="51"/>
      <c r="E22" s="121"/>
      <c r="F22" s="106"/>
      <c r="G22" s="31"/>
    </row>
    <row r="23" ht="15.75" customHeight="1">
      <c r="A23" s="40" t="s">
        <v>1403</v>
      </c>
      <c r="B23" s="40" t="s">
        <v>2192</v>
      </c>
      <c r="C23" s="40" t="s">
        <v>2193</v>
      </c>
      <c r="D23" s="96" t="s">
        <v>2194</v>
      </c>
      <c r="E23" s="96" t="s">
        <v>2195</v>
      </c>
      <c r="F23" s="122">
        <v>0.21</v>
      </c>
      <c r="G23" s="124" t="s">
        <v>516</v>
      </c>
    </row>
    <row r="24" ht="15.75" customHeight="1">
      <c r="A24" s="33" t="s">
        <v>1403</v>
      </c>
      <c r="B24" s="33" t="s">
        <v>2196</v>
      </c>
      <c r="C24" s="33" t="s">
        <v>2197</v>
      </c>
      <c r="D24" s="101" t="s">
        <v>960</v>
      </c>
      <c r="E24" s="101" t="s">
        <v>961</v>
      </c>
      <c r="F24" s="37">
        <v>0.21</v>
      </c>
      <c r="G24" s="124" t="s">
        <v>516</v>
      </c>
    </row>
    <row r="25" ht="15.75" customHeight="1">
      <c r="A25" s="40" t="s">
        <v>1403</v>
      </c>
      <c r="B25" s="40" t="s">
        <v>2198</v>
      </c>
      <c r="C25" s="40" t="s">
        <v>2199</v>
      </c>
      <c r="D25" s="96" t="s">
        <v>2200</v>
      </c>
      <c r="E25" s="96" t="s">
        <v>2201</v>
      </c>
      <c r="F25" s="122">
        <v>0.21</v>
      </c>
      <c r="G25" s="124" t="s">
        <v>516</v>
      </c>
    </row>
    <row r="26" ht="15.75" customHeight="1">
      <c r="A26" s="28" t="s">
        <v>2202</v>
      </c>
      <c r="C26" s="92"/>
      <c r="D26" s="51"/>
      <c r="E26" s="121"/>
      <c r="F26" s="106"/>
      <c r="G26" s="31"/>
    </row>
    <row r="27" ht="15.75" customHeight="1">
      <c r="A27" s="40" t="s">
        <v>1403</v>
      </c>
      <c r="B27" s="41" t="s">
        <v>2203</v>
      </c>
      <c r="C27" s="40" t="s">
        <v>2204</v>
      </c>
      <c r="D27" s="96" t="s">
        <v>131</v>
      </c>
      <c r="E27" s="96" t="s">
        <v>132</v>
      </c>
      <c r="F27" s="122">
        <v>0.21</v>
      </c>
      <c r="G27" s="126" t="s">
        <v>2205</v>
      </c>
    </row>
    <row r="28" ht="15.75" customHeight="1">
      <c r="A28" s="33" t="s">
        <v>1403</v>
      </c>
      <c r="B28" s="45" t="s">
        <v>2206</v>
      </c>
      <c r="C28" s="33" t="s">
        <v>2207</v>
      </c>
      <c r="D28" s="101" t="s">
        <v>2208</v>
      </c>
      <c r="E28" s="101" t="s">
        <v>2209</v>
      </c>
      <c r="F28" s="37">
        <v>0.21</v>
      </c>
      <c r="G28" s="124" t="s">
        <v>516</v>
      </c>
    </row>
    <row r="29" ht="15.75" customHeight="1">
      <c r="A29" s="40" t="s">
        <v>1403</v>
      </c>
      <c r="B29" s="41" t="s">
        <v>2210</v>
      </c>
      <c r="C29" s="40" t="s">
        <v>2211</v>
      </c>
      <c r="D29" s="96" t="s">
        <v>57</v>
      </c>
      <c r="E29" s="96" t="s">
        <v>58</v>
      </c>
      <c r="F29" s="122">
        <v>0.21</v>
      </c>
      <c r="G29" s="124" t="s">
        <v>516</v>
      </c>
    </row>
    <row r="30" ht="15.75" customHeight="1">
      <c r="A30" s="33" t="s">
        <v>1403</v>
      </c>
      <c r="B30" s="45" t="s">
        <v>2212</v>
      </c>
      <c r="C30" s="33" t="s">
        <v>2213</v>
      </c>
      <c r="D30" s="101" t="s">
        <v>2214</v>
      </c>
      <c r="E30" s="101" t="s">
        <v>2215</v>
      </c>
      <c r="F30" s="37">
        <v>0.21</v>
      </c>
      <c r="G30" s="124" t="s">
        <v>516</v>
      </c>
    </row>
    <row r="31" ht="15.75" customHeight="1">
      <c r="A31" s="28" t="s">
        <v>2216</v>
      </c>
      <c r="C31" s="92"/>
      <c r="D31" s="51"/>
      <c r="E31" s="121"/>
      <c r="F31" s="106"/>
      <c r="G31" s="31"/>
    </row>
    <row r="32" ht="15.75" customHeight="1">
      <c r="A32" s="40" t="s">
        <v>1403</v>
      </c>
      <c r="B32" s="41" t="s">
        <v>2217</v>
      </c>
      <c r="C32" s="40" t="s">
        <v>2218</v>
      </c>
      <c r="D32" s="96" t="s">
        <v>2219</v>
      </c>
      <c r="E32" s="96" t="s">
        <v>2220</v>
      </c>
      <c r="F32" s="122">
        <v>0.21</v>
      </c>
      <c r="G32" s="126" t="s">
        <v>2205</v>
      </c>
    </row>
    <row r="33" ht="15.75" customHeight="1">
      <c r="A33" s="28" t="s">
        <v>30</v>
      </c>
      <c r="C33" s="92"/>
      <c r="D33" s="51"/>
      <c r="E33" s="121"/>
      <c r="F33" s="106"/>
      <c r="G33" s="31"/>
    </row>
    <row r="34" ht="15.75" customHeight="1">
      <c r="A34" s="40" t="s">
        <v>1403</v>
      </c>
      <c r="B34" s="41" t="s">
        <v>2221</v>
      </c>
      <c r="C34" s="40" t="s">
        <v>2222</v>
      </c>
      <c r="D34" s="96" t="s">
        <v>447</v>
      </c>
      <c r="E34" s="96" t="s">
        <v>448</v>
      </c>
      <c r="F34" s="122">
        <v>0.21</v>
      </c>
      <c r="G34" s="123" t="s">
        <v>2139</v>
      </c>
    </row>
    <row r="35" ht="15.75" customHeight="1">
      <c r="A35" s="33" t="s">
        <v>1403</v>
      </c>
      <c r="B35" s="33" t="s">
        <v>2223</v>
      </c>
      <c r="C35" s="33" t="s">
        <v>2224</v>
      </c>
      <c r="D35" s="101" t="s">
        <v>226</v>
      </c>
      <c r="E35" s="101" t="s">
        <v>227</v>
      </c>
      <c r="F35" s="37">
        <v>0.21</v>
      </c>
      <c r="G35" s="124" t="s">
        <v>516</v>
      </c>
    </row>
    <row r="36" ht="15.75" customHeight="1">
      <c r="A36" s="40" t="s">
        <v>1403</v>
      </c>
      <c r="B36" s="41" t="s">
        <v>2225</v>
      </c>
      <c r="C36" s="40" t="s">
        <v>2226</v>
      </c>
      <c r="D36" s="96" t="s">
        <v>508</v>
      </c>
      <c r="E36" s="96" t="s">
        <v>509</v>
      </c>
      <c r="F36" s="122">
        <v>0.21</v>
      </c>
      <c r="G36" s="123" t="s">
        <v>2139</v>
      </c>
    </row>
    <row r="37" ht="15.75" customHeight="1">
      <c r="A37" s="33" t="s">
        <v>1403</v>
      </c>
      <c r="B37" s="33" t="s">
        <v>2227</v>
      </c>
      <c r="C37" s="33" t="s">
        <v>2228</v>
      </c>
      <c r="D37" s="127" t="s">
        <v>2229</v>
      </c>
      <c r="E37" s="101" t="s">
        <v>509</v>
      </c>
      <c r="F37" s="37">
        <v>0.21</v>
      </c>
      <c r="G37" s="124" t="s">
        <v>516</v>
      </c>
    </row>
    <row r="38" ht="15.75" customHeight="1">
      <c r="A38" s="28" t="s">
        <v>2230</v>
      </c>
      <c r="C38" s="92"/>
      <c r="D38" s="51"/>
      <c r="E38" s="51"/>
      <c r="F38" s="93"/>
      <c r="G38" s="31"/>
    </row>
    <row r="39" ht="15.75" customHeight="1">
      <c r="A39" s="40" t="s">
        <v>1403</v>
      </c>
      <c r="B39" s="41" t="s">
        <v>2231</v>
      </c>
      <c r="C39" s="40" t="s">
        <v>2232</v>
      </c>
      <c r="D39" s="96" t="s">
        <v>777</v>
      </c>
      <c r="E39" s="96" t="s">
        <v>778</v>
      </c>
      <c r="F39" s="122">
        <v>0.21</v>
      </c>
      <c r="G39" s="124" t="s">
        <v>516</v>
      </c>
    </row>
    <row r="40" ht="15.75" customHeight="1">
      <c r="A40" s="33" t="s">
        <v>1403</v>
      </c>
      <c r="B40" s="45" t="s">
        <v>2233</v>
      </c>
      <c r="C40" s="33" t="s">
        <v>2234</v>
      </c>
      <c r="D40" s="101" t="s">
        <v>731</v>
      </c>
      <c r="E40" s="101" t="s">
        <v>732</v>
      </c>
      <c r="F40" s="37">
        <v>0.21</v>
      </c>
      <c r="G40" s="124" t="s">
        <v>516</v>
      </c>
    </row>
    <row r="41" ht="15.75" customHeight="1">
      <c r="A41" s="40" t="s">
        <v>1403</v>
      </c>
      <c r="B41" s="41" t="s">
        <v>2235</v>
      </c>
      <c r="C41" s="40" t="s">
        <v>2236</v>
      </c>
      <c r="D41" s="96" t="s">
        <v>777</v>
      </c>
      <c r="E41" s="96" t="s">
        <v>778</v>
      </c>
      <c r="F41" s="122">
        <v>0.21</v>
      </c>
      <c r="G41" s="124" t="s">
        <v>516</v>
      </c>
    </row>
    <row r="42" ht="15.75" customHeight="1">
      <c r="A42" s="33" t="s">
        <v>1403</v>
      </c>
      <c r="B42" s="45" t="s">
        <v>2237</v>
      </c>
      <c r="C42" s="33" t="s">
        <v>2238</v>
      </c>
      <c r="D42" s="101" t="s">
        <v>731</v>
      </c>
      <c r="E42" s="101" t="s">
        <v>732</v>
      </c>
      <c r="F42" s="37">
        <v>0.21</v>
      </c>
      <c r="G42" s="124" t="s">
        <v>516</v>
      </c>
    </row>
    <row r="43" ht="15.75" customHeight="1">
      <c r="A43" s="40" t="s">
        <v>1403</v>
      </c>
      <c r="B43" s="41" t="s">
        <v>2239</v>
      </c>
      <c r="C43" s="40" t="s">
        <v>2240</v>
      </c>
      <c r="D43" s="96" t="s">
        <v>658</v>
      </c>
      <c r="E43" s="96" t="s">
        <v>659</v>
      </c>
      <c r="F43" s="122">
        <v>0.21</v>
      </c>
      <c r="G43" s="124" t="s">
        <v>516</v>
      </c>
    </row>
    <row r="44" ht="15.75" customHeight="1">
      <c r="A44" s="33" t="s">
        <v>1403</v>
      </c>
      <c r="B44" s="45" t="s">
        <v>2241</v>
      </c>
      <c r="C44" s="33" t="s">
        <v>2242</v>
      </c>
      <c r="D44" s="101" t="s">
        <v>731</v>
      </c>
      <c r="E44" s="101" t="s">
        <v>732</v>
      </c>
      <c r="F44" s="37">
        <v>0.21</v>
      </c>
      <c r="G44" s="124" t="s">
        <v>516</v>
      </c>
    </row>
    <row r="45" ht="15.75" customHeight="1">
      <c r="A45" s="40" t="s">
        <v>1403</v>
      </c>
      <c r="B45" s="41" t="s">
        <v>2243</v>
      </c>
      <c r="C45" s="40" t="s">
        <v>2244</v>
      </c>
      <c r="D45" s="96" t="s">
        <v>100</v>
      </c>
      <c r="E45" s="96" t="s">
        <v>101</v>
      </c>
      <c r="F45" s="122">
        <v>0.21</v>
      </c>
      <c r="G45" s="124" t="s">
        <v>516</v>
      </c>
    </row>
    <row r="46" ht="15.75" customHeight="1">
      <c r="A46" s="33" t="s">
        <v>1403</v>
      </c>
      <c r="B46" s="45" t="s">
        <v>2245</v>
      </c>
      <c r="C46" s="33" t="s">
        <v>2246</v>
      </c>
      <c r="D46" s="101" t="s">
        <v>208</v>
      </c>
      <c r="E46" s="101" t="s">
        <v>209</v>
      </c>
      <c r="F46" s="37">
        <v>0.21</v>
      </c>
      <c r="G46" s="124" t="s">
        <v>516</v>
      </c>
    </row>
    <row r="47" ht="15.75" customHeight="1">
      <c r="A47" s="40" t="s">
        <v>1403</v>
      </c>
      <c r="B47" s="41" t="s">
        <v>2247</v>
      </c>
      <c r="C47" s="40" t="s">
        <v>2248</v>
      </c>
      <c r="D47" s="96" t="s">
        <v>100</v>
      </c>
      <c r="E47" s="96" t="s">
        <v>101</v>
      </c>
      <c r="F47" s="122">
        <v>0.21</v>
      </c>
      <c r="G47" s="124" t="s">
        <v>516</v>
      </c>
    </row>
    <row r="48" ht="15.75" customHeight="1">
      <c r="A48" s="33" t="s">
        <v>1403</v>
      </c>
      <c r="B48" s="45" t="s">
        <v>2249</v>
      </c>
      <c r="C48" s="33" t="s">
        <v>2250</v>
      </c>
      <c r="D48" s="101" t="s">
        <v>658</v>
      </c>
      <c r="E48" s="101" t="s">
        <v>659</v>
      </c>
      <c r="F48" s="37">
        <v>0.21</v>
      </c>
      <c r="G48" s="124" t="s">
        <v>516</v>
      </c>
    </row>
    <row r="49" ht="15.75" customHeight="1">
      <c r="A49" s="40" t="s">
        <v>1403</v>
      </c>
      <c r="B49" s="41" t="s">
        <v>2251</v>
      </c>
      <c r="C49" s="40" t="s">
        <v>2252</v>
      </c>
      <c r="D49" s="96" t="s">
        <v>262</v>
      </c>
      <c r="E49" s="96" t="s">
        <v>263</v>
      </c>
      <c r="F49" s="122">
        <v>0.21</v>
      </c>
      <c r="G49" s="124" t="s">
        <v>516</v>
      </c>
    </row>
    <row r="50" ht="15.75" customHeight="1">
      <c r="A50" s="33" t="s">
        <v>1403</v>
      </c>
      <c r="B50" s="45" t="s">
        <v>2253</v>
      </c>
      <c r="C50" s="33" t="s">
        <v>2254</v>
      </c>
      <c r="D50" s="101" t="s">
        <v>2255</v>
      </c>
      <c r="E50" s="101" t="s">
        <v>808</v>
      </c>
      <c r="F50" s="37">
        <v>0.21</v>
      </c>
      <c r="G50" s="124" t="s">
        <v>516</v>
      </c>
    </row>
    <row r="51" ht="15.75" customHeight="1">
      <c r="A51" s="40" t="s">
        <v>1403</v>
      </c>
      <c r="B51" s="41" t="s">
        <v>2256</v>
      </c>
      <c r="C51" s="40" t="s">
        <v>2257</v>
      </c>
      <c r="D51" s="96" t="s">
        <v>940</v>
      </c>
      <c r="E51" s="96" t="s">
        <v>941</v>
      </c>
      <c r="F51" s="122">
        <v>0.21</v>
      </c>
      <c r="G51" s="124" t="s">
        <v>516</v>
      </c>
    </row>
    <row r="52" ht="15.75" customHeight="1">
      <c r="A52" s="33" t="s">
        <v>1403</v>
      </c>
      <c r="B52" s="45" t="s">
        <v>2258</v>
      </c>
      <c r="C52" s="33" t="s">
        <v>2259</v>
      </c>
      <c r="D52" s="101" t="s">
        <v>1484</v>
      </c>
      <c r="E52" s="101" t="s">
        <v>1485</v>
      </c>
      <c r="F52" s="37">
        <v>0.21</v>
      </c>
      <c r="G52" s="124" t="s">
        <v>516</v>
      </c>
    </row>
    <row r="53" ht="15.75" customHeight="1">
      <c r="A53" s="40" t="s">
        <v>1403</v>
      </c>
      <c r="B53" s="41" t="s">
        <v>2260</v>
      </c>
      <c r="C53" s="40" t="s">
        <v>2261</v>
      </c>
      <c r="D53" s="96" t="s">
        <v>940</v>
      </c>
      <c r="E53" s="96" t="s">
        <v>941</v>
      </c>
      <c r="F53" s="122">
        <v>0.21</v>
      </c>
      <c r="G53" s="124" t="s">
        <v>516</v>
      </c>
    </row>
    <row r="54" ht="15.75" customHeight="1">
      <c r="A54" s="33" t="s">
        <v>1403</v>
      </c>
      <c r="B54" s="45" t="s">
        <v>2262</v>
      </c>
      <c r="C54" s="33" t="s">
        <v>2263</v>
      </c>
      <c r="D54" s="101" t="s">
        <v>100</v>
      </c>
      <c r="E54" s="101" t="s">
        <v>101</v>
      </c>
      <c r="F54" s="37">
        <v>0.21</v>
      </c>
      <c r="G54" s="124" t="s">
        <v>516</v>
      </c>
    </row>
    <row r="55" ht="15.75" customHeight="1">
      <c r="A55" s="40" t="s">
        <v>1403</v>
      </c>
      <c r="B55" s="41" t="s">
        <v>2264</v>
      </c>
      <c r="C55" s="40" t="s">
        <v>327</v>
      </c>
      <c r="D55" s="96" t="s">
        <v>100</v>
      </c>
      <c r="E55" s="96" t="s">
        <v>101</v>
      </c>
      <c r="F55" s="122">
        <v>0.21</v>
      </c>
      <c r="G55" s="124" t="s">
        <v>516</v>
      </c>
    </row>
    <row r="56" ht="15.75" customHeight="1">
      <c r="A56" s="33" t="s">
        <v>1403</v>
      </c>
      <c r="B56" s="45" t="s">
        <v>2265</v>
      </c>
      <c r="C56" s="33" t="s">
        <v>2266</v>
      </c>
      <c r="D56" s="101" t="s">
        <v>1204</v>
      </c>
      <c r="E56" s="101" t="s">
        <v>1205</v>
      </c>
      <c r="F56" s="37">
        <v>0.21</v>
      </c>
      <c r="G56" s="124" t="s">
        <v>516</v>
      </c>
    </row>
    <row r="57" ht="15.75" customHeight="1">
      <c r="A57" s="40" t="s">
        <v>1403</v>
      </c>
      <c r="B57" s="41" t="s">
        <v>2267</v>
      </c>
      <c r="C57" s="40" t="s">
        <v>2268</v>
      </c>
      <c r="D57" s="96" t="s">
        <v>154</v>
      </c>
      <c r="E57" s="96" t="s">
        <v>155</v>
      </c>
      <c r="F57" s="122">
        <v>0.21</v>
      </c>
      <c r="G57" s="124" t="s">
        <v>516</v>
      </c>
    </row>
    <row r="58" ht="15.75" customHeight="1">
      <c r="A58" s="33" t="s">
        <v>1403</v>
      </c>
      <c r="B58" s="45" t="s">
        <v>2269</v>
      </c>
      <c r="C58" s="33" t="s">
        <v>2270</v>
      </c>
      <c r="D58" s="101" t="s">
        <v>346</v>
      </c>
      <c r="E58" s="101" t="s">
        <v>347</v>
      </c>
      <c r="F58" s="37">
        <v>0.21</v>
      </c>
      <c r="G58" s="124" t="s">
        <v>516</v>
      </c>
    </row>
    <row r="59" ht="15.75" customHeight="1">
      <c r="A59" s="40" t="s">
        <v>1403</v>
      </c>
      <c r="B59" s="41" t="s">
        <v>2271</v>
      </c>
      <c r="C59" s="40" t="s">
        <v>2272</v>
      </c>
      <c r="D59" s="96" t="s">
        <v>652</v>
      </c>
      <c r="E59" s="96" t="s">
        <v>653</v>
      </c>
      <c r="F59" s="122">
        <v>0.21</v>
      </c>
      <c r="G59" s="124" t="s">
        <v>516</v>
      </c>
    </row>
    <row r="60" ht="15.75" customHeight="1">
      <c r="A60" s="28" t="s">
        <v>1720</v>
      </c>
      <c r="C60" s="92"/>
      <c r="D60" s="51"/>
      <c r="E60" s="121"/>
      <c r="F60" s="106"/>
      <c r="G60" s="31"/>
    </row>
    <row r="61" ht="15.75" customHeight="1">
      <c r="A61" s="40" t="s">
        <v>1403</v>
      </c>
      <c r="B61" s="41" t="s">
        <v>2273</v>
      </c>
      <c r="C61" s="40" t="s">
        <v>2274</v>
      </c>
      <c r="D61" s="96" t="s">
        <v>2275</v>
      </c>
      <c r="E61" s="96" t="s">
        <v>2276</v>
      </c>
      <c r="F61" s="122">
        <v>0.21</v>
      </c>
      <c r="G61" s="124" t="s">
        <v>516</v>
      </c>
    </row>
    <row r="62" ht="15.75" customHeight="1">
      <c r="A62" s="33" t="s">
        <v>1403</v>
      </c>
      <c r="B62" s="45" t="s">
        <v>2277</v>
      </c>
      <c r="C62" s="33" t="s">
        <v>2278</v>
      </c>
      <c r="D62" s="101" t="s">
        <v>2208</v>
      </c>
      <c r="E62" s="101" t="s">
        <v>2209</v>
      </c>
      <c r="F62" s="37">
        <v>0.21</v>
      </c>
      <c r="G62" s="124" t="s">
        <v>516</v>
      </c>
    </row>
    <row r="63" ht="15.75" customHeight="1">
      <c r="A63" s="28" t="s">
        <v>2279</v>
      </c>
      <c r="C63" s="93"/>
      <c r="D63" s="51"/>
      <c r="E63" s="51"/>
      <c r="F63" s="93"/>
      <c r="G63" s="31"/>
    </row>
    <row r="64" ht="15.75" customHeight="1">
      <c r="A64" s="40" t="s">
        <v>1403</v>
      </c>
      <c r="B64" s="40" t="s">
        <v>2280</v>
      </c>
      <c r="C64" s="40" t="s">
        <v>2281</v>
      </c>
      <c r="D64" s="96" t="s">
        <v>2282</v>
      </c>
      <c r="E64" s="96" t="s">
        <v>2283</v>
      </c>
      <c r="F64" s="122">
        <v>0.21</v>
      </c>
      <c r="G64" s="124" t="s">
        <v>516</v>
      </c>
    </row>
    <row r="65" ht="15.75" customHeight="1">
      <c r="A65" s="33" t="s">
        <v>1403</v>
      </c>
      <c r="B65" s="33" t="s">
        <v>2284</v>
      </c>
      <c r="C65" s="33" t="s">
        <v>2285</v>
      </c>
      <c r="D65" s="101" t="s">
        <v>2282</v>
      </c>
      <c r="E65" s="101" t="s">
        <v>2283</v>
      </c>
      <c r="F65" s="37">
        <v>0.21</v>
      </c>
      <c r="G65" s="125" t="s">
        <v>2168</v>
      </c>
    </row>
    <row r="66" ht="15.75" customHeight="1">
      <c r="A66" s="40" t="s">
        <v>1403</v>
      </c>
      <c r="B66" s="40" t="s">
        <v>2286</v>
      </c>
      <c r="C66" s="40" t="s">
        <v>2287</v>
      </c>
      <c r="D66" s="96" t="s">
        <v>165</v>
      </c>
      <c r="E66" s="96" t="s">
        <v>166</v>
      </c>
      <c r="F66" s="122">
        <v>0.21</v>
      </c>
      <c r="G66" s="124" t="s">
        <v>516</v>
      </c>
    </row>
    <row r="67" ht="15.75" customHeight="1">
      <c r="A67" s="33" t="s">
        <v>1403</v>
      </c>
      <c r="B67" s="33" t="s">
        <v>2288</v>
      </c>
      <c r="C67" s="33" t="s">
        <v>2289</v>
      </c>
      <c r="D67" s="101" t="s">
        <v>165</v>
      </c>
      <c r="E67" s="101" t="s">
        <v>166</v>
      </c>
      <c r="F67" s="37">
        <v>0.21</v>
      </c>
      <c r="G67" s="124" t="s">
        <v>516</v>
      </c>
    </row>
    <row r="68" ht="15.75" customHeight="1">
      <c r="A68" s="40" t="s">
        <v>1403</v>
      </c>
      <c r="B68" s="40" t="s">
        <v>2290</v>
      </c>
      <c r="C68" s="40" t="s">
        <v>2291</v>
      </c>
      <c r="D68" s="96" t="s">
        <v>2292</v>
      </c>
      <c r="E68" s="96" t="s">
        <v>2293</v>
      </c>
      <c r="F68" s="122">
        <v>0.21</v>
      </c>
      <c r="G68" s="124" t="s">
        <v>516</v>
      </c>
    </row>
    <row r="69" ht="15.75" customHeight="1">
      <c r="A69" s="33" t="s">
        <v>1403</v>
      </c>
      <c r="B69" s="33" t="s">
        <v>2294</v>
      </c>
      <c r="C69" s="33" t="s">
        <v>2295</v>
      </c>
      <c r="D69" s="101" t="s">
        <v>2292</v>
      </c>
      <c r="E69" s="101" t="s">
        <v>2293</v>
      </c>
      <c r="F69" s="37">
        <v>0.21</v>
      </c>
      <c r="G69" s="124" t="s">
        <v>516</v>
      </c>
    </row>
    <row r="70" ht="15.75" customHeight="1">
      <c r="A70" s="40" t="s">
        <v>1403</v>
      </c>
      <c r="B70" s="40" t="s">
        <v>2296</v>
      </c>
      <c r="C70" s="40" t="s">
        <v>2297</v>
      </c>
      <c r="D70" s="96" t="s">
        <v>131</v>
      </c>
      <c r="E70" s="96" t="s">
        <v>132</v>
      </c>
      <c r="F70" s="122">
        <v>0.21</v>
      </c>
      <c r="G70" s="124" t="s">
        <v>516</v>
      </c>
    </row>
    <row r="71" ht="15.75" customHeight="1">
      <c r="A71" s="33" t="s">
        <v>1403</v>
      </c>
      <c r="B71" s="33" t="s">
        <v>2298</v>
      </c>
      <c r="C71" s="33" t="s">
        <v>2299</v>
      </c>
      <c r="D71" s="101" t="s">
        <v>165</v>
      </c>
      <c r="E71" s="101" t="s">
        <v>166</v>
      </c>
      <c r="F71" s="37">
        <v>0.21</v>
      </c>
      <c r="G71" s="124" t="s">
        <v>516</v>
      </c>
    </row>
    <row r="72" ht="15.75" customHeight="1">
      <c r="A72" s="40" t="s">
        <v>1403</v>
      </c>
      <c r="B72" s="40" t="s">
        <v>2300</v>
      </c>
      <c r="C72" s="40" t="s">
        <v>2301</v>
      </c>
      <c r="D72" s="96" t="s">
        <v>165</v>
      </c>
      <c r="E72" s="96" t="s">
        <v>166</v>
      </c>
      <c r="F72" s="122">
        <v>0.21</v>
      </c>
      <c r="G72" s="124" t="s">
        <v>516</v>
      </c>
    </row>
    <row r="73" ht="15.75" customHeight="1">
      <c r="A73" s="33" t="s">
        <v>1403</v>
      </c>
      <c r="B73" s="33" t="s">
        <v>2302</v>
      </c>
      <c r="C73" s="33" t="s">
        <v>2303</v>
      </c>
      <c r="D73" s="101" t="s">
        <v>165</v>
      </c>
      <c r="E73" s="101" t="s">
        <v>166</v>
      </c>
      <c r="F73" s="37">
        <v>0.21</v>
      </c>
      <c r="G73" s="124" t="s">
        <v>516</v>
      </c>
    </row>
    <row r="74" ht="15.75" customHeight="1">
      <c r="A74" s="40" t="s">
        <v>1403</v>
      </c>
      <c r="B74" s="40" t="s">
        <v>2304</v>
      </c>
      <c r="C74" s="40" t="s">
        <v>2305</v>
      </c>
      <c r="D74" s="96" t="s">
        <v>165</v>
      </c>
      <c r="E74" s="96" t="s">
        <v>166</v>
      </c>
      <c r="F74" s="122">
        <v>0.21</v>
      </c>
      <c r="G74" s="124" t="s">
        <v>516</v>
      </c>
    </row>
    <row r="75" ht="15.75" customHeight="1">
      <c r="A75" s="33" t="s">
        <v>1403</v>
      </c>
      <c r="B75" s="33" t="s">
        <v>2306</v>
      </c>
      <c r="C75" s="33" t="s">
        <v>2307</v>
      </c>
      <c r="D75" s="101" t="s">
        <v>165</v>
      </c>
      <c r="E75" s="101" t="s">
        <v>166</v>
      </c>
      <c r="F75" s="37">
        <v>0.21</v>
      </c>
      <c r="G75" s="124" t="s">
        <v>516</v>
      </c>
    </row>
    <row r="76" ht="15.75" customHeight="1">
      <c r="A76" s="40" t="s">
        <v>1403</v>
      </c>
      <c r="B76" s="40" t="s">
        <v>2308</v>
      </c>
      <c r="C76" s="40" t="s">
        <v>2309</v>
      </c>
      <c r="D76" s="96" t="s">
        <v>165</v>
      </c>
      <c r="E76" s="96" t="s">
        <v>166</v>
      </c>
      <c r="F76" s="122">
        <v>0.21</v>
      </c>
      <c r="G76" s="124" t="s">
        <v>516</v>
      </c>
    </row>
    <row r="77" ht="15.75" customHeight="1">
      <c r="A77" s="33" t="s">
        <v>1403</v>
      </c>
      <c r="B77" s="33" t="s">
        <v>2310</v>
      </c>
      <c r="C77" s="33" t="s">
        <v>2311</v>
      </c>
      <c r="D77" s="101" t="s">
        <v>508</v>
      </c>
      <c r="E77" s="101" t="s">
        <v>509</v>
      </c>
      <c r="F77" s="37">
        <v>0.21</v>
      </c>
      <c r="G77" s="124" t="s">
        <v>516</v>
      </c>
    </row>
    <row r="78" ht="15.75" customHeight="1">
      <c r="A78" s="40" t="s">
        <v>1403</v>
      </c>
      <c r="B78" s="40" t="s">
        <v>2312</v>
      </c>
      <c r="C78" s="40" t="s">
        <v>2313</v>
      </c>
      <c r="D78" s="96" t="s">
        <v>508</v>
      </c>
      <c r="E78" s="96" t="s">
        <v>509</v>
      </c>
      <c r="F78" s="122">
        <v>0.21</v>
      </c>
      <c r="G78" s="124" t="s">
        <v>516</v>
      </c>
    </row>
    <row r="79" ht="15.75" customHeight="1">
      <c r="A79" s="33" t="s">
        <v>1403</v>
      </c>
      <c r="B79" s="33" t="s">
        <v>2314</v>
      </c>
      <c r="C79" s="33" t="s">
        <v>2315</v>
      </c>
      <c r="D79" s="101" t="s">
        <v>165</v>
      </c>
      <c r="E79" s="101" t="s">
        <v>166</v>
      </c>
      <c r="F79" s="37">
        <v>0.21</v>
      </c>
      <c r="G79" s="124" t="s">
        <v>516</v>
      </c>
    </row>
    <row r="80" ht="15.75" customHeight="1">
      <c r="A80" s="40" t="s">
        <v>1403</v>
      </c>
      <c r="B80" s="40" t="s">
        <v>2316</v>
      </c>
      <c r="C80" s="40" t="s">
        <v>2317</v>
      </c>
      <c r="D80" s="96" t="s">
        <v>165</v>
      </c>
      <c r="E80" s="96" t="s">
        <v>166</v>
      </c>
      <c r="F80" s="122">
        <v>0.21</v>
      </c>
      <c r="G80" s="124" t="s">
        <v>516</v>
      </c>
    </row>
    <row r="81" ht="15.75" customHeight="1">
      <c r="A81" s="33" t="s">
        <v>1403</v>
      </c>
      <c r="B81" s="45" t="s">
        <v>2318</v>
      </c>
      <c r="C81" s="33" t="s">
        <v>2319</v>
      </c>
      <c r="D81" s="101" t="s">
        <v>311</v>
      </c>
      <c r="E81" s="101" t="s">
        <v>312</v>
      </c>
      <c r="F81" s="37">
        <v>0.21</v>
      </c>
      <c r="G81" s="124" t="s">
        <v>516</v>
      </c>
    </row>
    <row r="82" ht="15.75" customHeight="1">
      <c r="A82" s="40" t="s">
        <v>1403</v>
      </c>
      <c r="B82" s="40" t="s">
        <v>2320</v>
      </c>
      <c r="C82" s="40" t="s">
        <v>2321</v>
      </c>
      <c r="D82" s="96" t="s">
        <v>2282</v>
      </c>
      <c r="E82" s="96" t="s">
        <v>2283</v>
      </c>
      <c r="F82" s="122">
        <v>0.21</v>
      </c>
      <c r="G82" s="124" t="s">
        <v>516</v>
      </c>
    </row>
    <row r="83" ht="15.75" customHeight="1">
      <c r="A83" s="33" t="s">
        <v>1403</v>
      </c>
      <c r="B83" s="45" t="s">
        <v>2322</v>
      </c>
      <c r="C83" s="33" t="s">
        <v>2319</v>
      </c>
      <c r="D83" s="101" t="s">
        <v>311</v>
      </c>
      <c r="E83" s="101" t="s">
        <v>312</v>
      </c>
      <c r="F83" s="37">
        <v>0.21</v>
      </c>
      <c r="G83" s="124" t="s">
        <v>516</v>
      </c>
    </row>
    <row r="84" ht="15.75" customHeight="1">
      <c r="A84" s="40" t="s">
        <v>1403</v>
      </c>
      <c r="B84" s="41" t="s">
        <v>2323</v>
      </c>
      <c r="C84" s="40" t="s">
        <v>2324</v>
      </c>
      <c r="D84" s="96" t="s">
        <v>966</v>
      </c>
      <c r="E84" s="96" t="s">
        <v>967</v>
      </c>
      <c r="F84" s="122">
        <v>0.21</v>
      </c>
      <c r="G84" s="124" t="s">
        <v>516</v>
      </c>
    </row>
    <row r="85" ht="15.75" customHeight="1">
      <c r="A85" s="33" t="s">
        <v>1403</v>
      </c>
      <c r="B85" s="45" t="s">
        <v>2325</v>
      </c>
      <c r="C85" s="33" t="s">
        <v>2324</v>
      </c>
      <c r="D85" s="101" t="s">
        <v>966</v>
      </c>
      <c r="E85" s="101" t="s">
        <v>967</v>
      </c>
      <c r="F85" s="37">
        <v>0.21</v>
      </c>
      <c r="G85" s="124" t="s">
        <v>516</v>
      </c>
    </row>
    <row r="86" ht="15.75" customHeight="1">
      <c r="A86" s="40" t="s">
        <v>1403</v>
      </c>
      <c r="B86" s="41" t="s">
        <v>2326</v>
      </c>
      <c r="C86" s="40" t="s">
        <v>2327</v>
      </c>
      <c r="D86" s="96" t="s">
        <v>338</v>
      </c>
      <c r="E86" s="96" t="s">
        <v>339</v>
      </c>
      <c r="F86" s="122">
        <v>0.21</v>
      </c>
      <c r="G86" s="124" t="s">
        <v>516</v>
      </c>
    </row>
    <row r="87" ht="15.75" customHeight="1">
      <c r="A87" s="33" t="s">
        <v>1403</v>
      </c>
      <c r="B87" s="33" t="s">
        <v>2328</v>
      </c>
      <c r="C87" s="33" t="s">
        <v>2329</v>
      </c>
      <c r="D87" s="101" t="s">
        <v>2330</v>
      </c>
      <c r="E87" s="101" t="s">
        <v>2331</v>
      </c>
      <c r="F87" s="37">
        <v>0.21</v>
      </c>
      <c r="G87" s="124" t="s">
        <v>516</v>
      </c>
    </row>
    <row r="88" ht="15.75" customHeight="1">
      <c r="A88" s="40" t="s">
        <v>1403</v>
      </c>
      <c r="B88" s="41" t="s">
        <v>2332</v>
      </c>
      <c r="C88" s="40" t="s">
        <v>2327</v>
      </c>
      <c r="D88" s="96" t="s">
        <v>338</v>
      </c>
      <c r="E88" s="96" t="s">
        <v>339</v>
      </c>
      <c r="F88" s="122">
        <v>0.21</v>
      </c>
      <c r="G88" s="124" t="s">
        <v>516</v>
      </c>
    </row>
    <row r="89" ht="15.75" customHeight="1">
      <c r="A89" s="33" t="s">
        <v>1403</v>
      </c>
      <c r="B89" s="45" t="s">
        <v>2333</v>
      </c>
      <c r="C89" s="33" t="s">
        <v>2334</v>
      </c>
      <c r="D89" s="101" t="s">
        <v>2335</v>
      </c>
      <c r="E89" s="101" t="s">
        <v>2336</v>
      </c>
      <c r="F89" s="37">
        <v>0.21</v>
      </c>
      <c r="G89" s="124" t="s">
        <v>516</v>
      </c>
    </row>
    <row r="90" ht="15.75" customHeight="1">
      <c r="A90" s="40" t="s">
        <v>1403</v>
      </c>
      <c r="B90" s="41" t="s">
        <v>2337</v>
      </c>
      <c r="C90" s="40" t="s">
        <v>2338</v>
      </c>
      <c r="D90" s="96" t="s">
        <v>2339</v>
      </c>
      <c r="E90" s="96" t="s">
        <v>2340</v>
      </c>
      <c r="F90" s="122">
        <v>0.21</v>
      </c>
      <c r="G90" s="124" t="s">
        <v>516</v>
      </c>
    </row>
    <row r="91" ht="15.75" customHeight="1">
      <c r="A91" s="33" t="s">
        <v>1403</v>
      </c>
      <c r="B91" s="45" t="s">
        <v>2341</v>
      </c>
      <c r="C91" s="33" t="s">
        <v>2338</v>
      </c>
      <c r="D91" s="101" t="s">
        <v>2339</v>
      </c>
      <c r="E91" s="101" t="s">
        <v>2340</v>
      </c>
      <c r="F91" s="37">
        <v>0.21</v>
      </c>
      <c r="G91" s="124" t="s">
        <v>516</v>
      </c>
    </row>
    <row r="92" ht="15.75" customHeight="1">
      <c r="A92" s="40" t="s">
        <v>1403</v>
      </c>
      <c r="B92" s="41" t="s">
        <v>2342</v>
      </c>
      <c r="C92" s="40" t="s">
        <v>2343</v>
      </c>
      <c r="D92" s="96" t="s">
        <v>311</v>
      </c>
      <c r="E92" s="96" t="s">
        <v>312</v>
      </c>
      <c r="F92" s="122">
        <v>0.21</v>
      </c>
      <c r="G92" s="124" t="s">
        <v>516</v>
      </c>
    </row>
    <row r="93" ht="15.75" customHeight="1">
      <c r="A93" s="33" t="s">
        <v>1403</v>
      </c>
      <c r="B93" s="45" t="s">
        <v>2344</v>
      </c>
      <c r="C93" s="33" t="s">
        <v>2343</v>
      </c>
      <c r="D93" s="101" t="s">
        <v>311</v>
      </c>
      <c r="E93" s="101" t="s">
        <v>312</v>
      </c>
      <c r="F93" s="37">
        <v>0.21</v>
      </c>
      <c r="G93" s="124" t="s">
        <v>516</v>
      </c>
    </row>
    <row r="94" ht="15.75" customHeight="1">
      <c r="A94" s="40" t="s">
        <v>1403</v>
      </c>
      <c r="B94" s="41" t="s">
        <v>2345</v>
      </c>
      <c r="C94" s="40" t="s">
        <v>2346</v>
      </c>
      <c r="D94" s="96" t="s">
        <v>966</v>
      </c>
      <c r="E94" s="96" t="s">
        <v>967</v>
      </c>
      <c r="F94" s="122">
        <v>0.21</v>
      </c>
      <c r="G94" s="124" t="s">
        <v>516</v>
      </c>
    </row>
    <row r="95" ht="15.75" customHeight="1">
      <c r="A95" s="33" t="s">
        <v>1403</v>
      </c>
      <c r="B95" s="45" t="s">
        <v>2347</v>
      </c>
      <c r="C95" s="33" t="s">
        <v>2346</v>
      </c>
      <c r="D95" s="101" t="s">
        <v>966</v>
      </c>
      <c r="E95" s="101" t="s">
        <v>967</v>
      </c>
      <c r="F95" s="37">
        <v>0.21</v>
      </c>
      <c r="G95" s="124" t="s">
        <v>516</v>
      </c>
    </row>
    <row r="96" ht="15.75" customHeight="1">
      <c r="A96" s="40" t="s">
        <v>1403</v>
      </c>
      <c r="B96" s="41" t="s">
        <v>2348</v>
      </c>
      <c r="C96" s="40" t="s">
        <v>2349</v>
      </c>
      <c r="D96" s="96" t="s">
        <v>165</v>
      </c>
      <c r="E96" s="96" t="s">
        <v>166</v>
      </c>
      <c r="F96" s="122">
        <v>0.21</v>
      </c>
      <c r="G96" s="124" t="s">
        <v>516</v>
      </c>
    </row>
    <row r="97" ht="15.75" customHeight="1">
      <c r="A97" s="33" t="s">
        <v>1403</v>
      </c>
      <c r="B97" s="45" t="s">
        <v>2350</v>
      </c>
      <c r="C97" s="33" t="s">
        <v>2349</v>
      </c>
      <c r="D97" s="101" t="s">
        <v>165</v>
      </c>
      <c r="E97" s="101" t="s">
        <v>166</v>
      </c>
      <c r="F97" s="37">
        <v>0.21</v>
      </c>
      <c r="G97" s="124" t="s">
        <v>516</v>
      </c>
    </row>
    <row r="98" ht="15.75" customHeight="1">
      <c r="A98" s="40" t="s">
        <v>1403</v>
      </c>
      <c r="B98" s="41" t="s">
        <v>2351</v>
      </c>
      <c r="C98" s="40" t="s">
        <v>2352</v>
      </c>
      <c r="D98" s="96" t="s">
        <v>2353</v>
      </c>
      <c r="E98" s="96" t="s">
        <v>2354</v>
      </c>
      <c r="F98" s="122">
        <v>0.21</v>
      </c>
      <c r="G98" s="124" t="s">
        <v>516</v>
      </c>
    </row>
    <row r="99" ht="15.75" customHeight="1">
      <c r="A99" s="33" t="s">
        <v>1403</v>
      </c>
      <c r="B99" s="45" t="s">
        <v>2355</v>
      </c>
      <c r="C99" s="33" t="s">
        <v>2352</v>
      </c>
      <c r="D99" s="101" t="s">
        <v>2353</v>
      </c>
      <c r="E99" s="101" t="s">
        <v>2354</v>
      </c>
      <c r="F99" s="37">
        <v>0.21</v>
      </c>
      <c r="G99" s="124" t="s">
        <v>516</v>
      </c>
    </row>
    <row r="100" ht="15.75" customHeight="1">
      <c r="A100" s="40" t="s">
        <v>1403</v>
      </c>
      <c r="B100" s="41" t="s">
        <v>2356</v>
      </c>
      <c r="C100" s="40" t="s">
        <v>2357</v>
      </c>
      <c r="D100" s="96" t="s">
        <v>2177</v>
      </c>
      <c r="E100" s="96" t="s">
        <v>2178</v>
      </c>
      <c r="F100" s="122">
        <v>0.21</v>
      </c>
      <c r="G100" s="124" t="s">
        <v>516</v>
      </c>
    </row>
    <row r="101" ht="15.75" customHeight="1">
      <c r="A101" s="33" t="s">
        <v>1403</v>
      </c>
      <c r="B101" s="45" t="s">
        <v>2358</v>
      </c>
      <c r="C101" s="33" t="s">
        <v>2357</v>
      </c>
      <c r="D101" s="101" t="s">
        <v>2177</v>
      </c>
      <c r="E101" s="101" t="s">
        <v>2178</v>
      </c>
      <c r="F101" s="37">
        <v>0.21</v>
      </c>
      <c r="G101" s="124" t="s">
        <v>516</v>
      </c>
    </row>
    <row r="102" ht="15.75" customHeight="1">
      <c r="A102" s="40" t="s">
        <v>1403</v>
      </c>
      <c r="B102" s="41" t="s">
        <v>2359</v>
      </c>
      <c r="C102" s="40" t="s">
        <v>2360</v>
      </c>
      <c r="D102" s="96" t="s">
        <v>2208</v>
      </c>
      <c r="E102" s="96" t="s">
        <v>2209</v>
      </c>
      <c r="F102" s="122">
        <v>0.21</v>
      </c>
      <c r="G102" s="124" t="s">
        <v>516</v>
      </c>
    </row>
    <row r="103" ht="15.75" customHeight="1">
      <c r="A103" s="33" t="s">
        <v>1403</v>
      </c>
      <c r="B103" s="45" t="s">
        <v>2361</v>
      </c>
      <c r="C103" s="33" t="s">
        <v>2360</v>
      </c>
      <c r="D103" s="101" t="s">
        <v>2208</v>
      </c>
      <c r="E103" s="101" t="s">
        <v>2209</v>
      </c>
      <c r="F103" s="37">
        <v>0.21</v>
      </c>
      <c r="G103" s="124" t="s">
        <v>516</v>
      </c>
    </row>
    <row r="104" ht="15.75" customHeight="1">
      <c r="A104" s="40" t="s">
        <v>1403</v>
      </c>
      <c r="B104" s="41" t="s">
        <v>2362</v>
      </c>
      <c r="C104" s="40" t="s">
        <v>2363</v>
      </c>
      <c r="D104" s="96" t="s">
        <v>2208</v>
      </c>
      <c r="E104" s="96" t="s">
        <v>2209</v>
      </c>
      <c r="F104" s="122">
        <v>0.21</v>
      </c>
      <c r="G104" s="124" t="s">
        <v>516</v>
      </c>
    </row>
    <row r="105" ht="15.75" customHeight="1">
      <c r="A105" s="33" t="s">
        <v>1403</v>
      </c>
      <c r="B105" s="45" t="s">
        <v>2364</v>
      </c>
      <c r="C105" s="33" t="s">
        <v>2363</v>
      </c>
      <c r="D105" s="101" t="s">
        <v>2208</v>
      </c>
      <c r="E105" s="101" t="s">
        <v>2209</v>
      </c>
      <c r="F105" s="37">
        <v>0.21</v>
      </c>
      <c r="G105" s="124" t="s">
        <v>516</v>
      </c>
    </row>
    <row r="106" ht="15.75" customHeight="1">
      <c r="A106" s="40" t="s">
        <v>1403</v>
      </c>
      <c r="B106" s="41" t="s">
        <v>2365</v>
      </c>
      <c r="C106" s="40" t="s">
        <v>2366</v>
      </c>
      <c r="D106" s="96" t="s">
        <v>2208</v>
      </c>
      <c r="E106" s="96" t="s">
        <v>2209</v>
      </c>
      <c r="F106" s="122">
        <v>0.21</v>
      </c>
      <c r="G106" s="124" t="s">
        <v>516</v>
      </c>
    </row>
    <row r="107" ht="15.75" customHeight="1">
      <c r="A107" s="33" t="s">
        <v>1403</v>
      </c>
      <c r="B107" s="45" t="s">
        <v>2367</v>
      </c>
      <c r="C107" s="33" t="s">
        <v>2366</v>
      </c>
      <c r="D107" s="101" t="s">
        <v>2208</v>
      </c>
      <c r="E107" s="101" t="s">
        <v>2209</v>
      </c>
      <c r="F107" s="37">
        <v>0.21</v>
      </c>
      <c r="G107" s="124" t="s">
        <v>516</v>
      </c>
    </row>
    <row r="108" ht="15.75" customHeight="1">
      <c r="A108" s="40" t="s">
        <v>1403</v>
      </c>
      <c r="B108" s="41" t="s">
        <v>2368</v>
      </c>
      <c r="C108" s="40" t="s">
        <v>2369</v>
      </c>
      <c r="D108" s="96" t="s">
        <v>2370</v>
      </c>
      <c r="E108" s="96" t="s">
        <v>2371</v>
      </c>
      <c r="F108" s="122">
        <v>0.21</v>
      </c>
      <c r="G108" s="124" t="s">
        <v>516</v>
      </c>
    </row>
    <row r="109" ht="15.75" customHeight="1">
      <c r="A109" s="33" t="s">
        <v>1403</v>
      </c>
      <c r="B109" s="45" t="s">
        <v>2372</v>
      </c>
      <c r="C109" s="33" t="s">
        <v>2373</v>
      </c>
      <c r="D109" s="101" t="s">
        <v>2374</v>
      </c>
      <c r="E109" s="101" t="s">
        <v>2375</v>
      </c>
      <c r="F109" s="37">
        <v>0.21</v>
      </c>
      <c r="G109" s="124" t="s">
        <v>516</v>
      </c>
    </row>
    <row r="110" ht="15.75" customHeight="1">
      <c r="A110" s="40" t="s">
        <v>1403</v>
      </c>
      <c r="B110" s="41" t="s">
        <v>2376</v>
      </c>
      <c r="C110" s="40" t="s">
        <v>327</v>
      </c>
      <c r="D110" s="96" t="s">
        <v>2377</v>
      </c>
      <c r="E110" s="96" t="s">
        <v>2378</v>
      </c>
      <c r="F110" s="122">
        <v>0.21</v>
      </c>
      <c r="G110" s="124" t="s">
        <v>516</v>
      </c>
    </row>
    <row r="111" ht="15.75" customHeight="1">
      <c r="A111" s="33" t="s">
        <v>1403</v>
      </c>
      <c r="B111" s="45" t="s">
        <v>2379</v>
      </c>
      <c r="C111" s="33" t="s">
        <v>327</v>
      </c>
      <c r="D111" s="101" t="s">
        <v>2380</v>
      </c>
      <c r="E111" s="101" t="s">
        <v>2381</v>
      </c>
      <c r="F111" s="37">
        <v>0.21</v>
      </c>
      <c r="G111" s="124" t="s">
        <v>516</v>
      </c>
    </row>
    <row r="112" ht="15.75" customHeight="1">
      <c r="A112" s="33" t="s">
        <v>1403</v>
      </c>
      <c r="B112" s="45" t="s">
        <v>2382</v>
      </c>
      <c r="C112" s="33" t="s">
        <v>327</v>
      </c>
      <c r="D112" s="101" t="s">
        <v>2383</v>
      </c>
      <c r="E112" s="101" t="s">
        <v>2384</v>
      </c>
      <c r="F112" s="37">
        <v>0.21</v>
      </c>
      <c r="G112" s="124" t="s">
        <v>516</v>
      </c>
    </row>
    <row r="113" ht="15.75" customHeight="1">
      <c r="A113" s="40" t="s">
        <v>1403</v>
      </c>
      <c r="B113" s="41" t="s">
        <v>2385</v>
      </c>
      <c r="C113" s="40" t="s">
        <v>2386</v>
      </c>
      <c r="D113" s="96" t="s">
        <v>1560</v>
      </c>
      <c r="E113" s="96" t="s">
        <v>1561</v>
      </c>
      <c r="F113" s="122">
        <v>0.21</v>
      </c>
      <c r="G113" s="124" t="s">
        <v>516</v>
      </c>
    </row>
    <row r="114" ht="15.75" customHeight="1">
      <c r="A114" s="33" t="s">
        <v>1403</v>
      </c>
      <c r="B114" s="45" t="s">
        <v>2387</v>
      </c>
      <c r="C114" s="33" t="s">
        <v>2388</v>
      </c>
      <c r="D114" s="101" t="s">
        <v>208</v>
      </c>
      <c r="E114" s="101" t="s">
        <v>209</v>
      </c>
      <c r="F114" s="37">
        <v>0.21</v>
      </c>
      <c r="G114" s="124" t="s">
        <v>516</v>
      </c>
    </row>
    <row r="115" ht="15.75" customHeight="1">
      <c r="A115" s="40" t="s">
        <v>1403</v>
      </c>
      <c r="B115" s="40" t="s">
        <v>2389</v>
      </c>
      <c r="C115" s="40" t="s">
        <v>2390</v>
      </c>
      <c r="D115" s="96" t="s">
        <v>208</v>
      </c>
      <c r="E115" s="96" t="s">
        <v>209</v>
      </c>
      <c r="F115" s="122">
        <v>0.21</v>
      </c>
      <c r="G115" s="124" t="s">
        <v>516</v>
      </c>
    </row>
    <row r="116" ht="15.75" customHeight="1">
      <c r="A116" s="33" t="s">
        <v>1403</v>
      </c>
      <c r="B116" s="45" t="s">
        <v>2391</v>
      </c>
      <c r="C116" s="33" t="s">
        <v>2392</v>
      </c>
      <c r="D116" s="101" t="s">
        <v>208</v>
      </c>
      <c r="E116" s="101" t="s">
        <v>209</v>
      </c>
      <c r="F116" s="37">
        <v>0.21</v>
      </c>
      <c r="G116" s="124" t="s">
        <v>516</v>
      </c>
    </row>
    <row r="117" ht="15.75" customHeight="1">
      <c r="A117" s="40" t="s">
        <v>1403</v>
      </c>
      <c r="B117" s="41" t="s">
        <v>2393</v>
      </c>
      <c r="C117" s="40" t="s">
        <v>2394</v>
      </c>
      <c r="D117" s="96" t="s">
        <v>208</v>
      </c>
      <c r="E117" s="96" t="s">
        <v>209</v>
      </c>
      <c r="F117" s="122">
        <v>0.21</v>
      </c>
      <c r="G117" s="124" t="s">
        <v>516</v>
      </c>
    </row>
    <row r="118" ht="15.75" customHeight="1">
      <c r="A118" s="33" t="s">
        <v>1403</v>
      </c>
      <c r="B118" s="45" t="s">
        <v>2395</v>
      </c>
      <c r="C118" s="33" t="s">
        <v>2396</v>
      </c>
      <c r="D118" s="101" t="s">
        <v>2397</v>
      </c>
      <c r="E118" s="101" t="s">
        <v>2398</v>
      </c>
      <c r="F118" s="37">
        <v>0.21</v>
      </c>
      <c r="G118" s="124" t="s">
        <v>516</v>
      </c>
    </row>
    <row r="119" ht="15.75" customHeight="1">
      <c r="A119" s="40" t="s">
        <v>1403</v>
      </c>
      <c r="B119" s="40" t="s">
        <v>2399</v>
      </c>
      <c r="C119" s="40" t="s">
        <v>2400</v>
      </c>
      <c r="D119" s="96" t="s">
        <v>2282</v>
      </c>
      <c r="E119" s="96" t="s">
        <v>2283</v>
      </c>
      <c r="F119" s="122">
        <v>0.21</v>
      </c>
      <c r="G119" s="124" t="s">
        <v>516</v>
      </c>
    </row>
    <row r="120" ht="15.75" customHeight="1">
      <c r="A120" s="33" t="s">
        <v>1403</v>
      </c>
      <c r="B120" s="45" t="s">
        <v>2401</v>
      </c>
      <c r="C120" s="33" t="s">
        <v>2402</v>
      </c>
      <c r="D120" s="101" t="s">
        <v>2208</v>
      </c>
      <c r="E120" s="101" t="s">
        <v>2209</v>
      </c>
      <c r="F120" s="37">
        <v>0.21</v>
      </c>
      <c r="G120" s="123" t="s">
        <v>2139</v>
      </c>
    </row>
    <row r="121" ht="15.75" customHeight="1">
      <c r="A121" s="40" t="s">
        <v>1403</v>
      </c>
      <c r="B121" s="41" t="s">
        <v>2403</v>
      </c>
      <c r="C121" s="40" t="s">
        <v>2404</v>
      </c>
      <c r="D121" s="96" t="s">
        <v>2208</v>
      </c>
      <c r="E121" s="96" t="s">
        <v>2209</v>
      </c>
      <c r="F121" s="122">
        <v>0.21</v>
      </c>
      <c r="G121" s="124" t="s">
        <v>516</v>
      </c>
    </row>
    <row r="122" ht="15.75" customHeight="1">
      <c r="A122" s="33" t="s">
        <v>1403</v>
      </c>
      <c r="B122" s="45" t="s">
        <v>2405</v>
      </c>
      <c r="C122" s="33" t="s">
        <v>2406</v>
      </c>
      <c r="D122" s="101" t="s">
        <v>338</v>
      </c>
      <c r="E122" s="101" t="s">
        <v>339</v>
      </c>
      <c r="F122" s="37">
        <v>0.21</v>
      </c>
      <c r="G122" s="124" t="s">
        <v>516</v>
      </c>
    </row>
    <row r="123" ht="15.75" customHeight="1">
      <c r="A123" s="40" t="s">
        <v>1403</v>
      </c>
      <c r="B123" s="41" t="s">
        <v>2407</v>
      </c>
      <c r="C123" s="40" t="s">
        <v>2408</v>
      </c>
      <c r="D123" s="96" t="s">
        <v>338</v>
      </c>
      <c r="E123" s="96" t="s">
        <v>339</v>
      </c>
      <c r="F123" s="122">
        <v>0.21</v>
      </c>
      <c r="G123" s="124" t="s">
        <v>516</v>
      </c>
    </row>
    <row r="124" ht="15.75" customHeight="1">
      <c r="A124" s="33" t="s">
        <v>1403</v>
      </c>
      <c r="B124" s="45" t="s">
        <v>2409</v>
      </c>
      <c r="C124" s="33" t="s">
        <v>327</v>
      </c>
      <c r="D124" s="101" t="s">
        <v>311</v>
      </c>
      <c r="E124" s="101" t="s">
        <v>312</v>
      </c>
      <c r="F124" s="37">
        <v>0.21</v>
      </c>
      <c r="G124" s="124" t="s">
        <v>516</v>
      </c>
    </row>
    <row r="125" ht="15.75" customHeight="1">
      <c r="A125" s="40" t="s">
        <v>1403</v>
      </c>
      <c r="B125" s="41" t="s">
        <v>2410</v>
      </c>
      <c r="C125" s="40" t="s">
        <v>2411</v>
      </c>
      <c r="D125" s="96" t="s">
        <v>2275</v>
      </c>
      <c r="E125" s="96" t="s">
        <v>2276</v>
      </c>
      <c r="F125" s="122">
        <v>0.21</v>
      </c>
      <c r="G125" s="123" t="s">
        <v>2139</v>
      </c>
    </row>
    <row r="126" ht="15.75" customHeight="1">
      <c r="A126" s="33" t="s">
        <v>1403</v>
      </c>
      <c r="B126" s="45" t="s">
        <v>2412</v>
      </c>
      <c r="C126" s="33" t="s">
        <v>2411</v>
      </c>
      <c r="D126" s="101" t="s">
        <v>2275</v>
      </c>
      <c r="E126" s="101" t="s">
        <v>2276</v>
      </c>
      <c r="F126" s="37">
        <v>0.21</v>
      </c>
      <c r="G126" s="124" t="s">
        <v>516</v>
      </c>
    </row>
    <row r="127" ht="15.75" customHeight="1">
      <c r="A127" s="40" t="s">
        <v>1403</v>
      </c>
      <c r="B127" s="41" t="s">
        <v>2413</v>
      </c>
      <c r="C127" s="40" t="s">
        <v>2414</v>
      </c>
      <c r="D127" s="96" t="s">
        <v>2415</v>
      </c>
      <c r="E127" s="96" t="s">
        <v>2416</v>
      </c>
      <c r="F127" s="122">
        <v>0.21</v>
      </c>
      <c r="G127" s="124" t="s">
        <v>516</v>
      </c>
    </row>
    <row r="128" ht="15.75" customHeight="1">
      <c r="A128" s="33" t="s">
        <v>1403</v>
      </c>
      <c r="B128" s="45" t="s">
        <v>2417</v>
      </c>
      <c r="C128" s="33" t="s">
        <v>327</v>
      </c>
      <c r="D128" s="101" t="s">
        <v>2397</v>
      </c>
      <c r="E128" s="101" t="s">
        <v>2398</v>
      </c>
      <c r="F128" s="37">
        <v>0.21</v>
      </c>
      <c r="G128" s="124" t="s">
        <v>516</v>
      </c>
    </row>
    <row r="129" ht="15.75" customHeight="1">
      <c r="A129" s="40" t="s">
        <v>1403</v>
      </c>
      <c r="B129" s="41" t="s">
        <v>2418</v>
      </c>
      <c r="C129" s="40" t="s">
        <v>2419</v>
      </c>
      <c r="D129" s="96" t="s">
        <v>2420</v>
      </c>
      <c r="E129" s="96" t="s">
        <v>2421</v>
      </c>
      <c r="F129" s="122">
        <v>0.21</v>
      </c>
      <c r="G129" s="124" t="s">
        <v>516</v>
      </c>
    </row>
    <row r="130" ht="15.75" customHeight="1">
      <c r="A130" s="33" t="s">
        <v>1403</v>
      </c>
      <c r="B130" s="45" t="s">
        <v>2422</v>
      </c>
      <c r="C130" s="33" t="s">
        <v>327</v>
      </c>
      <c r="D130" s="101" t="s">
        <v>2397</v>
      </c>
      <c r="E130" s="101" t="s">
        <v>2398</v>
      </c>
      <c r="F130" s="37">
        <v>0.21</v>
      </c>
      <c r="G130" s="124" t="s">
        <v>516</v>
      </c>
    </row>
    <row r="131" ht="15.75" customHeight="1">
      <c r="A131" s="40" t="s">
        <v>1403</v>
      </c>
      <c r="B131" s="40" t="s">
        <v>2423</v>
      </c>
      <c r="C131" s="40" t="s">
        <v>2424</v>
      </c>
      <c r="D131" s="96" t="s">
        <v>2420</v>
      </c>
      <c r="E131" s="96" t="s">
        <v>2421</v>
      </c>
      <c r="F131" s="122">
        <v>0.21</v>
      </c>
      <c r="G131" s="124" t="s">
        <v>516</v>
      </c>
    </row>
    <row r="132" ht="15.75" customHeight="1">
      <c r="A132" s="33" t="s">
        <v>1403</v>
      </c>
      <c r="B132" s="45" t="s">
        <v>2425</v>
      </c>
      <c r="C132" s="33" t="s">
        <v>2426</v>
      </c>
      <c r="D132" s="101" t="s">
        <v>2427</v>
      </c>
      <c r="E132" s="101" t="s">
        <v>2428</v>
      </c>
      <c r="F132" s="37">
        <v>0.21</v>
      </c>
      <c r="G132" s="124" t="s">
        <v>516</v>
      </c>
    </row>
    <row r="133" ht="15.75" customHeight="1">
      <c r="A133" s="40" t="s">
        <v>1403</v>
      </c>
      <c r="B133" s="41" t="s">
        <v>2429</v>
      </c>
      <c r="C133" s="40" t="s">
        <v>2426</v>
      </c>
      <c r="D133" s="96" t="s">
        <v>2427</v>
      </c>
      <c r="E133" s="96" t="s">
        <v>2428</v>
      </c>
      <c r="F133" s="122">
        <v>0.21</v>
      </c>
      <c r="G133" s="124" t="s">
        <v>516</v>
      </c>
    </row>
    <row r="134" ht="15.75" customHeight="1">
      <c r="A134" s="33" t="s">
        <v>1403</v>
      </c>
      <c r="B134" s="45" t="s">
        <v>2430</v>
      </c>
      <c r="C134" s="33" t="s">
        <v>2431</v>
      </c>
      <c r="D134" s="101" t="s">
        <v>2432</v>
      </c>
      <c r="E134" s="101" t="s">
        <v>2433</v>
      </c>
      <c r="F134" s="37">
        <v>0.21</v>
      </c>
      <c r="G134" s="124" t="s">
        <v>516</v>
      </c>
    </row>
    <row r="135" ht="15.75" customHeight="1">
      <c r="A135" s="40" t="s">
        <v>1403</v>
      </c>
      <c r="B135" s="41" t="s">
        <v>2434</v>
      </c>
      <c r="C135" s="40" t="s">
        <v>2435</v>
      </c>
      <c r="D135" s="96" t="s">
        <v>2432</v>
      </c>
      <c r="E135" s="96" t="s">
        <v>2433</v>
      </c>
      <c r="F135" s="122">
        <v>0.21</v>
      </c>
      <c r="G135" s="124" t="s">
        <v>516</v>
      </c>
    </row>
    <row r="136" ht="15.75" customHeight="1">
      <c r="A136" s="33" t="s">
        <v>1403</v>
      </c>
      <c r="B136" s="45" t="s">
        <v>2436</v>
      </c>
      <c r="C136" s="33" t="s">
        <v>2437</v>
      </c>
      <c r="D136" s="101" t="s">
        <v>2438</v>
      </c>
      <c r="E136" s="101" t="s">
        <v>2439</v>
      </c>
      <c r="F136" s="37">
        <v>0.21</v>
      </c>
      <c r="G136" s="124" t="s">
        <v>516</v>
      </c>
    </row>
    <row r="137" ht="15.75" customHeight="1">
      <c r="A137" s="40" t="s">
        <v>1403</v>
      </c>
      <c r="B137" s="41" t="s">
        <v>2440</v>
      </c>
      <c r="C137" s="40" t="s">
        <v>2437</v>
      </c>
      <c r="D137" s="96" t="s">
        <v>2438</v>
      </c>
      <c r="E137" s="96" t="s">
        <v>2439</v>
      </c>
      <c r="F137" s="122">
        <v>0.21</v>
      </c>
      <c r="G137" s="124" t="s">
        <v>516</v>
      </c>
    </row>
    <row r="138" ht="15.75" customHeight="1">
      <c r="A138" s="33" t="s">
        <v>1403</v>
      </c>
      <c r="B138" s="45" t="s">
        <v>2441</v>
      </c>
      <c r="C138" s="33" t="s">
        <v>2442</v>
      </c>
      <c r="D138" s="101" t="s">
        <v>2443</v>
      </c>
      <c r="E138" s="101" t="s">
        <v>2444</v>
      </c>
      <c r="F138" s="37">
        <v>0.21</v>
      </c>
      <c r="G138" s="124" t="s">
        <v>516</v>
      </c>
    </row>
    <row r="139" ht="15.75" customHeight="1">
      <c r="A139" s="40" t="s">
        <v>1403</v>
      </c>
      <c r="B139" s="41" t="s">
        <v>2445</v>
      </c>
      <c r="C139" s="40" t="s">
        <v>2446</v>
      </c>
      <c r="D139" s="96" t="s">
        <v>2443</v>
      </c>
      <c r="E139" s="96" t="s">
        <v>2444</v>
      </c>
      <c r="F139" s="122">
        <v>0.21</v>
      </c>
      <c r="G139" s="124" t="s">
        <v>516</v>
      </c>
    </row>
    <row r="140" ht="15.75" customHeight="1">
      <c r="A140" s="33" t="s">
        <v>1403</v>
      </c>
      <c r="B140" s="45" t="s">
        <v>2447</v>
      </c>
      <c r="C140" s="33" t="s">
        <v>2448</v>
      </c>
      <c r="D140" s="101" t="s">
        <v>2339</v>
      </c>
      <c r="E140" s="101" t="s">
        <v>2340</v>
      </c>
      <c r="F140" s="37">
        <v>0.21</v>
      </c>
      <c r="G140" s="124" t="s">
        <v>516</v>
      </c>
    </row>
    <row r="141" ht="15.75" customHeight="1">
      <c r="A141" s="40" t="s">
        <v>1403</v>
      </c>
      <c r="B141" s="41" t="s">
        <v>2449</v>
      </c>
      <c r="C141" s="40" t="s">
        <v>2450</v>
      </c>
      <c r="D141" s="96" t="s">
        <v>2181</v>
      </c>
      <c r="E141" s="96" t="s">
        <v>2182</v>
      </c>
      <c r="F141" s="122">
        <v>0.21</v>
      </c>
      <c r="G141" s="124" t="s">
        <v>516</v>
      </c>
    </row>
    <row r="142" ht="15.75" customHeight="1">
      <c r="A142" s="33" t="s">
        <v>1403</v>
      </c>
      <c r="B142" s="45" t="s">
        <v>2451</v>
      </c>
      <c r="C142" s="33" t="s">
        <v>2452</v>
      </c>
      <c r="D142" s="101" t="s">
        <v>2453</v>
      </c>
      <c r="E142" s="101" t="s">
        <v>2454</v>
      </c>
      <c r="F142" s="37">
        <v>0.21</v>
      </c>
      <c r="G142" s="124" t="s">
        <v>516</v>
      </c>
    </row>
    <row r="143" ht="15.75" customHeight="1">
      <c r="A143" s="40" t="s">
        <v>1403</v>
      </c>
      <c r="B143" s="40" t="s">
        <v>2455</v>
      </c>
      <c r="C143" s="40" t="s">
        <v>2456</v>
      </c>
      <c r="D143" s="96" t="s">
        <v>2166</v>
      </c>
      <c r="E143" s="96" t="s">
        <v>2167</v>
      </c>
      <c r="F143" s="122">
        <v>0.21</v>
      </c>
      <c r="G143" s="124" t="s">
        <v>516</v>
      </c>
    </row>
    <row r="144" ht="15.75" customHeight="1">
      <c r="A144" s="33" t="s">
        <v>1403</v>
      </c>
      <c r="B144" s="45" t="s">
        <v>2457</v>
      </c>
      <c r="C144" s="33" t="s">
        <v>2458</v>
      </c>
      <c r="D144" s="101" t="s">
        <v>2415</v>
      </c>
      <c r="E144" s="101" t="s">
        <v>2416</v>
      </c>
      <c r="F144" s="37">
        <v>0.21</v>
      </c>
      <c r="G144" s="124" t="s">
        <v>516</v>
      </c>
    </row>
    <row r="145" ht="15.75" customHeight="1">
      <c r="A145" s="40" t="s">
        <v>1403</v>
      </c>
      <c r="B145" s="40" t="s">
        <v>2459</v>
      </c>
      <c r="C145" s="40" t="s">
        <v>2460</v>
      </c>
      <c r="D145" s="96" t="s">
        <v>491</v>
      </c>
      <c r="E145" s="96" t="s">
        <v>492</v>
      </c>
      <c r="F145" s="122">
        <v>0.21</v>
      </c>
      <c r="G145" s="124" t="s">
        <v>516</v>
      </c>
    </row>
    <row r="146" ht="15.75" customHeight="1">
      <c r="A146" s="33" t="s">
        <v>1403</v>
      </c>
      <c r="B146" s="45" t="s">
        <v>2461</v>
      </c>
      <c r="C146" s="33" t="s">
        <v>2462</v>
      </c>
      <c r="D146" s="101" t="s">
        <v>2463</v>
      </c>
      <c r="E146" s="101" t="s">
        <v>2464</v>
      </c>
      <c r="F146" s="37">
        <v>0.21</v>
      </c>
      <c r="G146" s="124" t="s">
        <v>516</v>
      </c>
    </row>
    <row r="147" ht="15.75" customHeight="1">
      <c r="A147" s="40" t="s">
        <v>1403</v>
      </c>
      <c r="B147" s="41" t="s">
        <v>2465</v>
      </c>
      <c r="C147" s="40" t="s">
        <v>2466</v>
      </c>
      <c r="D147" s="96" t="s">
        <v>1628</v>
      </c>
      <c r="E147" s="96" t="s">
        <v>1629</v>
      </c>
      <c r="F147" s="122">
        <v>0.21</v>
      </c>
      <c r="G147" s="123" t="s">
        <v>2139</v>
      </c>
    </row>
    <row r="148" ht="15.75" customHeight="1">
      <c r="A148" s="33" t="s">
        <v>1403</v>
      </c>
      <c r="B148" s="45" t="s">
        <v>2467</v>
      </c>
      <c r="C148" s="33" t="s">
        <v>2466</v>
      </c>
      <c r="D148" s="101" t="s">
        <v>1628</v>
      </c>
      <c r="E148" s="101" t="s">
        <v>1629</v>
      </c>
      <c r="F148" s="37">
        <v>0.21</v>
      </c>
      <c r="G148" s="124" t="s">
        <v>516</v>
      </c>
    </row>
    <row r="149" ht="15.75" customHeight="1">
      <c r="A149" s="40" t="s">
        <v>1403</v>
      </c>
      <c r="B149" s="40" t="s">
        <v>2468</v>
      </c>
      <c r="C149" s="40" t="s">
        <v>2469</v>
      </c>
      <c r="D149" s="96" t="s">
        <v>2470</v>
      </c>
      <c r="E149" s="96" t="s">
        <v>2471</v>
      </c>
      <c r="F149" s="122">
        <v>0.21</v>
      </c>
      <c r="G149" s="124" t="s">
        <v>516</v>
      </c>
    </row>
    <row r="150" ht="15.75" customHeight="1">
      <c r="A150" s="33" t="s">
        <v>1403</v>
      </c>
      <c r="B150" s="45" t="s">
        <v>2472</v>
      </c>
      <c r="C150" s="33" t="s">
        <v>2473</v>
      </c>
      <c r="D150" s="101" t="s">
        <v>2474</v>
      </c>
      <c r="E150" s="101" t="s">
        <v>2475</v>
      </c>
      <c r="F150" s="37">
        <v>0.21</v>
      </c>
      <c r="G150" s="124" t="s">
        <v>516</v>
      </c>
    </row>
    <row r="151" ht="15.75" customHeight="1">
      <c r="A151" s="40" t="s">
        <v>1403</v>
      </c>
      <c r="B151" s="41" t="s">
        <v>2476</v>
      </c>
      <c r="C151" s="40" t="s">
        <v>327</v>
      </c>
      <c r="D151" s="96" t="s">
        <v>2477</v>
      </c>
      <c r="E151" s="96" t="s">
        <v>2478</v>
      </c>
      <c r="F151" s="122">
        <v>0.21</v>
      </c>
      <c r="G151" s="124" t="s">
        <v>516</v>
      </c>
    </row>
    <row r="152" ht="15.75" customHeight="1">
      <c r="A152" s="33" t="s">
        <v>1403</v>
      </c>
      <c r="B152" s="33" t="s">
        <v>2479</v>
      </c>
      <c r="C152" s="33" t="s">
        <v>2480</v>
      </c>
      <c r="D152" s="101" t="s">
        <v>2470</v>
      </c>
      <c r="E152" s="101" t="s">
        <v>2471</v>
      </c>
      <c r="F152" s="37">
        <v>0.21</v>
      </c>
      <c r="G152" s="124" t="s">
        <v>516</v>
      </c>
    </row>
    <row r="153" ht="15.75" customHeight="1">
      <c r="A153" s="40" t="s">
        <v>1403</v>
      </c>
      <c r="B153" s="41" t="s">
        <v>2481</v>
      </c>
      <c r="C153" s="40" t="s">
        <v>2482</v>
      </c>
      <c r="D153" s="96" t="s">
        <v>2474</v>
      </c>
      <c r="E153" s="96" t="s">
        <v>2475</v>
      </c>
      <c r="F153" s="122">
        <v>0.21</v>
      </c>
      <c r="G153" s="124" t="s">
        <v>516</v>
      </c>
    </row>
    <row r="154" ht="15.75" customHeight="1">
      <c r="A154" s="33" t="s">
        <v>1403</v>
      </c>
      <c r="B154" s="45" t="s">
        <v>2483</v>
      </c>
      <c r="C154" s="33" t="s">
        <v>327</v>
      </c>
      <c r="D154" s="101" t="s">
        <v>2477</v>
      </c>
      <c r="E154" s="101" t="s">
        <v>2478</v>
      </c>
      <c r="F154" s="37">
        <v>0.21</v>
      </c>
      <c r="G154" s="124" t="s">
        <v>516</v>
      </c>
    </row>
    <row r="155" ht="15.75" customHeight="1">
      <c r="A155" s="40" t="s">
        <v>1403</v>
      </c>
      <c r="B155" s="41" t="s">
        <v>2484</v>
      </c>
      <c r="C155" s="40" t="s">
        <v>2485</v>
      </c>
      <c r="D155" s="96" t="s">
        <v>2438</v>
      </c>
      <c r="E155" s="96" t="s">
        <v>2439</v>
      </c>
      <c r="F155" s="122">
        <v>0.21</v>
      </c>
      <c r="G155" s="124" t="s">
        <v>516</v>
      </c>
    </row>
    <row r="156" ht="15.75" customHeight="1">
      <c r="A156" s="33" t="s">
        <v>1403</v>
      </c>
      <c r="B156" s="45" t="s">
        <v>2486</v>
      </c>
      <c r="C156" s="33" t="s">
        <v>2485</v>
      </c>
      <c r="D156" s="101" t="s">
        <v>2438</v>
      </c>
      <c r="E156" s="101" t="s">
        <v>2439</v>
      </c>
      <c r="F156" s="37">
        <v>0.21</v>
      </c>
      <c r="G156" s="124" t="s">
        <v>516</v>
      </c>
    </row>
    <row r="157" ht="15.75" customHeight="1">
      <c r="A157" s="40" t="s">
        <v>1403</v>
      </c>
      <c r="B157" s="41" t="s">
        <v>2487</v>
      </c>
      <c r="C157" s="40" t="s">
        <v>2488</v>
      </c>
      <c r="D157" s="96" t="s">
        <v>2489</v>
      </c>
      <c r="E157" s="96" t="s">
        <v>2490</v>
      </c>
      <c r="F157" s="122">
        <v>0.21</v>
      </c>
      <c r="G157" s="124" t="s">
        <v>516</v>
      </c>
    </row>
    <row r="158" ht="15.75" customHeight="1">
      <c r="A158" s="33" t="s">
        <v>1403</v>
      </c>
      <c r="B158" s="45" t="s">
        <v>2491</v>
      </c>
      <c r="C158" s="33" t="s">
        <v>2488</v>
      </c>
      <c r="D158" s="101" t="s">
        <v>2489</v>
      </c>
      <c r="E158" s="101" t="s">
        <v>2490</v>
      </c>
      <c r="F158" s="37">
        <v>0.21</v>
      </c>
      <c r="G158" s="124" t="s">
        <v>516</v>
      </c>
    </row>
    <row r="159" ht="15.75" customHeight="1">
      <c r="A159" s="40" t="s">
        <v>1403</v>
      </c>
      <c r="B159" s="40" t="s">
        <v>2492</v>
      </c>
      <c r="C159" s="40" t="s">
        <v>2493</v>
      </c>
      <c r="D159" s="96" t="s">
        <v>2494</v>
      </c>
      <c r="E159" s="96" t="s">
        <v>2495</v>
      </c>
      <c r="F159" s="122">
        <v>0.21</v>
      </c>
      <c r="G159" s="124" t="s">
        <v>516</v>
      </c>
    </row>
    <row r="160" ht="15.75" customHeight="1">
      <c r="A160" s="33" t="s">
        <v>1403</v>
      </c>
      <c r="B160" s="45" t="s">
        <v>2496</v>
      </c>
      <c r="C160" s="33" t="s">
        <v>2497</v>
      </c>
      <c r="D160" s="101" t="s">
        <v>2494</v>
      </c>
      <c r="E160" s="101" t="s">
        <v>2495</v>
      </c>
      <c r="F160" s="37">
        <v>0.21</v>
      </c>
      <c r="G160" s="124" t="s">
        <v>516</v>
      </c>
    </row>
    <row r="161" ht="15.75" customHeight="1">
      <c r="A161" s="40" t="s">
        <v>1403</v>
      </c>
      <c r="B161" s="40" t="s">
        <v>2498</v>
      </c>
      <c r="C161" s="40" t="s">
        <v>2499</v>
      </c>
      <c r="D161" s="96" t="s">
        <v>2500</v>
      </c>
      <c r="E161" s="96" t="s">
        <v>2501</v>
      </c>
      <c r="F161" s="122">
        <v>0.21</v>
      </c>
      <c r="G161" s="128"/>
    </row>
    <row r="162" ht="15.75" customHeight="1">
      <c r="A162" s="33"/>
      <c r="B162" s="45"/>
      <c r="C162" s="34"/>
      <c r="D162" s="115"/>
      <c r="E162" s="115"/>
      <c r="F162" s="129"/>
      <c r="G162" s="128"/>
    </row>
    <row r="163" ht="15.75" customHeight="1">
      <c r="A163" s="33"/>
      <c r="B163" s="45"/>
      <c r="C163" s="34"/>
      <c r="D163" s="115"/>
      <c r="E163" s="115"/>
      <c r="F163" s="129"/>
      <c r="G163" s="128"/>
    </row>
    <row r="164" ht="15.75" customHeight="1">
      <c r="A164" s="33"/>
      <c r="B164" s="45"/>
      <c r="C164" s="34"/>
      <c r="D164" s="115"/>
      <c r="E164" s="115"/>
      <c r="F164" s="129"/>
      <c r="G164" s="128"/>
    </row>
    <row r="165" ht="15.75" customHeight="1">
      <c r="A165" s="33"/>
      <c r="B165" s="45"/>
      <c r="C165" s="34"/>
      <c r="D165" s="115"/>
      <c r="E165" s="115"/>
      <c r="F165" s="129"/>
      <c r="G165" s="128"/>
    </row>
    <row r="166" ht="15.75" customHeight="1">
      <c r="A166" s="33"/>
      <c r="B166" s="45"/>
      <c r="C166" s="34"/>
      <c r="D166" s="115"/>
      <c r="E166" s="115"/>
      <c r="F166" s="129"/>
      <c r="G166" s="128"/>
    </row>
    <row r="167" ht="15.75" customHeight="1">
      <c r="A167" s="33"/>
      <c r="B167" s="45"/>
      <c r="C167" s="34"/>
      <c r="D167" s="115"/>
      <c r="E167" s="115"/>
      <c r="F167" s="129"/>
      <c r="G167" s="128"/>
    </row>
    <row r="168" ht="15.75" customHeight="1">
      <c r="A168" s="33"/>
      <c r="B168" s="45"/>
      <c r="C168" s="34"/>
      <c r="D168" s="115"/>
      <c r="E168" s="115"/>
      <c r="F168" s="129"/>
      <c r="G168" s="128"/>
    </row>
    <row r="169" ht="15.75" customHeight="1">
      <c r="A169" s="33"/>
      <c r="B169" s="45"/>
      <c r="C169" s="34"/>
      <c r="D169" s="115"/>
      <c r="E169" s="115"/>
      <c r="F169" s="129"/>
      <c r="G169" s="128"/>
    </row>
    <row r="170" ht="15.75" customHeight="1">
      <c r="A170" s="33"/>
      <c r="B170" s="45"/>
      <c r="C170" s="34"/>
      <c r="D170" s="115"/>
      <c r="E170" s="115"/>
      <c r="F170" s="129"/>
      <c r="G170" s="128"/>
    </row>
    <row r="171" ht="15.75" customHeight="1">
      <c r="A171" s="33"/>
      <c r="B171" s="45"/>
      <c r="C171" s="34"/>
      <c r="D171" s="115"/>
      <c r="E171" s="115"/>
      <c r="F171" s="129"/>
      <c r="G171" s="128"/>
    </row>
    <row r="172" ht="15.75" customHeight="1">
      <c r="A172" s="33"/>
      <c r="B172" s="45"/>
      <c r="C172" s="34"/>
      <c r="D172" s="115"/>
      <c r="E172" s="115"/>
      <c r="F172" s="129"/>
      <c r="G172" s="128"/>
    </row>
    <row r="173" ht="15.75" customHeight="1">
      <c r="A173" s="33"/>
      <c r="B173" s="45"/>
      <c r="C173" s="34"/>
      <c r="D173" s="115"/>
      <c r="E173" s="115"/>
      <c r="F173" s="129"/>
      <c r="G173" s="128"/>
    </row>
    <row r="174" ht="15.75" customHeight="1">
      <c r="A174" s="33"/>
      <c r="B174" s="45"/>
      <c r="C174" s="34"/>
      <c r="D174" s="115"/>
      <c r="E174" s="115"/>
      <c r="F174" s="129"/>
      <c r="G174" s="128"/>
    </row>
    <row r="175" ht="15.75" customHeight="1">
      <c r="A175" s="33"/>
      <c r="B175" s="45"/>
      <c r="C175" s="34"/>
      <c r="D175" s="115"/>
      <c r="E175" s="115"/>
      <c r="F175" s="129"/>
      <c r="G175" s="128"/>
    </row>
    <row r="176" ht="15.75" customHeight="1">
      <c r="A176" s="33"/>
      <c r="B176" s="45"/>
      <c r="C176" s="34"/>
      <c r="D176" s="115"/>
      <c r="E176" s="115"/>
      <c r="F176" s="129"/>
      <c r="G176" s="128"/>
    </row>
    <row r="177" ht="15.75" customHeight="1">
      <c r="A177" s="33"/>
      <c r="B177" s="45"/>
      <c r="C177" s="34"/>
      <c r="D177" s="115"/>
      <c r="E177" s="115"/>
      <c r="F177" s="129"/>
      <c r="G177" s="128"/>
    </row>
    <row r="178" ht="15.75" customHeight="1">
      <c r="A178" s="33"/>
      <c r="B178" s="45"/>
      <c r="C178" s="34"/>
      <c r="D178" s="115"/>
      <c r="E178" s="115"/>
      <c r="F178" s="129"/>
      <c r="G178" s="128"/>
    </row>
    <row r="179" ht="15.75" customHeight="1">
      <c r="A179" s="33"/>
      <c r="B179" s="45"/>
      <c r="C179" s="34"/>
      <c r="D179" s="115"/>
      <c r="E179" s="115"/>
      <c r="F179" s="129"/>
      <c r="G179" s="128"/>
    </row>
    <row r="180" ht="15.75" customHeight="1">
      <c r="A180" s="33"/>
      <c r="B180" s="45"/>
      <c r="C180" s="34"/>
      <c r="D180" s="115"/>
      <c r="E180" s="115"/>
      <c r="F180" s="129"/>
      <c r="G180" s="128"/>
    </row>
    <row r="181" ht="15.75" customHeight="1">
      <c r="A181" s="33"/>
      <c r="B181" s="45"/>
      <c r="C181" s="34"/>
      <c r="D181" s="115"/>
      <c r="E181" s="115"/>
      <c r="F181" s="129"/>
      <c r="G181" s="128"/>
    </row>
    <row r="182" ht="15.75" customHeight="1">
      <c r="A182" s="33"/>
      <c r="B182" s="45"/>
      <c r="C182" s="34"/>
      <c r="D182" s="115"/>
      <c r="E182" s="115"/>
      <c r="F182" s="129"/>
      <c r="G182" s="128"/>
    </row>
    <row r="183" ht="15.75" customHeight="1">
      <c r="A183" s="33"/>
      <c r="B183" s="45"/>
      <c r="C183" s="34"/>
      <c r="D183" s="115"/>
      <c r="E183" s="115"/>
      <c r="F183" s="129"/>
      <c r="G183" s="128"/>
    </row>
    <row r="184" ht="15.75" customHeight="1">
      <c r="A184" s="33"/>
      <c r="B184" s="45"/>
      <c r="C184" s="34"/>
      <c r="D184" s="115"/>
      <c r="E184" s="115"/>
      <c r="F184" s="129"/>
      <c r="G184" s="128"/>
    </row>
    <row r="185" ht="15.75" customHeight="1">
      <c r="A185" s="33"/>
      <c r="B185" s="45"/>
      <c r="C185" s="34"/>
      <c r="D185" s="115"/>
      <c r="E185" s="115"/>
      <c r="F185" s="129"/>
      <c r="G185" s="128"/>
    </row>
    <row r="186" ht="15.75" customHeight="1">
      <c r="A186" s="33"/>
      <c r="B186" s="45"/>
      <c r="C186" s="34"/>
      <c r="D186" s="115"/>
      <c r="E186" s="115"/>
      <c r="F186" s="129"/>
      <c r="G186" s="128"/>
    </row>
    <row r="187" ht="15.75" customHeight="1">
      <c r="A187" s="33"/>
      <c r="B187" s="45"/>
      <c r="C187" s="34"/>
      <c r="D187" s="115"/>
      <c r="E187" s="115"/>
      <c r="F187" s="129"/>
      <c r="G187" s="128"/>
    </row>
    <row r="188" ht="15.75" customHeight="1">
      <c r="A188" s="33"/>
      <c r="B188" s="45"/>
      <c r="C188" s="34"/>
      <c r="D188" s="115"/>
      <c r="E188" s="115"/>
      <c r="F188" s="129"/>
      <c r="G188" s="128"/>
    </row>
    <row r="189" ht="15.75" customHeight="1">
      <c r="A189" s="33"/>
      <c r="B189" s="45"/>
      <c r="C189" s="34"/>
      <c r="D189" s="115"/>
      <c r="E189" s="115"/>
      <c r="F189" s="129"/>
      <c r="G189" s="128"/>
    </row>
    <row r="190" ht="15.75" customHeight="1">
      <c r="A190" s="33"/>
      <c r="B190" s="45"/>
      <c r="C190" s="34"/>
      <c r="D190" s="115"/>
      <c r="E190" s="115"/>
      <c r="F190" s="129"/>
      <c r="G190" s="128"/>
    </row>
    <row r="191" ht="15.75" customHeight="1">
      <c r="A191" s="33"/>
      <c r="B191" s="45"/>
      <c r="C191" s="34"/>
      <c r="D191" s="115"/>
      <c r="E191" s="115"/>
      <c r="F191" s="129"/>
      <c r="G191" s="128"/>
    </row>
    <row r="192" ht="15.75" customHeight="1">
      <c r="A192" s="33"/>
      <c r="B192" s="45"/>
      <c r="C192" s="34"/>
      <c r="D192" s="115"/>
      <c r="E192" s="115"/>
      <c r="F192" s="129"/>
      <c r="G192" s="128"/>
    </row>
    <row r="193" ht="15.75" customHeight="1">
      <c r="A193" s="33"/>
      <c r="B193" s="45"/>
      <c r="C193" s="34"/>
      <c r="D193" s="115"/>
      <c r="E193" s="115"/>
      <c r="F193" s="129"/>
      <c r="G193" s="128"/>
    </row>
    <row r="194" ht="15.75" customHeight="1">
      <c r="A194" s="33"/>
      <c r="B194" s="45"/>
      <c r="C194" s="34"/>
      <c r="D194" s="115"/>
      <c r="E194" s="115"/>
      <c r="F194" s="129"/>
      <c r="G194" s="128"/>
    </row>
    <row r="195" ht="15.75" customHeight="1">
      <c r="A195" s="33"/>
      <c r="B195" s="45"/>
      <c r="C195" s="34"/>
      <c r="D195" s="115"/>
      <c r="E195" s="115"/>
      <c r="F195" s="129"/>
      <c r="G195" s="128"/>
    </row>
    <row r="196" ht="15.75" customHeight="1">
      <c r="A196" s="33"/>
      <c r="B196" s="45"/>
      <c r="C196" s="34"/>
      <c r="D196" s="115"/>
      <c r="E196" s="115"/>
      <c r="F196" s="129"/>
      <c r="G196" s="128"/>
    </row>
    <row r="197" ht="15.75" customHeight="1">
      <c r="A197" s="33"/>
      <c r="B197" s="45"/>
      <c r="C197" s="34"/>
      <c r="D197" s="115"/>
      <c r="E197" s="115"/>
      <c r="F197" s="129"/>
      <c r="G197" s="128"/>
    </row>
    <row r="198" ht="15.75" customHeight="1">
      <c r="A198" s="33"/>
      <c r="B198" s="45"/>
      <c r="C198" s="34"/>
      <c r="D198" s="115"/>
      <c r="E198" s="115"/>
      <c r="F198" s="129"/>
      <c r="G198" s="128"/>
    </row>
    <row r="199" ht="15.75" customHeight="1">
      <c r="A199" s="33"/>
      <c r="B199" s="45"/>
      <c r="C199" s="34"/>
      <c r="D199" s="115"/>
      <c r="E199" s="115"/>
      <c r="F199" s="129"/>
      <c r="G199" s="128"/>
    </row>
    <row r="200" ht="15.75" customHeight="1">
      <c r="A200" s="33"/>
      <c r="B200" s="45"/>
      <c r="C200" s="34"/>
      <c r="D200" s="115"/>
      <c r="E200" s="115"/>
      <c r="F200" s="129"/>
      <c r="G200" s="128"/>
    </row>
    <row r="201" ht="15.75" customHeight="1">
      <c r="A201" s="33"/>
      <c r="B201" s="45"/>
      <c r="C201" s="34"/>
      <c r="D201" s="115"/>
      <c r="E201" s="115"/>
      <c r="F201" s="129"/>
      <c r="G201" s="128"/>
    </row>
    <row r="202" ht="15.75" customHeight="1">
      <c r="A202" s="33"/>
      <c r="B202" s="45"/>
      <c r="C202" s="34"/>
      <c r="D202" s="115"/>
      <c r="E202" s="115"/>
      <c r="F202" s="129"/>
      <c r="G202" s="128"/>
    </row>
    <row r="203" ht="15.75" customHeight="1">
      <c r="A203" s="33"/>
      <c r="B203" s="45"/>
      <c r="C203" s="34"/>
      <c r="D203" s="115"/>
      <c r="E203" s="115"/>
      <c r="F203" s="129"/>
      <c r="G203" s="128"/>
    </row>
    <row r="204" ht="15.75" customHeight="1">
      <c r="A204" s="33"/>
      <c r="B204" s="45"/>
      <c r="C204" s="34"/>
      <c r="D204" s="115"/>
      <c r="E204" s="115"/>
      <c r="F204" s="129"/>
      <c r="G204" s="128"/>
    </row>
    <row r="205" ht="15.75" customHeight="1">
      <c r="A205" s="33"/>
      <c r="B205" s="45"/>
      <c r="C205" s="34"/>
      <c r="D205" s="115"/>
      <c r="E205" s="115"/>
      <c r="F205" s="129"/>
      <c r="G205" s="128"/>
    </row>
    <row r="206" ht="15.75" customHeight="1">
      <c r="A206" s="33"/>
      <c r="B206" s="45"/>
      <c r="C206" s="34"/>
      <c r="D206" s="115"/>
      <c r="E206" s="115"/>
      <c r="F206" s="129"/>
      <c r="G206" s="128"/>
    </row>
    <row r="207" ht="15.75" customHeight="1">
      <c r="A207" s="33"/>
      <c r="B207" s="45"/>
      <c r="C207" s="34"/>
      <c r="D207" s="115"/>
      <c r="E207" s="115"/>
      <c r="F207" s="129"/>
      <c r="G207" s="128"/>
    </row>
    <row r="208" ht="15.75" customHeight="1">
      <c r="A208" s="33"/>
      <c r="B208" s="45"/>
      <c r="C208" s="34"/>
      <c r="D208" s="115"/>
      <c r="E208" s="115"/>
      <c r="F208" s="129"/>
      <c r="G208" s="128"/>
    </row>
    <row r="209" ht="15.75" customHeight="1">
      <c r="A209" s="33"/>
      <c r="B209" s="45"/>
      <c r="C209" s="34"/>
      <c r="D209" s="115"/>
      <c r="E209" s="115"/>
      <c r="F209" s="129"/>
      <c r="G209" s="128"/>
    </row>
    <row r="210" ht="15.75" customHeight="1">
      <c r="A210" s="33"/>
      <c r="B210" s="45"/>
      <c r="C210" s="34"/>
      <c r="D210" s="115"/>
      <c r="E210" s="115"/>
      <c r="F210" s="129"/>
      <c r="G210" s="128"/>
    </row>
    <row r="211" ht="15.75" customHeight="1">
      <c r="A211" s="33"/>
      <c r="B211" s="45"/>
      <c r="C211" s="34"/>
      <c r="D211" s="115"/>
      <c r="E211" s="115"/>
      <c r="F211" s="129"/>
      <c r="G211" s="128"/>
    </row>
    <row r="212" ht="15.75" customHeight="1">
      <c r="A212" s="33"/>
      <c r="B212" s="45"/>
      <c r="C212" s="34"/>
      <c r="D212" s="115"/>
      <c r="E212" s="115"/>
      <c r="F212" s="129"/>
      <c r="G212" s="128"/>
    </row>
    <row r="213" ht="15.75" customHeight="1">
      <c r="A213" s="33"/>
      <c r="B213" s="45"/>
      <c r="C213" s="34"/>
      <c r="D213" s="115"/>
      <c r="E213" s="115"/>
      <c r="F213" s="129"/>
      <c r="G213" s="128"/>
    </row>
    <row r="214" ht="15.75" customHeight="1">
      <c r="A214" s="33"/>
      <c r="B214" s="45"/>
      <c r="C214" s="34"/>
      <c r="D214" s="115"/>
      <c r="E214" s="115"/>
      <c r="F214" s="129"/>
      <c r="G214" s="128"/>
    </row>
    <row r="215" ht="15.75" customHeight="1">
      <c r="A215" s="33"/>
      <c r="B215" s="45"/>
      <c r="C215" s="34"/>
      <c r="D215" s="115"/>
      <c r="E215" s="115"/>
      <c r="F215" s="129"/>
      <c r="G215" s="128"/>
    </row>
    <row r="216" ht="15.75" customHeight="1">
      <c r="A216" s="33"/>
      <c r="B216" s="45"/>
      <c r="C216" s="34"/>
      <c r="D216" s="115"/>
      <c r="E216" s="115"/>
      <c r="F216" s="129"/>
      <c r="G216" s="128"/>
    </row>
    <row r="217" ht="15.75" customHeight="1">
      <c r="A217" s="33"/>
      <c r="B217" s="45"/>
      <c r="C217" s="34"/>
      <c r="D217" s="115"/>
      <c r="E217" s="115"/>
      <c r="F217" s="129"/>
      <c r="G217" s="128"/>
    </row>
    <row r="218" ht="15.75" customHeight="1">
      <c r="A218" s="33"/>
      <c r="B218" s="45"/>
      <c r="C218" s="34"/>
      <c r="D218" s="115"/>
      <c r="E218" s="115"/>
      <c r="F218" s="129"/>
      <c r="G218" s="128"/>
    </row>
    <row r="219" ht="15.75" customHeight="1">
      <c r="A219" s="33"/>
      <c r="B219" s="45"/>
      <c r="C219" s="34"/>
      <c r="D219" s="115"/>
      <c r="E219" s="115"/>
      <c r="F219" s="129"/>
      <c r="G219" s="128"/>
    </row>
    <row r="220" ht="15.75" customHeight="1">
      <c r="A220" s="33"/>
      <c r="B220" s="45"/>
      <c r="C220" s="34"/>
      <c r="D220" s="115"/>
      <c r="E220" s="115"/>
      <c r="F220" s="129"/>
      <c r="G220" s="128"/>
    </row>
    <row r="221" ht="15.75" customHeight="1">
      <c r="A221" s="33"/>
      <c r="B221" s="45"/>
      <c r="C221" s="34"/>
      <c r="D221" s="115"/>
      <c r="E221" s="115"/>
      <c r="F221" s="129"/>
      <c r="G221" s="128"/>
    </row>
    <row r="222" ht="15.75" customHeight="1">
      <c r="A222" s="33"/>
      <c r="B222" s="45"/>
      <c r="C222" s="34"/>
      <c r="D222" s="115"/>
      <c r="E222" s="115"/>
      <c r="F222" s="129"/>
      <c r="G222" s="128"/>
    </row>
    <row r="223" ht="15.75" customHeight="1">
      <c r="A223" s="33"/>
      <c r="B223" s="45"/>
      <c r="C223" s="34"/>
      <c r="D223" s="115"/>
      <c r="E223" s="115"/>
      <c r="F223" s="129"/>
      <c r="G223" s="128"/>
    </row>
    <row r="224" ht="15.75" customHeight="1">
      <c r="A224" s="33"/>
      <c r="B224" s="45"/>
      <c r="C224" s="34"/>
      <c r="D224" s="115"/>
      <c r="E224" s="115"/>
      <c r="F224" s="129"/>
      <c r="G224" s="128"/>
    </row>
    <row r="225" ht="15.75" customHeight="1">
      <c r="A225" s="33"/>
      <c r="B225" s="45"/>
      <c r="C225" s="34"/>
      <c r="D225" s="115"/>
      <c r="E225" s="115"/>
      <c r="F225" s="129"/>
      <c r="G225" s="128"/>
    </row>
    <row r="226" ht="15.75" customHeight="1">
      <c r="A226" s="33"/>
      <c r="B226" s="45"/>
      <c r="C226" s="34"/>
      <c r="D226" s="115"/>
      <c r="E226" s="115"/>
      <c r="F226" s="129"/>
      <c r="G226" s="128"/>
    </row>
    <row r="227" ht="15.75" customHeight="1">
      <c r="A227" s="33"/>
      <c r="B227" s="45"/>
      <c r="C227" s="34"/>
      <c r="D227" s="115"/>
      <c r="E227" s="115"/>
      <c r="F227" s="129"/>
      <c r="G227" s="128"/>
    </row>
    <row r="228" ht="15.75" customHeight="1">
      <c r="A228" s="33"/>
      <c r="B228" s="45"/>
      <c r="C228" s="34"/>
      <c r="D228" s="115"/>
      <c r="E228" s="115"/>
      <c r="F228" s="129"/>
      <c r="G228" s="128"/>
    </row>
    <row r="229" ht="15.75" customHeight="1">
      <c r="A229" s="33"/>
      <c r="B229" s="45"/>
      <c r="C229" s="34"/>
      <c r="D229" s="115"/>
      <c r="E229" s="115"/>
      <c r="F229" s="129"/>
      <c r="G229" s="128"/>
    </row>
    <row r="230" ht="15.75" customHeight="1">
      <c r="A230" s="33"/>
      <c r="B230" s="45"/>
      <c r="C230" s="34"/>
      <c r="D230" s="115"/>
      <c r="E230" s="115"/>
      <c r="F230" s="129"/>
      <c r="G230" s="128"/>
    </row>
    <row r="231" ht="15.75" customHeight="1">
      <c r="A231" s="33"/>
      <c r="B231" s="45"/>
      <c r="C231" s="34"/>
      <c r="D231" s="115"/>
      <c r="E231" s="115"/>
      <c r="F231" s="129"/>
      <c r="G231" s="128"/>
    </row>
    <row r="232" ht="15.75" customHeight="1">
      <c r="A232" s="33"/>
      <c r="B232" s="45"/>
      <c r="C232" s="34"/>
      <c r="D232" s="115"/>
      <c r="E232" s="115"/>
      <c r="F232" s="129"/>
      <c r="G232" s="128"/>
    </row>
    <row r="233" ht="15.75" customHeight="1">
      <c r="A233" s="33"/>
      <c r="B233" s="45"/>
      <c r="C233" s="34"/>
      <c r="D233" s="115"/>
      <c r="E233" s="115"/>
      <c r="F233" s="129"/>
      <c r="G233" s="128"/>
    </row>
    <row r="234" ht="15.75" customHeight="1">
      <c r="A234" s="33"/>
      <c r="B234" s="45"/>
      <c r="C234" s="34"/>
      <c r="D234" s="115"/>
      <c r="E234" s="115"/>
      <c r="F234" s="129"/>
      <c r="G234" s="128"/>
    </row>
    <row r="235" ht="15.75" customHeight="1">
      <c r="A235" s="33"/>
      <c r="B235" s="45"/>
      <c r="C235" s="34"/>
      <c r="D235" s="115"/>
      <c r="E235" s="115"/>
      <c r="F235" s="129"/>
      <c r="G235" s="128"/>
    </row>
    <row r="236" ht="15.75" customHeight="1">
      <c r="A236" s="33"/>
      <c r="B236" s="45"/>
      <c r="C236" s="34"/>
      <c r="D236" s="115"/>
      <c r="E236" s="115"/>
      <c r="F236" s="129"/>
      <c r="G236" s="128"/>
    </row>
    <row r="237" ht="15.75" customHeight="1">
      <c r="A237" s="33"/>
      <c r="B237" s="45"/>
      <c r="C237" s="34"/>
      <c r="D237" s="115"/>
      <c r="E237" s="115"/>
      <c r="F237" s="129"/>
      <c r="G237" s="128"/>
    </row>
    <row r="238" ht="15.75" customHeight="1">
      <c r="A238" s="33"/>
      <c r="B238" s="45"/>
      <c r="C238" s="34"/>
      <c r="D238" s="115"/>
      <c r="E238" s="115"/>
      <c r="F238" s="129"/>
      <c r="G238" s="128"/>
    </row>
    <row r="239" ht="15.75" customHeight="1">
      <c r="A239" s="33"/>
      <c r="B239" s="45"/>
      <c r="C239" s="34"/>
      <c r="D239" s="115"/>
      <c r="E239" s="115"/>
      <c r="F239" s="129"/>
      <c r="G239" s="128"/>
    </row>
    <row r="240" ht="15.75" customHeight="1">
      <c r="A240" s="33"/>
      <c r="B240" s="45"/>
      <c r="C240" s="34"/>
      <c r="D240" s="115"/>
      <c r="E240" s="115"/>
      <c r="F240" s="129"/>
      <c r="G240" s="128"/>
    </row>
    <row r="241" ht="15.75" customHeight="1">
      <c r="A241" s="33"/>
      <c r="B241" s="45"/>
      <c r="C241" s="34"/>
      <c r="D241" s="115"/>
      <c r="E241" s="115"/>
      <c r="F241" s="129"/>
      <c r="G241" s="128"/>
    </row>
    <row r="242" ht="15.75" customHeight="1">
      <c r="A242" s="33"/>
      <c r="B242" s="45"/>
      <c r="C242" s="34"/>
      <c r="D242" s="115"/>
      <c r="E242" s="115"/>
      <c r="F242" s="129"/>
      <c r="G242" s="128"/>
    </row>
    <row r="243" ht="15.75" customHeight="1">
      <c r="A243" s="33"/>
      <c r="B243" s="45"/>
      <c r="C243" s="34"/>
      <c r="D243" s="115"/>
      <c r="E243" s="115"/>
      <c r="F243" s="129"/>
      <c r="G243" s="128"/>
    </row>
    <row r="244" ht="15.75" customHeight="1">
      <c r="A244" s="33"/>
      <c r="B244" s="45"/>
      <c r="C244" s="34"/>
      <c r="D244" s="115"/>
      <c r="E244" s="115"/>
      <c r="F244" s="129"/>
      <c r="G244" s="128"/>
    </row>
    <row r="245" ht="15.75" customHeight="1">
      <c r="A245" s="33"/>
      <c r="B245" s="45"/>
      <c r="C245" s="34"/>
      <c r="D245" s="115"/>
      <c r="E245" s="115"/>
      <c r="F245" s="129"/>
      <c r="G245" s="128"/>
    </row>
    <row r="246" ht="15.75" customHeight="1">
      <c r="A246" s="33"/>
      <c r="B246" s="45"/>
      <c r="C246" s="34"/>
      <c r="D246" s="115"/>
      <c r="E246" s="115"/>
      <c r="F246" s="129"/>
      <c r="G246" s="128"/>
    </row>
    <row r="247" ht="15.75" customHeight="1">
      <c r="A247" s="33"/>
      <c r="B247" s="45"/>
      <c r="C247" s="34"/>
      <c r="D247" s="115"/>
      <c r="E247" s="115"/>
      <c r="F247" s="129"/>
      <c r="G247" s="128"/>
    </row>
    <row r="248" ht="15.75" customHeight="1">
      <c r="A248" s="33"/>
      <c r="B248" s="45"/>
      <c r="C248" s="34"/>
      <c r="D248" s="115"/>
      <c r="E248" s="115"/>
      <c r="F248" s="129"/>
      <c r="G248" s="128"/>
    </row>
    <row r="249" ht="15.75" customHeight="1">
      <c r="A249" s="33"/>
      <c r="B249" s="45"/>
      <c r="C249" s="34"/>
      <c r="D249" s="115"/>
      <c r="E249" s="115"/>
      <c r="F249" s="129"/>
      <c r="G249" s="128"/>
    </row>
    <row r="250" ht="15.75" customHeight="1">
      <c r="A250" s="33"/>
      <c r="B250" s="45"/>
      <c r="C250" s="34"/>
      <c r="D250" s="115"/>
      <c r="E250" s="115"/>
      <c r="F250" s="129"/>
      <c r="G250" s="128"/>
    </row>
    <row r="251" ht="15.75" customHeight="1">
      <c r="A251" s="33"/>
      <c r="B251" s="45"/>
      <c r="C251" s="34"/>
      <c r="D251" s="115"/>
      <c r="E251" s="115"/>
      <c r="F251" s="129"/>
      <c r="G251" s="128"/>
    </row>
    <row r="252" ht="15.75" customHeight="1">
      <c r="A252" s="33"/>
      <c r="B252" s="45"/>
      <c r="C252" s="34"/>
      <c r="D252" s="115"/>
      <c r="E252" s="115"/>
      <c r="F252" s="129"/>
      <c r="G252" s="128"/>
    </row>
    <row r="253" ht="15.75" customHeight="1">
      <c r="A253" s="33"/>
      <c r="B253" s="45"/>
      <c r="C253" s="34"/>
      <c r="D253" s="115"/>
      <c r="E253" s="115"/>
      <c r="F253" s="129"/>
      <c r="G253" s="128"/>
    </row>
    <row r="254" ht="15.75" customHeight="1">
      <c r="A254" s="33"/>
      <c r="B254" s="45"/>
      <c r="C254" s="34"/>
      <c r="D254" s="115"/>
      <c r="E254" s="115"/>
      <c r="F254" s="129"/>
      <c r="G254" s="128"/>
    </row>
    <row r="255" ht="15.75" customHeight="1">
      <c r="A255" s="33"/>
      <c r="B255" s="45"/>
      <c r="C255" s="34"/>
      <c r="D255" s="115"/>
      <c r="E255" s="115"/>
      <c r="F255" s="129"/>
      <c r="G255" s="128"/>
    </row>
    <row r="256" ht="15.75" customHeight="1">
      <c r="A256" s="33"/>
      <c r="B256" s="45"/>
      <c r="C256" s="34"/>
      <c r="D256" s="115"/>
      <c r="E256" s="115"/>
      <c r="F256" s="129"/>
      <c r="G256" s="128"/>
    </row>
    <row r="257" ht="15.75" customHeight="1">
      <c r="A257" s="33"/>
      <c r="B257" s="45"/>
      <c r="C257" s="34"/>
      <c r="D257" s="115"/>
      <c r="E257" s="115"/>
      <c r="F257" s="129"/>
      <c r="G257" s="128"/>
    </row>
    <row r="258" ht="15.75" customHeight="1">
      <c r="A258" s="33"/>
      <c r="B258" s="45"/>
      <c r="C258" s="34"/>
      <c r="D258" s="115"/>
      <c r="E258" s="115"/>
      <c r="F258" s="129"/>
      <c r="G258" s="128"/>
    </row>
    <row r="259" ht="15.75" customHeight="1">
      <c r="A259" s="33"/>
      <c r="B259" s="45"/>
      <c r="C259" s="34"/>
      <c r="D259" s="115"/>
      <c r="E259" s="115"/>
      <c r="F259" s="129"/>
      <c r="G259" s="128"/>
    </row>
    <row r="260" ht="15.75" customHeight="1">
      <c r="A260" s="33"/>
      <c r="B260" s="45"/>
      <c r="C260" s="34"/>
      <c r="D260" s="115"/>
      <c r="E260" s="115"/>
      <c r="F260" s="129"/>
      <c r="G260" s="128"/>
    </row>
    <row r="261" ht="15.75" customHeight="1">
      <c r="A261" s="33"/>
      <c r="B261" s="45"/>
      <c r="C261" s="34"/>
      <c r="D261" s="115"/>
      <c r="E261" s="115"/>
      <c r="F261" s="129"/>
      <c r="G261" s="128"/>
    </row>
    <row r="262" ht="15.75" customHeight="1">
      <c r="A262" s="33"/>
      <c r="B262" s="45"/>
      <c r="C262" s="34"/>
      <c r="D262" s="115"/>
      <c r="E262" s="115"/>
      <c r="F262" s="129"/>
      <c r="G262" s="128"/>
    </row>
    <row r="263" ht="15.75" customHeight="1">
      <c r="A263" s="33"/>
      <c r="B263" s="45"/>
      <c r="C263" s="34"/>
      <c r="D263" s="115"/>
      <c r="E263" s="115"/>
      <c r="F263" s="129"/>
      <c r="G263" s="128"/>
    </row>
    <row r="264" ht="15.75" customHeight="1">
      <c r="A264" s="33"/>
      <c r="B264" s="45"/>
      <c r="C264" s="34"/>
      <c r="D264" s="115"/>
      <c r="E264" s="115"/>
      <c r="F264" s="129"/>
      <c r="G264" s="128"/>
    </row>
    <row r="265" ht="15.75" customHeight="1">
      <c r="A265" s="33"/>
      <c r="B265" s="45"/>
      <c r="C265" s="34"/>
      <c r="D265" s="115"/>
      <c r="E265" s="115"/>
      <c r="F265" s="129"/>
      <c r="G265" s="128"/>
    </row>
    <row r="266" ht="15.75" customHeight="1">
      <c r="A266" s="33"/>
      <c r="B266" s="45"/>
      <c r="C266" s="34"/>
      <c r="D266" s="115"/>
      <c r="E266" s="115"/>
      <c r="F266" s="129"/>
      <c r="G266" s="128"/>
    </row>
    <row r="267" ht="15.75" customHeight="1">
      <c r="A267" s="33"/>
      <c r="B267" s="45"/>
      <c r="C267" s="34"/>
      <c r="D267" s="115"/>
      <c r="E267" s="115"/>
      <c r="F267" s="129"/>
      <c r="G267" s="128"/>
    </row>
    <row r="268" ht="15.75" customHeight="1">
      <c r="A268" s="33"/>
      <c r="B268" s="45"/>
      <c r="C268" s="34"/>
      <c r="D268" s="115"/>
      <c r="E268" s="115"/>
      <c r="F268" s="129"/>
      <c r="G268" s="128"/>
    </row>
    <row r="269" ht="15.75" customHeight="1">
      <c r="A269" s="33"/>
      <c r="B269" s="45"/>
      <c r="C269" s="34"/>
      <c r="D269" s="115"/>
      <c r="E269" s="115"/>
      <c r="F269" s="129"/>
      <c r="G269" s="128"/>
    </row>
    <row r="270" ht="15.75" customHeight="1">
      <c r="A270" s="33"/>
      <c r="B270" s="45"/>
      <c r="C270" s="34"/>
      <c r="D270" s="115"/>
      <c r="E270" s="115"/>
      <c r="F270" s="129"/>
      <c r="G270" s="128"/>
    </row>
    <row r="271" ht="15.75" customHeight="1">
      <c r="A271" s="33"/>
      <c r="B271" s="45"/>
      <c r="C271" s="34"/>
      <c r="D271" s="115"/>
      <c r="E271" s="115"/>
      <c r="F271" s="129"/>
      <c r="G271" s="128"/>
    </row>
    <row r="272" ht="15.75" customHeight="1">
      <c r="A272" s="33"/>
      <c r="B272" s="45"/>
      <c r="C272" s="34"/>
      <c r="D272" s="115"/>
      <c r="E272" s="115"/>
      <c r="F272" s="129"/>
      <c r="G272" s="128"/>
    </row>
    <row r="273" ht="15.75" customHeight="1">
      <c r="A273" s="33"/>
      <c r="B273" s="45"/>
      <c r="C273" s="34"/>
      <c r="D273" s="115"/>
      <c r="E273" s="115"/>
      <c r="F273" s="129"/>
      <c r="G273" s="128"/>
    </row>
    <row r="274" ht="15.75" customHeight="1">
      <c r="A274" s="33"/>
      <c r="B274" s="45"/>
      <c r="C274" s="34"/>
      <c r="D274" s="115"/>
      <c r="E274" s="115"/>
      <c r="F274" s="129"/>
      <c r="G274" s="128"/>
    </row>
    <row r="275" ht="15.75" customHeight="1">
      <c r="A275" s="33"/>
      <c r="B275" s="45"/>
      <c r="C275" s="34"/>
      <c r="D275" s="115"/>
      <c r="E275" s="115"/>
      <c r="F275" s="129"/>
      <c r="G275" s="128"/>
    </row>
    <row r="276" ht="15.75" customHeight="1">
      <c r="A276" s="33"/>
      <c r="B276" s="45"/>
      <c r="C276" s="34"/>
      <c r="D276" s="115"/>
      <c r="E276" s="115"/>
      <c r="F276" s="129"/>
      <c r="G276" s="128"/>
    </row>
    <row r="277" ht="15.75" customHeight="1">
      <c r="A277" s="33"/>
      <c r="B277" s="45"/>
      <c r="C277" s="34"/>
      <c r="D277" s="115"/>
      <c r="E277" s="115"/>
      <c r="F277" s="129"/>
      <c r="G277" s="128"/>
    </row>
    <row r="278" ht="15.75" customHeight="1">
      <c r="A278" s="33"/>
      <c r="B278" s="45"/>
      <c r="C278" s="34"/>
      <c r="D278" s="115"/>
      <c r="E278" s="115"/>
      <c r="F278" s="129"/>
      <c r="G278" s="128"/>
    </row>
    <row r="279" ht="15.75" customHeight="1">
      <c r="A279" s="33"/>
      <c r="B279" s="45"/>
      <c r="C279" s="34"/>
      <c r="D279" s="115"/>
      <c r="E279" s="115"/>
      <c r="F279" s="129"/>
      <c r="G279" s="128"/>
    </row>
    <row r="280" ht="15.75" customHeight="1">
      <c r="A280" s="33"/>
      <c r="B280" s="45"/>
      <c r="C280" s="34"/>
      <c r="D280" s="115"/>
      <c r="E280" s="115"/>
      <c r="F280" s="129"/>
      <c r="G280" s="128"/>
    </row>
    <row r="281" ht="15.75" customHeight="1">
      <c r="A281" s="33"/>
      <c r="B281" s="45"/>
      <c r="C281" s="34"/>
      <c r="D281" s="115"/>
      <c r="E281" s="115"/>
      <c r="F281" s="129"/>
      <c r="G281" s="128"/>
    </row>
    <row r="282" ht="15.75" customHeight="1">
      <c r="A282" s="33"/>
      <c r="B282" s="45"/>
      <c r="C282" s="34"/>
      <c r="D282" s="115"/>
      <c r="E282" s="115"/>
      <c r="F282" s="129"/>
      <c r="G282" s="128"/>
    </row>
    <row r="283" ht="15.75" customHeight="1">
      <c r="A283" s="33"/>
      <c r="B283" s="45"/>
      <c r="C283" s="34"/>
      <c r="D283" s="115"/>
      <c r="E283" s="115"/>
      <c r="F283" s="129"/>
      <c r="G283" s="128"/>
    </row>
    <row r="284" ht="15.75" customHeight="1">
      <c r="A284" s="33"/>
      <c r="B284" s="45"/>
      <c r="C284" s="34"/>
      <c r="D284" s="115"/>
      <c r="E284" s="115"/>
      <c r="F284" s="129"/>
      <c r="G284" s="128"/>
    </row>
    <row r="285" ht="15.75" customHeight="1">
      <c r="A285" s="33"/>
      <c r="B285" s="45"/>
      <c r="C285" s="34"/>
      <c r="D285" s="115"/>
      <c r="E285" s="115"/>
      <c r="F285" s="129"/>
      <c r="G285" s="128"/>
    </row>
    <row r="286" ht="15.75" customHeight="1">
      <c r="A286" s="33"/>
      <c r="B286" s="45"/>
      <c r="C286" s="34"/>
      <c r="D286" s="115"/>
      <c r="E286" s="115"/>
      <c r="F286" s="129"/>
      <c r="G286" s="128"/>
    </row>
    <row r="287" ht="15.75" customHeight="1">
      <c r="A287" s="33"/>
      <c r="B287" s="45"/>
      <c r="C287" s="34"/>
      <c r="D287" s="115"/>
      <c r="E287" s="115"/>
      <c r="F287" s="129"/>
      <c r="G287" s="128"/>
    </row>
    <row r="288" ht="15.75" customHeight="1">
      <c r="A288" s="33"/>
      <c r="B288" s="45"/>
      <c r="C288" s="34"/>
      <c r="D288" s="115"/>
      <c r="E288" s="115"/>
      <c r="F288" s="129"/>
      <c r="G288" s="128"/>
    </row>
    <row r="289" ht="15.75" customHeight="1">
      <c r="A289" s="33"/>
      <c r="B289" s="45"/>
      <c r="C289" s="34"/>
      <c r="D289" s="115"/>
      <c r="E289" s="115"/>
      <c r="F289" s="129"/>
      <c r="G289" s="128"/>
    </row>
    <row r="290" ht="15.75" customHeight="1">
      <c r="A290" s="33"/>
      <c r="B290" s="45"/>
      <c r="C290" s="34"/>
      <c r="D290" s="115"/>
      <c r="E290" s="115"/>
      <c r="F290" s="129"/>
      <c r="G290" s="128"/>
    </row>
    <row r="291" ht="15.75" customHeight="1">
      <c r="A291" s="33"/>
      <c r="B291" s="45"/>
      <c r="C291" s="34"/>
      <c r="D291" s="115"/>
      <c r="E291" s="115"/>
      <c r="F291" s="129"/>
      <c r="G291" s="128"/>
    </row>
    <row r="292" ht="15.75" customHeight="1">
      <c r="A292" s="33"/>
      <c r="B292" s="45"/>
      <c r="C292" s="34"/>
      <c r="D292" s="115"/>
      <c r="E292" s="115"/>
      <c r="F292" s="129"/>
      <c r="G292" s="128"/>
    </row>
    <row r="293" ht="15.75" customHeight="1">
      <c r="A293" s="33"/>
      <c r="B293" s="45"/>
      <c r="C293" s="34"/>
      <c r="D293" s="115"/>
      <c r="E293" s="115"/>
      <c r="F293" s="129"/>
      <c r="G293" s="128"/>
    </row>
    <row r="294" ht="15.75" customHeight="1">
      <c r="A294" s="33"/>
      <c r="B294" s="45"/>
      <c r="C294" s="34"/>
      <c r="D294" s="115"/>
      <c r="E294" s="115"/>
      <c r="F294" s="129"/>
      <c r="G294" s="128"/>
    </row>
    <row r="295" ht="15.75" customHeight="1">
      <c r="A295" s="33"/>
      <c r="B295" s="45"/>
      <c r="C295" s="34"/>
      <c r="D295" s="115"/>
      <c r="E295" s="115"/>
      <c r="F295" s="129"/>
      <c r="G295" s="128"/>
    </row>
    <row r="296" ht="15.75" customHeight="1">
      <c r="A296" s="33"/>
      <c r="B296" s="45"/>
      <c r="C296" s="34"/>
      <c r="D296" s="115"/>
      <c r="E296" s="115"/>
      <c r="F296" s="129"/>
      <c r="G296" s="128"/>
    </row>
    <row r="297" ht="15.75" customHeight="1">
      <c r="A297" s="33"/>
      <c r="B297" s="45"/>
      <c r="C297" s="34"/>
      <c r="D297" s="115"/>
      <c r="E297" s="115"/>
      <c r="F297" s="129"/>
      <c r="G297" s="128"/>
    </row>
    <row r="298" ht="15.75" customHeight="1">
      <c r="A298" s="33"/>
      <c r="B298" s="45"/>
      <c r="C298" s="34"/>
      <c r="D298" s="115"/>
      <c r="E298" s="115"/>
      <c r="F298" s="129"/>
      <c r="G298" s="128"/>
    </row>
    <row r="299" ht="15.75" customHeight="1">
      <c r="A299" s="33"/>
      <c r="B299" s="45"/>
      <c r="C299" s="34"/>
      <c r="D299" s="115"/>
      <c r="E299" s="115"/>
      <c r="F299" s="129"/>
      <c r="G299" s="128"/>
    </row>
    <row r="300" ht="15.75" customHeight="1">
      <c r="A300" s="33"/>
      <c r="B300" s="45"/>
      <c r="C300" s="34"/>
      <c r="D300" s="115"/>
      <c r="E300" s="115"/>
      <c r="F300" s="129"/>
      <c r="G300" s="128"/>
    </row>
    <row r="301" ht="15.75" customHeight="1">
      <c r="A301" s="33"/>
      <c r="B301" s="45"/>
      <c r="C301" s="34"/>
      <c r="D301" s="115"/>
      <c r="E301" s="115"/>
      <c r="F301" s="129"/>
      <c r="G301" s="128"/>
    </row>
    <row r="302" ht="15.75" customHeight="1">
      <c r="A302" s="33"/>
      <c r="B302" s="45"/>
      <c r="C302" s="34"/>
      <c r="D302" s="115"/>
      <c r="E302" s="115"/>
      <c r="F302" s="129"/>
      <c r="G302" s="128"/>
    </row>
    <row r="303" ht="15.75" customHeight="1">
      <c r="A303" s="33"/>
      <c r="B303" s="45"/>
      <c r="C303" s="34"/>
      <c r="D303" s="115"/>
      <c r="E303" s="115"/>
      <c r="F303" s="129"/>
      <c r="G303" s="128"/>
    </row>
    <row r="304" ht="15.75" customHeight="1">
      <c r="A304" s="33"/>
      <c r="B304" s="45"/>
      <c r="C304" s="34"/>
      <c r="D304" s="115"/>
      <c r="E304" s="115"/>
      <c r="F304" s="129"/>
      <c r="G304" s="128"/>
    </row>
    <row r="305" ht="15.75" customHeight="1">
      <c r="A305" s="33"/>
      <c r="B305" s="45"/>
      <c r="C305" s="34"/>
      <c r="D305" s="115"/>
      <c r="E305" s="115"/>
      <c r="F305" s="129"/>
      <c r="G305" s="128"/>
    </row>
    <row r="306" ht="15.75" customHeight="1">
      <c r="A306" s="33"/>
      <c r="B306" s="45"/>
      <c r="C306" s="34"/>
      <c r="D306" s="115"/>
      <c r="E306" s="115"/>
      <c r="F306" s="129"/>
      <c r="G306" s="128"/>
    </row>
    <row r="307" ht="15.75" customHeight="1">
      <c r="A307" s="33"/>
      <c r="B307" s="45"/>
      <c r="C307" s="34"/>
      <c r="D307" s="115"/>
      <c r="E307" s="115"/>
      <c r="F307" s="129"/>
      <c r="G307" s="128"/>
    </row>
    <row r="308" ht="15.75" customHeight="1">
      <c r="A308" s="33"/>
      <c r="B308" s="45"/>
      <c r="C308" s="34"/>
      <c r="D308" s="115"/>
      <c r="E308" s="115"/>
      <c r="F308" s="129"/>
      <c r="G308" s="128"/>
    </row>
    <row r="309" ht="15.75" customHeight="1">
      <c r="A309" s="33"/>
      <c r="B309" s="45"/>
      <c r="C309" s="34"/>
      <c r="D309" s="115"/>
      <c r="E309" s="115"/>
      <c r="F309" s="129"/>
      <c r="G309" s="128"/>
    </row>
    <row r="310" ht="15.75" customHeight="1">
      <c r="A310" s="33"/>
      <c r="B310" s="45"/>
      <c r="C310" s="34"/>
      <c r="D310" s="115"/>
      <c r="E310" s="115"/>
      <c r="F310" s="129"/>
      <c r="G310" s="128"/>
    </row>
    <row r="311" ht="15.75" customHeight="1">
      <c r="A311" s="33"/>
      <c r="B311" s="45"/>
      <c r="C311" s="34"/>
      <c r="D311" s="115"/>
      <c r="E311" s="115"/>
      <c r="F311" s="129"/>
      <c r="G311" s="128"/>
    </row>
    <row r="312" ht="15.75" customHeight="1">
      <c r="A312" s="33"/>
      <c r="B312" s="45"/>
      <c r="C312" s="34"/>
      <c r="D312" s="115"/>
      <c r="E312" s="115"/>
      <c r="F312" s="129"/>
      <c r="G312" s="128"/>
    </row>
    <row r="313" ht="15.75" customHeight="1">
      <c r="A313" s="33"/>
      <c r="B313" s="45"/>
      <c r="C313" s="34"/>
      <c r="D313" s="115"/>
      <c r="E313" s="115"/>
      <c r="F313" s="129"/>
      <c r="G313" s="128"/>
    </row>
    <row r="314" ht="15.75" customHeight="1">
      <c r="A314" s="33"/>
      <c r="B314" s="45"/>
      <c r="C314" s="34"/>
      <c r="D314" s="115"/>
      <c r="E314" s="115"/>
      <c r="F314" s="129"/>
      <c r="G314" s="128"/>
    </row>
    <row r="315" ht="15.75" customHeight="1">
      <c r="A315" s="33"/>
      <c r="B315" s="45"/>
      <c r="C315" s="34"/>
      <c r="D315" s="115"/>
      <c r="E315" s="115"/>
      <c r="F315" s="129"/>
      <c r="G315" s="128"/>
    </row>
    <row r="316" ht="15.75" customHeight="1">
      <c r="A316" s="33"/>
      <c r="B316" s="45"/>
      <c r="C316" s="34"/>
      <c r="D316" s="115"/>
      <c r="E316" s="115"/>
      <c r="F316" s="129"/>
      <c r="G316" s="128"/>
    </row>
    <row r="317" ht="15.75" customHeight="1">
      <c r="A317" s="33"/>
      <c r="B317" s="45"/>
      <c r="C317" s="34"/>
      <c r="D317" s="115"/>
      <c r="E317" s="115"/>
      <c r="F317" s="129"/>
      <c r="G317" s="128"/>
    </row>
    <row r="318" ht="15.75" customHeight="1">
      <c r="A318" s="33"/>
      <c r="B318" s="45"/>
      <c r="C318" s="34"/>
      <c r="D318" s="115"/>
      <c r="E318" s="115"/>
      <c r="F318" s="129"/>
      <c r="G318" s="128"/>
    </row>
    <row r="319" ht="15.75" customHeight="1">
      <c r="A319" s="33"/>
      <c r="B319" s="45"/>
      <c r="C319" s="34"/>
      <c r="D319" s="115"/>
      <c r="E319" s="115"/>
      <c r="F319" s="129"/>
      <c r="G319" s="128"/>
    </row>
    <row r="320" ht="15.75" customHeight="1">
      <c r="A320" s="33"/>
      <c r="B320" s="45"/>
      <c r="C320" s="34"/>
      <c r="D320" s="115"/>
      <c r="E320" s="115"/>
      <c r="F320" s="129"/>
      <c r="G320" s="128"/>
    </row>
    <row r="321" ht="15.75" customHeight="1">
      <c r="A321" s="33"/>
      <c r="B321" s="45"/>
      <c r="C321" s="34"/>
      <c r="D321" s="115"/>
      <c r="E321" s="115"/>
      <c r="F321" s="129"/>
      <c r="G321" s="128"/>
    </row>
    <row r="322" ht="15.75" customHeight="1">
      <c r="A322" s="33"/>
      <c r="B322" s="45"/>
      <c r="C322" s="34"/>
      <c r="D322" s="115"/>
      <c r="E322" s="115"/>
      <c r="F322" s="129"/>
      <c r="G322" s="128"/>
    </row>
    <row r="323" ht="15.75" customHeight="1">
      <c r="A323" s="33"/>
      <c r="B323" s="45"/>
      <c r="C323" s="34"/>
      <c r="D323" s="115"/>
      <c r="E323" s="115"/>
      <c r="F323" s="129"/>
      <c r="G323" s="128"/>
    </row>
    <row r="324" ht="15.75" customHeight="1">
      <c r="A324" s="33"/>
      <c r="B324" s="45"/>
      <c r="C324" s="34"/>
      <c r="D324" s="115"/>
      <c r="E324" s="115"/>
      <c r="F324" s="129"/>
      <c r="G324" s="128"/>
    </row>
    <row r="325" ht="15.75" customHeight="1">
      <c r="A325" s="33"/>
      <c r="B325" s="45"/>
      <c r="C325" s="34"/>
      <c r="D325" s="115"/>
      <c r="E325" s="115"/>
      <c r="F325" s="129"/>
      <c r="G325" s="128"/>
    </row>
    <row r="326" ht="15.75" customHeight="1">
      <c r="A326" s="33"/>
      <c r="B326" s="45"/>
      <c r="C326" s="34"/>
      <c r="D326" s="115"/>
      <c r="E326" s="115"/>
      <c r="F326" s="129"/>
      <c r="G326" s="128"/>
    </row>
    <row r="327" ht="15.75" customHeight="1">
      <c r="A327" s="33"/>
      <c r="B327" s="45"/>
      <c r="C327" s="34"/>
      <c r="D327" s="115"/>
      <c r="E327" s="115"/>
      <c r="F327" s="129"/>
      <c r="G327" s="128"/>
    </row>
    <row r="328" ht="15.75" customHeight="1">
      <c r="A328" s="33"/>
      <c r="B328" s="45"/>
      <c r="C328" s="34"/>
      <c r="D328" s="115"/>
      <c r="E328" s="115"/>
      <c r="F328" s="129"/>
      <c r="G328" s="128"/>
    </row>
    <row r="329" ht="15.75" customHeight="1">
      <c r="A329" s="33"/>
      <c r="B329" s="45"/>
      <c r="C329" s="34"/>
      <c r="D329" s="115"/>
      <c r="E329" s="115"/>
      <c r="F329" s="129"/>
      <c r="G329" s="128"/>
    </row>
    <row r="330" ht="15.75" customHeight="1">
      <c r="A330" s="33"/>
      <c r="B330" s="45"/>
      <c r="C330" s="34"/>
      <c r="D330" s="115"/>
      <c r="E330" s="115"/>
      <c r="F330" s="129"/>
      <c r="G330" s="128"/>
    </row>
    <row r="331" ht="15.75" customHeight="1">
      <c r="A331" s="33"/>
      <c r="B331" s="45"/>
      <c r="C331" s="34"/>
      <c r="D331" s="115"/>
      <c r="E331" s="115"/>
      <c r="F331" s="129"/>
      <c r="G331" s="128"/>
    </row>
    <row r="332" ht="15.75" customHeight="1">
      <c r="A332" s="33"/>
      <c r="B332" s="45"/>
      <c r="C332" s="34"/>
      <c r="D332" s="115"/>
      <c r="E332" s="115"/>
      <c r="F332" s="129"/>
      <c r="G332" s="128"/>
    </row>
    <row r="333" ht="15.75" customHeight="1">
      <c r="A333" s="33"/>
      <c r="B333" s="45"/>
      <c r="C333" s="34"/>
      <c r="D333" s="115"/>
      <c r="E333" s="115"/>
      <c r="F333" s="129"/>
      <c r="G333" s="128"/>
    </row>
    <row r="334" ht="15.75" customHeight="1">
      <c r="A334" s="33"/>
      <c r="B334" s="45"/>
      <c r="C334" s="34"/>
      <c r="D334" s="115"/>
      <c r="E334" s="115"/>
      <c r="F334" s="129"/>
      <c r="G334" s="128"/>
    </row>
    <row r="335" ht="15.75" customHeight="1">
      <c r="A335" s="33"/>
      <c r="B335" s="45"/>
      <c r="C335" s="34"/>
      <c r="D335" s="115"/>
      <c r="E335" s="115"/>
      <c r="F335" s="129"/>
      <c r="G335" s="128"/>
    </row>
    <row r="336" ht="15.75" customHeight="1">
      <c r="A336" s="33"/>
      <c r="B336" s="45"/>
      <c r="C336" s="34"/>
      <c r="D336" s="115"/>
      <c r="E336" s="115"/>
      <c r="F336" s="129"/>
      <c r="G336" s="128"/>
    </row>
    <row r="337" ht="15.75" customHeight="1">
      <c r="A337" s="33"/>
      <c r="B337" s="45"/>
      <c r="C337" s="34"/>
      <c r="D337" s="115"/>
      <c r="E337" s="115"/>
      <c r="F337" s="129"/>
      <c r="G337" s="128"/>
    </row>
    <row r="338" ht="15.75" customHeight="1">
      <c r="A338" s="33"/>
      <c r="B338" s="45"/>
      <c r="C338" s="34"/>
      <c r="D338" s="115"/>
      <c r="E338" s="115"/>
      <c r="F338" s="129"/>
      <c r="G338" s="128"/>
    </row>
    <row r="339" ht="15.75" customHeight="1">
      <c r="A339" s="33"/>
      <c r="B339" s="45"/>
      <c r="C339" s="34"/>
      <c r="D339" s="115"/>
      <c r="E339" s="115"/>
      <c r="F339" s="129"/>
      <c r="G339" s="128"/>
    </row>
    <row r="340" ht="15.75" customHeight="1">
      <c r="A340" s="33"/>
      <c r="B340" s="45"/>
      <c r="C340" s="34"/>
      <c r="D340" s="115"/>
      <c r="E340" s="115"/>
      <c r="F340" s="129"/>
      <c r="G340" s="128"/>
    </row>
    <row r="341" ht="15.75" customHeight="1">
      <c r="A341" s="33"/>
      <c r="B341" s="45"/>
      <c r="C341" s="34"/>
      <c r="D341" s="115"/>
      <c r="E341" s="115"/>
      <c r="F341" s="129"/>
      <c r="G341" s="128"/>
    </row>
    <row r="342" ht="15.75" customHeight="1">
      <c r="A342" s="33"/>
      <c r="B342" s="45"/>
      <c r="C342" s="34"/>
      <c r="D342" s="115"/>
      <c r="E342" s="115"/>
      <c r="F342" s="129"/>
      <c r="G342" s="128"/>
    </row>
    <row r="343" ht="15.75" customHeight="1">
      <c r="A343" s="33"/>
      <c r="B343" s="45"/>
      <c r="C343" s="34"/>
      <c r="D343" s="115"/>
      <c r="E343" s="115"/>
      <c r="F343" s="129"/>
      <c r="G343" s="128"/>
    </row>
    <row r="344" ht="15.75" customHeight="1">
      <c r="A344" s="33"/>
      <c r="B344" s="45"/>
      <c r="C344" s="34"/>
      <c r="D344" s="115"/>
      <c r="E344" s="115"/>
      <c r="F344" s="129"/>
      <c r="G344" s="128"/>
    </row>
    <row r="345" ht="15.75" customHeight="1">
      <c r="A345" s="33"/>
      <c r="B345" s="45"/>
      <c r="C345" s="34"/>
      <c r="D345" s="115"/>
      <c r="E345" s="115"/>
      <c r="F345" s="129"/>
      <c r="G345" s="128"/>
    </row>
    <row r="346" ht="15.75" customHeight="1">
      <c r="A346" s="33"/>
      <c r="B346" s="45"/>
      <c r="C346" s="34"/>
      <c r="D346" s="115"/>
      <c r="E346" s="115"/>
      <c r="F346" s="129"/>
      <c r="G346" s="128"/>
    </row>
    <row r="347" ht="15.75" customHeight="1">
      <c r="A347" s="33"/>
      <c r="B347" s="45"/>
      <c r="C347" s="34"/>
      <c r="D347" s="115"/>
      <c r="E347" s="115"/>
      <c r="F347" s="129"/>
      <c r="G347" s="128"/>
    </row>
    <row r="348" ht="15.75" customHeight="1">
      <c r="A348" s="33"/>
      <c r="B348" s="45"/>
      <c r="C348" s="34"/>
      <c r="D348" s="115"/>
      <c r="E348" s="115"/>
      <c r="F348" s="129"/>
      <c r="G348" s="128"/>
    </row>
    <row r="349" ht="15.75" customHeight="1">
      <c r="A349" s="33"/>
      <c r="B349" s="45"/>
      <c r="C349" s="34"/>
      <c r="D349" s="115"/>
      <c r="E349" s="115"/>
      <c r="F349" s="129"/>
      <c r="G349" s="128"/>
    </row>
    <row r="350" ht="15.75" customHeight="1">
      <c r="A350" s="33"/>
      <c r="B350" s="45"/>
      <c r="C350" s="34"/>
      <c r="D350" s="115"/>
      <c r="E350" s="115"/>
      <c r="F350" s="129"/>
      <c r="G350" s="128"/>
    </row>
    <row r="351" ht="15.75" customHeight="1">
      <c r="A351" s="33"/>
      <c r="B351" s="45"/>
      <c r="C351" s="34"/>
      <c r="D351" s="115"/>
      <c r="E351" s="115"/>
      <c r="F351" s="129"/>
      <c r="G351" s="128"/>
    </row>
    <row r="352" ht="15.75" customHeight="1">
      <c r="A352" s="33"/>
      <c r="B352" s="45"/>
      <c r="C352" s="34"/>
      <c r="D352" s="115"/>
      <c r="E352" s="115"/>
      <c r="F352" s="129"/>
      <c r="G352" s="128"/>
    </row>
    <row r="353" ht="15.75" customHeight="1">
      <c r="A353" s="33"/>
      <c r="B353" s="45"/>
      <c r="C353" s="34"/>
      <c r="D353" s="115"/>
      <c r="E353" s="115"/>
      <c r="F353" s="129"/>
      <c r="G353" s="128"/>
    </row>
    <row r="354" ht="15.75" customHeight="1">
      <c r="A354" s="33"/>
      <c r="B354" s="45"/>
      <c r="C354" s="34"/>
      <c r="D354" s="115"/>
      <c r="E354" s="115"/>
      <c r="F354" s="129"/>
      <c r="G354" s="128"/>
    </row>
    <row r="355" ht="15.75" customHeight="1">
      <c r="A355" s="33"/>
      <c r="B355" s="45"/>
      <c r="C355" s="34"/>
      <c r="D355" s="115"/>
      <c r="E355" s="115"/>
      <c r="F355" s="129"/>
      <c r="G355" s="128"/>
    </row>
    <row r="356" ht="15.75" customHeight="1">
      <c r="A356" s="33"/>
      <c r="B356" s="45"/>
      <c r="C356" s="34"/>
      <c r="D356" s="115"/>
      <c r="E356" s="115"/>
      <c r="F356" s="129"/>
      <c r="G356" s="128"/>
    </row>
    <row r="357" ht="15.75" customHeight="1">
      <c r="A357" s="33"/>
      <c r="B357" s="45"/>
      <c r="C357" s="34"/>
      <c r="D357" s="115"/>
      <c r="E357" s="115"/>
      <c r="F357" s="129"/>
      <c r="G357" s="128"/>
    </row>
    <row r="358" ht="15.75" customHeight="1">
      <c r="A358" s="33"/>
      <c r="B358" s="45"/>
      <c r="C358" s="34"/>
      <c r="D358" s="115"/>
      <c r="E358" s="115"/>
      <c r="F358" s="129"/>
      <c r="G358" s="128"/>
    </row>
    <row r="359" ht="15.75" customHeight="1">
      <c r="A359" s="33"/>
      <c r="B359" s="45"/>
      <c r="C359" s="34"/>
      <c r="D359" s="115"/>
      <c r="E359" s="115"/>
      <c r="F359" s="129"/>
      <c r="G359" s="128"/>
    </row>
    <row r="360" ht="15.75" customHeight="1">
      <c r="A360" s="33"/>
      <c r="B360" s="45"/>
      <c r="C360" s="34"/>
      <c r="D360" s="115"/>
      <c r="E360" s="115"/>
      <c r="F360" s="129"/>
      <c r="G360" s="128"/>
    </row>
    <row r="361" ht="15.75" customHeight="1">
      <c r="A361" s="33"/>
      <c r="B361" s="45"/>
      <c r="C361" s="34"/>
      <c r="D361" s="115"/>
      <c r="E361" s="115"/>
      <c r="F361" s="129"/>
      <c r="G361" s="128"/>
    </row>
    <row r="362" ht="15.75" customHeight="1">
      <c r="A362" s="33"/>
      <c r="B362" s="45"/>
      <c r="C362" s="34"/>
      <c r="D362" s="115"/>
      <c r="E362" s="115"/>
      <c r="F362" s="129"/>
      <c r="G362" s="128"/>
    </row>
    <row r="363" ht="15.75" customHeight="1">
      <c r="A363" s="33"/>
      <c r="B363" s="45"/>
      <c r="C363" s="34"/>
      <c r="D363" s="115"/>
      <c r="E363" s="115"/>
      <c r="F363" s="129"/>
      <c r="G363" s="128"/>
    </row>
    <row r="364" ht="15.75" customHeight="1">
      <c r="A364" s="33"/>
      <c r="B364" s="45"/>
      <c r="C364" s="34"/>
      <c r="D364" s="115"/>
      <c r="E364" s="115"/>
      <c r="F364" s="129"/>
      <c r="G364" s="128"/>
    </row>
    <row r="365" ht="15.75" customHeight="1">
      <c r="A365" s="33"/>
      <c r="B365" s="45"/>
      <c r="C365" s="34"/>
      <c r="D365" s="115"/>
      <c r="E365" s="115"/>
      <c r="F365" s="129"/>
      <c r="G365" s="128"/>
    </row>
    <row r="366" ht="15.75" customHeight="1">
      <c r="A366" s="33"/>
      <c r="B366" s="45"/>
      <c r="C366" s="34"/>
      <c r="D366" s="115"/>
      <c r="E366" s="115"/>
      <c r="F366" s="129"/>
      <c r="G366" s="128"/>
    </row>
    <row r="367" ht="15.75" customHeight="1">
      <c r="A367" s="33"/>
      <c r="B367" s="45"/>
      <c r="C367" s="34"/>
      <c r="D367" s="115"/>
      <c r="E367" s="115"/>
      <c r="F367" s="129"/>
      <c r="G367" s="128"/>
    </row>
    <row r="368" ht="15.75" customHeight="1">
      <c r="A368" s="33"/>
      <c r="B368" s="45"/>
      <c r="C368" s="34"/>
      <c r="D368" s="115"/>
      <c r="E368" s="115"/>
      <c r="F368" s="129"/>
      <c r="G368" s="128"/>
    </row>
    <row r="369" ht="15.75" customHeight="1">
      <c r="A369" s="33"/>
      <c r="B369" s="45"/>
      <c r="C369" s="34"/>
      <c r="D369" s="115"/>
      <c r="E369" s="115"/>
      <c r="F369" s="129"/>
      <c r="G369" s="128"/>
    </row>
    <row r="370" ht="15.75" customHeight="1">
      <c r="A370" s="33"/>
      <c r="B370" s="45"/>
      <c r="C370" s="34"/>
      <c r="D370" s="115"/>
      <c r="E370" s="115"/>
      <c r="F370" s="129"/>
      <c r="G370" s="128"/>
    </row>
    <row r="371" ht="15.75" customHeight="1">
      <c r="A371" s="33"/>
      <c r="B371" s="45"/>
      <c r="C371" s="34"/>
      <c r="D371" s="115"/>
      <c r="E371" s="115"/>
      <c r="F371" s="129"/>
      <c r="G371" s="128"/>
    </row>
    <row r="372" ht="15.75" customHeight="1">
      <c r="A372" s="33"/>
      <c r="B372" s="45"/>
      <c r="C372" s="34"/>
      <c r="D372" s="115"/>
      <c r="E372" s="115"/>
      <c r="F372" s="129"/>
      <c r="G372" s="128"/>
    </row>
    <row r="373" ht="15.75" customHeight="1">
      <c r="A373" s="33"/>
      <c r="B373" s="45"/>
      <c r="C373" s="34"/>
      <c r="D373" s="115"/>
      <c r="E373" s="115"/>
      <c r="F373" s="129"/>
      <c r="G373" s="128"/>
    </row>
    <row r="374" ht="15.75" customHeight="1">
      <c r="A374" s="33"/>
      <c r="B374" s="45"/>
      <c r="C374" s="34"/>
      <c r="D374" s="115"/>
      <c r="E374" s="115"/>
      <c r="F374" s="129"/>
      <c r="G374" s="128"/>
    </row>
    <row r="375" ht="15.75" customHeight="1">
      <c r="A375" s="33"/>
      <c r="B375" s="45"/>
      <c r="C375" s="34"/>
      <c r="D375" s="115"/>
      <c r="E375" s="115"/>
      <c r="F375" s="129"/>
      <c r="G375" s="128"/>
    </row>
    <row r="376" ht="15.75" customHeight="1">
      <c r="A376" s="33"/>
      <c r="B376" s="45"/>
      <c r="C376" s="34"/>
      <c r="D376" s="115"/>
      <c r="E376" s="115"/>
      <c r="F376" s="129"/>
      <c r="G376" s="128"/>
    </row>
    <row r="377" ht="15.75" customHeight="1">
      <c r="A377" s="33"/>
      <c r="B377" s="45"/>
      <c r="C377" s="34"/>
      <c r="D377" s="115"/>
      <c r="E377" s="115"/>
      <c r="F377" s="129"/>
      <c r="G377" s="128"/>
    </row>
    <row r="378" ht="15.75" customHeight="1">
      <c r="A378" s="33"/>
      <c r="B378" s="45"/>
      <c r="C378" s="34"/>
      <c r="D378" s="115"/>
      <c r="E378" s="115"/>
      <c r="F378" s="129"/>
      <c r="G378" s="128"/>
    </row>
    <row r="379" ht="15.75" customHeight="1">
      <c r="A379" s="33"/>
      <c r="B379" s="45"/>
      <c r="C379" s="34"/>
      <c r="D379" s="115"/>
      <c r="E379" s="115"/>
      <c r="F379" s="129"/>
      <c r="G379" s="128"/>
    </row>
    <row r="380" ht="15.75" customHeight="1">
      <c r="A380" s="33"/>
      <c r="B380" s="45"/>
      <c r="C380" s="34"/>
      <c r="D380" s="115"/>
      <c r="E380" s="115"/>
      <c r="F380" s="129"/>
      <c r="G380" s="128"/>
    </row>
    <row r="381" ht="15.75" customHeight="1">
      <c r="A381" s="33"/>
      <c r="B381" s="45"/>
      <c r="C381" s="34"/>
      <c r="D381" s="115"/>
      <c r="E381" s="115"/>
      <c r="F381" s="129"/>
      <c r="G381" s="128"/>
    </row>
    <row r="382" ht="15.75" customHeight="1">
      <c r="A382" s="33"/>
      <c r="B382" s="45"/>
      <c r="C382" s="34"/>
      <c r="D382" s="115"/>
      <c r="E382" s="115"/>
      <c r="F382" s="129"/>
      <c r="G382" s="128"/>
    </row>
    <row r="383" ht="15.75" customHeight="1">
      <c r="A383" s="33"/>
      <c r="B383" s="45"/>
      <c r="C383" s="34"/>
      <c r="D383" s="115"/>
      <c r="E383" s="115"/>
      <c r="F383" s="129"/>
      <c r="G383" s="128"/>
    </row>
    <row r="384" ht="15.75" customHeight="1">
      <c r="A384" s="33"/>
      <c r="B384" s="45"/>
      <c r="C384" s="34"/>
      <c r="D384" s="115"/>
      <c r="E384" s="115"/>
      <c r="F384" s="129"/>
      <c r="G384" s="128"/>
    </row>
    <row r="385" ht="15.75" customHeight="1">
      <c r="A385" s="33"/>
      <c r="B385" s="45"/>
      <c r="C385" s="34"/>
      <c r="D385" s="115"/>
      <c r="E385" s="115"/>
      <c r="F385" s="129"/>
      <c r="G385" s="128"/>
    </row>
    <row r="386" ht="15.75" customHeight="1">
      <c r="A386" s="33"/>
      <c r="B386" s="45"/>
      <c r="C386" s="34"/>
      <c r="D386" s="115"/>
      <c r="E386" s="115"/>
      <c r="F386" s="129"/>
      <c r="G386" s="128"/>
    </row>
    <row r="387" ht="15.75" customHeight="1">
      <c r="A387" s="33"/>
      <c r="B387" s="45"/>
      <c r="C387" s="34"/>
      <c r="D387" s="115"/>
      <c r="E387" s="115"/>
      <c r="F387" s="129"/>
      <c r="G387" s="128"/>
    </row>
    <row r="388" ht="15.75" customHeight="1">
      <c r="A388" s="33"/>
      <c r="B388" s="45"/>
      <c r="C388" s="34"/>
      <c r="D388" s="115"/>
      <c r="E388" s="115"/>
      <c r="F388" s="129"/>
      <c r="G388" s="128"/>
    </row>
    <row r="389" ht="15.75" customHeight="1">
      <c r="A389" s="33"/>
      <c r="B389" s="45"/>
      <c r="C389" s="34"/>
      <c r="D389" s="115"/>
      <c r="E389" s="115"/>
      <c r="F389" s="129"/>
      <c r="G389" s="128"/>
    </row>
    <row r="390" ht="15.75" customHeight="1">
      <c r="A390" s="33"/>
      <c r="B390" s="45"/>
      <c r="C390" s="34"/>
      <c r="D390" s="115"/>
      <c r="E390" s="115"/>
      <c r="F390" s="129"/>
      <c r="G390" s="128"/>
    </row>
    <row r="391" ht="15.75" customHeight="1">
      <c r="A391" s="33"/>
      <c r="B391" s="45"/>
      <c r="C391" s="34"/>
      <c r="D391" s="115"/>
      <c r="E391" s="115"/>
      <c r="F391" s="129"/>
      <c r="G391" s="128"/>
    </row>
    <row r="392" ht="15.75" customHeight="1">
      <c r="A392" s="33"/>
      <c r="B392" s="45"/>
      <c r="C392" s="34"/>
      <c r="D392" s="115"/>
      <c r="E392" s="115"/>
      <c r="F392" s="129"/>
      <c r="G392" s="128"/>
    </row>
    <row r="393" ht="15.75" customHeight="1">
      <c r="A393" s="33"/>
      <c r="B393" s="45"/>
      <c r="C393" s="34"/>
      <c r="D393" s="115"/>
      <c r="E393" s="115"/>
      <c r="F393" s="129"/>
      <c r="G393" s="128"/>
    </row>
    <row r="394" ht="15.75" customHeight="1">
      <c r="A394" s="33"/>
      <c r="B394" s="45"/>
      <c r="C394" s="34"/>
      <c r="D394" s="115"/>
      <c r="E394" s="115"/>
      <c r="F394" s="129"/>
      <c r="G394" s="128"/>
    </row>
    <row r="395" ht="15.75" customHeight="1">
      <c r="A395" s="33"/>
      <c r="B395" s="45"/>
      <c r="C395" s="34"/>
      <c r="D395" s="115"/>
      <c r="E395" s="115"/>
      <c r="F395" s="129"/>
      <c r="G395" s="128"/>
    </row>
    <row r="396" ht="15.75" customHeight="1">
      <c r="A396" s="33"/>
      <c r="B396" s="45"/>
      <c r="C396" s="34"/>
      <c r="D396" s="115"/>
      <c r="E396" s="115"/>
      <c r="F396" s="129"/>
      <c r="G396" s="128"/>
    </row>
    <row r="397" ht="15.75" customHeight="1">
      <c r="A397" s="33"/>
      <c r="B397" s="45"/>
      <c r="C397" s="34"/>
      <c r="D397" s="115"/>
      <c r="E397" s="115"/>
      <c r="F397" s="129"/>
      <c r="G397" s="128"/>
    </row>
    <row r="398" ht="15.75" customHeight="1">
      <c r="A398" s="33"/>
      <c r="B398" s="45"/>
      <c r="C398" s="34"/>
      <c r="D398" s="115"/>
      <c r="E398" s="115"/>
      <c r="F398" s="129"/>
      <c r="G398" s="128"/>
    </row>
    <row r="399" ht="15.75" customHeight="1">
      <c r="A399" s="33"/>
      <c r="B399" s="45"/>
      <c r="C399" s="34"/>
      <c r="D399" s="115"/>
      <c r="E399" s="115"/>
      <c r="F399" s="129"/>
      <c r="G399" s="128"/>
    </row>
    <row r="400" ht="15.75" customHeight="1">
      <c r="A400" s="33"/>
      <c r="B400" s="45"/>
      <c r="C400" s="34"/>
      <c r="D400" s="115"/>
      <c r="E400" s="115"/>
      <c r="F400" s="129"/>
      <c r="G400" s="128"/>
    </row>
    <row r="401" ht="15.75" customHeight="1">
      <c r="A401" s="33"/>
      <c r="B401" s="45"/>
      <c r="C401" s="34"/>
      <c r="D401" s="115"/>
      <c r="E401" s="115"/>
      <c r="F401" s="129"/>
      <c r="G401" s="128"/>
    </row>
    <row r="402" ht="15.75" customHeight="1">
      <c r="A402" s="33"/>
      <c r="B402" s="45"/>
      <c r="C402" s="34"/>
      <c r="D402" s="115"/>
      <c r="E402" s="115"/>
      <c r="F402" s="129"/>
      <c r="G402" s="128"/>
    </row>
    <row r="403" ht="15.75" customHeight="1">
      <c r="A403" s="33"/>
      <c r="B403" s="45"/>
      <c r="C403" s="34"/>
      <c r="D403" s="115"/>
      <c r="E403" s="115"/>
      <c r="F403" s="129"/>
      <c r="G403" s="128"/>
    </row>
    <row r="404" ht="15.75" customHeight="1">
      <c r="A404" s="33"/>
      <c r="B404" s="45"/>
      <c r="C404" s="34"/>
      <c r="D404" s="115"/>
      <c r="E404" s="115"/>
      <c r="F404" s="129"/>
      <c r="G404" s="128"/>
    </row>
    <row r="405" ht="15.75" customHeight="1">
      <c r="A405" s="33"/>
      <c r="B405" s="45"/>
      <c r="C405" s="34"/>
      <c r="D405" s="115"/>
      <c r="E405" s="115"/>
      <c r="F405" s="129"/>
      <c r="G405" s="128"/>
    </row>
    <row r="406" ht="15.75" customHeight="1">
      <c r="A406" s="33"/>
      <c r="B406" s="45"/>
      <c r="C406" s="34"/>
      <c r="D406" s="115"/>
      <c r="E406" s="115"/>
      <c r="F406" s="129"/>
      <c r="G406" s="128"/>
    </row>
    <row r="407" ht="15.75" customHeight="1">
      <c r="A407" s="33"/>
      <c r="B407" s="45"/>
      <c r="C407" s="34"/>
      <c r="D407" s="115"/>
      <c r="E407" s="115"/>
      <c r="F407" s="129"/>
      <c r="G407" s="128"/>
    </row>
    <row r="408" ht="15.75" customHeight="1">
      <c r="A408" s="33"/>
      <c r="B408" s="45"/>
      <c r="C408" s="34"/>
      <c r="D408" s="115"/>
      <c r="E408" s="115"/>
      <c r="F408" s="129"/>
      <c r="G408" s="128"/>
    </row>
    <row r="409" ht="15.75" customHeight="1">
      <c r="A409" s="33"/>
      <c r="B409" s="45"/>
      <c r="C409" s="34"/>
      <c r="D409" s="115"/>
      <c r="E409" s="115"/>
      <c r="F409" s="129"/>
      <c r="G409" s="128"/>
    </row>
    <row r="410" ht="15.75" customHeight="1">
      <c r="A410" s="33"/>
      <c r="B410" s="45"/>
      <c r="C410" s="34"/>
      <c r="D410" s="115"/>
      <c r="E410" s="115"/>
      <c r="F410" s="129"/>
      <c r="G410" s="128"/>
    </row>
    <row r="411" ht="15.75" customHeight="1">
      <c r="A411" s="33"/>
      <c r="B411" s="45"/>
      <c r="C411" s="34"/>
      <c r="D411" s="115"/>
      <c r="E411" s="115"/>
      <c r="F411" s="129"/>
      <c r="G411" s="128"/>
    </row>
    <row r="412" ht="15.75" customHeight="1">
      <c r="A412" s="33"/>
      <c r="B412" s="45"/>
      <c r="C412" s="34"/>
      <c r="D412" s="115"/>
      <c r="E412" s="115"/>
      <c r="F412" s="129"/>
      <c r="G412" s="128"/>
    </row>
    <row r="413" ht="15.75" customHeight="1">
      <c r="A413" s="33"/>
      <c r="B413" s="45"/>
      <c r="C413" s="34"/>
      <c r="D413" s="115"/>
      <c r="E413" s="115"/>
      <c r="F413" s="129"/>
      <c r="G413" s="128"/>
    </row>
    <row r="414" ht="15.75" customHeight="1">
      <c r="A414" s="33"/>
      <c r="B414" s="45"/>
      <c r="C414" s="34"/>
      <c r="D414" s="115"/>
      <c r="E414" s="115"/>
      <c r="F414" s="129"/>
      <c r="G414" s="128"/>
    </row>
    <row r="415" ht="15.75" customHeight="1">
      <c r="A415" s="33"/>
      <c r="B415" s="45"/>
      <c r="C415" s="34"/>
      <c r="D415" s="115"/>
      <c r="E415" s="115"/>
      <c r="F415" s="129"/>
      <c r="G415" s="128"/>
    </row>
    <row r="416" ht="15.75" customHeight="1">
      <c r="A416" s="33"/>
      <c r="B416" s="45"/>
      <c r="C416" s="34"/>
      <c r="D416" s="115"/>
      <c r="E416" s="115"/>
      <c r="F416" s="129"/>
      <c r="G416" s="128"/>
    </row>
    <row r="417" ht="15.75" customHeight="1">
      <c r="A417" s="33"/>
      <c r="B417" s="45"/>
      <c r="C417" s="34"/>
      <c r="D417" s="115"/>
      <c r="E417" s="115"/>
      <c r="F417" s="129"/>
      <c r="G417" s="128"/>
    </row>
    <row r="418" ht="15.75" customHeight="1">
      <c r="A418" s="33"/>
      <c r="B418" s="45"/>
      <c r="C418" s="34"/>
      <c r="D418" s="115"/>
      <c r="E418" s="115"/>
      <c r="F418" s="129"/>
      <c r="G418" s="128"/>
    </row>
    <row r="419" ht="15.75" customHeight="1">
      <c r="A419" s="33"/>
      <c r="B419" s="45"/>
      <c r="C419" s="34"/>
      <c r="D419" s="115"/>
      <c r="E419" s="115"/>
      <c r="F419" s="129"/>
      <c r="G419" s="128"/>
    </row>
    <row r="420" ht="15.75" customHeight="1">
      <c r="A420" s="33"/>
      <c r="B420" s="45"/>
      <c r="C420" s="34"/>
      <c r="D420" s="115"/>
      <c r="E420" s="115"/>
      <c r="F420" s="129"/>
      <c r="G420" s="128"/>
    </row>
    <row r="421" ht="15.75" customHeight="1">
      <c r="A421" s="33"/>
      <c r="B421" s="45"/>
      <c r="C421" s="34"/>
      <c r="D421" s="115"/>
      <c r="E421" s="115"/>
      <c r="F421" s="129"/>
      <c r="G421" s="128"/>
    </row>
    <row r="422" ht="15.75" customHeight="1">
      <c r="A422" s="33"/>
      <c r="B422" s="45"/>
      <c r="C422" s="34"/>
      <c r="D422" s="115"/>
      <c r="E422" s="115"/>
      <c r="F422" s="129"/>
      <c r="G422" s="128"/>
    </row>
    <row r="423" ht="15.75" customHeight="1">
      <c r="A423" s="33"/>
      <c r="B423" s="45"/>
      <c r="C423" s="34"/>
      <c r="D423" s="115"/>
      <c r="E423" s="115"/>
      <c r="F423" s="129"/>
      <c r="G423" s="128"/>
    </row>
    <row r="424" ht="15.75" customHeight="1">
      <c r="A424" s="33"/>
      <c r="B424" s="45"/>
      <c r="C424" s="34"/>
      <c r="D424" s="115"/>
      <c r="E424" s="115"/>
      <c r="F424" s="129"/>
      <c r="G424" s="128"/>
    </row>
    <row r="425" ht="15.75" customHeight="1">
      <c r="A425" s="33"/>
      <c r="B425" s="45"/>
      <c r="C425" s="34"/>
      <c r="D425" s="115"/>
      <c r="E425" s="115"/>
      <c r="F425" s="129"/>
      <c r="G425" s="128"/>
    </row>
    <row r="426" ht="15.75" customHeight="1">
      <c r="A426" s="33"/>
      <c r="B426" s="45"/>
      <c r="C426" s="34"/>
      <c r="D426" s="115"/>
      <c r="E426" s="115"/>
      <c r="F426" s="129"/>
      <c r="G426" s="128"/>
    </row>
    <row r="427" ht="15.75" customHeight="1">
      <c r="A427" s="33"/>
      <c r="B427" s="45"/>
      <c r="C427" s="34"/>
      <c r="D427" s="115"/>
      <c r="E427" s="115"/>
      <c r="F427" s="129"/>
      <c r="G427" s="128"/>
    </row>
    <row r="428" ht="15.75" customHeight="1">
      <c r="A428" s="33"/>
      <c r="B428" s="45"/>
      <c r="C428" s="34"/>
      <c r="D428" s="115"/>
      <c r="E428" s="115"/>
      <c r="F428" s="129"/>
      <c r="G428" s="128"/>
    </row>
    <row r="429" ht="15.75" customHeight="1">
      <c r="A429" s="33"/>
      <c r="B429" s="45"/>
      <c r="C429" s="34"/>
      <c r="D429" s="115"/>
      <c r="E429" s="115"/>
      <c r="F429" s="129"/>
      <c r="G429" s="128"/>
    </row>
    <row r="430" ht="15.75" customHeight="1">
      <c r="A430" s="33"/>
      <c r="B430" s="45"/>
      <c r="C430" s="34"/>
      <c r="D430" s="115"/>
      <c r="E430" s="115"/>
      <c r="F430" s="129"/>
      <c r="G430" s="128"/>
    </row>
    <row r="431" ht="15.75" customHeight="1">
      <c r="A431" s="33"/>
      <c r="B431" s="45"/>
      <c r="C431" s="34"/>
      <c r="D431" s="115"/>
      <c r="E431" s="115"/>
      <c r="F431" s="129"/>
      <c r="G431" s="128"/>
    </row>
    <row r="432" ht="15.75" customHeight="1">
      <c r="A432" s="33"/>
      <c r="B432" s="45"/>
      <c r="C432" s="34"/>
      <c r="D432" s="115"/>
      <c r="E432" s="115"/>
      <c r="F432" s="129"/>
      <c r="G432" s="128"/>
    </row>
    <row r="433" ht="15.75" customHeight="1">
      <c r="A433" s="33"/>
      <c r="B433" s="45"/>
      <c r="C433" s="34"/>
      <c r="D433" s="115"/>
      <c r="E433" s="115"/>
      <c r="F433" s="129"/>
      <c r="G433" s="128"/>
    </row>
    <row r="434" ht="15.75" customHeight="1">
      <c r="A434" s="33"/>
      <c r="B434" s="45"/>
      <c r="C434" s="34"/>
      <c r="D434" s="115"/>
      <c r="E434" s="115"/>
      <c r="F434" s="129"/>
      <c r="G434" s="128"/>
    </row>
    <row r="435" ht="15.75" customHeight="1">
      <c r="A435" s="33"/>
      <c r="B435" s="45"/>
      <c r="C435" s="34"/>
      <c r="D435" s="115"/>
      <c r="E435" s="115"/>
      <c r="F435" s="129"/>
      <c r="G435" s="128"/>
    </row>
    <row r="436" ht="15.75" customHeight="1">
      <c r="A436" s="33"/>
      <c r="B436" s="45"/>
      <c r="C436" s="34"/>
      <c r="D436" s="115"/>
      <c r="E436" s="115"/>
      <c r="F436" s="129"/>
      <c r="G436" s="128"/>
    </row>
    <row r="437" ht="15.75" customHeight="1">
      <c r="A437" s="33"/>
      <c r="B437" s="45"/>
      <c r="C437" s="34"/>
      <c r="D437" s="115"/>
      <c r="E437" s="115"/>
      <c r="F437" s="129"/>
      <c r="G437" s="128"/>
    </row>
    <row r="438" ht="15.75" customHeight="1">
      <c r="A438" s="33"/>
      <c r="B438" s="45"/>
      <c r="C438" s="34"/>
      <c r="D438" s="115"/>
      <c r="E438" s="115"/>
      <c r="F438" s="129"/>
      <c r="G438" s="128"/>
    </row>
    <row r="439" ht="15.75" customHeight="1">
      <c r="A439" s="33"/>
      <c r="B439" s="45"/>
      <c r="C439" s="34"/>
      <c r="D439" s="115"/>
      <c r="E439" s="115"/>
      <c r="F439" s="129"/>
      <c r="G439" s="128"/>
    </row>
    <row r="440" ht="15.75" customHeight="1">
      <c r="A440" s="33"/>
      <c r="B440" s="45"/>
      <c r="C440" s="34"/>
      <c r="D440" s="115"/>
      <c r="E440" s="115"/>
      <c r="F440" s="129"/>
      <c r="G440" s="128"/>
    </row>
    <row r="441" ht="15.75" customHeight="1">
      <c r="A441" s="33"/>
      <c r="B441" s="45"/>
      <c r="C441" s="34"/>
      <c r="D441" s="115"/>
      <c r="E441" s="115"/>
      <c r="F441" s="129"/>
      <c r="G441" s="128"/>
    </row>
    <row r="442" ht="15.75" customHeight="1">
      <c r="A442" s="33"/>
      <c r="B442" s="45"/>
      <c r="C442" s="34"/>
      <c r="D442" s="115"/>
      <c r="E442" s="115"/>
      <c r="F442" s="129"/>
      <c r="G442" s="128"/>
    </row>
    <row r="443" ht="15.75" customHeight="1">
      <c r="A443" s="33"/>
      <c r="B443" s="45"/>
      <c r="C443" s="34"/>
      <c r="D443" s="115"/>
      <c r="E443" s="115"/>
      <c r="F443" s="129"/>
      <c r="G443" s="128"/>
    </row>
    <row r="444" ht="15.75" customHeight="1">
      <c r="A444" s="33"/>
      <c r="B444" s="45"/>
      <c r="C444" s="34"/>
      <c r="D444" s="115"/>
      <c r="E444" s="115"/>
      <c r="F444" s="129"/>
      <c r="G444" s="128"/>
    </row>
    <row r="445" ht="15.75" customHeight="1">
      <c r="A445" s="33"/>
      <c r="B445" s="45"/>
      <c r="C445" s="34"/>
      <c r="D445" s="115"/>
      <c r="E445" s="115"/>
      <c r="F445" s="129"/>
      <c r="G445" s="128"/>
    </row>
    <row r="446" ht="15.75" customHeight="1">
      <c r="A446" s="33"/>
      <c r="B446" s="45"/>
      <c r="C446" s="34"/>
      <c r="D446" s="115"/>
      <c r="E446" s="115"/>
      <c r="F446" s="129"/>
      <c r="G446" s="128"/>
    </row>
    <row r="447" ht="15.75" customHeight="1">
      <c r="A447" s="33"/>
      <c r="B447" s="45"/>
      <c r="C447" s="34"/>
      <c r="D447" s="115"/>
      <c r="E447" s="115"/>
      <c r="F447" s="129"/>
      <c r="G447" s="128"/>
    </row>
    <row r="448" ht="15.75" customHeight="1">
      <c r="A448" s="33"/>
      <c r="B448" s="45"/>
      <c r="C448" s="34"/>
      <c r="D448" s="115"/>
      <c r="E448" s="115"/>
      <c r="F448" s="129"/>
      <c r="G448" s="128"/>
    </row>
    <row r="449" ht="15.75" customHeight="1">
      <c r="A449" s="33"/>
      <c r="B449" s="45"/>
      <c r="C449" s="34"/>
      <c r="D449" s="115"/>
      <c r="E449" s="115"/>
      <c r="F449" s="129"/>
      <c r="G449" s="128"/>
    </row>
    <row r="450" ht="15.75" customHeight="1">
      <c r="A450" s="33"/>
      <c r="B450" s="45"/>
      <c r="C450" s="34"/>
      <c r="D450" s="115"/>
      <c r="E450" s="115"/>
      <c r="F450" s="129"/>
      <c r="G450" s="128"/>
    </row>
    <row r="451" ht="15.75" customHeight="1">
      <c r="A451" s="33"/>
      <c r="B451" s="45"/>
      <c r="C451" s="34"/>
      <c r="D451" s="115"/>
      <c r="E451" s="115"/>
      <c r="F451" s="129"/>
      <c r="G451" s="128"/>
    </row>
    <row r="452" ht="15.75" customHeight="1">
      <c r="A452" s="33"/>
      <c r="B452" s="45"/>
      <c r="C452" s="34"/>
      <c r="D452" s="115"/>
      <c r="E452" s="115"/>
      <c r="F452" s="129"/>
      <c r="G452" s="128"/>
    </row>
    <row r="453" ht="15.75" customHeight="1">
      <c r="A453" s="33"/>
      <c r="B453" s="45"/>
      <c r="C453" s="34"/>
      <c r="D453" s="115"/>
      <c r="E453" s="115"/>
      <c r="F453" s="129"/>
      <c r="G453" s="128"/>
    </row>
    <row r="454" ht="15.75" customHeight="1">
      <c r="A454" s="33"/>
      <c r="B454" s="45"/>
      <c r="C454" s="34"/>
      <c r="D454" s="115"/>
      <c r="E454" s="115"/>
      <c r="F454" s="129"/>
      <c r="G454" s="128"/>
    </row>
    <row r="455" ht="15.75" customHeight="1">
      <c r="A455" s="33"/>
      <c r="B455" s="45"/>
      <c r="C455" s="34"/>
      <c r="D455" s="115"/>
      <c r="E455" s="115"/>
      <c r="F455" s="129"/>
      <c r="G455" s="128"/>
    </row>
    <row r="456" ht="15.75" customHeight="1">
      <c r="A456" s="33"/>
      <c r="B456" s="45"/>
      <c r="C456" s="34"/>
      <c r="D456" s="115"/>
      <c r="E456" s="115"/>
      <c r="F456" s="129"/>
      <c r="G456" s="128"/>
    </row>
    <row r="457" ht="15.75" customHeight="1">
      <c r="A457" s="33"/>
      <c r="B457" s="45"/>
      <c r="C457" s="34"/>
      <c r="D457" s="115"/>
      <c r="E457" s="115"/>
      <c r="F457" s="129"/>
      <c r="G457" s="128"/>
    </row>
    <row r="458" ht="15.75" customHeight="1">
      <c r="A458" s="33"/>
      <c r="B458" s="45"/>
      <c r="C458" s="34"/>
      <c r="D458" s="115"/>
      <c r="E458" s="115"/>
      <c r="F458" s="129"/>
      <c r="G458" s="128"/>
    </row>
    <row r="459" ht="15.75" customHeight="1">
      <c r="A459" s="33"/>
      <c r="B459" s="45"/>
      <c r="C459" s="34"/>
      <c r="D459" s="115"/>
      <c r="E459" s="115"/>
      <c r="F459" s="129"/>
      <c r="G459" s="128"/>
    </row>
    <row r="460" ht="15.75" customHeight="1">
      <c r="A460" s="33"/>
      <c r="B460" s="45"/>
      <c r="C460" s="34"/>
      <c r="D460" s="115"/>
      <c r="E460" s="115"/>
      <c r="F460" s="129"/>
      <c r="G460" s="128"/>
    </row>
    <row r="461" ht="15.75" customHeight="1">
      <c r="A461" s="33"/>
      <c r="B461" s="45"/>
      <c r="C461" s="34"/>
      <c r="D461" s="115"/>
      <c r="E461" s="115"/>
      <c r="F461" s="129"/>
      <c r="G461" s="128"/>
    </row>
    <row r="462" ht="15.75" customHeight="1">
      <c r="A462" s="33"/>
      <c r="B462" s="45"/>
      <c r="C462" s="34"/>
      <c r="D462" s="115"/>
      <c r="E462" s="115"/>
      <c r="F462" s="129"/>
      <c r="G462" s="128"/>
    </row>
    <row r="463" ht="15.75" customHeight="1">
      <c r="A463" s="33"/>
      <c r="B463" s="45"/>
      <c r="C463" s="34"/>
      <c r="D463" s="115"/>
      <c r="E463" s="115"/>
      <c r="F463" s="129"/>
      <c r="G463" s="128"/>
    </row>
    <row r="464" ht="15.75" customHeight="1">
      <c r="A464" s="33"/>
      <c r="B464" s="45"/>
      <c r="C464" s="34"/>
      <c r="D464" s="115"/>
      <c r="E464" s="115"/>
      <c r="F464" s="129"/>
      <c r="G464" s="128"/>
    </row>
    <row r="465" ht="15.75" customHeight="1">
      <c r="A465" s="33"/>
      <c r="B465" s="45"/>
      <c r="C465" s="34"/>
      <c r="D465" s="115"/>
      <c r="E465" s="115"/>
      <c r="F465" s="129"/>
      <c r="G465" s="128"/>
    </row>
    <row r="466" ht="15.75" customHeight="1">
      <c r="A466" s="33"/>
      <c r="B466" s="45"/>
      <c r="C466" s="34"/>
      <c r="D466" s="115"/>
      <c r="E466" s="115"/>
      <c r="F466" s="129"/>
      <c r="G466" s="128"/>
    </row>
    <row r="467" ht="15.75" customHeight="1">
      <c r="A467" s="33"/>
      <c r="B467" s="45"/>
      <c r="C467" s="34"/>
      <c r="D467" s="115"/>
      <c r="E467" s="115"/>
      <c r="F467" s="129"/>
      <c r="G467" s="128"/>
    </row>
    <row r="468" ht="15.75" customHeight="1">
      <c r="A468" s="33"/>
      <c r="B468" s="45"/>
      <c r="C468" s="34"/>
      <c r="D468" s="115"/>
      <c r="E468" s="115"/>
      <c r="F468" s="129"/>
      <c r="G468" s="128"/>
    </row>
    <row r="469" ht="15.75" customHeight="1">
      <c r="A469" s="33"/>
      <c r="B469" s="45"/>
      <c r="C469" s="34"/>
      <c r="D469" s="115"/>
      <c r="E469" s="115"/>
      <c r="F469" s="129"/>
      <c r="G469" s="128"/>
    </row>
    <row r="470" ht="15.75" customHeight="1">
      <c r="A470" s="33"/>
      <c r="B470" s="45"/>
      <c r="C470" s="34"/>
      <c r="D470" s="115"/>
      <c r="E470" s="115"/>
      <c r="F470" s="129"/>
      <c r="G470" s="128"/>
    </row>
    <row r="471" ht="15.75" customHeight="1">
      <c r="A471" s="33"/>
      <c r="B471" s="45"/>
      <c r="C471" s="34"/>
      <c r="D471" s="115"/>
      <c r="E471" s="115"/>
      <c r="F471" s="129"/>
      <c r="G471" s="128"/>
    </row>
    <row r="472" ht="15.75" customHeight="1">
      <c r="A472" s="33"/>
      <c r="B472" s="45"/>
      <c r="C472" s="34"/>
      <c r="D472" s="115"/>
      <c r="E472" s="115"/>
      <c r="F472" s="129"/>
      <c r="G472" s="128"/>
    </row>
    <row r="473" ht="15.75" customHeight="1">
      <c r="A473" s="33"/>
      <c r="B473" s="45"/>
      <c r="C473" s="34"/>
      <c r="D473" s="115"/>
      <c r="E473" s="115"/>
      <c r="F473" s="129"/>
      <c r="G473" s="128"/>
    </row>
    <row r="474" ht="15.75" customHeight="1">
      <c r="A474" s="33"/>
      <c r="B474" s="45"/>
      <c r="C474" s="34"/>
      <c r="D474" s="115"/>
      <c r="E474" s="115"/>
      <c r="F474" s="129"/>
      <c r="G474" s="128"/>
    </row>
    <row r="475" ht="15.75" customHeight="1">
      <c r="A475" s="33"/>
      <c r="B475" s="45"/>
      <c r="C475" s="34"/>
      <c r="D475" s="115"/>
      <c r="E475" s="115"/>
      <c r="F475" s="129"/>
      <c r="G475" s="128"/>
    </row>
    <row r="476" ht="15.75" customHeight="1">
      <c r="A476" s="33"/>
      <c r="B476" s="45"/>
      <c r="C476" s="34"/>
      <c r="D476" s="115"/>
      <c r="E476" s="115"/>
      <c r="F476" s="129"/>
      <c r="G476" s="128"/>
    </row>
    <row r="477" ht="15.75" customHeight="1">
      <c r="A477" s="33"/>
      <c r="B477" s="45"/>
      <c r="C477" s="34"/>
      <c r="D477" s="115"/>
      <c r="E477" s="115"/>
      <c r="F477" s="129"/>
      <c r="G477" s="128"/>
    </row>
    <row r="478" ht="15.75" customHeight="1">
      <c r="A478" s="33"/>
      <c r="B478" s="45"/>
      <c r="C478" s="34"/>
      <c r="D478" s="115"/>
      <c r="E478" s="115"/>
      <c r="F478" s="129"/>
      <c r="G478" s="128"/>
    </row>
    <row r="479" ht="15.75" customHeight="1">
      <c r="A479" s="33"/>
      <c r="B479" s="45"/>
      <c r="C479" s="34"/>
      <c r="D479" s="115"/>
      <c r="E479" s="115"/>
      <c r="F479" s="129"/>
      <c r="G479" s="128"/>
    </row>
    <row r="480" ht="15.75" customHeight="1">
      <c r="A480" s="33"/>
      <c r="B480" s="45"/>
      <c r="C480" s="34"/>
      <c r="D480" s="115"/>
      <c r="E480" s="115"/>
      <c r="F480" s="129"/>
      <c r="G480" s="128"/>
    </row>
    <row r="481" ht="15.75" customHeight="1">
      <c r="A481" s="33"/>
      <c r="B481" s="45"/>
      <c r="C481" s="34"/>
      <c r="D481" s="115"/>
      <c r="E481" s="115"/>
      <c r="F481" s="129"/>
      <c r="G481" s="128"/>
    </row>
    <row r="482" ht="15.75" customHeight="1">
      <c r="A482" s="33"/>
      <c r="B482" s="45"/>
      <c r="C482" s="34"/>
      <c r="D482" s="115"/>
      <c r="E482" s="115"/>
      <c r="F482" s="129"/>
      <c r="G482" s="128"/>
    </row>
    <row r="483" ht="15.75" customHeight="1">
      <c r="A483" s="33"/>
      <c r="B483" s="45"/>
      <c r="C483" s="34"/>
      <c r="D483" s="115"/>
      <c r="E483" s="115"/>
      <c r="F483" s="129"/>
      <c r="G483" s="128"/>
    </row>
    <row r="484" ht="15.75" customHeight="1">
      <c r="A484" s="33"/>
      <c r="B484" s="45"/>
      <c r="C484" s="34"/>
      <c r="D484" s="115"/>
      <c r="E484" s="115"/>
      <c r="F484" s="129"/>
      <c r="G484" s="128"/>
    </row>
    <row r="485" ht="15.75" customHeight="1">
      <c r="A485" s="33"/>
      <c r="B485" s="45"/>
      <c r="C485" s="34"/>
      <c r="D485" s="115"/>
      <c r="E485" s="115"/>
      <c r="F485" s="129"/>
      <c r="G485" s="128"/>
    </row>
    <row r="486" ht="15.75" customHeight="1">
      <c r="A486" s="33"/>
      <c r="B486" s="45"/>
      <c r="C486" s="34"/>
      <c r="D486" s="115"/>
      <c r="E486" s="115"/>
      <c r="F486" s="129"/>
      <c r="G486" s="128"/>
    </row>
    <row r="487" ht="15.75" customHeight="1">
      <c r="A487" s="33"/>
      <c r="B487" s="45"/>
      <c r="C487" s="34"/>
      <c r="D487" s="115"/>
      <c r="E487" s="115"/>
      <c r="F487" s="129"/>
      <c r="G487" s="128"/>
    </row>
    <row r="488" ht="15.75" customHeight="1">
      <c r="A488" s="33"/>
      <c r="B488" s="45"/>
      <c r="C488" s="34"/>
      <c r="D488" s="115"/>
      <c r="E488" s="115"/>
      <c r="F488" s="129"/>
      <c r="G488" s="128"/>
    </row>
    <row r="489" ht="15.75" customHeight="1">
      <c r="A489" s="33"/>
      <c r="B489" s="45"/>
      <c r="C489" s="34"/>
      <c r="D489" s="115"/>
      <c r="E489" s="115"/>
      <c r="F489" s="129"/>
      <c r="G489" s="128"/>
    </row>
    <row r="490" ht="15.75" customHeight="1">
      <c r="A490" s="33"/>
      <c r="B490" s="45"/>
      <c r="C490" s="34"/>
      <c r="D490" s="115"/>
      <c r="E490" s="115"/>
      <c r="F490" s="129"/>
      <c r="G490" s="128"/>
    </row>
    <row r="491" ht="15.75" customHeight="1">
      <c r="A491" s="33"/>
      <c r="B491" s="45"/>
      <c r="C491" s="34"/>
      <c r="D491" s="115"/>
      <c r="E491" s="115"/>
      <c r="F491" s="129"/>
      <c r="G491" s="128"/>
    </row>
    <row r="492" ht="15.75" customHeight="1">
      <c r="A492" s="33"/>
      <c r="B492" s="45"/>
      <c r="C492" s="34"/>
      <c r="D492" s="115"/>
      <c r="E492" s="115"/>
      <c r="F492" s="129"/>
      <c r="G492" s="128"/>
    </row>
    <row r="493" ht="15.75" customHeight="1">
      <c r="A493" s="33"/>
      <c r="B493" s="45"/>
      <c r="C493" s="34"/>
      <c r="D493" s="115"/>
      <c r="E493" s="115"/>
      <c r="F493" s="129"/>
      <c r="G493" s="128"/>
    </row>
    <row r="494" ht="15.75" customHeight="1">
      <c r="A494" s="33"/>
      <c r="B494" s="45"/>
      <c r="C494" s="34"/>
      <c r="D494" s="115"/>
      <c r="E494" s="115"/>
      <c r="F494" s="129"/>
      <c r="G494" s="128"/>
    </row>
    <row r="495" ht="15.75" customHeight="1">
      <c r="A495" s="33"/>
      <c r="B495" s="45"/>
      <c r="C495" s="34"/>
      <c r="D495" s="115"/>
      <c r="E495" s="115"/>
      <c r="F495" s="129"/>
      <c r="G495" s="128"/>
    </row>
    <row r="496" ht="15.75" customHeight="1">
      <c r="A496" s="33"/>
      <c r="B496" s="45"/>
      <c r="C496" s="34"/>
      <c r="D496" s="115"/>
      <c r="E496" s="115"/>
      <c r="F496" s="129"/>
      <c r="G496" s="128"/>
    </row>
    <row r="497" ht="15.75" customHeight="1">
      <c r="A497" s="33"/>
      <c r="B497" s="45"/>
      <c r="C497" s="34"/>
      <c r="D497" s="115"/>
      <c r="E497" s="115"/>
      <c r="F497" s="129"/>
      <c r="G497" s="128"/>
    </row>
    <row r="498" ht="15.75" customHeight="1">
      <c r="A498" s="33"/>
      <c r="B498" s="45"/>
      <c r="C498" s="34"/>
      <c r="D498" s="115"/>
      <c r="E498" s="115"/>
      <c r="F498" s="129"/>
      <c r="G498" s="128"/>
    </row>
    <row r="499" ht="15.75" customHeight="1">
      <c r="A499" s="33"/>
      <c r="B499" s="45"/>
      <c r="C499" s="34"/>
      <c r="D499" s="115"/>
      <c r="E499" s="115"/>
      <c r="F499" s="129"/>
      <c r="G499" s="128"/>
    </row>
    <row r="500" ht="15.75" customHeight="1">
      <c r="A500" s="33"/>
      <c r="B500" s="45"/>
      <c r="C500" s="34"/>
      <c r="D500" s="115"/>
      <c r="E500" s="115"/>
      <c r="F500" s="129"/>
      <c r="G500" s="128"/>
    </row>
    <row r="501" ht="15.75" customHeight="1">
      <c r="A501" s="33"/>
      <c r="B501" s="45"/>
      <c r="C501" s="34"/>
      <c r="D501" s="115"/>
      <c r="E501" s="115"/>
      <c r="F501" s="129"/>
      <c r="G501" s="128"/>
    </row>
    <row r="502" ht="15.75" customHeight="1">
      <c r="A502" s="33"/>
      <c r="B502" s="45"/>
      <c r="C502" s="34"/>
      <c r="D502" s="115"/>
      <c r="E502" s="115"/>
      <c r="F502" s="129"/>
      <c r="G502" s="128"/>
    </row>
    <row r="503" ht="15.75" customHeight="1">
      <c r="A503" s="33"/>
      <c r="B503" s="45"/>
      <c r="C503" s="34"/>
      <c r="D503" s="115"/>
      <c r="E503" s="115"/>
      <c r="F503" s="129"/>
      <c r="G503" s="128"/>
    </row>
    <row r="504" ht="15.75" customHeight="1">
      <c r="A504" s="33"/>
      <c r="B504" s="45"/>
      <c r="C504" s="34"/>
      <c r="D504" s="115"/>
      <c r="E504" s="115"/>
      <c r="F504" s="129"/>
      <c r="G504" s="128"/>
    </row>
    <row r="505" ht="15.75" customHeight="1">
      <c r="A505" s="33"/>
      <c r="B505" s="45"/>
      <c r="C505" s="34"/>
      <c r="D505" s="115"/>
      <c r="E505" s="115"/>
      <c r="F505" s="129"/>
      <c r="G505" s="128"/>
    </row>
    <row r="506" ht="15.75" customHeight="1">
      <c r="A506" s="33"/>
      <c r="B506" s="45"/>
      <c r="C506" s="34"/>
      <c r="D506" s="115"/>
      <c r="E506" s="115"/>
      <c r="F506" s="129"/>
      <c r="G506" s="128"/>
    </row>
    <row r="507" ht="15.75" customHeight="1">
      <c r="A507" s="33"/>
      <c r="B507" s="45"/>
      <c r="C507" s="34"/>
      <c r="D507" s="115"/>
      <c r="E507" s="115"/>
      <c r="F507" s="129"/>
      <c r="G507" s="128"/>
    </row>
    <row r="508" ht="15.75" customHeight="1">
      <c r="A508" s="33"/>
      <c r="B508" s="45"/>
      <c r="C508" s="34"/>
      <c r="D508" s="115"/>
      <c r="E508" s="115"/>
      <c r="F508" s="129"/>
      <c r="G508" s="128"/>
    </row>
    <row r="509" ht="15.75" customHeight="1">
      <c r="A509" s="33"/>
      <c r="B509" s="45"/>
      <c r="C509" s="34"/>
      <c r="D509" s="115"/>
      <c r="E509" s="115"/>
      <c r="F509" s="129"/>
      <c r="G509" s="128"/>
    </row>
    <row r="510" ht="15.75" customHeight="1">
      <c r="A510" s="33"/>
      <c r="B510" s="45"/>
      <c r="C510" s="34"/>
      <c r="D510" s="115"/>
      <c r="E510" s="115"/>
      <c r="F510" s="129"/>
      <c r="G510" s="128"/>
    </row>
    <row r="511" ht="15.75" customHeight="1">
      <c r="A511" s="33"/>
      <c r="B511" s="45"/>
      <c r="C511" s="34"/>
      <c r="D511" s="115"/>
      <c r="E511" s="115"/>
      <c r="F511" s="129"/>
      <c r="G511" s="128"/>
    </row>
    <row r="512" ht="15.75" customHeight="1">
      <c r="A512" s="33"/>
      <c r="B512" s="45"/>
      <c r="C512" s="34"/>
      <c r="D512" s="115"/>
      <c r="E512" s="115"/>
      <c r="F512" s="129"/>
      <c r="G512" s="128"/>
    </row>
    <row r="513" ht="15.75" customHeight="1">
      <c r="A513" s="33"/>
      <c r="B513" s="45"/>
      <c r="C513" s="34"/>
      <c r="D513" s="115"/>
      <c r="E513" s="115"/>
      <c r="F513" s="129"/>
      <c r="G513" s="128"/>
    </row>
    <row r="514" ht="15.75" customHeight="1">
      <c r="A514" s="33"/>
      <c r="B514" s="45"/>
      <c r="C514" s="34"/>
      <c r="D514" s="115"/>
      <c r="E514" s="115"/>
      <c r="F514" s="129"/>
      <c r="G514" s="128"/>
    </row>
    <row r="515" ht="15.75" customHeight="1">
      <c r="A515" s="33"/>
      <c r="B515" s="45"/>
      <c r="C515" s="34"/>
      <c r="D515" s="115"/>
      <c r="E515" s="115"/>
      <c r="F515" s="129"/>
      <c r="G515" s="128"/>
    </row>
    <row r="516" ht="15.75" customHeight="1">
      <c r="A516" s="33"/>
      <c r="B516" s="45"/>
      <c r="C516" s="34"/>
      <c r="D516" s="115"/>
      <c r="E516" s="115"/>
      <c r="F516" s="129"/>
      <c r="G516" s="128"/>
    </row>
    <row r="517" ht="15.75" customHeight="1">
      <c r="A517" s="33"/>
      <c r="B517" s="45"/>
      <c r="C517" s="34"/>
      <c r="D517" s="115"/>
      <c r="E517" s="115"/>
      <c r="F517" s="129"/>
      <c r="G517" s="128"/>
    </row>
    <row r="518" ht="15.75" customHeight="1">
      <c r="A518" s="33"/>
      <c r="B518" s="45"/>
      <c r="C518" s="34"/>
      <c r="D518" s="115"/>
      <c r="E518" s="115"/>
      <c r="F518" s="129"/>
      <c r="G518" s="128"/>
    </row>
    <row r="519" ht="15.75" customHeight="1">
      <c r="A519" s="33"/>
      <c r="B519" s="45"/>
      <c r="C519" s="34"/>
      <c r="D519" s="115"/>
      <c r="E519" s="115"/>
      <c r="F519" s="129"/>
      <c r="G519" s="128"/>
    </row>
    <row r="520" ht="15.75" customHeight="1">
      <c r="A520" s="33"/>
      <c r="B520" s="45"/>
      <c r="C520" s="34"/>
      <c r="D520" s="115"/>
      <c r="E520" s="115"/>
      <c r="F520" s="129"/>
      <c r="G520" s="128"/>
    </row>
    <row r="521" ht="15.75" customHeight="1">
      <c r="A521" s="33"/>
      <c r="B521" s="45"/>
      <c r="C521" s="34"/>
      <c r="D521" s="115"/>
      <c r="E521" s="115"/>
      <c r="F521" s="129"/>
      <c r="G521" s="128"/>
    </row>
    <row r="522" ht="15.75" customHeight="1">
      <c r="A522" s="33"/>
      <c r="B522" s="45"/>
      <c r="C522" s="34"/>
      <c r="D522" s="115"/>
      <c r="E522" s="115"/>
      <c r="F522" s="129"/>
      <c r="G522" s="128"/>
    </row>
    <row r="523" ht="15.75" customHeight="1">
      <c r="A523" s="33"/>
      <c r="B523" s="45"/>
      <c r="C523" s="34"/>
      <c r="D523" s="115"/>
      <c r="E523" s="115"/>
      <c r="F523" s="129"/>
      <c r="G523" s="128"/>
    </row>
    <row r="524" ht="15.75" customHeight="1">
      <c r="A524" s="33"/>
      <c r="B524" s="45"/>
      <c r="C524" s="34"/>
      <c r="D524" s="115"/>
      <c r="E524" s="115"/>
      <c r="F524" s="129"/>
      <c r="G524" s="128"/>
    </row>
    <row r="525" ht="15.75" customHeight="1">
      <c r="A525" s="33"/>
      <c r="B525" s="45"/>
      <c r="C525" s="34"/>
      <c r="D525" s="115"/>
      <c r="E525" s="115"/>
      <c r="F525" s="129"/>
      <c r="G525" s="128"/>
    </row>
    <row r="526" ht="15.75" customHeight="1">
      <c r="A526" s="33"/>
      <c r="B526" s="45"/>
      <c r="C526" s="34"/>
      <c r="D526" s="115"/>
      <c r="E526" s="115"/>
      <c r="F526" s="129"/>
      <c r="G526" s="128"/>
    </row>
    <row r="527" ht="15.75" customHeight="1">
      <c r="A527" s="33"/>
      <c r="B527" s="45"/>
      <c r="C527" s="34"/>
      <c r="D527" s="115"/>
      <c r="E527" s="115"/>
      <c r="F527" s="129"/>
      <c r="G527" s="128"/>
    </row>
    <row r="528" ht="15.75" customHeight="1">
      <c r="A528" s="33"/>
      <c r="B528" s="45"/>
      <c r="C528" s="34"/>
      <c r="D528" s="115"/>
      <c r="E528" s="115"/>
      <c r="F528" s="129"/>
      <c r="G528" s="128"/>
    </row>
    <row r="529" ht="15.75" customHeight="1">
      <c r="A529" s="33"/>
      <c r="B529" s="45"/>
      <c r="C529" s="34"/>
      <c r="D529" s="115"/>
      <c r="E529" s="115"/>
      <c r="F529" s="129"/>
      <c r="G529" s="128"/>
    </row>
    <row r="530" ht="15.75" customHeight="1">
      <c r="A530" s="33"/>
      <c r="B530" s="45"/>
      <c r="C530" s="34"/>
      <c r="D530" s="115"/>
      <c r="E530" s="115"/>
      <c r="F530" s="129"/>
      <c r="G530" s="128"/>
    </row>
    <row r="531" ht="15.75" customHeight="1">
      <c r="A531" s="33"/>
      <c r="B531" s="45"/>
      <c r="C531" s="34"/>
      <c r="D531" s="115"/>
      <c r="E531" s="115"/>
      <c r="F531" s="129"/>
      <c r="G531" s="128"/>
    </row>
    <row r="532" ht="15.75" customHeight="1">
      <c r="A532" s="33"/>
      <c r="B532" s="45"/>
      <c r="C532" s="34"/>
      <c r="D532" s="115"/>
      <c r="E532" s="115"/>
      <c r="F532" s="129"/>
      <c r="G532" s="128"/>
    </row>
    <row r="533" ht="15.75" customHeight="1">
      <c r="A533" s="33"/>
      <c r="B533" s="45"/>
      <c r="C533" s="34"/>
      <c r="D533" s="115"/>
      <c r="E533" s="115"/>
      <c r="F533" s="129"/>
      <c r="G533" s="128"/>
    </row>
    <row r="534" ht="15.75" customHeight="1">
      <c r="A534" s="33"/>
      <c r="B534" s="45"/>
      <c r="C534" s="34"/>
      <c r="D534" s="115"/>
      <c r="E534" s="115"/>
      <c r="F534" s="129"/>
      <c r="G534" s="128"/>
    </row>
    <row r="535" ht="15.75" customHeight="1">
      <c r="A535" s="33"/>
      <c r="B535" s="45"/>
      <c r="C535" s="34"/>
      <c r="D535" s="115"/>
      <c r="E535" s="115"/>
      <c r="F535" s="129"/>
      <c r="G535" s="128"/>
    </row>
    <row r="536" ht="15.75" customHeight="1">
      <c r="A536" s="33"/>
      <c r="B536" s="45"/>
      <c r="C536" s="34"/>
      <c r="D536" s="115"/>
      <c r="E536" s="115"/>
      <c r="F536" s="129"/>
      <c r="G536" s="128"/>
    </row>
    <row r="537" ht="15.75" customHeight="1">
      <c r="A537" s="33"/>
      <c r="B537" s="45"/>
      <c r="C537" s="34"/>
      <c r="D537" s="115"/>
      <c r="E537" s="115"/>
      <c r="F537" s="129"/>
      <c r="G537" s="128"/>
    </row>
    <row r="538" ht="15.75" customHeight="1">
      <c r="A538" s="33"/>
      <c r="B538" s="45"/>
      <c r="C538" s="34"/>
      <c r="D538" s="115"/>
      <c r="E538" s="115"/>
      <c r="F538" s="129"/>
      <c r="G538" s="128"/>
    </row>
    <row r="539" ht="15.75" customHeight="1">
      <c r="A539" s="33"/>
      <c r="B539" s="45"/>
      <c r="C539" s="34"/>
      <c r="D539" s="115"/>
      <c r="E539" s="115"/>
      <c r="F539" s="129"/>
      <c r="G539" s="128"/>
    </row>
    <row r="540" ht="15.75" customHeight="1">
      <c r="A540" s="33"/>
      <c r="B540" s="45"/>
      <c r="C540" s="34"/>
      <c r="D540" s="115"/>
      <c r="E540" s="115"/>
      <c r="F540" s="129"/>
      <c r="G540" s="128"/>
    </row>
    <row r="541" ht="15.75" customHeight="1">
      <c r="A541" s="33"/>
      <c r="B541" s="45"/>
      <c r="C541" s="34"/>
      <c r="D541" s="115"/>
      <c r="E541" s="115"/>
      <c r="F541" s="129"/>
      <c r="G541" s="128"/>
    </row>
    <row r="542" ht="15.75" customHeight="1">
      <c r="A542" s="33"/>
      <c r="B542" s="45"/>
      <c r="C542" s="34"/>
      <c r="D542" s="115"/>
      <c r="E542" s="115"/>
      <c r="F542" s="129"/>
      <c r="G542" s="128"/>
    </row>
    <row r="543" ht="15.75" customHeight="1">
      <c r="A543" s="33"/>
      <c r="B543" s="45"/>
      <c r="C543" s="34"/>
      <c r="D543" s="115"/>
      <c r="E543" s="115"/>
      <c r="F543" s="129"/>
      <c r="G543" s="128"/>
    </row>
    <row r="544" ht="15.75" customHeight="1">
      <c r="A544" s="33"/>
      <c r="B544" s="45"/>
      <c r="C544" s="34"/>
      <c r="D544" s="115"/>
      <c r="E544" s="115"/>
      <c r="F544" s="129"/>
      <c r="G544" s="128"/>
    </row>
    <row r="545" ht="15.75" customHeight="1">
      <c r="A545" s="33"/>
      <c r="B545" s="45"/>
      <c r="C545" s="34"/>
      <c r="D545" s="115"/>
      <c r="E545" s="115"/>
      <c r="F545" s="129"/>
      <c r="G545" s="128"/>
    </row>
    <row r="546" ht="15.75" customHeight="1">
      <c r="A546" s="33"/>
      <c r="B546" s="45"/>
      <c r="C546" s="34"/>
      <c r="D546" s="115"/>
      <c r="E546" s="115"/>
      <c r="F546" s="129"/>
      <c r="G546" s="128"/>
    </row>
    <row r="547" ht="15.75" customHeight="1">
      <c r="A547" s="33"/>
      <c r="B547" s="45"/>
      <c r="C547" s="34"/>
      <c r="D547" s="115"/>
      <c r="E547" s="115"/>
      <c r="F547" s="129"/>
      <c r="G547" s="128"/>
    </row>
    <row r="548" ht="15.75" customHeight="1">
      <c r="A548" s="33"/>
      <c r="B548" s="45"/>
      <c r="C548" s="34"/>
      <c r="D548" s="115"/>
      <c r="E548" s="115"/>
      <c r="F548" s="129"/>
      <c r="G548" s="128"/>
    </row>
    <row r="549" ht="15.75" customHeight="1">
      <c r="A549" s="33"/>
      <c r="B549" s="45"/>
      <c r="C549" s="34"/>
      <c r="D549" s="115"/>
      <c r="E549" s="115"/>
      <c r="F549" s="129"/>
      <c r="G549" s="128"/>
    </row>
    <row r="550" ht="15.75" customHeight="1">
      <c r="A550" s="33"/>
      <c r="B550" s="45"/>
      <c r="C550" s="34"/>
      <c r="D550" s="115"/>
      <c r="E550" s="115"/>
      <c r="F550" s="129"/>
      <c r="G550" s="128"/>
    </row>
    <row r="551" ht="15.75" customHeight="1">
      <c r="A551" s="33"/>
      <c r="B551" s="45"/>
      <c r="C551" s="34"/>
      <c r="D551" s="115"/>
      <c r="E551" s="115"/>
      <c r="F551" s="129"/>
      <c r="G551" s="128"/>
    </row>
    <row r="552" ht="15.75" customHeight="1">
      <c r="A552" s="33"/>
      <c r="B552" s="45"/>
      <c r="C552" s="34"/>
      <c r="D552" s="115"/>
      <c r="E552" s="115"/>
      <c r="F552" s="129"/>
      <c r="G552" s="128"/>
    </row>
    <row r="553" ht="15.75" customHeight="1">
      <c r="A553" s="33"/>
      <c r="B553" s="45"/>
      <c r="C553" s="34"/>
      <c r="D553" s="115"/>
      <c r="E553" s="115"/>
      <c r="F553" s="129"/>
      <c r="G553" s="128"/>
    </row>
    <row r="554" ht="15.75" customHeight="1">
      <c r="A554" s="33"/>
      <c r="B554" s="45"/>
      <c r="C554" s="34"/>
      <c r="D554" s="115"/>
      <c r="E554" s="115"/>
      <c r="F554" s="129"/>
      <c r="G554" s="128"/>
    </row>
    <row r="555" ht="15.75" customHeight="1">
      <c r="A555" s="33"/>
      <c r="B555" s="45"/>
      <c r="C555" s="34"/>
      <c r="D555" s="115"/>
      <c r="E555" s="115"/>
      <c r="F555" s="129"/>
      <c r="G555" s="128"/>
    </row>
    <row r="556" ht="15.75" customHeight="1">
      <c r="A556" s="33"/>
      <c r="B556" s="45"/>
      <c r="C556" s="34"/>
      <c r="D556" s="115"/>
      <c r="E556" s="115"/>
      <c r="F556" s="129"/>
      <c r="G556" s="128"/>
    </row>
    <row r="557" ht="15.75" customHeight="1">
      <c r="A557" s="33"/>
      <c r="B557" s="45"/>
      <c r="C557" s="34"/>
      <c r="D557" s="115"/>
      <c r="E557" s="115"/>
      <c r="F557" s="129"/>
      <c r="G557" s="128"/>
    </row>
    <row r="558" ht="15.75" customHeight="1">
      <c r="A558" s="33"/>
      <c r="B558" s="45"/>
      <c r="C558" s="34"/>
      <c r="D558" s="115"/>
      <c r="E558" s="115"/>
      <c r="F558" s="129"/>
      <c r="G558" s="128"/>
    </row>
    <row r="559" ht="15.75" customHeight="1">
      <c r="A559" s="33"/>
      <c r="B559" s="45"/>
      <c r="C559" s="34"/>
      <c r="D559" s="115"/>
      <c r="E559" s="115"/>
      <c r="F559" s="129"/>
      <c r="G559" s="128"/>
    </row>
    <row r="560" ht="15.75" customHeight="1">
      <c r="A560" s="33"/>
      <c r="B560" s="45"/>
      <c r="C560" s="34"/>
      <c r="D560" s="115"/>
      <c r="E560" s="115"/>
      <c r="F560" s="129"/>
      <c r="G560" s="128"/>
    </row>
    <row r="561" ht="15.75" customHeight="1">
      <c r="A561" s="33"/>
      <c r="B561" s="45"/>
      <c r="C561" s="34"/>
      <c r="D561" s="115"/>
      <c r="E561" s="115"/>
      <c r="F561" s="129"/>
      <c r="G561" s="128"/>
    </row>
    <row r="562" ht="15.75" customHeight="1">
      <c r="A562" s="33"/>
      <c r="B562" s="45"/>
      <c r="C562" s="34"/>
      <c r="D562" s="115"/>
      <c r="E562" s="115"/>
      <c r="F562" s="129"/>
      <c r="G562" s="128"/>
    </row>
    <row r="563" ht="15.75" customHeight="1">
      <c r="A563" s="33"/>
      <c r="B563" s="45"/>
      <c r="C563" s="34"/>
      <c r="D563" s="115"/>
      <c r="E563" s="115"/>
      <c r="F563" s="129"/>
      <c r="G563" s="128"/>
    </row>
    <row r="564" ht="15.75" customHeight="1">
      <c r="A564" s="33"/>
      <c r="B564" s="45"/>
      <c r="C564" s="34"/>
      <c r="D564" s="115"/>
      <c r="E564" s="115"/>
      <c r="F564" s="129"/>
      <c r="G564" s="128"/>
    </row>
    <row r="565" ht="15.75" customHeight="1">
      <c r="A565" s="33"/>
      <c r="B565" s="45"/>
      <c r="C565" s="34"/>
      <c r="D565" s="115"/>
      <c r="E565" s="115"/>
      <c r="F565" s="129"/>
      <c r="G565" s="128"/>
    </row>
    <row r="566" ht="15.75" customHeight="1">
      <c r="A566" s="33"/>
      <c r="B566" s="45"/>
      <c r="C566" s="34"/>
      <c r="D566" s="115"/>
      <c r="E566" s="115"/>
      <c r="F566" s="129"/>
      <c r="G566" s="128"/>
    </row>
    <row r="567" ht="15.75" customHeight="1">
      <c r="A567" s="33"/>
      <c r="B567" s="45"/>
      <c r="C567" s="34"/>
      <c r="D567" s="115"/>
      <c r="E567" s="115"/>
      <c r="F567" s="129"/>
      <c r="G567" s="128"/>
    </row>
    <row r="568" ht="15.75" customHeight="1">
      <c r="A568" s="33"/>
      <c r="B568" s="45"/>
      <c r="C568" s="34"/>
      <c r="D568" s="115"/>
      <c r="E568" s="115"/>
      <c r="F568" s="129"/>
      <c r="G568" s="128"/>
    </row>
    <row r="569" ht="15.75" customHeight="1">
      <c r="A569" s="33"/>
      <c r="B569" s="45"/>
      <c r="C569" s="34"/>
      <c r="D569" s="115"/>
      <c r="E569" s="115"/>
      <c r="F569" s="129"/>
      <c r="G569" s="128"/>
    </row>
    <row r="570" ht="15.75" customHeight="1">
      <c r="A570" s="33"/>
      <c r="B570" s="45"/>
      <c r="C570" s="34"/>
      <c r="D570" s="115"/>
      <c r="E570" s="115"/>
      <c r="F570" s="129"/>
      <c r="G570" s="128"/>
    </row>
    <row r="571" ht="15.75" customHeight="1">
      <c r="A571" s="33"/>
      <c r="B571" s="45"/>
      <c r="C571" s="34"/>
      <c r="D571" s="115"/>
      <c r="E571" s="115"/>
      <c r="F571" s="129"/>
      <c r="G571" s="128"/>
    </row>
    <row r="572" ht="15.75" customHeight="1">
      <c r="A572" s="33"/>
      <c r="B572" s="45"/>
      <c r="C572" s="34"/>
      <c r="D572" s="115"/>
      <c r="E572" s="115"/>
      <c r="F572" s="129"/>
      <c r="G572" s="128"/>
    </row>
    <row r="573" ht="15.75" customHeight="1">
      <c r="A573" s="33"/>
      <c r="B573" s="45"/>
      <c r="C573" s="34"/>
      <c r="D573" s="115"/>
      <c r="E573" s="115"/>
      <c r="F573" s="129"/>
      <c r="G573" s="128"/>
    </row>
    <row r="574" ht="15.75" customHeight="1">
      <c r="A574" s="33"/>
      <c r="B574" s="45"/>
      <c r="C574" s="34"/>
      <c r="D574" s="115"/>
      <c r="E574" s="115"/>
      <c r="F574" s="129"/>
      <c r="G574" s="128"/>
    </row>
    <row r="575" ht="15.75" customHeight="1">
      <c r="A575" s="33"/>
      <c r="B575" s="45"/>
      <c r="C575" s="34"/>
      <c r="D575" s="115"/>
      <c r="E575" s="115"/>
      <c r="F575" s="129"/>
      <c r="G575" s="128"/>
    </row>
    <row r="576" ht="15.75" customHeight="1">
      <c r="A576" s="33"/>
      <c r="B576" s="45"/>
      <c r="C576" s="34"/>
      <c r="D576" s="115"/>
      <c r="E576" s="115"/>
      <c r="F576" s="129"/>
      <c r="G576" s="128"/>
    </row>
    <row r="577" ht="15.75" customHeight="1">
      <c r="A577" s="33"/>
      <c r="B577" s="45"/>
      <c r="C577" s="34"/>
      <c r="D577" s="115"/>
      <c r="E577" s="115"/>
      <c r="F577" s="129"/>
      <c r="G577" s="128"/>
    </row>
    <row r="578" ht="15.75" customHeight="1">
      <c r="A578" s="33"/>
      <c r="B578" s="45"/>
      <c r="C578" s="34"/>
      <c r="D578" s="115"/>
      <c r="E578" s="115"/>
      <c r="F578" s="129"/>
      <c r="G578" s="128"/>
    </row>
    <row r="579" ht="15.75" customHeight="1">
      <c r="A579" s="33"/>
      <c r="B579" s="45"/>
      <c r="C579" s="34"/>
      <c r="D579" s="115"/>
      <c r="E579" s="115"/>
      <c r="F579" s="129"/>
      <c r="G579" s="128"/>
    </row>
    <row r="580" ht="15.75" customHeight="1">
      <c r="A580" s="33"/>
      <c r="B580" s="45"/>
      <c r="C580" s="34"/>
      <c r="D580" s="115"/>
      <c r="E580" s="115"/>
      <c r="F580" s="129"/>
      <c r="G580" s="128"/>
    </row>
    <row r="581" ht="15.75" customHeight="1">
      <c r="A581" s="33"/>
      <c r="B581" s="45"/>
      <c r="C581" s="34"/>
      <c r="D581" s="115"/>
      <c r="E581" s="115"/>
      <c r="F581" s="129"/>
      <c r="G581" s="128"/>
    </row>
    <row r="582" ht="15.75" customHeight="1">
      <c r="A582" s="33"/>
      <c r="B582" s="45"/>
      <c r="C582" s="34"/>
      <c r="D582" s="115"/>
      <c r="E582" s="115"/>
      <c r="F582" s="129"/>
      <c r="G582" s="128"/>
    </row>
    <row r="583" ht="15.75" customHeight="1">
      <c r="A583" s="33"/>
      <c r="B583" s="45"/>
      <c r="C583" s="34"/>
      <c r="D583" s="115"/>
      <c r="E583" s="115"/>
      <c r="F583" s="129"/>
      <c r="G583" s="128"/>
    </row>
    <row r="584" ht="15.75" customHeight="1">
      <c r="A584" s="33"/>
      <c r="B584" s="45"/>
      <c r="C584" s="34"/>
      <c r="D584" s="115"/>
      <c r="E584" s="115"/>
      <c r="F584" s="129"/>
      <c r="G584" s="128"/>
    </row>
    <row r="585" ht="15.75" customHeight="1">
      <c r="A585" s="33"/>
      <c r="B585" s="45"/>
      <c r="C585" s="34"/>
      <c r="D585" s="115"/>
      <c r="E585" s="115"/>
      <c r="F585" s="129"/>
      <c r="G585" s="128"/>
    </row>
    <row r="586" ht="15.75" customHeight="1">
      <c r="A586" s="33"/>
      <c r="B586" s="45"/>
      <c r="C586" s="34"/>
      <c r="D586" s="115"/>
      <c r="E586" s="115"/>
      <c r="F586" s="129"/>
      <c r="G586" s="128"/>
    </row>
    <row r="587" ht="15.75" customHeight="1">
      <c r="A587" s="33"/>
      <c r="B587" s="45"/>
      <c r="C587" s="34"/>
      <c r="D587" s="115"/>
      <c r="E587" s="115"/>
      <c r="F587" s="129"/>
      <c r="G587" s="128"/>
    </row>
    <row r="588" ht="15.75" customHeight="1">
      <c r="A588" s="33"/>
      <c r="B588" s="45"/>
      <c r="C588" s="34"/>
      <c r="D588" s="115"/>
      <c r="E588" s="115"/>
      <c r="F588" s="129"/>
      <c r="G588" s="128"/>
    </row>
    <row r="589" ht="15.75" customHeight="1">
      <c r="A589" s="33"/>
      <c r="B589" s="45"/>
      <c r="C589" s="34"/>
      <c r="D589" s="115"/>
      <c r="E589" s="115"/>
      <c r="F589" s="129"/>
      <c r="G589" s="128"/>
    </row>
    <row r="590" ht="15.75" customHeight="1">
      <c r="A590" s="33"/>
      <c r="B590" s="45"/>
      <c r="C590" s="34"/>
      <c r="D590" s="115"/>
      <c r="E590" s="115"/>
      <c r="F590" s="129"/>
      <c r="G590" s="128"/>
    </row>
    <row r="591" ht="15.75" customHeight="1">
      <c r="A591" s="33"/>
      <c r="B591" s="45"/>
      <c r="C591" s="34"/>
      <c r="D591" s="115"/>
      <c r="E591" s="115"/>
      <c r="F591" s="129"/>
      <c r="G591" s="128"/>
    </row>
    <row r="592" ht="15.75" customHeight="1">
      <c r="A592" s="33"/>
      <c r="B592" s="45"/>
      <c r="C592" s="34"/>
      <c r="D592" s="115"/>
      <c r="E592" s="115"/>
      <c r="F592" s="129"/>
      <c r="G592" s="128"/>
    </row>
    <row r="593" ht="15.75" customHeight="1">
      <c r="A593" s="33"/>
      <c r="B593" s="45"/>
      <c r="C593" s="34"/>
      <c r="D593" s="115"/>
      <c r="E593" s="115"/>
      <c r="F593" s="129"/>
      <c r="G593" s="128"/>
    </row>
    <row r="594" ht="15.75" customHeight="1">
      <c r="A594" s="33"/>
      <c r="B594" s="45"/>
      <c r="C594" s="34"/>
      <c r="D594" s="115"/>
      <c r="E594" s="115"/>
      <c r="F594" s="129"/>
      <c r="G594" s="128"/>
    </row>
    <row r="595" ht="15.75" customHeight="1">
      <c r="A595" s="33"/>
      <c r="B595" s="45"/>
      <c r="C595" s="34"/>
      <c r="D595" s="115"/>
      <c r="E595" s="115"/>
      <c r="F595" s="129"/>
      <c r="G595" s="128"/>
    </row>
    <row r="596" ht="15.75" customHeight="1">
      <c r="A596" s="33"/>
      <c r="B596" s="45"/>
      <c r="C596" s="34"/>
      <c r="D596" s="115"/>
      <c r="E596" s="115"/>
      <c r="F596" s="129"/>
      <c r="G596" s="128"/>
    </row>
    <row r="597" ht="15.75" customHeight="1">
      <c r="A597" s="33"/>
      <c r="B597" s="45"/>
      <c r="C597" s="34"/>
      <c r="D597" s="115"/>
      <c r="E597" s="115"/>
      <c r="F597" s="129"/>
      <c r="G597" s="128"/>
    </row>
    <row r="598" ht="15.75" customHeight="1">
      <c r="A598" s="33"/>
      <c r="B598" s="45"/>
      <c r="C598" s="34"/>
      <c r="D598" s="115"/>
      <c r="E598" s="115"/>
      <c r="F598" s="129"/>
      <c r="G598" s="128"/>
    </row>
    <row r="599" ht="15.75" customHeight="1">
      <c r="A599" s="33"/>
      <c r="B599" s="45"/>
      <c r="C599" s="34"/>
      <c r="D599" s="115"/>
      <c r="E599" s="115"/>
      <c r="F599" s="129"/>
      <c r="G599" s="128"/>
    </row>
    <row r="600" ht="15.75" customHeight="1">
      <c r="A600" s="33"/>
      <c r="B600" s="45"/>
      <c r="C600" s="34"/>
      <c r="D600" s="115"/>
      <c r="E600" s="115"/>
      <c r="F600" s="129"/>
      <c r="G600" s="128"/>
    </row>
    <row r="601" ht="15.75" customHeight="1">
      <c r="A601" s="33"/>
      <c r="B601" s="45"/>
      <c r="C601" s="34"/>
      <c r="D601" s="115"/>
      <c r="E601" s="115"/>
      <c r="F601" s="129"/>
      <c r="G601" s="128"/>
    </row>
    <row r="602" ht="15.75" customHeight="1">
      <c r="A602" s="33"/>
      <c r="B602" s="45"/>
      <c r="C602" s="34"/>
      <c r="D602" s="115"/>
      <c r="E602" s="115"/>
      <c r="F602" s="129"/>
      <c r="G602" s="128"/>
    </row>
    <row r="603" ht="15.75" customHeight="1">
      <c r="A603" s="33"/>
      <c r="B603" s="45"/>
      <c r="C603" s="34"/>
      <c r="D603" s="115"/>
      <c r="E603" s="115"/>
      <c r="F603" s="129"/>
      <c r="G603" s="128"/>
    </row>
    <row r="604" ht="15.75" customHeight="1">
      <c r="A604" s="33"/>
      <c r="B604" s="45"/>
      <c r="C604" s="34"/>
      <c r="D604" s="115"/>
      <c r="E604" s="115"/>
      <c r="F604" s="129"/>
      <c r="G604" s="128"/>
    </row>
    <row r="605" ht="15.75" customHeight="1">
      <c r="A605" s="33"/>
      <c r="B605" s="45"/>
      <c r="C605" s="34"/>
      <c r="D605" s="115"/>
      <c r="E605" s="115"/>
      <c r="F605" s="129"/>
      <c r="G605" s="128"/>
    </row>
    <row r="606" ht="15.75" customHeight="1">
      <c r="A606" s="33"/>
      <c r="B606" s="45"/>
      <c r="C606" s="34"/>
      <c r="D606" s="115"/>
      <c r="E606" s="115"/>
      <c r="F606" s="129"/>
      <c r="G606" s="128"/>
    </row>
    <row r="607" ht="15.75" customHeight="1">
      <c r="A607" s="33"/>
      <c r="B607" s="45"/>
      <c r="C607" s="34"/>
      <c r="D607" s="115"/>
      <c r="E607" s="115"/>
      <c r="F607" s="129"/>
      <c r="G607" s="128"/>
    </row>
    <row r="608" ht="15.75" customHeight="1">
      <c r="A608" s="33"/>
      <c r="B608" s="45"/>
      <c r="C608" s="34"/>
      <c r="D608" s="115"/>
      <c r="E608" s="115"/>
      <c r="F608" s="129"/>
      <c r="G608" s="128"/>
    </row>
    <row r="609" ht="15.75" customHeight="1">
      <c r="A609" s="33"/>
      <c r="B609" s="45"/>
      <c r="C609" s="34"/>
      <c r="D609" s="115"/>
      <c r="E609" s="115"/>
      <c r="F609" s="129"/>
      <c r="G609" s="128"/>
    </row>
    <row r="610" ht="15.75" customHeight="1">
      <c r="A610" s="33"/>
      <c r="B610" s="45"/>
      <c r="C610" s="34"/>
      <c r="D610" s="115"/>
      <c r="E610" s="115"/>
      <c r="F610" s="129"/>
      <c r="G610" s="128"/>
    </row>
    <row r="611" ht="15.75" customHeight="1">
      <c r="A611" s="33"/>
      <c r="B611" s="45"/>
      <c r="C611" s="34"/>
      <c r="D611" s="115"/>
      <c r="E611" s="115"/>
      <c r="F611" s="129"/>
      <c r="G611" s="128"/>
    </row>
    <row r="612" ht="15.75" customHeight="1">
      <c r="A612" s="33"/>
      <c r="B612" s="45"/>
      <c r="C612" s="34"/>
      <c r="D612" s="115"/>
      <c r="E612" s="115"/>
      <c r="F612" s="129"/>
      <c r="G612" s="128"/>
    </row>
    <row r="613" ht="15.75" customHeight="1">
      <c r="A613" s="33"/>
      <c r="B613" s="45"/>
      <c r="C613" s="34"/>
      <c r="D613" s="115"/>
      <c r="E613" s="115"/>
      <c r="F613" s="129"/>
      <c r="G613" s="128"/>
    </row>
    <row r="614" ht="15.75" customHeight="1">
      <c r="A614" s="33"/>
      <c r="B614" s="45"/>
      <c r="C614" s="34"/>
      <c r="D614" s="115"/>
      <c r="E614" s="115"/>
      <c r="F614" s="129"/>
      <c r="G614" s="128"/>
    </row>
    <row r="615" ht="15.75" customHeight="1">
      <c r="A615" s="33"/>
      <c r="B615" s="45"/>
      <c r="C615" s="34"/>
      <c r="D615" s="115"/>
      <c r="E615" s="115"/>
      <c r="F615" s="129"/>
      <c r="G615" s="128"/>
    </row>
    <row r="616" ht="15.75" customHeight="1">
      <c r="A616" s="33"/>
      <c r="B616" s="45"/>
      <c r="C616" s="34"/>
      <c r="D616" s="115"/>
      <c r="E616" s="115"/>
      <c r="F616" s="129"/>
      <c r="G616" s="128"/>
    </row>
    <row r="617" ht="15.75" customHeight="1">
      <c r="A617" s="33"/>
      <c r="B617" s="45"/>
      <c r="C617" s="34"/>
      <c r="D617" s="115"/>
      <c r="E617" s="115"/>
      <c r="F617" s="129"/>
      <c r="G617" s="128"/>
    </row>
    <row r="618" ht="15.75" customHeight="1">
      <c r="A618" s="33"/>
      <c r="B618" s="45"/>
      <c r="C618" s="34"/>
      <c r="D618" s="115"/>
      <c r="E618" s="115"/>
      <c r="F618" s="129"/>
      <c r="G618" s="128"/>
    </row>
    <row r="619" ht="15.75" customHeight="1">
      <c r="A619" s="33"/>
      <c r="B619" s="45"/>
      <c r="C619" s="34"/>
      <c r="D619" s="115"/>
      <c r="E619" s="115"/>
      <c r="F619" s="129"/>
      <c r="G619" s="128"/>
    </row>
    <row r="620" ht="15.75" customHeight="1">
      <c r="A620" s="33"/>
      <c r="B620" s="45"/>
      <c r="C620" s="34"/>
      <c r="D620" s="115"/>
      <c r="E620" s="115"/>
      <c r="F620" s="129"/>
      <c r="G620" s="128"/>
    </row>
    <row r="621" ht="15.75" customHeight="1">
      <c r="A621" s="33"/>
      <c r="B621" s="45"/>
      <c r="C621" s="34"/>
      <c r="D621" s="115"/>
      <c r="E621" s="115"/>
      <c r="F621" s="129"/>
      <c r="G621" s="128"/>
    </row>
    <row r="622" ht="15.75" customHeight="1">
      <c r="A622" s="33"/>
      <c r="B622" s="45"/>
      <c r="C622" s="34"/>
      <c r="D622" s="115"/>
      <c r="E622" s="115"/>
      <c r="F622" s="129"/>
      <c r="G622" s="128"/>
    </row>
    <row r="623" ht="15.75" customHeight="1">
      <c r="A623" s="33"/>
      <c r="B623" s="45"/>
      <c r="C623" s="34"/>
      <c r="D623" s="115"/>
      <c r="E623" s="115"/>
      <c r="F623" s="129"/>
      <c r="G623" s="128"/>
    </row>
    <row r="624" ht="15.75" customHeight="1">
      <c r="A624" s="33"/>
      <c r="B624" s="45"/>
      <c r="C624" s="34"/>
      <c r="D624" s="115"/>
      <c r="E624" s="115"/>
      <c r="F624" s="129"/>
      <c r="G624" s="128"/>
    </row>
    <row r="625" ht="15.75" customHeight="1">
      <c r="A625" s="33"/>
      <c r="B625" s="45"/>
      <c r="C625" s="34"/>
      <c r="D625" s="115"/>
      <c r="E625" s="115"/>
      <c r="F625" s="129"/>
      <c r="G625" s="128"/>
    </row>
    <row r="626" ht="15.75" customHeight="1">
      <c r="A626" s="33"/>
      <c r="B626" s="45"/>
      <c r="C626" s="34"/>
      <c r="D626" s="115"/>
      <c r="E626" s="115"/>
      <c r="F626" s="129"/>
      <c r="G626" s="128"/>
    </row>
    <row r="627" ht="15.75" customHeight="1">
      <c r="A627" s="33"/>
      <c r="B627" s="45"/>
      <c r="C627" s="34"/>
      <c r="D627" s="115"/>
      <c r="E627" s="115"/>
      <c r="F627" s="129"/>
      <c r="G627" s="128"/>
    </row>
    <row r="628" ht="15.75" customHeight="1">
      <c r="A628" s="33"/>
      <c r="B628" s="45"/>
      <c r="C628" s="34"/>
      <c r="D628" s="115"/>
      <c r="E628" s="115"/>
      <c r="F628" s="129"/>
      <c r="G628" s="128"/>
    </row>
    <row r="629" ht="15.75" customHeight="1">
      <c r="A629" s="33"/>
      <c r="B629" s="45"/>
      <c r="C629" s="34"/>
      <c r="D629" s="115"/>
      <c r="E629" s="115"/>
      <c r="F629" s="129"/>
      <c r="G629" s="128"/>
    </row>
    <row r="630" ht="15.75" customHeight="1">
      <c r="A630" s="33"/>
      <c r="B630" s="45"/>
      <c r="C630" s="34"/>
      <c r="D630" s="115"/>
      <c r="E630" s="115"/>
      <c r="F630" s="129"/>
      <c r="G630" s="128"/>
    </row>
    <row r="631" ht="15.75" customHeight="1">
      <c r="A631" s="33"/>
      <c r="B631" s="45"/>
      <c r="C631" s="34"/>
      <c r="D631" s="115"/>
      <c r="E631" s="115"/>
      <c r="F631" s="129"/>
      <c r="G631" s="128"/>
    </row>
    <row r="632" ht="15.75" customHeight="1">
      <c r="A632" s="33"/>
      <c r="B632" s="45"/>
      <c r="C632" s="34"/>
      <c r="D632" s="115"/>
      <c r="E632" s="115"/>
      <c r="F632" s="129"/>
      <c r="G632" s="128"/>
    </row>
    <row r="633" ht="15.75" customHeight="1">
      <c r="A633" s="33"/>
      <c r="B633" s="45"/>
      <c r="C633" s="34"/>
      <c r="D633" s="115"/>
      <c r="E633" s="115"/>
      <c r="F633" s="129"/>
      <c r="G633" s="128"/>
    </row>
    <row r="634" ht="15.75" customHeight="1">
      <c r="A634" s="33"/>
      <c r="B634" s="45"/>
      <c r="C634" s="34"/>
      <c r="D634" s="115"/>
      <c r="E634" s="115"/>
      <c r="F634" s="129"/>
      <c r="G634" s="128"/>
    </row>
    <row r="635" ht="15.75" customHeight="1">
      <c r="A635" s="33"/>
      <c r="B635" s="45"/>
      <c r="C635" s="34"/>
      <c r="D635" s="115"/>
      <c r="E635" s="115"/>
      <c r="F635" s="129"/>
      <c r="G635" s="128"/>
    </row>
    <row r="636" ht="15.75" customHeight="1">
      <c r="A636" s="33"/>
      <c r="B636" s="45"/>
      <c r="C636" s="34"/>
      <c r="D636" s="115"/>
      <c r="E636" s="115"/>
      <c r="F636" s="129"/>
      <c r="G636" s="128"/>
    </row>
    <row r="637" ht="15.75" customHeight="1">
      <c r="A637" s="33"/>
      <c r="B637" s="45"/>
      <c r="C637" s="34"/>
      <c r="D637" s="115"/>
      <c r="E637" s="115"/>
      <c r="F637" s="129"/>
      <c r="G637" s="128"/>
    </row>
    <row r="638" ht="15.75" customHeight="1">
      <c r="A638" s="33"/>
      <c r="B638" s="45"/>
      <c r="C638" s="34"/>
      <c r="D638" s="115"/>
      <c r="E638" s="115"/>
      <c r="F638" s="129"/>
      <c r="G638" s="128"/>
    </row>
    <row r="639" ht="15.75" customHeight="1">
      <c r="A639" s="33"/>
      <c r="B639" s="45"/>
      <c r="C639" s="34"/>
      <c r="D639" s="115"/>
      <c r="E639" s="115"/>
      <c r="F639" s="129"/>
      <c r="G639" s="128"/>
    </row>
    <row r="640" ht="15.75" customHeight="1">
      <c r="A640" s="33"/>
      <c r="B640" s="45"/>
      <c r="C640" s="34"/>
      <c r="D640" s="115"/>
      <c r="E640" s="115"/>
      <c r="F640" s="129"/>
      <c r="G640" s="128"/>
    </row>
    <row r="641" ht="15.75" customHeight="1">
      <c r="A641" s="33"/>
      <c r="B641" s="45"/>
      <c r="C641" s="34"/>
      <c r="D641" s="115"/>
      <c r="E641" s="115"/>
      <c r="F641" s="129"/>
      <c r="G641" s="128"/>
    </row>
    <row r="642" ht="15.75" customHeight="1">
      <c r="A642" s="33"/>
      <c r="B642" s="45"/>
      <c r="C642" s="34"/>
      <c r="D642" s="115"/>
      <c r="E642" s="115"/>
      <c r="F642" s="129"/>
      <c r="G642" s="128"/>
    </row>
    <row r="643" ht="15.75" customHeight="1">
      <c r="A643" s="33"/>
      <c r="B643" s="45"/>
      <c r="C643" s="34"/>
      <c r="D643" s="115"/>
      <c r="E643" s="115"/>
      <c r="F643" s="129"/>
      <c r="G643" s="128"/>
    </row>
    <row r="644" ht="15.75" customHeight="1">
      <c r="A644" s="33"/>
      <c r="B644" s="45"/>
      <c r="C644" s="34"/>
      <c r="D644" s="115"/>
      <c r="E644" s="115"/>
      <c r="F644" s="129"/>
      <c r="G644" s="128"/>
    </row>
    <row r="645" ht="15.75" customHeight="1">
      <c r="A645" s="33"/>
      <c r="B645" s="45"/>
      <c r="C645" s="34"/>
      <c r="D645" s="115"/>
      <c r="E645" s="115"/>
      <c r="F645" s="129"/>
      <c r="G645" s="128"/>
    </row>
    <row r="646" ht="15.75" customHeight="1">
      <c r="A646" s="33"/>
      <c r="B646" s="45"/>
      <c r="C646" s="34"/>
      <c r="D646" s="115"/>
      <c r="E646" s="115"/>
      <c r="F646" s="129"/>
      <c r="G646" s="128"/>
    </row>
    <row r="647" ht="15.75" customHeight="1">
      <c r="A647" s="33"/>
      <c r="B647" s="45"/>
      <c r="C647" s="34"/>
      <c r="D647" s="115"/>
      <c r="E647" s="115"/>
      <c r="F647" s="129"/>
      <c r="G647" s="128"/>
    </row>
    <row r="648" ht="15.75" customHeight="1">
      <c r="A648" s="33"/>
      <c r="B648" s="45"/>
      <c r="C648" s="34"/>
      <c r="D648" s="115"/>
      <c r="E648" s="115"/>
      <c r="F648" s="129"/>
      <c r="G648" s="128"/>
    </row>
    <row r="649" ht="15.75" customHeight="1">
      <c r="A649" s="33"/>
      <c r="B649" s="45"/>
      <c r="C649" s="34"/>
      <c r="D649" s="115"/>
      <c r="E649" s="115"/>
      <c r="F649" s="129"/>
      <c r="G649" s="128"/>
    </row>
    <row r="650" ht="15.75" customHeight="1">
      <c r="A650" s="33"/>
      <c r="B650" s="45"/>
      <c r="C650" s="34"/>
      <c r="D650" s="115"/>
      <c r="E650" s="115"/>
      <c r="F650" s="129"/>
      <c r="G650" s="128"/>
    </row>
    <row r="651" ht="15.75" customHeight="1">
      <c r="A651" s="33"/>
      <c r="B651" s="45"/>
      <c r="C651" s="34"/>
      <c r="D651" s="115"/>
      <c r="E651" s="115"/>
      <c r="F651" s="129"/>
      <c r="G651" s="128"/>
    </row>
    <row r="652" ht="15.75" customHeight="1">
      <c r="A652" s="33"/>
      <c r="B652" s="45"/>
      <c r="C652" s="34"/>
      <c r="D652" s="115"/>
      <c r="E652" s="115"/>
      <c r="F652" s="129"/>
      <c r="G652" s="128"/>
    </row>
    <row r="653" ht="15.75" customHeight="1">
      <c r="A653" s="33"/>
      <c r="B653" s="45"/>
      <c r="C653" s="34"/>
      <c r="D653" s="115"/>
      <c r="E653" s="115"/>
      <c r="F653" s="129"/>
      <c r="G653" s="128"/>
    </row>
    <row r="654" ht="15.75" customHeight="1">
      <c r="A654" s="33"/>
      <c r="B654" s="45"/>
      <c r="C654" s="34"/>
      <c r="D654" s="115"/>
      <c r="E654" s="115"/>
      <c r="F654" s="129"/>
      <c r="G654" s="128"/>
    </row>
    <row r="655" ht="15.75" customHeight="1">
      <c r="A655" s="33"/>
      <c r="B655" s="45"/>
      <c r="C655" s="34"/>
      <c r="D655" s="115"/>
      <c r="E655" s="115"/>
      <c r="F655" s="129"/>
      <c r="G655" s="128"/>
    </row>
    <row r="656" ht="15.75" customHeight="1">
      <c r="A656" s="33"/>
      <c r="B656" s="45"/>
      <c r="C656" s="34"/>
      <c r="D656" s="115"/>
      <c r="E656" s="115"/>
      <c r="F656" s="129"/>
      <c r="G656" s="128"/>
    </row>
    <row r="657" ht="15.75" customHeight="1">
      <c r="A657" s="33"/>
      <c r="B657" s="45"/>
      <c r="C657" s="34"/>
      <c r="D657" s="115"/>
      <c r="E657" s="115"/>
      <c r="F657" s="129"/>
      <c r="G657" s="128"/>
    </row>
    <row r="658" ht="15.75" customHeight="1">
      <c r="A658" s="33"/>
      <c r="B658" s="45"/>
      <c r="C658" s="34"/>
      <c r="D658" s="115"/>
      <c r="E658" s="115"/>
      <c r="F658" s="129"/>
      <c r="G658" s="128"/>
    </row>
    <row r="659" ht="15.75" customHeight="1">
      <c r="A659" s="33"/>
      <c r="B659" s="45"/>
      <c r="C659" s="34"/>
      <c r="D659" s="115"/>
      <c r="E659" s="115"/>
      <c r="F659" s="129"/>
      <c r="G659" s="128"/>
    </row>
    <row r="660" ht="15.75" customHeight="1">
      <c r="A660" s="33"/>
      <c r="B660" s="45"/>
      <c r="C660" s="34"/>
      <c r="D660" s="115"/>
      <c r="E660" s="115"/>
      <c r="F660" s="129"/>
      <c r="G660" s="128"/>
    </row>
    <row r="661" ht="15.75" customHeight="1">
      <c r="A661" s="33"/>
      <c r="B661" s="45"/>
      <c r="C661" s="34"/>
      <c r="D661" s="115"/>
      <c r="E661" s="115"/>
      <c r="F661" s="129"/>
      <c r="G661" s="128"/>
    </row>
    <row r="662" ht="15.75" customHeight="1">
      <c r="A662" s="33"/>
      <c r="B662" s="45"/>
      <c r="C662" s="34"/>
      <c r="D662" s="115"/>
      <c r="E662" s="115"/>
      <c r="F662" s="129"/>
      <c r="G662" s="128"/>
    </row>
    <row r="663" ht="15.75" customHeight="1">
      <c r="A663" s="33"/>
      <c r="B663" s="45"/>
      <c r="C663" s="34"/>
      <c r="D663" s="115"/>
      <c r="E663" s="115"/>
      <c r="F663" s="129"/>
      <c r="G663" s="128"/>
    </row>
    <row r="664" ht="15.75" customHeight="1">
      <c r="A664" s="33"/>
      <c r="B664" s="45"/>
      <c r="C664" s="34"/>
      <c r="D664" s="115"/>
      <c r="E664" s="115"/>
      <c r="F664" s="129"/>
      <c r="G664" s="128"/>
    </row>
    <row r="665" ht="15.75" customHeight="1">
      <c r="A665" s="33"/>
      <c r="B665" s="45"/>
      <c r="C665" s="34"/>
      <c r="D665" s="115"/>
      <c r="E665" s="115"/>
      <c r="F665" s="129"/>
      <c r="G665" s="128"/>
    </row>
    <row r="666" ht="15.75" customHeight="1">
      <c r="A666" s="33"/>
      <c r="B666" s="45"/>
      <c r="C666" s="34"/>
      <c r="D666" s="115"/>
      <c r="E666" s="115"/>
      <c r="F666" s="129"/>
      <c r="G666" s="128"/>
    </row>
    <row r="667" ht="15.75" customHeight="1">
      <c r="A667" s="33"/>
      <c r="B667" s="45"/>
      <c r="C667" s="34"/>
      <c r="D667" s="115"/>
      <c r="E667" s="115"/>
      <c r="F667" s="129"/>
      <c r="G667" s="128"/>
    </row>
    <row r="668" ht="15.75" customHeight="1">
      <c r="A668" s="33"/>
      <c r="B668" s="45"/>
      <c r="C668" s="34"/>
      <c r="D668" s="115"/>
      <c r="E668" s="115"/>
      <c r="F668" s="129"/>
      <c r="G668" s="128"/>
    </row>
    <row r="669" ht="15.75" customHeight="1">
      <c r="A669" s="33"/>
      <c r="B669" s="45"/>
      <c r="C669" s="34"/>
      <c r="D669" s="115"/>
      <c r="E669" s="115"/>
      <c r="F669" s="129"/>
      <c r="G669" s="128"/>
    </row>
    <row r="670" ht="15.75" customHeight="1">
      <c r="A670" s="33"/>
      <c r="B670" s="45"/>
      <c r="C670" s="34"/>
      <c r="D670" s="115"/>
      <c r="E670" s="115"/>
      <c r="F670" s="129"/>
      <c r="G670" s="128"/>
    </row>
    <row r="671" ht="15.75" customHeight="1">
      <c r="A671" s="33"/>
      <c r="B671" s="45"/>
      <c r="C671" s="34"/>
      <c r="D671" s="115"/>
      <c r="E671" s="115"/>
      <c r="F671" s="129"/>
      <c r="G671" s="128"/>
    </row>
    <row r="672" ht="15.75" customHeight="1">
      <c r="A672" s="33"/>
      <c r="B672" s="45"/>
      <c r="C672" s="34"/>
      <c r="D672" s="115"/>
      <c r="E672" s="115"/>
      <c r="F672" s="129"/>
      <c r="G672" s="128"/>
    </row>
    <row r="673" ht="15.75" customHeight="1">
      <c r="A673" s="33"/>
      <c r="B673" s="45"/>
      <c r="C673" s="34"/>
      <c r="D673" s="115"/>
      <c r="E673" s="115"/>
      <c r="F673" s="129"/>
      <c r="G673" s="128"/>
    </row>
    <row r="674" ht="15.75" customHeight="1">
      <c r="A674" s="33"/>
      <c r="B674" s="45"/>
      <c r="C674" s="34"/>
      <c r="D674" s="115"/>
      <c r="E674" s="115"/>
      <c r="F674" s="129"/>
      <c r="G674" s="128"/>
    </row>
    <row r="675" ht="15.75" customHeight="1">
      <c r="A675" s="33"/>
      <c r="B675" s="45"/>
      <c r="C675" s="34"/>
      <c r="D675" s="115"/>
      <c r="E675" s="115"/>
      <c r="F675" s="129"/>
      <c r="G675" s="128"/>
    </row>
    <row r="676" ht="15.75" customHeight="1">
      <c r="A676" s="33"/>
      <c r="B676" s="45"/>
      <c r="C676" s="34"/>
      <c r="D676" s="115"/>
      <c r="E676" s="115"/>
      <c r="F676" s="129"/>
      <c r="G676" s="128"/>
    </row>
    <row r="677" ht="15.75" customHeight="1">
      <c r="A677" s="33"/>
      <c r="B677" s="45"/>
      <c r="C677" s="34"/>
      <c r="D677" s="115"/>
      <c r="E677" s="115"/>
      <c r="F677" s="129"/>
      <c r="G677" s="128"/>
    </row>
    <row r="678" ht="15.75" customHeight="1">
      <c r="A678" s="33"/>
      <c r="B678" s="45"/>
      <c r="C678" s="34"/>
      <c r="D678" s="115"/>
      <c r="E678" s="115"/>
      <c r="F678" s="129"/>
      <c r="G678" s="128"/>
    </row>
    <row r="679" ht="15.75" customHeight="1">
      <c r="A679" s="33"/>
      <c r="B679" s="45"/>
      <c r="C679" s="34"/>
      <c r="D679" s="115"/>
      <c r="E679" s="115"/>
      <c r="F679" s="129"/>
      <c r="G679" s="128"/>
    </row>
    <row r="680" ht="15.75" customHeight="1">
      <c r="A680" s="33"/>
      <c r="B680" s="45"/>
      <c r="C680" s="34"/>
      <c r="D680" s="115"/>
      <c r="E680" s="115"/>
      <c r="F680" s="129"/>
      <c r="G680" s="128"/>
    </row>
    <row r="681" ht="15.75" customHeight="1">
      <c r="A681" s="33"/>
      <c r="B681" s="45"/>
      <c r="C681" s="34"/>
      <c r="D681" s="115"/>
      <c r="E681" s="115"/>
      <c r="F681" s="129"/>
      <c r="G681" s="128"/>
    </row>
    <row r="682" ht="15.75" customHeight="1">
      <c r="A682" s="33"/>
      <c r="B682" s="45"/>
      <c r="C682" s="34"/>
      <c r="D682" s="115"/>
      <c r="E682" s="115"/>
      <c r="F682" s="129"/>
      <c r="G682" s="128"/>
    </row>
    <row r="683" ht="15.75" customHeight="1">
      <c r="A683" s="33"/>
      <c r="B683" s="45"/>
      <c r="C683" s="34"/>
      <c r="D683" s="115"/>
      <c r="E683" s="115"/>
      <c r="F683" s="129"/>
      <c r="G683" s="128"/>
    </row>
    <row r="684" ht="15.75" customHeight="1">
      <c r="A684" s="33"/>
      <c r="B684" s="45"/>
      <c r="C684" s="34"/>
      <c r="D684" s="115"/>
      <c r="E684" s="115"/>
      <c r="F684" s="129"/>
      <c r="G684" s="128"/>
    </row>
    <row r="685" ht="15.75" customHeight="1">
      <c r="A685" s="33"/>
      <c r="B685" s="45"/>
      <c r="C685" s="34"/>
      <c r="D685" s="115"/>
      <c r="E685" s="115"/>
      <c r="F685" s="129"/>
      <c r="G685" s="128"/>
    </row>
    <row r="686" ht="15.75" customHeight="1">
      <c r="A686" s="33"/>
      <c r="B686" s="45"/>
      <c r="C686" s="34"/>
      <c r="D686" s="115"/>
      <c r="E686" s="115"/>
      <c r="F686" s="129"/>
      <c r="G686" s="128"/>
    </row>
    <row r="687" ht="15.75" customHeight="1">
      <c r="A687" s="33"/>
      <c r="B687" s="45"/>
      <c r="C687" s="34"/>
      <c r="D687" s="115"/>
      <c r="E687" s="115"/>
      <c r="F687" s="129"/>
      <c r="G687" s="128"/>
    </row>
    <row r="688" ht="15.75" customHeight="1">
      <c r="A688" s="33"/>
      <c r="B688" s="45"/>
      <c r="C688" s="34"/>
      <c r="D688" s="115"/>
      <c r="E688" s="115"/>
      <c r="F688" s="129"/>
      <c r="G688" s="128"/>
    </row>
    <row r="689" ht="15.75" customHeight="1">
      <c r="A689" s="33"/>
      <c r="B689" s="45"/>
      <c r="C689" s="34"/>
      <c r="D689" s="115"/>
      <c r="E689" s="115"/>
      <c r="F689" s="129"/>
      <c r="G689" s="128"/>
    </row>
    <row r="690" ht="15.75" customHeight="1">
      <c r="A690" s="33"/>
      <c r="B690" s="45"/>
      <c r="C690" s="34"/>
      <c r="D690" s="115"/>
      <c r="E690" s="115"/>
      <c r="F690" s="129"/>
      <c r="G690" s="128"/>
    </row>
    <row r="691" ht="15.75" customHeight="1">
      <c r="A691" s="33"/>
      <c r="B691" s="45"/>
      <c r="C691" s="34"/>
      <c r="D691" s="115"/>
      <c r="E691" s="115"/>
      <c r="F691" s="129"/>
      <c r="G691" s="128"/>
    </row>
    <row r="692" ht="15.75" customHeight="1">
      <c r="A692" s="33"/>
      <c r="B692" s="45"/>
      <c r="C692" s="34"/>
      <c r="D692" s="115"/>
      <c r="E692" s="115"/>
      <c r="F692" s="129"/>
      <c r="G692" s="128"/>
    </row>
    <row r="693" ht="15.75" customHeight="1">
      <c r="A693" s="33"/>
      <c r="B693" s="45"/>
      <c r="C693" s="34"/>
      <c r="D693" s="115"/>
      <c r="E693" s="115"/>
      <c r="F693" s="129"/>
      <c r="G693" s="128"/>
    </row>
    <row r="694" ht="15.75" customHeight="1">
      <c r="A694" s="33"/>
      <c r="B694" s="45"/>
      <c r="C694" s="34"/>
      <c r="D694" s="115"/>
      <c r="E694" s="115"/>
      <c r="F694" s="129"/>
      <c r="G694" s="128"/>
    </row>
    <row r="695" ht="15.75" customHeight="1">
      <c r="A695" s="33"/>
      <c r="B695" s="45"/>
      <c r="C695" s="34"/>
      <c r="D695" s="115"/>
      <c r="E695" s="115"/>
      <c r="F695" s="129"/>
      <c r="G695" s="128"/>
    </row>
    <row r="696" ht="15.75" customHeight="1">
      <c r="A696" s="33"/>
      <c r="B696" s="45"/>
      <c r="C696" s="34"/>
      <c r="D696" s="115"/>
      <c r="E696" s="115"/>
      <c r="F696" s="129"/>
      <c r="G696" s="128"/>
    </row>
    <row r="697" ht="15.75" customHeight="1">
      <c r="A697" s="33"/>
      <c r="B697" s="45"/>
      <c r="C697" s="34"/>
      <c r="D697" s="115"/>
      <c r="E697" s="115"/>
      <c r="F697" s="129"/>
      <c r="G697" s="128"/>
    </row>
    <row r="698" ht="15.75" customHeight="1">
      <c r="A698" s="33"/>
      <c r="B698" s="45"/>
      <c r="C698" s="34"/>
      <c r="D698" s="115"/>
      <c r="E698" s="115"/>
      <c r="F698" s="129"/>
      <c r="G698" s="128"/>
    </row>
    <row r="699" ht="15.75" customHeight="1">
      <c r="A699" s="33"/>
      <c r="B699" s="45"/>
      <c r="C699" s="34"/>
      <c r="D699" s="115"/>
      <c r="E699" s="115"/>
      <c r="F699" s="129"/>
      <c r="G699" s="128"/>
    </row>
    <row r="700" ht="15.75" customHeight="1">
      <c r="A700" s="33"/>
      <c r="B700" s="45"/>
      <c r="C700" s="34"/>
      <c r="D700" s="115"/>
      <c r="E700" s="115"/>
      <c r="F700" s="129"/>
      <c r="G700" s="128"/>
    </row>
    <row r="701" ht="15.75" customHeight="1">
      <c r="A701" s="33"/>
      <c r="B701" s="45"/>
      <c r="C701" s="34"/>
      <c r="D701" s="115"/>
      <c r="E701" s="115"/>
      <c r="F701" s="129"/>
      <c r="G701" s="128"/>
    </row>
    <row r="702" ht="15.75" customHeight="1">
      <c r="A702" s="33"/>
      <c r="B702" s="45"/>
      <c r="C702" s="34"/>
      <c r="D702" s="115"/>
      <c r="E702" s="115"/>
      <c r="F702" s="129"/>
      <c r="G702" s="128"/>
    </row>
    <row r="703" ht="15.75" customHeight="1">
      <c r="A703" s="33"/>
      <c r="B703" s="45"/>
      <c r="C703" s="34"/>
      <c r="D703" s="115"/>
      <c r="E703" s="115"/>
      <c r="F703" s="129"/>
      <c r="G703" s="128"/>
    </row>
    <row r="704" ht="15.75" customHeight="1">
      <c r="A704" s="33"/>
      <c r="B704" s="45"/>
      <c r="C704" s="34"/>
      <c r="D704" s="115"/>
      <c r="E704" s="115"/>
      <c r="F704" s="129"/>
      <c r="G704" s="128"/>
    </row>
    <row r="705" ht="15.75" customHeight="1">
      <c r="A705" s="33"/>
      <c r="B705" s="45"/>
      <c r="C705" s="34"/>
      <c r="D705" s="115"/>
      <c r="E705" s="115"/>
      <c r="F705" s="129"/>
      <c r="G705" s="128"/>
    </row>
    <row r="706" ht="15.75" customHeight="1">
      <c r="A706" s="33"/>
      <c r="B706" s="45"/>
      <c r="C706" s="34"/>
      <c r="D706" s="115"/>
      <c r="E706" s="115"/>
      <c r="F706" s="129"/>
      <c r="G706" s="128"/>
    </row>
    <row r="707" ht="15.75" customHeight="1">
      <c r="A707" s="33"/>
      <c r="B707" s="45"/>
      <c r="C707" s="34"/>
      <c r="D707" s="115"/>
      <c r="E707" s="115"/>
      <c r="F707" s="129"/>
      <c r="G707" s="128"/>
    </row>
    <row r="708" ht="15.75" customHeight="1">
      <c r="A708" s="33"/>
      <c r="B708" s="45"/>
      <c r="C708" s="34"/>
      <c r="D708" s="115"/>
      <c r="E708" s="115"/>
      <c r="F708" s="129"/>
      <c r="G708" s="128"/>
    </row>
    <row r="709" ht="15.75" customHeight="1">
      <c r="A709" s="33"/>
      <c r="B709" s="45"/>
      <c r="C709" s="34"/>
      <c r="D709" s="115"/>
      <c r="E709" s="115"/>
      <c r="F709" s="129"/>
      <c r="G709" s="128"/>
    </row>
    <row r="710" ht="15.75" customHeight="1">
      <c r="A710" s="33"/>
      <c r="B710" s="45"/>
      <c r="C710" s="34"/>
      <c r="D710" s="115"/>
      <c r="E710" s="115"/>
      <c r="F710" s="129"/>
      <c r="G710" s="128"/>
    </row>
    <row r="711" ht="15.75" customHeight="1">
      <c r="A711" s="33"/>
      <c r="B711" s="45"/>
      <c r="C711" s="34"/>
      <c r="D711" s="115"/>
      <c r="E711" s="115"/>
      <c r="F711" s="129"/>
      <c r="G711" s="128"/>
    </row>
    <row r="712" ht="15.75" customHeight="1">
      <c r="A712" s="33"/>
      <c r="B712" s="45"/>
      <c r="C712" s="34"/>
      <c r="D712" s="115"/>
      <c r="E712" s="115"/>
      <c r="F712" s="129"/>
      <c r="G712" s="128"/>
    </row>
    <row r="713" ht="15.75" customHeight="1">
      <c r="A713" s="33"/>
      <c r="B713" s="45"/>
      <c r="C713" s="34"/>
      <c r="D713" s="115"/>
      <c r="E713" s="115"/>
      <c r="F713" s="129"/>
      <c r="G713" s="128"/>
    </row>
    <row r="714" ht="15.75" customHeight="1">
      <c r="A714" s="33"/>
      <c r="B714" s="45"/>
      <c r="C714" s="34"/>
      <c r="D714" s="115"/>
      <c r="E714" s="115"/>
      <c r="F714" s="129"/>
      <c r="G714" s="128"/>
    </row>
    <row r="715" ht="15.75" customHeight="1">
      <c r="A715" s="33"/>
      <c r="B715" s="45"/>
      <c r="C715" s="34"/>
      <c r="D715" s="115"/>
      <c r="E715" s="115"/>
      <c r="F715" s="129"/>
      <c r="G715" s="128"/>
    </row>
    <row r="716" ht="15.75" customHeight="1">
      <c r="A716" s="33"/>
      <c r="B716" s="45"/>
      <c r="C716" s="34"/>
      <c r="D716" s="115"/>
      <c r="E716" s="115"/>
      <c r="F716" s="129"/>
      <c r="G716" s="128"/>
    </row>
    <row r="717" ht="15.75" customHeight="1">
      <c r="A717" s="33"/>
      <c r="B717" s="45"/>
      <c r="C717" s="34"/>
      <c r="D717" s="115"/>
      <c r="E717" s="115"/>
      <c r="F717" s="129"/>
      <c r="G717" s="128"/>
    </row>
    <row r="718" ht="15.75" customHeight="1">
      <c r="A718" s="33"/>
      <c r="B718" s="45"/>
      <c r="C718" s="34"/>
      <c r="D718" s="115"/>
      <c r="E718" s="115"/>
      <c r="F718" s="129"/>
      <c r="G718" s="128"/>
    </row>
    <row r="719" ht="15.75" customHeight="1">
      <c r="A719" s="33"/>
      <c r="B719" s="45"/>
      <c r="C719" s="34"/>
      <c r="D719" s="115"/>
      <c r="E719" s="115"/>
      <c r="F719" s="129"/>
      <c r="G719" s="128"/>
    </row>
    <row r="720" ht="15.75" customHeight="1">
      <c r="A720" s="33"/>
      <c r="B720" s="45"/>
      <c r="C720" s="34"/>
      <c r="D720" s="115"/>
      <c r="E720" s="115"/>
      <c r="F720" s="129"/>
      <c r="G720" s="128"/>
    </row>
    <row r="721" ht="15.75" customHeight="1">
      <c r="A721" s="33"/>
      <c r="B721" s="45"/>
      <c r="C721" s="34"/>
      <c r="D721" s="115"/>
      <c r="E721" s="115"/>
      <c r="F721" s="129"/>
      <c r="G721" s="128"/>
    </row>
    <row r="722" ht="15.75" customHeight="1">
      <c r="A722" s="33"/>
      <c r="B722" s="45"/>
      <c r="C722" s="34"/>
      <c r="D722" s="115"/>
      <c r="E722" s="115"/>
      <c r="F722" s="129"/>
      <c r="G722" s="128"/>
    </row>
    <row r="723" ht="15.75" customHeight="1">
      <c r="A723" s="33"/>
      <c r="B723" s="45"/>
      <c r="C723" s="34"/>
      <c r="D723" s="115"/>
      <c r="E723" s="115"/>
      <c r="F723" s="129"/>
      <c r="G723" s="128"/>
    </row>
    <row r="724" ht="15.75" customHeight="1">
      <c r="A724" s="33"/>
      <c r="B724" s="45"/>
      <c r="C724" s="34"/>
      <c r="D724" s="115"/>
      <c r="E724" s="115"/>
      <c r="F724" s="129"/>
      <c r="G724" s="128"/>
    </row>
    <row r="725" ht="15.75" customHeight="1">
      <c r="A725" s="33"/>
      <c r="B725" s="45"/>
      <c r="C725" s="34"/>
      <c r="D725" s="115"/>
      <c r="E725" s="115"/>
      <c r="F725" s="129"/>
      <c r="G725" s="128"/>
    </row>
    <row r="726" ht="15.75" customHeight="1">
      <c r="A726" s="33"/>
      <c r="B726" s="45"/>
      <c r="C726" s="34"/>
      <c r="D726" s="115"/>
      <c r="E726" s="115"/>
      <c r="F726" s="129"/>
      <c r="G726" s="128"/>
    </row>
    <row r="727" ht="15.75" customHeight="1">
      <c r="A727" s="33"/>
      <c r="B727" s="45"/>
      <c r="C727" s="34"/>
      <c r="D727" s="115"/>
      <c r="E727" s="115"/>
      <c r="F727" s="129"/>
      <c r="G727" s="128"/>
    </row>
    <row r="728" ht="15.75" customHeight="1">
      <c r="A728" s="33"/>
      <c r="B728" s="45"/>
      <c r="C728" s="34"/>
      <c r="D728" s="115"/>
      <c r="E728" s="115"/>
      <c r="F728" s="129"/>
      <c r="G728" s="128"/>
    </row>
    <row r="729" ht="15.75" customHeight="1">
      <c r="A729" s="33"/>
      <c r="B729" s="45"/>
      <c r="C729" s="34"/>
      <c r="D729" s="115"/>
      <c r="E729" s="115"/>
      <c r="F729" s="129"/>
      <c r="G729" s="128"/>
    </row>
    <row r="730" ht="15.75" customHeight="1">
      <c r="A730" s="33"/>
      <c r="B730" s="45"/>
      <c r="C730" s="34"/>
      <c r="D730" s="115"/>
      <c r="E730" s="115"/>
      <c r="F730" s="129"/>
      <c r="G730" s="128"/>
    </row>
    <row r="731" ht="15.75" customHeight="1">
      <c r="A731" s="33"/>
      <c r="B731" s="45"/>
      <c r="C731" s="34"/>
      <c r="D731" s="115"/>
      <c r="E731" s="115"/>
      <c r="F731" s="129"/>
      <c r="G731" s="128"/>
    </row>
    <row r="732" ht="15.75" customHeight="1">
      <c r="A732" s="33"/>
      <c r="B732" s="45"/>
      <c r="C732" s="34"/>
      <c r="D732" s="115"/>
      <c r="E732" s="115"/>
      <c r="F732" s="129"/>
      <c r="G732" s="128"/>
    </row>
  </sheetData>
  <mergeCells count="8">
    <mergeCell ref="A2:B2"/>
    <mergeCell ref="A22:B22"/>
    <mergeCell ref="A26:B26"/>
    <mergeCell ref="A31:B31"/>
    <mergeCell ref="A33:B33"/>
    <mergeCell ref="A38:B38"/>
    <mergeCell ref="A60:B60"/>
    <mergeCell ref="A63:B63"/>
  </mergeCells>
  <conditionalFormatting sqref="D3:G21 D23:G25 D27:G30 D32:G32 D34:G37 D39:G59 D61:G62 D64:G732">
    <cfRule type="containsText" dxfId="2" priority="1" operator="containsText" text="Menor a 5">
      <formula>NOT(ISERROR(SEARCH(("Menor a 5"),(D3))))</formula>
    </cfRule>
  </conditionalFormatting>
  <conditionalFormatting sqref="D3:G21 D23:G25 D27:G30 D32:G32 D34:G37 D39:G59 D61:G62 D64:G732">
    <cfRule type="containsText" dxfId="3" priority="2" operator="containsText" text="Sin stock">
      <formula>NOT(ISERROR(SEARCH(("Sin stock"),(D3))))</formula>
    </cfRule>
  </conditionalFormatting>
  <conditionalFormatting sqref="D3:G21 D23:G25 D27:G30 D32:G32 D34:G37 D39:G59 D61:G62 D64:G732">
    <cfRule type="containsText" dxfId="1" priority="3" operator="containsText" text="Mayor a 5">
      <formula>NOT(ISERROR(SEARCH(("Mayor a 5"),(D3))))</formula>
    </cfRule>
  </conditionalFormatting>
  <conditionalFormatting sqref="D4:G4 D6:G6 D8:G10 D12:G14 D17:G18 D23:G25 D28:G30 D35:G35 D37:G37 D39:G59 D61:G62 D64:G64 D66:G122 D124:G127 D129:G732">
    <cfRule type="containsText" dxfId="0" priority="4" operator="containsText" text="Consultar">
      <formula>NOT(ISERROR(SEARCH(("Consultar"),(D4))))</formula>
    </cfRule>
  </conditionalFormatting>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5"/>
    <hyperlink r:id="rId14" ref="B16"/>
    <hyperlink r:id="rId15" ref="B17"/>
    <hyperlink r:id="rId16" ref="B18"/>
    <hyperlink r:id="rId17" ref="B19"/>
    <hyperlink r:id="rId18" ref="B20"/>
    <hyperlink r:id="rId19" ref="B21"/>
    <hyperlink r:id="rId20" ref="B27"/>
    <hyperlink r:id="rId21" ref="B28"/>
    <hyperlink r:id="rId22" ref="B29"/>
    <hyperlink r:id="rId23" ref="B30"/>
    <hyperlink r:id="rId24" ref="B32"/>
    <hyperlink r:id="rId25" ref="B34"/>
    <hyperlink r:id="rId26" ref="B36"/>
    <hyperlink r:id="rId27" ref="B39"/>
    <hyperlink r:id="rId28" ref="B40"/>
    <hyperlink r:id="rId29" ref="B41"/>
    <hyperlink r:id="rId30" ref="B42"/>
    <hyperlink r:id="rId31" ref="B43"/>
    <hyperlink r:id="rId32" ref="B44"/>
    <hyperlink r:id="rId33" ref="B45"/>
    <hyperlink r:id="rId34" ref="B46"/>
    <hyperlink r:id="rId35" ref="B47"/>
    <hyperlink r:id="rId36" ref="B48"/>
    <hyperlink r:id="rId37" ref="B49"/>
    <hyperlink r:id="rId38" ref="B50"/>
    <hyperlink r:id="rId39" ref="B51"/>
    <hyperlink r:id="rId40" ref="B52"/>
    <hyperlink r:id="rId41" ref="B53"/>
    <hyperlink r:id="rId42" ref="B54"/>
    <hyperlink r:id="rId43" ref="B55"/>
    <hyperlink r:id="rId44" ref="B56"/>
    <hyperlink r:id="rId45" ref="B57"/>
    <hyperlink r:id="rId46" ref="B58"/>
    <hyperlink r:id="rId47" ref="B59"/>
    <hyperlink r:id="rId48" ref="B61"/>
    <hyperlink r:id="rId49" ref="B62"/>
    <hyperlink r:id="rId50" ref="B81"/>
    <hyperlink r:id="rId51" ref="B83"/>
    <hyperlink r:id="rId52" ref="B84"/>
    <hyperlink r:id="rId53" ref="B85"/>
    <hyperlink r:id="rId54" ref="B86"/>
    <hyperlink r:id="rId55" ref="B88"/>
    <hyperlink r:id="rId56" ref="B89"/>
    <hyperlink r:id="rId57" ref="B90"/>
    <hyperlink r:id="rId58" ref="B91"/>
    <hyperlink r:id="rId59" ref="B92"/>
    <hyperlink r:id="rId60" ref="B93"/>
    <hyperlink r:id="rId61" ref="B94"/>
    <hyperlink r:id="rId62" ref="B95"/>
    <hyperlink r:id="rId63" ref="B96"/>
    <hyperlink r:id="rId64" ref="B97"/>
    <hyperlink r:id="rId65" ref="B98"/>
    <hyperlink r:id="rId66" ref="B99"/>
    <hyperlink r:id="rId67" ref="B100"/>
    <hyperlink r:id="rId68" ref="B101"/>
    <hyperlink r:id="rId69" ref="B102"/>
    <hyperlink r:id="rId70" ref="B103"/>
    <hyperlink r:id="rId71" ref="B104"/>
    <hyperlink r:id="rId72" ref="B105"/>
    <hyperlink r:id="rId73" ref="B106"/>
    <hyperlink r:id="rId74" ref="B107"/>
    <hyperlink r:id="rId75" ref="B108"/>
    <hyperlink r:id="rId76" ref="B109"/>
    <hyperlink r:id="rId77" ref="B110"/>
    <hyperlink r:id="rId78" ref="B111"/>
    <hyperlink r:id="rId79" ref="B112"/>
    <hyperlink r:id="rId80" ref="B113"/>
    <hyperlink r:id="rId81" ref="B114"/>
    <hyperlink r:id="rId82" ref="B116"/>
    <hyperlink r:id="rId83" ref="B117"/>
    <hyperlink r:id="rId84" ref="B118"/>
    <hyperlink r:id="rId85" ref="B120"/>
    <hyperlink r:id="rId86" ref="B121"/>
    <hyperlink r:id="rId87" ref="B122"/>
    <hyperlink r:id="rId88" ref="B123"/>
    <hyperlink r:id="rId89" ref="B124"/>
    <hyperlink r:id="rId90" ref="B125"/>
    <hyperlink r:id="rId91" ref="B126"/>
    <hyperlink r:id="rId92" ref="B127"/>
    <hyperlink r:id="rId93" ref="B128"/>
    <hyperlink r:id="rId94" ref="B129"/>
    <hyperlink r:id="rId95" ref="B130"/>
    <hyperlink r:id="rId96" ref="B132"/>
    <hyperlink r:id="rId97" ref="B133"/>
    <hyperlink r:id="rId98" ref="B134"/>
    <hyperlink r:id="rId99" ref="B135"/>
    <hyperlink r:id="rId100" ref="B136"/>
    <hyperlink r:id="rId101" ref="B137"/>
    <hyperlink r:id="rId102" ref="B138"/>
    <hyperlink r:id="rId103" ref="B139"/>
    <hyperlink r:id="rId104" ref="B140"/>
    <hyperlink r:id="rId105" ref="B141"/>
    <hyperlink r:id="rId106" ref="B142"/>
    <hyperlink r:id="rId107" ref="B144"/>
    <hyperlink r:id="rId108" ref="B146"/>
    <hyperlink r:id="rId109" ref="B147"/>
    <hyperlink r:id="rId110" ref="B148"/>
    <hyperlink r:id="rId111" ref="B150"/>
    <hyperlink r:id="rId112" ref="B151"/>
    <hyperlink r:id="rId113" ref="B153"/>
    <hyperlink r:id="rId114" ref="B154"/>
    <hyperlink r:id="rId115" ref="B155"/>
    <hyperlink r:id="rId116" ref="B156"/>
    <hyperlink r:id="rId117" ref="B157"/>
    <hyperlink r:id="rId118" ref="B158"/>
    <hyperlink r:id="rId119" ref="B160"/>
  </hyperlinks>
  <printOptions/>
  <pageMargins bottom="0.75" footer="0.0" header="0.0" left="0.7" right="0.7" top="0.75"/>
  <pageSetup orientation="landscape"/>
  <drawing r:id="rId12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1" width="13.25"/>
    <col customWidth="1" min="2" max="2" width="21.5"/>
    <col customWidth="1" min="3" max="3" width="74.0"/>
    <col customWidth="1" min="4" max="4" width="15.0"/>
    <col customWidth="1" min="5" max="5" width="14.25"/>
    <col customWidth="1" min="6" max="7" width="9.25"/>
  </cols>
  <sheetData>
    <row r="1">
      <c r="A1" s="130" t="s">
        <v>23</v>
      </c>
      <c r="B1" s="72" t="s">
        <v>24</v>
      </c>
      <c r="C1" s="72" t="s">
        <v>25</v>
      </c>
      <c r="D1" s="26" t="s">
        <v>26</v>
      </c>
      <c r="E1" s="26" t="s">
        <v>27</v>
      </c>
      <c r="F1" s="72" t="s">
        <v>28</v>
      </c>
      <c r="G1" s="72" t="s">
        <v>29</v>
      </c>
      <c r="H1" s="131"/>
      <c r="I1" s="131"/>
      <c r="J1" s="131"/>
      <c r="K1" s="131"/>
      <c r="L1" s="131"/>
      <c r="M1" s="131"/>
      <c r="N1" s="131"/>
      <c r="O1" s="131"/>
      <c r="P1" s="131"/>
      <c r="Q1" s="131"/>
      <c r="R1" s="131"/>
      <c r="S1" s="131"/>
      <c r="T1" s="131"/>
    </row>
    <row r="2">
      <c r="A2" s="74" t="s">
        <v>2216</v>
      </c>
      <c r="C2" s="132"/>
      <c r="D2" s="30"/>
      <c r="E2" s="75"/>
      <c r="F2" s="132"/>
      <c r="G2" s="132"/>
      <c r="H2" s="133"/>
      <c r="I2" s="133"/>
      <c r="J2" s="133"/>
      <c r="K2" s="133"/>
      <c r="L2" s="133"/>
      <c r="M2" s="133"/>
      <c r="N2" s="133"/>
      <c r="O2" s="133"/>
      <c r="P2" s="133"/>
      <c r="Q2" s="133"/>
      <c r="R2" s="133"/>
      <c r="S2" s="133"/>
      <c r="T2" s="133"/>
    </row>
    <row r="3">
      <c r="A3" s="134" t="s">
        <v>2502</v>
      </c>
      <c r="B3" s="79" t="s">
        <v>2503</v>
      </c>
      <c r="C3" s="79" t="s">
        <v>2504</v>
      </c>
      <c r="D3" s="36" t="s">
        <v>2505</v>
      </c>
      <c r="E3" s="36" t="s">
        <v>2506</v>
      </c>
      <c r="F3" s="135" t="s">
        <v>2507</v>
      </c>
      <c r="G3" s="136" t="s">
        <v>2205</v>
      </c>
      <c r="H3" s="131"/>
      <c r="I3" s="131"/>
      <c r="J3" s="131"/>
      <c r="K3" s="131"/>
      <c r="L3" s="131"/>
      <c r="M3" s="131"/>
      <c r="N3" s="131"/>
      <c r="O3" s="131"/>
      <c r="P3" s="131"/>
      <c r="Q3" s="131"/>
      <c r="R3" s="131"/>
      <c r="S3" s="131"/>
      <c r="T3" s="131"/>
    </row>
    <row r="4">
      <c r="A4" s="137" t="s">
        <v>2502</v>
      </c>
      <c r="B4" s="76" t="s">
        <v>2508</v>
      </c>
      <c r="C4" s="76" t="s">
        <v>2509</v>
      </c>
      <c r="D4" s="43" t="s">
        <v>2510</v>
      </c>
      <c r="E4" s="43" t="s">
        <v>2511</v>
      </c>
      <c r="F4" s="138" t="s">
        <v>2507</v>
      </c>
      <c r="G4" s="78" t="s">
        <v>2168</v>
      </c>
      <c r="H4" s="131"/>
      <c r="I4" s="131"/>
      <c r="J4" s="131"/>
      <c r="K4" s="131"/>
      <c r="L4" s="131"/>
      <c r="M4" s="131"/>
      <c r="N4" s="131"/>
      <c r="O4" s="131"/>
      <c r="P4" s="131"/>
      <c r="Q4" s="131"/>
      <c r="R4" s="131"/>
      <c r="S4" s="131"/>
      <c r="T4" s="131"/>
    </row>
    <row r="5">
      <c r="A5" s="74" t="s">
        <v>2512</v>
      </c>
      <c r="C5" s="132"/>
      <c r="D5" s="30"/>
      <c r="E5" s="75"/>
      <c r="F5" s="132"/>
      <c r="G5" s="132"/>
      <c r="H5" s="133"/>
      <c r="I5" s="133"/>
      <c r="J5" s="133"/>
      <c r="K5" s="133"/>
      <c r="L5" s="133"/>
      <c r="M5" s="133"/>
      <c r="N5" s="133"/>
      <c r="O5" s="133"/>
      <c r="P5" s="133"/>
      <c r="Q5" s="133"/>
      <c r="R5" s="133"/>
      <c r="S5" s="133"/>
      <c r="T5" s="133"/>
    </row>
    <row r="6">
      <c r="A6" s="134" t="s">
        <v>2502</v>
      </c>
      <c r="B6" s="79" t="s">
        <v>2513</v>
      </c>
      <c r="C6" s="79" t="s">
        <v>2514</v>
      </c>
      <c r="D6" s="36" t="s">
        <v>2515</v>
      </c>
      <c r="E6" s="36" t="s">
        <v>2516</v>
      </c>
      <c r="F6" s="135" t="s">
        <v>2507</v>
      </c>
      <c r="G6" s="78" t="s">
        <v>2168</v>
      </c>
      <c r="H6" s="131"/>
      <c r="I6" s="131"/>
      <c r="J6" s="131"/>
      <c r="K6" s="131"/>
      <c r="L6" s="131"/>
      <c r="M6" s="131"/>
      <c r="N6" s="131"/>
      <c r="O6" s="131"/>
      <c r="P6" s="131"/>
      <c r="Q6" s="131"/>
      <c r="R6" s="131"/>
      <c r="S6" s="131"/>
      <c r="T6" s="131"/>
    </row>
    <row r="7">
      <c r="A7" s="137" t="s">
        <v>2502</v>
      </c>
      <c r="B7" s="76" t="s">
        <v>2517</v>
      </c>
      <c r="C7" s="76" t="s">
        <v>2518</v>
      </c>
      <c r="D7" s="43" t="s">
        <v>2519</v>
      </c>
      <c r="E7" s="43" t="s">
        <v>2167</v>
      </c>
      <c r="F7" s="138" t="s">
        <v>2507</v>
      </c>
      <c r="G7" s="136" t="s">
        <v>2205</v>
      </c>
      <c r="H7" s="131"/>
      <c r="I7" s="131"/>
      <c r="J7" s="131"/>
      <c r="K7" s="131"/>
      <c r="L7" s="131"/>
      <c r="M7" s="131"/>
      <c r="N7" s="131"/>
      <c r="O7" s="131"/>
      <c r="P7" s="131"/>
      <c r="Q7" s="131"/>
      <c r="R7" s="131"/>
      <c r="S7" s="131"/>
      <c r="T7" s="131"/>
    </row>
    <row r="8">
      <c r="A8" s="134" t="s">
        <v>2502</v>
      </c>
      <c r="B8" s="79" t="s">
        <v>2520</v>
      </c>
      <c r="C8" s="79" t="s">
        <v>2521</v>
      </c>
      <c r="D8" s="36" t="s">
        <v>2522</v>
      </c>
      <c r="E8" s="36" t="s">
        <v>2523</v>
      </c>
      <c r="F8" s="135" t="s">
        <v>2507</v>
      </c>
      <c r="G8" s="78" t="s">
        <v>2168</v>
      </c>
      <c r="H8" s="131"/>
      <c r="I8" s="131"/>
      <c r="J8" s="131"/>
      <c r="K8" s="131"/>
      <c r="L8" s="131"/>
      <c r="M8" s="131"/>
      <c r="N8" s="131"/>
      <c r="O8" s="131"/>
      <c r="P8" s="131"/>
      <c r="Q8" s="131"/>
      <c r="R8" s="131"/>
      <c r="S8" s="131"/>
      <c r="T8" s="131"/>
    </row>
    <row r="9">
      <c r="A9" s="137" t="s">
        <v>2502</v>
      </c>
      <c r="B9" s="76" t="s">
        <v>2524</v>
      </c>
      <c r="C9" s="76" t="s">
        <v>2525</v>
      </c>
      <c r="D9" s="43" t="s">
        <v>2526</v>
      </c>
      <c r="E9" s="43" t="s">
        <v>2527</v>
      </c>
      <c r="F9" s="138" t="s">
        <v>2507</v>
      </c>
      <c r="G9" s="78" t="s">
        <v>2168</v>
      </c>
      <c r="H9" s="131"/>
      <c r="I9" s="131"/>
      <c r="J9" s="131"/>
      <c r="K9" s="131"/>
      <c r="L9" s="131"/>
      <c r="M9" s="131"/>
      <c r="N9" s="131"/>
      <c r="O9" s="131"/>
      <c r="P9" s="131"/>
      <c r="Q9" s="131"/>
      <c r="R9" s="131"/>
      <c r="S9" s="131"/>
      <c r="T9" s="131"/>
    </row>
    <row r="10">
      <c r="A10" s="134" t="s">
        <v>2502</v>
      </c>
      <c r="B10" s="79" t="s">
        <v>2528</v>
      </c>
      <c r="C10" s="79" t="s">
        <v>2529</v>
      </c>
      <c r="D10" s="36" t="s">
        <v>2530</v>
      </c>
      <c r="E10" s="36" t="s">
        <v>2398</v>
      </c>
      <c r="F10" s="135" t="s">
        <v>2507</v>
      </c>
      <c r="G10" s="78" t="s">
        <v>2168</v>
      </c>
      <c r="H10" s="131"/>
      <c r="I10" s="131"/>
      <c r="J10" s="131"/>
      <c r="K10" s="131"/>
      <c r="L10" s="131"/>
      <c r="M10" s="131"/>
      <c r="N10" s="131"/>
      <c r="O10" s="131"/>
      <c r="P10" s="131"/>
      <c r="Q10" s="131"/>
      <c r="R10" s="131"/>
      <c r="S10" s="131"/>
      <c r="T10" s="131"/>
    </row>
    <row r="11">
      <c r="A11" s="137" t="s">
        <v>2502</v>
      </c>
      <c r="B11" s="76" t="s">
        <v>2531</v>
      </c>
      <c r="C11" s="76" t="s">
        <v>2532</v>
      </c>
      <c r="D11" s="43" t="s">
        <v>2533</v>
      </c>
      <c r="E11" s="43" t="s">
        <v>2178</v>
      </c>
      <c r="F11" s="138" t="s">
        <v>2507</v>
      </c>
      <c r="G11" s="78" t="s">
        <v>2168</v>
      </c>
      <c r="H11" s="131"/>
      <c r="I11" s="131"/>
      <c r="J11" s="131"/>
      <c r="K11" s="131"/>
      <c r="L11" s="131"/>
      <c r="M11" s="131"/>
      <c r="N11" s="131"/>
      <c r="O11" s="131"/>
      <c r="P11" s="131"/>
      <c r="Q11" s="131"/>
      <c r="R11" s="131"/>
      <c r="S11" s="131"/>
      <c r="T11" s="131"/>
    </row>
    <row r="12">
      <c r="A12" s="134" t="s">
        <v>2502</v>
      </c>
      <c r="B12" s="79" t="s">
        <v>2534</v>
      </c>
      <c r="C12" s="79" t="s">
        <v>2535</v>
      </c>
      <c r="D12" s="36" t="s">
        <v>2536</v>
      </c>
      <c r="E12" s="36" t="s">
        <v>475</v>
      </c>
      <c r="F12" s="135" t="s">
        <v>2507</v>
      </c>
      <c r="G12" s="78" t="s">
        <v>2168</v>
      </c>
      <c r="H12" s="131"/>
      <c r="I12" s="131"/>
      <c r="J12" s="131"/>
      <c r="K12" s="131"/>
      <c r="L12" s="131"/>
      <c r="M12" s="131"/>
      <c r="N12" s="131"/>
      <c r="O12" s="131"/>
      <c r="P12" s="131"/>
      <c r="Q12" s="131"/>
      <c r="R12" s="131"/>
      <c r="S12" s="131"/>
      <c r="T12" s="131"/>
    </row>
    <row r="13">
      <c r="A13" s="137" t="s">
        <v>2502</v>
      </c>
      <c r="B13" s="76" t="s">
        <v>2537</v>
      </c>
      <c r="C13" s="76" t="s">
        <v>2538</v>
      </c>
      <c r="D13" s="43" t="s">
        <v>2536</v>
      </c>
      <c r="E13" s="43" t="s">
        <v>475</v>
      </c>
      <c r="F13" s="138" t="s">
        <v>2507</v>
      </c>
      <c r="G13" s="78" t="s">
        <v>2168</v>
      </c>
      <c r="H13" s="131"/>
      <c r="I13" s="131"/>
      <c r="J13" s="131"/>
      <c r="K13" s="131"/>
      <c r="L13" s="131"/>
      <c r="M13" s="131"/>
      <c r="N13" s="131"/>
      <c r="O13" s="131"/>
      <c r="P13" s="131"/>
      <c r="Q13" s="131"/>
      <c r="R13" s="131"/>
      <c r="S13" s="131"/>
      <c r="T13" s="131"/>
    </row>
    <row r="14">
      <c r="A14" s="134" t="s">
        <v>2502</v>
      </c>
      <c r="B14" s="79" t="s">
        <v>2539</v>
      </c>
      <c r="C14" s="79" t="s">
        <v>2540</v>
      </c>
      <c r="D14" s="36" t="s">
        <v>2541</v>
      </c>
      <c r="E14" s="36" t="s">
        <v>219</v>
      </c>
      <c r="F14" s="135" t="s">
        <v>2507</v>
      </c>
      <c r="G14" s="78" t="s">
        <v>2168</v>
      </c>
      <c r="H14" s="131"/>
      <c r="I14" s="131"/>
      <c r="J14" s="131"/>
      <c r="K14" s="131"/>
      <c r="L14" s="131"/>
      <c r="M14" s="131"/>
      <c r="N14" s="131"/>
      <c r="O14" s="131"/>
      <c r="P14" s="131"/>
      <c r="Q14" s="131"/>
      <c r="R14" s="131"/>
      <c r="S14" s="131"/>
      <c r="T14" s="131"/>
    </row>
    <row r="15">
      <c r="A15" s="74" t="s">
        <v>2542</v>
      </c>
      <c r="C15" s="132"/>
      <c r="D15" s="30"/>
      <c r="E15" s="75"/>
      <c r="F15" s="132"/>
      <c r="G15" s="132"/>
      <c r="H15" s="133"/>
      <c r="I15" s="133"/>
      <c r="J15" s="133"/>
      <c r="K15" s="133"/>
      <c r="L15" s="133"/>
      <c r="M15" s="133"/>
      <c r="N15" s="133"/>
      <c r="O15" s="133"/>
      <c r="P15" s="133"/>
      <c r="Q15" s="133"/>
      <c r="R15" s="133"/>
      <c r="S15" s="133"/>
      <c r="T15" s="133"/>
    </row>
    <row r="16">
      <c r="A16" s="134" t="s">
        <v>2502</v>
      </c>
      <c r="B16" s="79" t="s">
        <v>2543</v>
      </c>
      <c r="C16" s="79" t="s">
        <v>2544</v>
      </c>
      <c r="D16" s="36" t="s">
        <v>2545</v>
      </c>
      <c r="E16" s="36" t="s">
        <v>2416</v>
      </c>
      <c r="F16" s="135" t="s">
        <v>2507</v>
      </c>
      <c r="G16" s="78" t="s">
        <v>2168</v>
      </c>
      <c r="H16" s="131"/>
      <c r="I16" s="131"/>
      <c r="J16" s="131"/>
      <c r="K16" s="131"/>
      <c r="L16" s="131"/>
      <c r="M16" s="131"/>
      <c r="N16" s="131"/>
      <c r="O16" s="131"/>
      <c r="P16" s="131"/>
      <c r="Q16" s="131"/>
      <c r="R16" s="131"/>
      <c r="S16" s="131"/>
      <c r="T16" s="131"/>
    </row>
    <row r="17">
      <c r="A17" s="74" t="s">
        <v>2546</v>
      </c>
      <c r="C17" s="132"/>
      <c r="D17" s="30"/>
      <c r="E17" s="75"/>
      <c r="F17" s="132"/>
      <c r="G17" s="132"/>
      <c r="H17" s="133"/>
      <c r="I17" s="133"/>
      <c r="J17" s="133"/>
      <c r="K17" s="133"/>
      <c r="L17" s="133"/>
      <c r="M17" s="133"/>
      <c r="N17" s="133"/>
      <c r="O17" s="133"/>
      <c r="P17" s="133"/>
      <c r="Q17" s="133"/>
      <c r="R17" s="133"/>
      <c r="S17" s="133"/>
      <c r="T17" s="133"/>
    </row>
    <row r="18">
      <c r="A18" s="134" t="s">
        <v>2502</v>
      </c>
      <c r="B18" s="79" t="s">
        <v>2547</v>
      </c>
      <c r="C18" s="79" t="s">
        <v>2548</v>
      </c>
      <c r="D18" s="36" t="s">
        <v>2549</v>
      </c>
      <c r="E18" s="36" t="s">
        <v>721</v>
      </c>
      <c r="F18" s="135" t="s">
        <v>2507</v>
      </c>
      <c r="G18" s="78" t="s">
        <v>2168</v>
      </c>
      <c r="H18" s="131"/>
      <c r="I18" s="131"/>
      <c r="J18" s="131"/>
      <c r="K18" s="131"/>
      <c r="L18" s="131"/>
      <c r="M18" s="131"/>
      <c r="N18" s="131"/>
      <c r="O18" s="131"/>
      <c r="P18" s="131"/>
      <c r="Q18" s="131"/>
      <c r="R18" s="131"/>
      <c r="S18" s="131"/>
      <c r="T18" s="131"/>
    </row>
    <row r="19">
      <c r="A19" s="137" t="s">
        <v>2502</v>
      </c>
      <c r="B19" s="76" t="s">
        <v>2550</v>
      </c>
      <c r="C19" s="76" t="s">
        <v>2551</v>
      </c>
      <c r="D19" s="43" t="s">
        <v>2549</v>
      </c>
      <c r="E19" s="43" t="s">
        <v>721</v>
      </c>
      <c r="F19" s="138" t="s">
        <v>2507</v>
      </c>
      <c r="G19" s="78" t="s">
        <v>2168</v>
      </c>
      <c r="H19" s="131"/>
      <c r="I19" s="131"/>
      <c r="J19" s="131"/>
      <c r="K19" s="131"/>
      <c r="L19" s="131"/>
      <c r="M19" s="131"/>
      <c r="N19" s="131"/>
      <c r="O19" s="131"/>
      <c r="P19" s="131"/>
      <c r="Q19" s="131"/>
      <c r="R19" s="131"/>
      <c r="S19" s="131"/>
      <c r="T19" s="131"/>
    </row>
    <row r="20">
      <c r="A20" s="134" t="s">
        <v>2502</v>
      </c>
      <c r="B20" s="79" t="s">
        <v>2552</v>
      </c>
      <c r="C20" s="79" t="s">
        <v>2553</v>
      </c>
      <c r="D20" s="36" t="s">
        <v>2554</v>
      </c>
      <c r="E20" s="36" t="s">
        <v>2555</v>
      </c>
      <c r="F20" s="135" t="s">
        <v>2507</v>
      </c>
      <c r="G20" s="78" t="s">
        <v>2168</v>
      </c>
      <c r="H20" s="131"/>
      <c r="I20" s="131"/>
      <c r="J20" s="131"/>
      <c r="K20" s="131"/>
      <c r="L20" s="131"/>
      <c r="M20" s="131"/>
      <c r="N20" s="131"/>
      <c r="O20" s="131"/>
      <c r="P20" s="131"/>
      <c r="Q20" s="131"/>
      <c r="R20" s="131"/>
      <c r="S20" s="131"/>
      <c r="T20" s="131"/>
    </row>
    <row r="21">
      <c r="A21" s="137" t="s">
        <v>2502</v>
      </c>
      <c r="B21" s="76" t="s">
        <v>2556</v>
      </c>
      <c r="C21" s="76" t="s">
        <v>2557</v>
      </c>
      <c r="D21" s="43" t="s">
        <v>2549</v>
      </c>
      <c r="E21" s="43" t="s">
        <v>721</v>
      </c>
      <c r="F21" s="138" t="s">
        <v>2507</v>
      </c>
      <c r="G21" s="78" t="s">
        <v>2168</v>
      </c>
      <c r="H21" s="131"/>
      <c r="I21" s="131"/>
      <c r="J21" s="131"/>
      <c r="K21" s="131"/>
      <c r="L21" s="131"/>
      <c r="M21" s="131"/>
      <c r="N21" s="131"/>
      <c r="O21" s="131"/>
      <c r="P21" s="131"/>
      <c r="Q21" s="131"/>
      <c r="R21" s="131"/>
      <c r="S21" s="131"/>
      <c r="T21" s="131"/>
    </row>
    <row r="22">
      <c r="A22" s="74" t="s">
        <v>2558</v>
      </c>
      <c r="C22" s="132"/>
      <c r="D22" s="30"/>
      <c r="E22" s="75"/>
      <c r="F22" s="132"/>
      <c r="G22" s="132"/>
      <c r="H22" s="133"/>
      <c r="I22" s="133"/>
      <c r="J22" s="133"/>
      <c r="K22" s="133"/>
      <c r="L22" s="133"/>
      <c r="M22" s="133"/>
      <c r="N22" s="133"/>
      <c r="O22" s="133"/>
      <c r="P22" s="133"/>
      <c r="Q22" s="133"/>
      <c r="R22" s="133"/>
      <c r="S22" s="133"/>
      <c r="T22" s="133"/>
    </row>
    <row r="23">
      <c r="A23" s="134" t="s">
        <v>2502</v>
      </c>
      <c r="B23" s="79" t="s">
        <v>2559</v>
      </c>
      <c r="C23" s="79" t="s">
        <v>2560</v>
      </c>
      <c r="D23" s="36" t="s">
        <v>2533</v>
      </c>
      <c r="E23" s="36" t="s">
        <v>2178</v>
      </c>
      <c r="F23" s="135" t="s">
        <v>2507</v>
      </c>
      <c r="G23" s="78" t="s">
        <v>2168</v>
      </c>
      <c r="H23" s="131"/>
      <c r="I23" s="131"/>
      <c r="J23" s="131"/>
      <c r="K23" s="131"/>
      <c r="L23" s="131"/>
      <c r="M23" s="131"/>
      <c r="N23" s="131"/>
      <c r="O23" s="131"/>
      <c r="P23" s="131"/>
      <c r="Q23" s="131"/>
      <c r="R23" s="131"/>
      <c r="S23" s="131"/>
      <c r="T23" s="131"/>
    </row>
    <row r="24">
      <c r="A24" s="137" t="s">
        <v>2502</v>
      </c>
      <c r="B24" s="76" t="s">
        <v>2561</v>
      </c>
      <c r="C24" s="76" t="s">
        <v>2562</v>
      </c>
      <c r="D24" s="43" t="s">
        <v>2563</v>
      </c>
      <c r="E24" s="43" t="s">
        <v>765</v>
      </c>
      <c r="F24" s="138" t="s">
        <v>2507</v>
      </c>
      <c r="G24" s="78" t="s">
        <v>2168</v>
      </c>
      <c r="H24" s="131"/>
      <c r="I24" s="131"/>
      <c r="J24" s="131"/>
      <c r="K24" s="131"/>
      <c r="L24" s="131"/>
      <c r="M24" s="131"/>
      <c r="N24" s="131"/>
      <c r="O24" s="131"/>
      <c r="P24" s="131"/>
      <c r="Q24" s="131"/>
      <c r="R24" s="131"/>
      <c r="S24" s="131"/>
      <c r="T24" s="131"/>
    </row>
    <row r="25">
      <c r="A25" s="74" t="s">
        <v>2564</v>
      </c>
      <c r="C25" s="132"/>
      <c r="D25" s="30"/>
      <c r="E25" s="75"/>
      <c r="F25" s="132"/>
      <c r="G25" s="132"/>
      <c r="H25" s="133"/>
      <c r="I25" s="133"/>
      <c r="J25" s="133"/>
      <c r="K25" s="133"/>
      <c r="L25" s="133"/>
      <c r="M25" s="133"/>
      <c r="N25" s="133"/>
      <c r="O25" s="133"/>
      <c r="P25" s="133"/>
      <c r="Q25" s="133"/>
      <c r="R25" s="133"/>
      <c r="S25" s="133"/>
      <c r="T25" s="133"/>
    </row>
    <row r="26">
      <c r="A26" s="134" t="s">
        <v>2502</v>
      </c>
      <c r="B26" s="79" t="s">
        <v>2565</v>
      </c>
      <c r="C26" s="79" t="s">
        <v>2566</v>
      </c>
      <c r="D26" s="36" t="s">
        <v>2567</v>
      </c>
      <c r="E26" s="36" t="s">
        <v>736</v>
      </c>
      <c r="F26" s="135" t="s">
        <v>2507</v>
      </c>
      <c r="G26" s="78" t="s">
        <v>2168</v>
      </c>
      <c r="H26" s="131"/>
      <c r="I26" s="131"/>
      <c r="J26" s="131"/>
      <c r="K26" s="131"/>
      <c r="L26" s="131"/>
      <c r="M26" s="131"/>
      <c r="N26" s="131"/>
      <c r="O26" s="131"/>
      <c r="P26" s="131"/>
      <c r="Q26" s="131"/>
      <c r="R26" s="131"/>
      <c r="S26" s="131"/>
      <c r="T26" s="131"/>
    </row>
    <row r="27">
      <c r="A27" s="137" t="s">
        <v>2502</v>
      </c>
      <c r="B27" s="76" t="s">
        <v>2568</v>
      </c>
      <c r="C27" s="76" t="s">
        <v>2569</v>
      </c>
      <c r="D27" s="43" t="s">
        <v>2570</v>
      </c>
      <c r="E27" s="43" t="s">
        <v>931</v>
      </c>
      <c r="F27" s="138" t="s">
        <v>2507</v>
      </c>
      <c r="G27" s="78" t="s">
        <v>2168</v>
      </c>
      <c r="H27" s="131"/>
      <c r="I27" s="131"/>
      <c r="J27" s="131"/>
      <c r="K27" s="131"/>
      <c r="L27" s="131"/>
      <c r="M27" s="131"/>
      <c r="N27" s="131"/>
      <c r="O27" s="131"/>
      <c r="P27" s="131"/>
      <c r="Q27" s="131"/>
      <c r="R27" s="131"/>
      <c r="S27" s="131"/>
      <c r="T27" s="131"/>
    </row>
    <row r="28">
      <c r="A28" s="134" t="s">
        <v>2502</v>
      </c>
      <c r="B28" s="79" t="s">
        <v>2571</v>
      </c>
      <c r="C28" s="79" t="s">
        <v>2572</v>
      </c>
      <c r="D28" s="36" t="s">
        <v>2573</v>
      </c>
      <c r="E28" s="36" t="s">
        <v>778</v>
      </c>
      <c r="F28" s="135" t="s">
        <v>2507</v>
      </c>
      <c r="G28" s="78" t="s">
        <v>2168</v>
      </c>
      <c r="H28" s="131"/>
      <c r="I28" s="131"/>
      <c r="J28" s="131"/>
      <c r="K28" s="131"/>
      <c r="L28" s="131"/>
      <c r="M28" s="131"/>
      <c r="N28" s="131"/>
      <c r="O28" s="131"/>
      <c r="P28" s="131"/>
      <c r="Q28" s="131"/>
      <c r="R28" s="131"/>
      <c r="S28" s="131"/>
      <c r="T28" s="131"/>
    </row>
    <row r="29">
      <c r="A29" s="137" t="s">
        <v>2502</v>
      </c>
      <c r="B29" s="76" t="s">
        <v>2574</v>
      </c>
      <c r="C29" s="76" t="s">
        <v>2575</v>
      </c>
      <c r="D29" s="43" t="s">
        <v>1995</v>
      </c>
      <c r="E29" s="43" t="s">
        <v>411</v>
      </c>
      <c r="F29" s="138" t="s">
        <v>2507</v>
      </c>
      <c r="G29" s="78" t="s">
        <v>2168</v>
      </c>
      <c r="H29" s="131"/>
      <c r="I29" s="131"/>
      <c r="J29" s="131"/>
      <c r="K29" s="131"/>
      <c r="L29" s="131"/>
      <c r="M29" s="131"/>
      <c r="N29" s="131"/>
      <c r="O29" s="131"/>
      <c r="P29" s="131"/>
      <c r="Q29" s="131"/>
      <c r="R29" s="131"/>
      <c r="S29" s="131"/>
      <c r="T29" s="131"/>
    </row>
    <row r="30">
      <c r="A30" s="134" t="s">
        <v>2502</v>
      </c>
      <c r="B30" s="79" t="s">
        <v>2576</v>
      </c>
      <c r="C30" s="79" t="s">
        <v>2577</v>
      </c>
      <c r="D30" s="36" t="s">
        <v>2578</v>
      </c>
      <c r="E30" s="36" t="s">
        <v>874</v>
      </c>
      <c r="F30" s="135" t="s">
        <v>2507</v>
      </c>
      <c r="G30" s="78" t="s">
        <v>2168</v>
      </c>
      <c r="H30" s="131"/>
      <c r="I30" s="131"/>
      <c r="J30" s="131"/>
      <c r="K30" s="131"/>
      <c r="L30" s="131"/>
      <c r="M30" s="131"/>
      <c r="N30" s="131"/>
      <c r="O30" s="131"/>
      <c r="P30" s="131"/>
      <c r="Q30" s="131"/>
      <c r="R30" s="131"/>
      <c r="S30" s="131"/>
      <c r="T30" s="131"/>
    </row>
    <row r="31">
      <c r="A31" s="137" t="s">
        <v>2502</v>
      </c>
      <c r="B31" s="76" t="s">
        <v>2579</v>
      </c>
      <c r="C31" s="76" t="s">
        <v>2580</v>
      </c>
      <c r="D31" s="43" t="s">
        <v>2581</v>
      </c>
      <c r="E31" s="43" t="s">
        <v>347</v>
      </c>
      <c r="F31" s="138" t="s">
        <v>2507</v>
      </c>
      <c r="G31" s="78" t="s">
        <v>2168</v>
      </c>
      <c r="H31" s="131"/>
      <c r="I31" s="131"/>
      <c r="J31" s="131"/>
      <c r="K31" s="131"/>
      <c r="L31" s="131"/>
      <c r="M31" s="131"/>
      <c r="N31" s="131"/>
      <c r="O31" s="131"/>
      <c r="P31" s="131"/>
      <c r="Q31" s="131"/>
      <c r="R31" s="131"/>
      <c r="S31" s="131"/>
      <c r="T31" s="131"/>
    </row>
    <row r="32">
      <c r="A32" s="134" t="s">
        <v>2502</v>
      </c>
      <c r="B32" s="79" t="s">
        <v>2582</v>
      </c>
      <c r="C32" s="79" t="s">
        <v>2583</v>
      </c>
      <c r="D32" s="36" t="s">
        <v>2584</v>
      </c>
      <c r="E32" s="36" t="s">
        <v>1353</v>
      </c>
      <c r="F32" s="135" t="s">
        <v>2507</v>
      </c>
      <c r="G32" s="78" t="s">
        <v>2168</v>
      </c>
      <c r="H32" s="131"/>
      <c r="I32" s="131"/>
      <c r="J32" s="131"/>
      <c r="K32" s="131"/>
      <c r="L32" s="131"/>
      <c r="M32" s="131"/>
      <c r="N32" s="131"/>
      <c r="O32" s="131"/>
      <c r="P32" s="131"/>
      <c r="Q32" s="131"/>
      <c r="R32" s="131"/>
      <c r="S32" s="131"/>
      <c r="T32" s="131"/>
    </row>
    <row r="33">
      <c r="A33" s="137" t="s">
        <v>2502</v>
      </c>
      <c r="B33" s="76" t="s">
        <v>2585</v>
      </c>
      <c r="C33" s="76" t="s">
        <v>2586</v>
      </c>
      <c r="D33" s="43" t="s">
        <v>2587</v>
      </c>
      <c r="E33" s="43" t="s">
        <v>209</v>
      </c>
      <c r="F33" s="138" t="s">
        <v>2507</v>
      </c>
      <c r="G33" s="78" t="s">
        <v>2168</v>
      </c>
      <c r="H33" s="131"/>
      <c r="I33" s="131"/>
      <c r="J33" s="131"/>
      <c r="K33" s="131"/>
      <c r="L33" s="131"/>
      <c r="M33" s="131"/>
      <c r="N33" s="131"/>
      <c r="O33" s="131"/>
      <c r="P33" s="131"/>
      <c r="Q33" s="131"/>
      <c r="R33" s="131"/>
      <c r="S33" s="131"/>
      <c r="T33" s="131"/>
    </row>
    <row r="34">
      <c r="A34" s="134" t="s">
        <v>2502</v>
      </c>
      <c r="B34" s="79" t="s">
        <v>2588</v>
      </c>
      <c r="C34" s="79" t="s">
        <v>2589</v>
      </c>
      <c r="D34" s="36" t="s">
        <v>2590</v>
      </c>
      <c r="E34" s="36" t="s">
        <v>448</v>
      </c>
      <c r="F34" s="135" t="s">
        <v>2507</v>
      </c>
      <c r="G34" s="78" t="s">
        <v>2168</v>
      </c>
      <c r="H34" s="131"/>
      <c r="I34" s="131"/>
      <c r="J34" s="131"/>
      <c r="K34" s="131"/>
      <c r="L34" s="131"/>
      <c r="M34" s="131"/>
      <c r="N34" s="131"/>
      <c r="O34" s="131"/>
      <c r="P34" s="131"/>
      <c r="Q34" s="131"/>
      <c r="R34" s="131"/>
      <c r="S34" s="131"/>
      <c r="T34" s="131"/>
    </row>
    <row r="35">
      <c r="A35" s="137" t="s">
        <v>2502</v>
      </c>
      <c r="B35" s="76" t="s">
        <v>2591</v>
      </c>
      <c r="C35" s="76" t="s">
        <v>2592</v>
      </c>
      <c r="D35" s="43" t="s">
        <v>2563</v>
      </c>
      <c r="E35" s="43" t="s">
        <v>765</v>
      </c>
      <c r="F35" s="138" t="s">
        <v>2507</v>
      </c>
      <c r="G35" s="78" t="s">
        <v>2168</v>
      </c>
      <c r="H35" s="131"/>
      <c r="I35" s="131"/>
      <c r="J35" s="131"/>
      <c r="K35" s="131"/>
      <c r="L35" s="131"/>
      <c r="M35" s="131"/>
      <c r="N35" s="131"/>
      <c r="O35" s="131"/>
      <c r="P35" s="131"/>
      <c r="Q35" s="131"/>
      <c r="R35" s="131"/>
      <c r="S35" s="131"/>
      <c r="T35" s="131"/>
    </row>
    <row r="36">
      <c r="A36" s="134" t="s">
        <v>2502</v>
      </c>
      <c r="B36" s="79" t="s">
        <v>2593</v>
      </c>
      <c r="C36" s="79" t="s">
        <v>2594</v>
      </c>
      <c r="D36" s="36" t="s">
        <v>2595</v>
      </c>
      <c r="E36" s="36" t="s">
        <v>1499</v>
      </c>
      <c r="F36" s="135" t="s">
        <v>2507</v>
      </c>
      <c r="G36" s="78" t="s">
        <v>2168</v>
      </c>
      <c r="H36" s="131"/>
      <c r="I36" s="131"/>
      <c r="J36" s="131"/>
      <c r="K36" s="131"/>
      <c r="L36" s="131"/>
      <c r="M36" s="131"/>
      <c r="N36" s="131"/>
      <c r="O36" s="131"/>
      <c r="P36" s="131"/>
      <c r="Q36" s="131"/>
      <c r="R36" s="131"/>
      <c r="S36" s="131"/>
      <c r="T36" s="131"/>
    </row>
    <row r="37">
      <c r="A37" s="137" t="s">
        <v>2502</v>
      </c>
      <c r="B37" s="76" t="s">
        <v>2596</v>
      </c>
      <c r="C37" s="76" t="s">
        <v>2597</v>
      </c>
      <c r="D37" s="43" t="s">
        <v>2598</v>
      </c>
      <c r="E37" s="43" t="s">
        <v>505</v>
      </c>
      <c r="F37" s="138" t="s">
        <v>2507</v>
      </c>
      <c r="G37" s="78" t="s">
        <v>2168</v>
      </c>
      <c r="H37" s="131"/>
      <c r="I37" s="131"/>
      <c r="J37" s="131"/>
      <c r="K37" s="131"/>
      <c r="L37" s="131"/>
      <c r="M37" s="131"/>
      <c r="N37" s="131"/>
      <c r="O37" s="131"/>
      <c r="P37" s="131"/>
      <c r="Q37" s="131"/>
      <c r="R37" s="131"/>
      <c r="S37" s="131"/>
      <c r="T37" s="131"/>
    </row>
    <row r="38">
      <c r="A38" s="134" t="s">
        <v>2502</v>
      </c>
      <c r="B38" s="79" t="s">
        <v>2599</v>
      </c>
      <c r="C38" s="79" t="s">
        <v>2600</v>
      </c>
      <c r="D38" s="36" t="s">
        <v>2601</v>
      </c>
      <c r="E38" s="36" t="s">
        <v>659</v>
      </c>
      <c r="F38" s="135" t="s">
        <v>2507</v>
      </c>
      <c r="G38" s="78" t="s">
        <v>2168</v>
      </c>
      <c r="H38" s="131"/>
      <c r="I38" s="131"/>
      <c r="J38" s="131"/>
      <c r="K38" s="131"/>
      <c r="L38" s="131"/>
      <c r="M38" s="131"/>
      <c r="N38" s="131"/>
      <c r="O38" s="131"/>
      <c r="P38" s="131"/>
      <c r="Q38" s="131"/>
      <c r="R38" s="131"/>
      <c r="S38" s="131"/>
      <c r="T38" s="131"/>
    </row>
    <row r="39">
      <c r="A39" s="137" t="s">
        <v>2502</v>
      </c>
      <c r="B39" s="76" t="s">
        <v>2602</v>
      </c>
      <c r="C39" s="76" t="s">
        <v>2603</v>
      </c>
      <c r="D39" s="43" t="s">
        <v>2604</v>
      </c>
      <c r="E39" s="43" t="s">
        <v>2605</v>
      </c>
      <c r="F39" s="138" t="s">
        <v>2507</v>
      </c>
      <c r="G39" s="78" t="s">
        <v>2168</v>
      </c>
      <c r="H39" s="131"/>
      <c r="I39" s="131"/>
      <c r="J39" s="131"/>
      <c r="K39" s="131"/>
      <c r="L39" s="131"/>
      <c r="M39" s="131"/>
      <c r="N39" s="131"/>
      <c r="O39" s="131"/>
      <c r="P39" s="131"/>
      <c r="Q39" s="131"/>
      <c r="R39" s="131"/>
      <c r="S39" s="131"/>
      <c r="T39" s="131"/>
    </row>
    <row r="40">
      <c r="A40" s="134" t="s">
        <v>2502</v>
      </c>
      <c r="B40" s="79" t="s">
        <v>2606</v>
      </c>
      <c r="C40" s="79" t="s">
        <v>2607</v>
      </c>
      <c r="D40" s="36" t="s">
        <v>2578</v>
      </c>
      <c r="E40" s="36" t="s">
        <v>874</v>
      </c>
      <c r="F40" s="135" t="s">
        <v>2507</v>
      </c>
      <c r="G40" s="78" t="s">
        <v>2168</v>
      </c>
      <c r="H40" s="131"/>
      <c r="I40" s="131"/>
      <c r="J40" s="131"/>
      <c r="K40" s="131"/>
      <c r="L40" s="131"/>
      <c r="M40" s="131"/>
      <c r="N40" s="131"/>
      <c r="O40" s="131"/>
      <c r="P40" s="131"/>
      <c r="Q40" s="131"/>
      <c r="R40" s="131"/>
      <c r="S40" s="131"/>
      <c r="T40" s="131"/>
    </row>
    <row r="41">
      <c r="A41" s="137" t="s">
        <v>2502</v>
      </c>
      <c r="B41" s="76" t="s">
        <v>2608</v>
      </c>
      <c r="C41" s="76" t="s">
        <v>2609</v>
      </c>
      <c r="D41" s="43" t="s">
        <v>2610</v>
      </c>
      <c r="E41" s="43" t="s">
        <v>2611</v>
      </c>
      <c r="F41" s="138" t="s">
        <v>2507</v>
      </c>
      <c r="G41" s="78" t="s">
        <v>2168</v>
      </c>
      <c r="H41" s="131"/>
      <c r="I41" s="131"/>
      <c r="J41" s="131"/>
      <c r="K41" s="131"/>
      <c r="L41" s="131"/>
      <c r="M41" s="131"/>
      <c r="N41" s="131"/>
      <c r="O41" s="131"/>
      <c r="P41" s="131"/>
      <c r="Q41" s="131"/>
      <c r="R41" s="131"/>
      <c r="S41" s="131"/>
      <c r="T41" s="131"/>
    </row>
    <row r="42">
      <c r="A42" s="134" t="s">
        <v>2502</v>
      </c>
      <c r="B42" s="79" t="s">
        <v>2612</v>
      </c>
      <c r="C42" s="79" t="s">
        <v>2613</v>
      </c>
      <c r="D42" s="36" t="s">
        <v>2573</v>
      </c>
      <c r="E42" s="36" t="s">
        <v>778</v>
      </c>
      <c r="F42" s="135" t="s">
        <v>2507</v>
      </c>
      <c r="G42" s="78" t="s">
        <v>2168</v>
      </c>
      <c r="H42" s="131"/>
      <c r="I42" s="131"/>
      <c r="J42" s="131"/>
      <c r="K42" s="131"/>
      <c r="L42" s="131"/>
      <c r="M42" s="131"/>
      <c r="N42" s="131"/>
      <c r="O42" s="131"/>
      <c r="P42" s="131"/>
      <c r="Q42" s="131"/>
      <c r="R42" s="131"/>
      <c r="S42" s="131"/>
      <c r="T42" s="131"/>
    </row>
    <row r="43">
      <c r="A43" s="137" t="s">
        <v>2502</v>
      </c>
      <c r="B43" s="76" t="s">
        <v>2614</v>
      </c>
      <c r="C43" s="76" t="s">
        <v>2615</v>
      </c>
      <c r="D43" s="43" t="s">
        <v>2616</v>
      </c>
      <c r="E43" s="43" t="s">
        <v>605</v>
      </c>
      <c r="F43" s="138" t="s">
        <v>2507</v>
      </c>
      <c r="G43" s="78" t="s">
        <v>2168</v>
      </c>
      <c r="H43" s="131"/>
      <c r="I43" s="131"/>
      <c r="J43" s="131"/>
      <c r="K43" s="131"/>
      <c r="L43" s="131"/>
      <c r="M43" s="131"/>
      <c r="N43" s="131"/>
      <c r="O43" s="131"/>
      <c r="P43" s="131"/>
      <c r="Q43" s="131"/>
      <c r="R43" s="131"/>
      <c r="S43" s="131"/>
      <c r="T43" s="131"/>
    </row>
    <row r="44">
      <c r="A44" s="134" t="s">
        <v>2502</v>
      </c>
      <c r="B44" s="79" t="s">
        <v>2617</v>
      </c>
      <c r="C44" s="79" t="s">
        <v>2618</v>
      </c>
      <c r="D44" s="36" t="s">
        <v>2573</v>
      </c>
      <c r="E44" s="36" t="s">
        <v>778</v>
      </c>
      <c r="F44" s="135" t="s">
        <v>2507</v>
      </c>
      <c r="G44" s="78" t="s">
        <v>2168</v>
      </c>
      <c r="H44" s="131"/>
      <c r="I44" s="131"/>
      <c r="J44" s="131"/>
      <c r="K44" s="131"/>
      <c r="L44" s="131"/>
      <c r="M44" s="131"/>
      <c r="N44" s="131"/>
      <c r="O44" s="131"/>
      <c r="P44" s="131"/>
      <c r="Q44" s="131"/>
      <c r="R44" s="131"/>
      <c r="S44" s="131"/>
      <c r="T44" s="131"/>
    </row>
    <row r="45">
      <c r="A45" s="137" t="s">
        <v>2502</v>
      </c>
      <c r="B45" s="76" t="s">
        <v>2619</v>
      </c>
      <c r="C45" s="76" t="s">
        <v>2620</v>
      </c>
      <c r="D45" s="43" t="s">
        <v>2573</v>
      </c>
      <c r="E45" s="43" t="s">
        <v>778</v>
      </c>
      <c r="F45" s="138" t="s">
        <v>2507</v>
      </c>
      <c r="G45" s="78" t="s">
        <v>2168</v>
      </c>
      <c r="H45" s="131"/>
      <c r="I45" s="131"/>
      <c r="J45" s="131"/>
      <c r="K45" s="131"/>
      <c r="L45" s="131"/>
      <c r="M45" s="131"/>
      <c r="N45" s="131"/>
      <c r="O45" s="131"/>
      <c r="P45" s="131"/>
      <c r="Q45" s="131"/>
      <c r="R45" s="131"/>
      <c r="S45" s="131"/>
      <c r="T45" s="131"/>
    </row>
    <row r="46">
      <c r="A46" s="134" t="s">
        <v>2502</v>
      </c>
      <c r="B46" s="79" t="s">
        <v>2621</v>
      </c>
      <c r="C46" s="79" t="s">
        <v>2622</v>
      </c>
      <c r="D46" s="36" t="s">
        <v>2567</v>
      </c>
      <c r="E46" s="36" t="s">
        <v>736</v>
      </c>
      <c r="F46" s="135" t="s">
        <v>2507</v>
      </c>
      <c r="G46" s="78" t="s">
        <v>2168</v>
      </c>
      <c r="H46" s="131"/>
      <c r="I46" s="131"/>
      <c r="J46" s="131"/>
      <c r="K46" s="131"/>
      <c r="L46" s="131"/>
      <c r="M46" s="131"/>
      <c r="N46" s="131"/>
      <c r="O46" s="131"/>
      <c r="P46" s="131"/>
      <c r="Q46" s="131"/>
      <c r="R46" s="131"/>
      <c r="S46" s="131"/>
      <c r="T46" s="131"/>
    </row>
    <row r="47">
      <c r="A47" s="137" t="s">
        <v>2502</v>
      </c>
      <c r="B47" s="76" t="s">
        <v>2623</v>
      </c>
      <c r="C47" s="76" t="s">
        <v>2624</v>
      </c>
      <c r="D47" s="43" t="s">
        <v>2570</v>
      </c>
      <c r="E47" s="43" t="s">
        <v>931</v>
      </c>
      <c r="F47" s="138" t="s">
        <v>2507</v>
      </c>
      <c r="G47" s="78" t="s">
        <v>2168</v>
      </c>
      <c r="H47" s="131"/>
      <c r="I47" s="131"/>
      <c r="J47" s="131"/>
      <c r="K47" s="131"/>
      <c r="L47" s="131"/>
      <c r="M47" s="131"/>
      <c r="N47" s="131"/>
      <c r="O47" s="131"/>
      <c r="P47" s="131"/>
      <c r="Q47" s="131"/>
      <c r="R47" s="131"/>
      <c r="S47" s="131"/>
      <c r="T47" s="131"/>
    </row>
    <row r="48">
      <c r="A48" s="134" t="s">
        <v>2502</v>
      </c>
      <c r="B48" s="79" t="s">
        <v>2625</v>
      </c>
      <c r="C48" s="79" t="s">
        <v>2626</v>
      </c>
      <c r="D48" s="36" t="s">
        <v>2573</v>
      </c>
      <c r="E48" s="36" t="s">
        <v>778</v>
      </c>
      <c r="F48" s="135" t="s">
        <v>2507</v>
      </c>
      <c r="G48" s="78" t="s">
        <v>2168</v>
      </c>
      <c r="H48" s="131"/>
      <c r="I48" s="131"/>
      <c r="J48" s="131"/>
      <c r="K48" s="131"/>
      <c r="L48" s="131"/>
      <c r="M48" s="131"/>
      <c r="N48" s="131"/>
      <c r="O48" s="131"/>
      <c r="P48" s="131"/>
      <c r="Q48" s="131"/>
      <c r="R48" s="131"/>
      <c r="S48" s="131"/>
      <c r="T48" s="131"/>
    </row>
    <row r="49">
      <c r="A49" s="137" t="s">
        <v>2502</v>
      </c>
      <c r="B49" s="76" t="s">
        <v>2627</v>
      </c>
      <c r="C49" s="76" t="s">
        <v>2628</v>
      </c>
      <c r="D49" s="43" t="s">
        <v>2573</v>
      </c>
      <c r="E49" s="43" t="s">
        <v>778</v>
      </c>
      <c r="F49" s="138" t="s">
        <v>2507</v>
      </c>
      <c r="G49" s="78" t="s">
        <v>2168</v>
      </c>
      <c r="H49" s="131"/>
      <c r="I49" s="131"/>
      <c r="J49" s="131"/>
      <c r="K49" s="131"/>
      <c r="L49" s="131"/>
      <c r="M49" s="131"/>
      <c r="N49" s="131"/>
      <c r="O49" s="131"/>
      <c r="P49" s="131"/>
      <c r="Q49" s="131"/>
      <c r="R49" s="131"/>
      <c r="S49" s="131"/>
      <c r="T49" s="131"/>
    </row>
    <row r="50">
      <c r="A50" s="134" t="s">
        <v>2502</v>
      </c>
      <c r="B50" s="79" t="s">
        <v>2629</v>
      </c>
      <c r="C50" s="79" t="s">
        <v>2630</v>
      </c>
      <c r="D50" s="36" t="s">
        <v>2573</v>
      </c>
      <c r="E50" s="36" t="s">
        <v>778</v>
      </c>
      <c r="F50" s="135" t="s">
        <v>2507</v>
      </c>
      <c r="G50" s="78" t="s">
        <v>2168</v>
      </c>
      <c r="H50" s="131"/>
      <c r="I50" s="131"/>
      <c r="J50" s="131"/>
      <c r="K50" s="131"/>
      <c r="L50" s="131"/>
      <c r="M50" s="131"/>
      <c r="N50" s="131"/>
      <c r="O50" s="131"/>
      <c r="P50" s="131"/>
      <c r="Q50" s="131"/>
      <c r="R50" s="131"/>
      <c r="S50" s="131"/>
      <c r="T50" s="131"/>
    </row>
    <row r="51">
      <c r="A51" s="137" t="s">
        <v>2502</v>
      </c>
      <c r="B51" s="76" t="s">
        <v>2631</v>
      </c>
      <c r="C51" s="76" t="s">
        <v>2632</v>
      </c>
      <c r="D51" s="43" t="s">
        <v>1995</v>
      </c>
      <c r="E51" s="43" t="s">
        <v>411</v>
      </c>
      <c r="F51" s="138" t="s">
        <v>2507</v>
      </c>
      <c r="G51" s="78" t="s">
        <v>2168</v>
      </c>
      <c r="H51" s="131"/>
      <c r="I51" s="131"/>
      <c r="J51" s="131"/>
      <c r="K51" s="131"/>
      <c r="L51" s="131"/>
      <c r="M51" s="131"/>
      <c r="N51" s="131"/>
      <c r="O51" s="131"/>
      <c r="P51" s="131"/>
      <c r="Q51" s="131"/>
      <c r="R51" s="131"/>
      <c r="S51" s="131"/>
      <c r="T51" s="131"/>
    </row>
    <row r="52">
      <c r="A52" s="134" t="s">
        <v>2502</v>
      </c>
      <c r="B52" s="79" t="s">
        <v>2633</v>
      </c>
      <c r="C52" s="79" t="s">
        <v>2634</v>
      </c>
      <c r="D52" s="36" t="s">
        <v>2635</v>
      </c>
      <c r="E52" s="36" t="s">
        <v>223</v>
      </c>
      <c r="F52" s="135" t="s">
        <v>2507</v>
      </c>
      <c r="G52" s="78" t="s">
        <v>2168</v>
      </c>
      <c r="H52" s="131"/>
      <c r="I52" s="131"/>
      <c r="J52" s="131"/>
      <c r="K52" s="131"/>
      <c r="L52" s="131"/>
      <c r="M52" s="131"/>
      <c r="N52" s="131"/>
      <c r="O52" s="131"/>
      <c r="P52" s="131"/>
      <c r="Q52" s="131"/>
      <c r="R52" s="131"/>
      <c r="S52" s="131"/>
      <c r="T52" s="131"/>
    </row>
    <row r="53">
      <c r="A53" s="137" t="s">
        <v>2502</v>
      </c>
      <c r="B53" s="76" t="s">
        <v>2636</v>
      </c>
      <c r="C53" s="76" t="s">
        <v>2637</v>
      </c>
      <c r="D53" s="43" t="s">
        <v>2638</v>
      </c>
      <c r="E53" s="43" t="s">
        <v>954</v>
      </c>
      <c r="F53" s="138" t="s">
        <v>2507</v>
      </c>
      <c r="G53" s="78" t="s">
        <v>2168</v>
      </c>
      <c r="H53" s="131"/>
      <c r="I53" s="131"/>
      <c r="J53" s="131"/>
      <c r="K53" s="131"/>
      <c r="L53" s="131"/>
      <c r="M53" s="131"/>
      <c r="N53" s="131"/>
      <c r="O53" s="131"/>
      <c r="P53" s="131"/>
      <c r="Q53" s="131"/>
      <c r="R53" s="131"/>
      <c r="S53" s="131"/>
      <c r="T53" s="131"/>
    </row>
    <row r="54">
      <c r="A54" s="134" t="s">
        <v>2502</v>
      </c>
      <c r="B54" s="79" t="s">
        <v>2639</v>
      </c>
      <c r="C54" s="79" t="s">
        <v>2640</v>
      </c>
      <c r="D54" s="36" t="s">
        <v>2584</v>
      </c>
      <c r="E54" s="36" t="s">
        <v>1353</v>
      </c>
      <c r="F54" s="135" t="s">
        <v>2507</v>
      </c>
      <c r="G54" s="78" t="s">
        <v>2168</v>
      </c>
      <c r="H54" s="131"/>
      <c r="I54" s="131"/>
      <c r="J54" s="131"/>
      <c r="K54" s="131"/>
      <c r="L54" s="131"/>
      <c r="M54" s="131"/>
      <c r="N54" s="131"/>
      <c r="O54" s="131"/>
      <c r="P54" s="131"/>
      <c r="Q54" s="131"/>
      <c r="R54" s="131"/>
      <c r="S54" s="131"/>
      <c r="T54" s="131"/>
    </row>
    <row r="55">
      <c r="A55" s="137" t="s">
        <v>2502</v>
      </c>
      <c r="B55" s="76" t="s">
        <v>2641</v>
      </c>
      <c r="C55" s="76" t="s">
        <v>2642</v>
      </c>
      <c r="D55" s="43" t="s">
        <v>2643</v>
      </c>
      <c r="E55" s="43" t="s">
        <v>2644</v>
      </c>
      <c r="F55" s="138" t="s">
        <v>2507</v>
      </c>
      <c r="G55" s="78" t="s">
        <v>2168</v>
      </c>
      <c r="H55" s="131"/>
      <c r="I55" s="131"/>
      <c r="J55" s="131"/>
      <c r="K55" s="131"/>
      <c r="L55" s="131"/>
      <c r="M55" s="131"/>
      <c r="N55" s="131"/>
      <c r="O55" s="131"/>
      <c r="P55" s="131"/>
      <c r="Q55" s="131"/>
      <c r="R55" s="131"/>
      <c r="S55" s="131"/>
      <c r="T55" s="131"/>
    </row>
    <row r="56">
      <c r="A56" s="134" t="s">
        <v>2502</v>
      </c>
      <c r="B56" s="79" t="s">
        <v>2645</v>
      </c>
      <c r="C56" s="79" t="s">
        <v>2646</v>
      </c>
      <c r="D56" s="36" t="s">
        <v>2647</v>
      </c>
      <c r="E56" s="36" t="s">
        <v>155</v>
      </c>
      <c r="F56" s="135" t="s">
        <v>2507</v>
      </c>
      <c r="G56" s="78" t="s">
        <v>2168</v>
      </c>
      <c r="H56" s="131"/>
      <c r="I56" s="131"/>
      <c r="J56" s="131"/>
      <c r="K56" s="131"/>
      <c r="L56" s="131"/>
      <c r="M56" s="131"/>
      <c r="N56" s="131"/>
      <c r="O56" s="131"/>
      <c r="P56" s="131"/>
      <c r="Q56" s="131"/>
      <c r="R56" s="131"/>
      <c r="S56" s="131"/>
      <c r="T56" s="131"/>
    </row>
    <row r="57">
      <c r="A57" s="137" t="s">
        <v>2502</v>
      </c>
      <c r="B57" s="76" t="s">
        <v>2648</v>
      </c>
      <c r="C57" s="76" t="s">
        <v>2649</v>
      </c>
      <c r="D57" s="43" t="s">
        <v>2650</v>
      </c>
      <c r="E57" s="43" t="s">
        <v>227</v>
      </c>
      <c r="F57" s="138" t="s">
        <v>2507</v>
      </c>
      <c r="G57" s="78" t="s">
        <v>2168</v>
      </c>
      <c r="H57" s="131"/>
      <c r="I57" s="131"/>
      <c r="J57" s="131"/>
      <c r="K57" s="131"/>
      <c r="L57" s="131"/>
      <c r="M57" s="131"/>
      <c r="N57" s="131"/>
      <c r="O57" s="131"/>
      <c r="P57" s="131"/>
      <c r="Q57" s="131"/>
      <c r="R57" s="131"/>
      <c r="S57" s="131"/>
      <c r="T57" s="131"/>
    </row>
    <row r="58">
      <c r="A58" s="134" t="s">
        <v>2502</v>
      </c>
      <c r="B58" s="79" t="s">
        <v>2651</v>
      </c>
      <c r="C58" s="79" t="s">
        <v>2652</v>
      </c>
      <c r="D58" s="36" t="s">
        <v>2647</v>
      </c>
      <c r="E58" s="36" t="s">
        <v>155</v>
      </c>
      <c r="F58" s="135" t="s">
        <v>2507</v>
      </c>
      <c r="G58" s="78" t="s">
        <v>2168</v>
      </c>
      <c r="H58" s="131"/>
      <c r="I58" s="131"/>
      <c r="J58" s="131"/>
      <c r="K58" s="131"/>
      <c r="L58" s="131"/>
      <c r="M58" s="131"/>
      <c r="N58" s="131"/>
      <c r="O58" s="131"/>
      <c r="P58" s="131"/>
      <c r="Q58" s="131"/>
      <c r="R58" s="131"/>
      <c r="S58" s="131"/>
      <c r="T58" s="131"/>
    </row>
    <row r="59">
      <c r="A59" s="137" t="s">
        <v>2502</v>
      </c>
      <c r="B59" s="76" t="s">
        <v>2653</v>
      </c>
      <c r="C59" s="76" t="s">
        <v>2654</v>
      </c>
      <c r="D59" s="43" t="s">
        <v>2515</v>
      </c>
      <c r="E59" s="43" t="s">
        <v>2516</v>
      </c>
      <c r="F59" s="138" t="s">
        <v>2507</v>
      </c>
      <c r="G59" s="78" t="s">
        <v>2168</v>
      </c>
      <c r="H59" s="131"/>
      <c r="I59" s="131"/>
      <c r="J59" s="131"/>
      <c r="K59" s="131"/>
      <c r="L59" s="131"/>
      <c r="M59" s="131"/>
      <c r="N59" s="131"/>
      <c r="O59" s="131"/>
      <c r="P59" s="131"/>
      <c r="Q59" s="131"/>
      <c r="R59" s="131"/>
      <c r="S59" s="131"/>
      <c r="T59" s="131"/>
    </row>
    <row r="60">
      <c r="A60" s="134" t="s">
        <v>2502</v>
      </c>
      <c r="B60" s="79" t="s">
        <v>2655</v>
      </c>
      <c r="C60" s="79" t="s">
        <v>2656</v>
      </c>
      <c r="D60" s="36" t="s">
        <v>2657</v>
      </c>
      <c r="E60" s="36" t="s">
        <v>1517</v>
      </c>
      <c r="F60" s="135" t="s">
        <v>2507</v>
      </c>
      <c r="G60" s="78" t="s">
        <v>2168</v>
      </c>
      <c r="H60" s="131"/>
      <c r="I60" s="131"/>
      <c r="J60" s="131"/>
      <c r="K60" s="131"/>
      <c r="L60" s="131"/>
      <c r="M60" s="131"/>
      <c r="N60" s="131"/>
      <c r="O60" s="131"/>
      <c r="P60" s="131"/>
      <c r="Q60" s="131"/>
      <c r="R60" s="131"/>
      <c r="S60" s="131"/>
      <c r="T60" s="131"/>
    </row>
    <row r="61">
      <c r="A61" s="137" t="s">
        <v>2502</v>
      </c>
      <c r="B61" s="76" t="s">
        <v>2658</v>
      </c>
      <c r="C61" s="76" t="s">
        <v>2659</v>
      </c>
      <c r="D61" s="43" t="s">
        <v>2660</v>
      </c>
      <c r="E61" s="43" t="s">
        <v>469</v>
      </c>
      <c r="F61" s="138" t="s">
        <v>2507</v>
      </c>
      <c r="G61" s="78" t="s">
        <v>2168</v>
      </c>
      <c r="H61" s="131"/>
      <c r="I61" s="131"/>
      <c r="J61" s="131"/>
      <c r="K61" s="131"/>
      <c r="L61" s="131"/>
      <c r="M61" s="131"/>
      <c r="N61" s="131"/>
      <c r="O61" s="131"/>
      <c r="P61" s="131"/>
      <c r="Q61" s="131"/>
      <c r="R61" s="131"/>
      <c r="S61" s="131"/>
      <c r="T61" s="131"/>
    </row>
    <row r="62">
      <c r="A62" s="134" t="s">
        <v>2502</v>
      </c>
      <c r="B62" s="79" t="s">
        <v>2661</v>
      </c>
      <c r="C62" s="79" t="s">
        <v>2662</v>
      </c>
      <c r="D62" s="36" t="s">
        <v>2587</v>
      </c>
      <c r="E62" s="36" t="s">
        <v>209</v>
      </c>
      <c r="F62" s="135" t="s">
        <v>2507</v>
      </c>
      <c r="G62" s="78" t="s">
        <v>2168</v>
      </c>
      <c r="H62" s="131"/>
      <c r="I62" s="131"/>
      <c r="J62" s="131"/>
      <c r="K62" s="131"/>
      <c r="L62" s="131"/>
      <c r="M62" s="131"/>
      <c r="N62" s="131"/>
      <c r="O62" s="131"/>
      <c r="P62" s="131"/>
      <c r="Q62" s="131"/>
      <c r="R62" s="131"/>
      <c r="S62" s="131"/>
      <c r="T62" s="131"/>
    </row>
    <row r="63">
      <c r="A63" s="137" t="s">
        <v>2502</v>
      </c>
      <c r="B63" s="76" t="s">
        <v>2663</v>
      </c>
      <c r="C63" s="76" t="s">
        <v>2664</v>
      </c>
      <c r="D63" s="43" t="s">
        <v>2573</v>
      </c>
      <c r="E63" s="43" t="s">
        <v>778</v>
      </c>
      <c r="F63" s="138" t="s">
        <v>2507</v>
      </c>
      <c r="G63" s="78" t="s">
        <v>2168</v>
      </c>
      <c r="H63" s="131"/>
      <c r="I63" s="131"/>
      <c r="J63" s="131"/>
      <c r="K63" s="131"/>
      <c r="L63" s="131"/>
      <c r="M63" s="131"/>
      <c r="N63" s="131"/>
      <c r="O63" s="131"/>
      <c r="P63" s="131"/>
      <c r="Q63" s="131"/>
      <c r="R63" s="131"/>
      <c r="S63" s="131"/>
      <c r="T63" s="131"/>
    </row>
    <row r="64">
      <c r="A64" s="134" t="s">
        <v>2502</v>
      </c>
      <c r="B64" s="79" t="s">
        <v>2665</v>
      </c>
      <c r="C64" s="79" t="s">
        <v>2666</v>
      </c>
      <c r="D64" s="36" t="s">
        <v>2667</v>
      </c>
      <c r="E64" s="36" t="s">
        <v>2201</v>
      </c>
      <c r="F64" s="135" t="s">
        <v>2507</v>
      </c>
      <c r="G64" s="78" t="s">
        <v>2168</v>
      </c>
      <c r="H64" s="131"/>
      <c r="I64" s="131"/>
      <c r="J64" s="131"/>
      <c r="K64" s="131"/>
      <c r="L64" s="131"/>
      <c r="M64" s="131"/>
      <c r="N64" s="131"/>
      <c r="O64" s="131"/>
      <c r="P64" s="131"/>
      <c r="Q64" s="131"/>
      <c r="R64" s="131"/>
      <c r="S64" s="131"/>
      <c r="T64" s="131"/>
    </row>
    <row r="65">
      <c r="A65" s="131"/>
      <c r="B65" s="131"/>
      <c r="C65" s="131"/>
      <c r="D65" s="81"/>
      <c r="E65" s="81"/>
      <c r="F65" s="131"/>
      <c r="G65" s="131"/>
      <c r="H65" s="131"/>
      <c r="I65" s="131"/>
      <c r="J65" s="131"/>
      <c r="K65" s="131"/>
      <c r="L65" s="131"/>
      <c r="M65" s="131"/>
      <c r="N65" s="131"/>
      <c r="O65" s="131"/>
      <c r="P65" s="131"/>
      <c r="Q65" s="131"/>
      <c r="R65" s="131"/>
      <c r="S65" s="131"/>
      <c r="T65" s="131"/>
    </row>
    <row r="66">
      <c r="A66" s="131"/>
      <c r="B66" s="131"/>
      <c r="C66" s="131"/>
      <c r="D66" s="81"/>
      <c r="E66" s="81"/>
      <c r="F66" s="131"/>
      <c r="G66" s="131"/>
      <c r="H66" s="131"/>
      <c r="I66" s="131"/>
      <c r="J66" s="131"/>
      <c r="K66" s="131"/>
      <c r="L66" s="131"/>
      <c r="M66" s="131"/>
      <c r="N66" s="131"/>
      <c r="O66" s="131"/>
      <c r="P66" s="131"/>
      <c r="Q66" s="131"/>
      <c r="R66" s="131"/>
      <c r="S66" s="131"/>
      <c r="T66" s="131"/>
    </row>
    <row r="67">
      <c r="A67" s="131"/>
      <c r="B67" s="131"/>
      <c r="C67" s="131"/>
      <c r="D67" s="81"/>
      <c r="E67" s="81"/>
      <c r="F67" s="131"/>
      <c r="G67" s="131"/>
      <c r="H67" s="131"/>
      <c r="I67" s="131"/>
      <c r="J67" s="131"/>
      <c r="K67" s="131"/>
      <c r="L67" s="131"/>
      <c r="M67" s="131"/>
      <c r="N67" s="131"/>
      <c r="O67" s="131"/>
      <c r="P67" s="131"/>
      <c r="Q67" s="131"/>
      <c r="R67" s="131"/>
      <c r="S67" s="131"/>
      <c r="T67" s="131"/>
    </row>
    <row r="68">
      <c r="A68" s="131"/>
      <c r="B68" s="131"/>
      <c r="C68" s="131"/>
      <c r="D68" s="81"/>
      <c r="E68" s="81"/>
      <c r="F68" s="131"/>
      <c r="G68" s="131"/>
      <c r="H68" s="131"/>
      <c r="I68" s="131"/>
      <c r="J68" s="131"/>
      <c r="K68" s="131"/>
      <c r="L68" s="131"/>
      <c r="M68" s="131"/>
      <c r="N68" s="131"/>
      <c r="O68" s="131"/>
      <c r="P68" s="131"/>
      <c r="Q68" s="131"/>
      <c r="R68" s="131"/>
      <c r="S68" s="131"/>
      <c r="T68" s="131"/>
    </row>
    <row r="69">
      <c r="A69" s="131"/>
      <c r="B69" s="131"/>
      <c r="C69" s="131"/>
      <c r="D69" s="81"/>
      <c r="E69" s="81"/>
      <c r="F69" s="131"/>
      <c r="G69" s="131"/>
      <c r="H69" s="131"/>
      <c r="I69" s="131"/>
      <c r="J69" s="131"/>
      <c r="K69" s="131"/>
      <c r="L69" s="131"/>
      <c r="M69" s="131"/>
      <c r="N69" s="131"/>
      <c r="O69" s="131"/>
      <c r="P69" s="131"/>
      <c r="Q69" s="131"/>
      <c r="R69" s="131"/>
      <c r="S69" s="131"/>
      <c r="T69" s="131"/>
    </row>
    <row r="70">
      <c r="A70" s="131"/>
      <c r="B70" s="131"/>
      <c r="C70" s="131"/>
      <c r="D70" s="81"/>
      <c r="E70" s="81"/>
      <c r="F70" s="131"/>
      <c r="G70" s="131"/>
      <c r="H70" s="131"/>
      <c r="I70" s="131"/>
      <c r="J70" s="131"/>
      <c r="K70" s="131"/>
      <c r="L70" s="131"/>
      <c r="M70" s="131"/>
      <c r="N70" s="131"/>
      <c r="O70" s="131"/>
      <c r="P70" s="131"/>
      <c r="Q70" s="131"/>
      <c r="R70" s="131"/>
      <c r="S70" s="131"/>
      <c r="T70" s="131"/>
    </row>
    <row r="71">
      <c r="A71" s="131"/>
      <c r="B71" s="131"/>
      <c r="C71" s="131"/>
      <c r="D71" s="81"/>
      <c r="E71" s="81"/>
      <c r="F71" s="131"/>
      <c r="G71" s="131"/>
      <c r="H71" s="131"/>
      <c r="I71" s="131"/>
      <c r="J71" s="131"/>
      <c r="K71" s="131"/>
      <c r="L71" s="131"/>
      <c r="M71" s="131"/>
      <c r="N71" s="131"/>
      <c r="O71" s="131"/>
      <c r="P71" s="131"/>
      <c r="Q71" s="131"/>
      <c r="R71" s="131"/>
      <c r="S71" s="131"/>
      <c r="T71" s="131"/>
    </row>
    <row r="72">
      <c r="A72" s="131"/>
      <c r="B72" s="131"/>
      <c r="C72" s="131"/>
      <c r="D72" s="81"/>
      <c r="E72" s="81"/>
      <c r="F72" s="131"/>
      <c r="G72" s="131"/>
      <c r="H72" s="131"/>
      <c r="I72" s="131"/>
      <c r="J72" s="131"/>
      <c r="K72" s="131"/>
      <c r="L72" s="131"/>
      <c r="M72" s="131"/>
      <c r="N72" s="131"/>
      <c r="O72" s="131"/>
      <c r="P72" s="131"/>
      <c r="Q72" s="131"/>
      <c r="R72" s="131"/>
      <c r="S72" s="131"/>
      <c r="T72" s="131"/>
    </row>
    <row r="73">
      <c r="A73" s="131"/>
      <c r="B73" s="131"/>
      <c r="C73" s="131"/>
      <c r="D73" s="81"/>
      <c r="E73" s="81"/>
      <c r="F73" s="131"/>
      <c r="G73" s="131"/>
      <c r="H73" s="131"/>
      <c r="I73" s="131"/>
      <c r="J73" s="131"/>
      <c r="K73" s="131"/>
      <c r="L73" s="131"/>
      <c r="M73" s="131"/>
      <c r="N73" s="131"/>
      <c r="O73" s="131"/>
      <c r="P73" s="131"/>
      <c r="Q73" s="131"/>
      <c r="R73" s="131"/>
      <c r="S73" s="131"/>
      <c r="T73" s="131"/>
    </row>
    <row r="74">
      <c r="A74" s="131"/>
      <c r="B74" s="131"/>
      <c r="C74" s="131"/>
      <c r="D74" s="81"/>
      <c r="E74" s="81"/>
      <c r="F74" s="131"/>
      <c r="G74" s="131"/>
      <c r="H74" s="131"/>
      <c r="I74" s="131"/>
      <c r="J74" s="131"/>
      <c r="K74" s="131"/>
      <c r="L74" s="131"/>
      <c r="M74" s="131"/>
      <c r="N74" s="131"/>
      <c r="O74" s="131"/>
      <c r="P74" s="131"/>
      <c r="Q74" s="131"/>
      <c r="R74" s="131"/>
      <c r="S74" s="131"/>
      <c r="T74" s="131"/>
    </row>
    <row r="75">
      <c r="A75" s="131"/>
      <c r="B75" s="131"/>
      <c r="C75" s="131"/>
      <c r="D75" s="81"/>
      <c r="E75" s="81"/>
      <c r="F75" s="131"/>
      <c r="G75" s="131"/>
      <c r="H75" s="131"/>
      <c r="I75" s="131"/>
      <c r="J75" s="131"/>
      <c r="K75" s="131"/>
      <c r="L75" s="131"/>
      <c r="M75" s="131"/>
      <c r="N75" s="131"/>
      <c r="O75" s="131"/>
      <c r="P75" s="131"/>
      <c r="Q75" s="131"/>
      <c r="R75" s="131"/>
      <c r="S75" s="131"/>
      <c r="T75" s="131"/>
    </row>
    <row r="76">
      <c r="A76" s="131"/>
      <c r="B76" s="131"/>
      <c r="C76" s="131"/>
      <c r="D76" s="81"/>
      <c r="E76" s="81"/>
      <c r="F76" s="131"/>
      <c r="G76" s="131"/>
      <c r="H76" s="131"/>
      <c r="I76" s="131"/>
      <c r="J76" s="131"/>
      <c r="K76" s="131"/>
      <c r="L76" s="131"/>
      <c r="M76" s="131"/>
      <c r="N76" s="131"/>
      <c r="O76" s="131"/>
      <c r="P76" s="131"/>
      <c r="Q76" s="131"/>
      <c r="R76" s="131"/>
      <c r="S76" s="131"/>
      <c r="T76" s="131"/>
    </row>
    <row r="77">
      <c r="A77" s="131"/>
      <c r="B77" s="131"/>
      <c r="C77" s="131"/>
      <c r="D77" s="81"/>
      <c r="E77" s="81"/>
      <c r="F77" s="131"/>
      <c r="G77" s="131"/>
      <c r="H77" s="131"/>
      <c r="I77" s="131"/>
      <c r="J77" s="131"/>
      <c r="K77" s="131"/>
      <c r="L77" s="131"/>
      <c r="M77" s="131"/>
      <c r="N77" s="131"/>
      <c r="O77" s="131"/>
      <c r="P77" s="131"/>
      <c r="Q77" s="131"/>
      <c r="R77" s="131"/>
      <c r="S77" s="131"/>
      <c r="T77" s="131"/>
    </row>
    <row r="78">
      <c r="A78" s="131"/>
      <c r="B78" s="131"/>
      <c r="C78" s="131"/>
      <c r="D78" s="81"/>
      <c r="E78" s="81"/>
      <c r="F78" s="131"/>
      <c r="G78" s="131"/>
      <c r="H78" s="131"/>
      <c r="I78" s="131"/>
      <c r="J78" s="131"/>
      <c r="K78" s="131"/>
      <c r="L78" s="131"/>
      <c r="M78" s="131"/>
      <c r="N78" s="131"/>
      <c r="O78" s="131"/>
      <c r="P78" s="131"/>
      <c r="Q78" s="131"/>
      <c r="R78" s="131"/>
      <c r="S78" s="131"/>
      <c r="T78" s="131"/>
    </row>
    <row r="79">
      <c r="A79" s="131"/>
      <c r="B79" s="131"/>
      <c r="C79" s="131"/>
      <c r="D79" s="81"/>
      <c r="E79" s="81"/>
      <c r="F79" s="131"/>
      <c r="G79" s="131"/>
      <c r="H79" s="131"/>
      <c r="I79" s="131"/>
      <c r="J79" s="131"/>
      <c r="K79" s="131"/>
      <c r="L79" s="131"/>
      <c r="M79" s="131"/>
      <c r="N79" s="131"/>
      <c r="O79" s="131"/>
      <c r="P79" s="131"/>
      <c r="Q79" s="131"/>
      <c r="R79" s="131"/>
      <c r="S79" s="131"/>
      <c r="T79" s="131"/>
    </row>
    <row r="80">
      <c r="A80" s="131"/>
      <c r="B80" s="131"/>
      <c r="C80" s="131"/>
      <c r="D80" s="81"/>
      <c r="E80" s="81"/>
      <c r="F80" s="131"/>
      <c r="G80" s="131"/>
      <c r="H80" s="131"/>
      <c r="I80" s="131"/>
      <c r="J80" s="131"/>
      <c r="K80" s="131"/>
      <c r="L80" s="131"/>
      <c r="M80" s="131"/>
      <c r="N80" s="131"/>
      <c r="O80" s="131"/>
      <c r="P80" s="131"/>
      <c r="Q80" s="131"/>
      <c r="R80" s="131"/>
      <c r="S80" s="131"/>
      <c r="T80" s="131"/>
    </row>
    <row r="81">
      <c r="A81" s="131"/>
      <c r="B81" s="131"/>
      <c r="C81" s="131"/>
      <c r="D81" s="81"/>
      <c r="E81" s="81"/>
      <c r="F81" s="131"/>
      <c r="G81" s="131"/>
      <c r="H81" s="131"/>
      <c r="I81" s="131"/>
      <c r="J81" s="131"/>
      <c r="K81" s="131"/>
      <c r="L81" s="131"/>
      <c r="M81" s="131"/>
      <c r="N81" s="131"/>
      <c r="O81" s="131"/>
      <c r="P81" s="131"/>
      <c r="Q81" s="131"/>
      <c r="R81" s="131"/>
      <c r="S81" s="131"/>
      <c r="T81" s="131"/>
    </row>
    <row r="82">
      <c r="A82" s="131"/>
      <c r="B82" s="131"/>
      <c r="C82" s="131"/>
      <c r="D82" s="81"/>
      <c r="E82" s="81"/>
      <c r="F82" s="131"/>
      <c r="G82" s="131"/>
      <c r="H82" s="131"/>
      <c r="I82" s="131"/>
      <c r="J82" s="131"/>
      <c r="K82" s="131"/>
      <c r="L82" s="131"/>
      <c r="M82" s="131"/>
      <c r="N82" s="131"/>
      <c r="O82" s="131"/>
      <c r="P82" s="131"/>
      <c r="Q82" s="131"/>
      <c r="R82" s="131"/>
      <c r="S82" s="131"/>
      <c r="T82" s="131"/>
    </row>
    <row r="83">
      <c r="A83" s="131"/>
      <c r="B83" s="131"/>
      <c r="C83" s="131"/>
      <c r="D83" s="81"/>
      <c r="E83" s="81"/>
      <c r="F83" s="131"/>
      <c r="G83" s="131"/>
      <c r="H83" s="131"/>
      <c r="I83" s="131"/>
      <c r="J83" s="131"/>
      <c r="K83" s="131"/>
      <c r="L83" s="131"/>
      <c r="M83" s="131"/>
      <c r="N83" s="131"/>
      <c r="O83" s="131"/>
      <c r="P83" s="131"/>
      <c r="Q83" s="131"/>
      <c r="R83" s="131"/>
      <c r="S83" s="131"/>
      <c r="T83" s="131"/>
    </row>
    <row r="84">
      <c r="A84" s="131"/>
      <c r="B84" s="131"/>
      <c r="C84" s="131"/>
      <c r="D84" s="81"/>
      <c r="E84" s="81"/>
      <c r="F84" s="131"/>
      <c r="G84" s="131"/>
      <c r="H84" s="131"/>
      <c r="I84" s="131"/>
      <c r="J84" s="131"/>
      <c r="K84" s="131"/>
      <c r="L84" s="131"/>
      <c r="M84" s="131"/>
      <c r="N84" s="131"/>
      <c r="O84" s="131"/>
      <c r="P84" s="131"/>
      <c r="Q84" s="131"/>
      <c r="R84" s="131"/>
      <c r="S84" s="131"/>
      <c r="T84" s="131"/>
    </row>
    <row r="85">
      <c r="A85" s="131"/>
      <c r="B85" s="131"/>
      <c r="C85" s="131"/>
      <c r="D85" s="81"/>
      <c r="E85" s="81"/>
      <c r="F85" s="131"/>
      <c r="G85" s="131"/>
      <c r="H85" s="131"/>
      <c r="I85" s="131"/>
      <c r="J85" s="131"/>
      <c r="K85" s="131"/>
      <c r="L85" s="131"/>
      <c r="M85" s="131"/>
      <c r="N85" s="131"/>
      <c r="O85" s="131"/>
      <c r="P85" s="131"/>
      <c r="Q85" s="131"/>
      <c r="R85" s="131"/>
      <c r="S85" s="131"/>
      <c r="T85" s="131"/>
    </row>
    <row r="86">
      <c r="A86" s="131"/>
      <c r="B86" s="131"/>
      <c r="C86" s="131"/>
      <c r="D86" s="81"/>
      <c r="E86" s="81"/>
      <c r="F86" s="131"/>
      <c r="G86" s="131"/>
      <c r="H86" s="131"/>
      <c r="I86" s="131"/>
      <c r="J86" s="131"/>
      <c r="K86" s="131"/>
      <c r="L86" s="131"/>
      <c r="M86" s="131"/>
      <c r="N86" s="131"/>
      <c r="O86" s="131"/>
      <c r="P86" s="131"/>
      <c r="Q86" s="131"/>
      <c r="R86" s="131"/>
      <c r="S86" s="131"/>
      <c r="T86" s="131"/>
    </row>
    <row r="87">
      <c r="A87" s="131"/>
      <c r="B87" s="131"/>
      <c r="C87" s="131"/>
      <c r="D87" s="81"/>
      <c r="E87" s="81"/>
      <c r="F87" s="131"/>
      <c r="G87" s="131"/>
      <c r="H87" s="131"/>
      <c r="I87" s="131"/>
      <c r="J87" s="131"/>
      <c r="K87" s="131"/>
      <c r="L87" s="131"/>
      <c r="M87" s="131"/>
      <c r="N87" s="131"/>
      <c r="O87" s="131"/>
      <c r="P87" s="131"/>
      <c r="Q87" s="131"/>
      <c r="R87" s="131"/>
      <c r="S87" s="131"/>
      <c r="T87" s="131"/>
    </row>
    <row r="88">
      <c r="A88" s="131"/>
      <c r="B88" s="131"/>
      <c r="C88" s="131"/>
      <c r="D88" s="81"/>
      <c r="E88" s="81"/>
      <c r="F88" s="131"/>
      <c r="G88" s="131"/>
      <c r="H88" s="131"/>
      <c r="I88" s="131"/>
      <c r="J88" s="131"/>
      <c r="K88" s="131"/>
      <c r="L88" s="131"/>
      <c r="M88" s="131"/>
      <c r="N88" s="131"/>
      <c r="O88" s="131"/>
      <c r="P88" s="131"/>
      <c r="Q88" s="131"/>
      <c r="R88" s="131"/>
      <c r="S88" s="131"/>
      <c r="T88" s="131"/>
    </row>
    <row r="89">
      <c r="A89" s="131"/>
      <c r="B89" s="131"/>
      <c r="C89" s="131"/>
      <c r="D89" s="81"/>
      <c r="E89" s="81"/>
      <c r="F89" s="131"/>
      <c r="G89" s="131"/>
      <c r="H89" s="131"/>
      <c r="I89" s="131"/>
      <c r="J89" s="131"/>
      <c r="K89" s="131"/>
      <c r="L89" s="131"/>
      <c r="M89" s="131"/>
      <c r="N89" s="131"/>
      <c r="O89" s="131"/>
      <c r="P89" s="131"/>
      <c r="Q89" s="131"/>
      <c r="R89" s="131"/>
      <c r="S89" s="131"/>
      <c r="T89" s="131"/>
    </row>
    <row r="90">
      <c r="A90" s="131"/>
      <c r="B90" s="131"/>
      <c r="C90" s="131"/>
      <c r="D90" s="81"/>
      <c r="E90" s="81"/>
      <c r="F90" s="131"/>
      <c r="G90" s="131"/>
      <c r="H90" s="131"/>
      <c r="I90" s="131"/>
      <c r="J90" s="131"/>
      <c r="K90" s="131"/>
      <c r="L90" s="131"/>
      <c r="M90" s="131"/>
      <c r="N90" s="131"/>
      <c r="O90" s="131"/>
      <c r="P90" s="131"/>
      <c r="Q90" s="131"/>
      <c r="R90" s="131"/>
      <c r="S90" s="131"/>
      <c r="T90" s="131"/>
    </row>
    <row r="91">
      <c r="A91" s="131"/>
      <c r="B91" s="131"/>
      <c r="C91" s="131"/>
      <c r="D91" s="81"/>
      <c r="E91" s="81"/>
      <c r="F91" s="131"/>
      <c r="G91" s="131"/>
      <c r="H91" s="131"/>
      <c r="I91" s="131"/>
      <c r="J91" s="131"/>
      <c r="K91" s="131"/>
      <c r="L91" s="131"/>
      <c r="M91" s="131"/>
      <c r="N91" s="131"/>
      <c r="O91" s="131"/>
      <c r="P91" s="131"/>
      <c r="Q91" s="131"/>
      <c r="R91" s="131"/>
      <c r="S91" s="131"/>
      <c r="T91" s="131"/>
    </row>
    <row r="92">
      <c r="A92" s="131"/>
      <c r="B92" s="131"/>
      <c r="C92" s="131"/>
      <c r="D92" s="81"/>
      <c r="E92" s="81"/>
      <c r="F92" s="131"/>
      <c r="G92" s="131"/>
      <c r="H92" s="131"/>
      <c r="I92" s="131"/>
      <c r="J92" s="131"/>
      <c r="K92" s="131"/>
      <c r="L92" s="131"/>
      <c r="M92" s="131"/>
      <c r="N92" s="131"/>
      <c r="O92" s="131"/>
      <c r="P92" s="131"/>
      <c r="Q92" s="131"/>
      <c r="R92" s="131"/>
      <c r="S92" s="131"/>
      <c r="T92" s="131"/>
    </row>
    <row r="93">
      <c r="A93" s="131"/>
      <c r="B93" s="131"/>
      <c r="C93" s="131"/>
      <c r="D93" s="81"/>
      <c r="E93" s="81"/>
      <c r="F93" s="131"/>
      <c r="G93" s="131"/>
      <c r="H93" s="131"/>
      <c r="I93" s="131"/>
      <c r="J93" s="131"/>
      <c r="K93" s="131"/>
      <c r="L93" s="131"/>
      <c r="M93" s="131"/>
      <c r="N93" s="131"/>
      <c r="O93" s="131"/>
      <c r="P93" s="131"/>
      <c r="Q93" s="131"/>
      <c r="R93" s="131"/>
      <c r="S93" s="131"/>
      <c r="T93" s="131"/>
    </row>
    <row r="94">
      <c r="A94" s="131"/>
      <c r="B94" s="131"/>
      <c r="C94" s="131"/>
      <c r="D94" s="81"/>
      <c r="E94" s="81"/>
      <c r="F94" s="131"/>
      <c r="G94" s="131"/>
      <c r="H94" s="131"/>
      <c r="I94" s="131"/>
      <c r="J94" s="131"/>
      <c r="K94" s="131"/>
      <c r="L94" s="131"/>
      <c r="M94" s="131"/>
      <c r="N94" s="131"/>
      <c r="O94" s="131"/>
      <c r="P94" s="131"/>
      <c r="Q94" s="131"/>
      <c r="R94" s="131"/>
      <c r="S94" s="131"/>
      <c r="T94" s="131"/>
    </row>
    <row r="95">
      <c r="A95" s="131"/>
      <c r="B95" s="131"/>
      <c r="C95" s="131"/>
      <c r="D95" s="81"/>
      <c r="E95" s="81"/>
      <c r="F95" s="131"/>
      <c r="G95" s="131"/>
      <c r="H95" s="131"/>
      <c r="I95" s="131"/>
      <c r="J95" s="131"/>
      <c r="K95" s="131"/>
      <c r="L95" s="131"/>
      <c r="M95" s="131"/>
      <c r="N95" s="131"/>
      <c r="O95" s="131"/>
      <c r="P95" s="131"/>
      <c r="Q95" s="131"/>
      <c r="R95" s="131"/>
      <c r="S95" s="131"/>
      <c r="T95" s="131"/>
    </row>
    <row r="96">
      <c r="A96" s="131"/>
      <c r="B96" s="131"/>
      <c r="C96" s="131"/>
      <c r="D96" s="81"/>
      <c r="E96" s="81"/>
      <c r="F96" s="131"/>
      <c r="G96" s="131"/>
      <c r="H96" s="131"/>
      <c r="I96" s="131"/>
      <c r="J96" s="131"/>
      <c r="K96" s="131"/>
      <c r="L96" s="131"/>
      <c r="M96" s="131"/>
      <c r="N96" s="131"/>
      <c r="O96" s="131"/>
      <c r="P96" s="131"/>
      <c r="Q96" s="131"/>
      <c r="R96" s="131"/>
      <c r="S96" s="131"/>
      <c r="T96" s="131"/>
    </row>
    <row r="97">
      <c r="A97" s="131"/>
      <c r="B97" s="131"/>
      <c r="C97" s="131"/>
      <c r="D97" s="81"/>
      <c r="E97" s="81"/>
      <c r="F97" s="131"/>
      <c r="G97" s="131"/>
      <c r="H97" s="131"/>
      <c r="I97" s="131"/>
      <c r="J97" s="131"/>
      <c r="K97" s="131"/>
      <c r="L97" s="131"/>
      <c r="M97" s="131"/>
      <c r="N97" s="131"/>
      <c r="O97" s="131"/>
      <c r="P97" s="131"/>
      <c r="Q97" s="131"/>
      <c r="R97" s="131"/>
      <c r="S97" s="131"/>
      <c r="T97" s="131"/>
    </row>
    <row r="98">
      <c r="A98" s="131"/>
      <c r="B98" s="131"/>
      <c r="C98" s="131"/>
      <c r="D98" s="81"/>
      <c r="E98" s="81"/>
      <c r="F98" s="131"/>
      <c r="G98" s="131"/>
      <c r="H98" s="131"/>
      <c r="I98" s="131"/>
      <c r="J98" s="131"/>
      <c r="K98" s="131"/>
      <c r="L98" s="131"/>
      <c r="M98" s="131"/>
      <c r="N98" s="131"/>
      <c r="O98" s="131"/>
      <c r="P98" s="131"/>
      <c r="Q98" s="131"/>
      <c r="R98" s="131"/>
      <c r="S98" s="131"/>
      <c r="T98" s="131"/>
    </row>
    <row r="99">
      <c r="A99" s="131"/>
      <c r="B99" s="131"/>
      <c r="C99" s="131"/>
      <c r="D99" s="81"/>
      <c r="E99" s="81"/>
      <c r="F99" s="131"/>
      <c r="G99" s="131"/>
      <c r="H99" s="131"/>
      <c r="I99" s="131"/>
      <c r="J99" s="131"/>
      <c r="K99" s="131"/>
      <c r="L99" s="131"/>
      <c r="M99" s="131"/>
      <c r="N99" s="131"/>
      <c r="O99" s="131"/>
      <c r="P99" s="131"/>
      <c r="Q99" s="131"/>
      <c r="R99" s="131"/>
      <c r="S99" s="131"/>
      <c r="T99" s="131"/>
    </row>
    <row r="100">
      <c r="A100" s="131"/>
      <c r="B100" s="131"/>
      <c r="C100" s="131"/>
      <c r="D100" s="81"/>
      <c r="E100" s="81"/>
      <c r="F100" s="131"/>
      <c r="G100" s="131"/>
      <c r="H100" s="131"/>
      <c r="I100" s="131"/>
      <c r="J100" s="131"/>
      <c r="K100" s="131"/>
      <c r="L100" s="131"/>
      <c r="M100" s="131"/>
      <c r="N100" s="131"/>
      <c r="O100" s="131"/>
      <c r="P100" s="131"/>
      <c r="Q100" s="131"/>
      <c r="R100" s="131"/>
      <c r="S100" s="131"/>
      <c r="T100" s="131"/>
    </row>
    <row r="101">
      <c r="A101" s="131"/>
      <c r="B101" s="131"/>
      <c r="C101" s="131"/>
      <c r="D101" s="81"/>
      <c r="E101" s="81"/>
      <c r="F101" s="131"/>
      <c r="G101" s="131"/>
      <c r="H101" s="131"/>
      <c r="I101" s="131"/>
      <c r="J101" s="131"/>
      <c r="K101" s="131"/>
      <c r="L101" s="131"/>
      <c r="M101" s="131"/>
      <c r="N101" s="131"/>
      <c r="O101" s="131"/>
      <c r="P101" s="131"/>
      <c r="Q101" s="131"/>
      <c r="R101" s="131"/>
      <c r="S101" s="131"/>
      <c r="T101" s="131"/>
    </row>
    <row r="102">
      <c r="A102" s="131"/>
      <c r="B102" s="131"/>
      <c r="C102" s="131"/>
      <c r="D102" s="81"/>
      <c r="E102" s="81"/>
      <c r="F102" s="131"/>
      <c r="G102" s="131"/>
      <c r="H102" s="131"/>
      <c r="I102" s="131"/>
      <c r="J102" s="131"/>
      <c r="K102" s="131"/>
      <c r="L102" s="131"/>
      <c r="M102" s="131"/>
      <c r="N102" s="131"/>
      <c r="O102" s="131"/>
      <c r="P102" s="131"/>
      <c r="Q102" s="131"/>
      <c r="R102" s="131"/>
      <c r="S102" s="131"/>
      <c r="T102" s="131"/>
    </row>
    <row r="103">
      <c r="A103" s="131"/>
      <c r="B103" s="131"/>
      <c r="C103" s="131"/>
      <c r="D103" s="81"/>
      <c r="E103" s="81"/>
      <c r="F103" s="131"/>
      <c r="G103" s="131"/>
      <c r="H103" s="131"/>
      <c r="I103" s="131"/>
      <c r="J103" s="131"/>
      <c r="K103" s="131"/>
      <c r="L103" s="131"/>
      <c r="M103" s="131"/>
      <c r="N103" s="131"/>
      <c r="O103" s="131"/>
      <c r="P103" s="131"/>
      <c r="Q103" s="131"/>
      <c r="R103" s="131"/>
      <c r="S103" s="131"/>
      <c r="T103" s="131"/>
    </row>
    <row r="104">
      <c r="A104" s="131"/>
      <c r="B104" s="131"/>
      <c r="C104" s="131"/>
      <c r="D104" s="81"/>
      <c r="E104" s="81"/>
      <c r="F104" s="131"/>
      <c r="G104" s="131"/>
      <c r="H104" s="131"/>
      <c r="I104" s="131"/>
      <c r="J104" s="131"/>
      <c r="K104" s="131"/>
      <c r="L104" s="131"/>
      <c r="M104" s="131"/>
      <c r="N104" s="131"/>
      <c r="O104" s="131"/>
      <c r="P104" s="131"/>
      <c r="Q104" s="131"/>
      <c r="R104" s="131"/>
      <c r="S104" s="131"/>
      <c r="T104" s="131"/>
    </row>
    <row r="105">
      <c r="A105" s="131"/>
      <c r="B105" s="131"/>
      <c r="C105" s="131"/>
      <c r="D105" s="81"/>
      <c r="E105" s="81"/>
      <c r="F105" s="131"/>
      <c r="G105" s="131"/>
      <c r="H105" s="131"/>
      <c r="I105" s="131"/>
      <c r="J105" s="131"/>
      <c r="K105" s="131"/>
      <c r="L105" s="131"/>
      <c r="M105" s="131"/>
      <c r="N105" s="131"/>
      <c r="O105" s="131"/>
      <c r="P105" s="131"/>
      <c r="Q105" s="131"/>
      <c r="R105" s="131"/>
      <c r="S105" s="131"/>
      <c r="T105" s="131"/>
    </row>
    <row r="106">
      <c r="A106" s="131"/>
      <c r="B106" s="131"/>
      <c r="C106" s="131"/>
      <c r="D106" s="81"/>
      <c r="E106" s="81"/>
      <c r="F106" s="131"/>
      <c r="G106" s="131"/>
      <c r="H106" s="131"/>
      <c r="I106" s="131"/>
      <c r="J106" s="131"/>
      <c r="K106" s="131"/>
      <c r="L106" s="131"/>
      <c r="M106" s="131"/>
      <c r="N106" s="131"/>
      <c r="O106" s="131"/>
      <c r="P106" s="131"/>
      <c r="Q106" s="131"/>
      <c r="R106" s="131"/>
      <c r="S106" s="131"/>
      <c r="T106" s="131"/>
    </row>
    <row r="107">
      <c r="A107" s="131"/>
      <c r="B107" s="131"/>
      <c r="C107" s="131"/>
      <c r="D107" s="81"/>
      <c r="E107" s="81"/>
      <c r="F107" s="131"/>
      <c r="G107" s="131"/>
      <c r="H107" s="131"/>
      <c r="I107" s="131"/>
      <c r="J107" s="131"/>
      <c r="K107" s="131"/>
      <c r="L107" s="131"/>
      <c r="M107" s="131"/>
      <c r="N107" s="131"/>
      <c r="O107" s="131"/>
      <c r="P107" s="131"/>
      <c r="Q107" s="131"/>
      <c r="R107" s="131"/>
      <c r="S107" s="131"/>
      <c r="T107" s="131"/>
    </row>
    <row r="108">
      <c r="A108" s="131"/>
      <c r="B108" s="131"/>
      <c r="C108" s="131"/>
      <c r="D108" s="81"/>
      <c r="E108" s="81"/>
      <c r="F108" s="131"/>
      <c r="G108" s="131"/>
      <c r="H108" s="131"/>
      <c r="I108" s="131"/>
      <c r="J108" s="131"/>
      <c r="K108" s="131"/>
      <c r="L108" s="131"/>
      <c r="M108" s="131"/>
      <c r="N108" s="131"/>
      <c r="O108" s="131"/>
      <c r="P108" s="131"/>
      <c r="Q108" s="131"/>
      <c r="R108" s="131"/>
      <c r="S108" s="131"/>
      <c r="T108" s="131"/>
    </row>
    <row r="109">
      <c r="A109" s="131"/>
      <c r="B109" s="131"/>
      <c r="C109" s="131"/>
      <c r="D109" s="81"/>
      <c r="E109" s="81"/>
      <c r="F109" s="131"/>
      <c r="G109" s="131"/>
      <c r="H109" s="131"/>
      <c r="I109" s="131"/>
      <c r="J109" s="131"/>
      <c r="K109" s="131"/>
      <c r="L109" s="131"/>
      <c r="M109" s="131"/>
      <c r="N109" s="131"/>
      <c r="O109" s="131"/>
      <c r="P109" s="131"/>
      <c r="Q109" s="131"/>
      <c r="R109" s="131"/>
      <c r="S109" s="131"/>
      <c r="T109" s="131"/>
    </row>
    <row r="110">
      <c r="A110" s="131"/>
      <c r="B110" s="131"/>
      <c r="C110" s="131"/>
      <c r="D110" s="81"/>
      <c r="E110" s="81"/>
      <c r="F110" s="131"/>
      <c r="G110" s="131"/>
      <c r="H110" s="131"/>
      <c r="I110" s="131"/>
      <c r="J110" s="131"/>
      <c r="K110" s="131"/>
      <c r="L110" s="131"/>
      <c r="M110" s="131"/>
      <c r="N110" s="131"/>
      <c r="O110" s="131"/>
      <c r="P110" s="131"/>
      <c r="Q110" s="131"/>
      <c r="R110" s="131"/>
      <c r="S110" s="131"/>
      <c r="T110" s="131"/>
    </row>
    <row r="111">
      <c r="A111" s="131"/>
      <c r="B111" s="131"/>
      <c r="C111" s="131"/>
      <c r="D111" s="81"/>
      <c r="E111" s="81"/>
      <c r="F111" s="131"/>
      <c r="G111" s="131"/>
      <c r="H111" s="131"/>
      <c r="I111" s="131"/>
      <c r="J111" s="131"/>
      <c r="K111" s="131"/>
      <c r="L111" s="131"/>
      <c r="M111" s="131"/>
      <c r="N111" s="131"/>
      <c r="O111" s="131"/>
      <c r="P111" s="131"/>
      <c r="Q111" s="131"/>
      <c r="R111" s="131"/>
      <c r="S111" s="131"/>
      <c r="T111" s="131"/>
    </row>
    <row r="112">
      <c r="A112" s="131"/>
      <c r="B112" s="131"/>
      <c r="C112" s="131"/>
      <c r="D112" s="81"/>
      <c r="E112" s="81"/>
      <c r="F112" s="131"/>
      <c r="G112" s="131"/>
      <c r="H112" s="131"/>
      <c r="I112" s="131"/>
      <c r="J112" s="131"/>
      <c r="K112" s="131"/>
      <c r="L112" s="131"/>
      <c r="M112" s="131"/>
      <c r="N112" s="131"/>
      <c r="O112" s="131"/>
      <c r="P112" s="131"/>
      <c r="Q112" s="131"/>
      <c r="R112" s="131"/>
      <c r="S112" s="131"/>
      <c r="T112" s="131"/>
    </row>
    <row r="113">
      <c r="A113" s="131"/>
      <c r="B113" s="131"/>
      <c r="C113" s="131"/>
      <c r="D113" s="81"/>
      <c r="E113" s="81"/>
      <c r="F113" s="131"/>
      <c r="G113" s="131"/>
      <c r="H113" s="131"/>
      <c r="I113" s="131"/>
      <c r="J113" s="131"/>
      <c r="K113" s="131"/>
      <c r="L113" s="131"/>
      <c r="M113" s="131"/>
      <c r="N113" s="131"/>
      <c r="O113" s="131"/>
      <c r="P113" s="131"/>
      <c r="Q113" s="131"/>
      <c r="R113" s="131"/>
      <c r="S113" s="131"/>
      <c r="T113" s="131"/>
    </row>
    <row r="114">
      <c r="A114" s="131"/>
      <c r="B114" s="131"/>
      <c r="C114" s="131"/>
      <c r="D114" s="81"/>
      <c r="E114" s="81"/>
      <c r="F114" s="131"/>
      <c r="G114" s="131"/>
      <c r="H114" s="131"/>
      <c r="I114" s="131"/>
      <c r="J114" s="131"/>
      <c r="K114" s="131"/>
      <c r="L114" s="131"/>
      <c r="M114" s="131"/>
      <c r="N114" s="131"/>
      <c r="O114" s="131"/>
      <c r="P114" s="131"/>
      <c r="Q114" s="131"/>
      <c r="R114" s="131"/>
      <c r="S114" s="131"/>
      <c r="T114" s="131"/>
    </row>
    <row r="115">
      <c r="A115" s="131"/>
      <c r="B115" s="131"/>
      <c r="C115" s="131"/>
      <c r="D115" s="81"/>
      <c r="E115" s="81"/>
      <c r="F115" s="131"/>
      <c r="G115" s="131"/>
      <c r="H115" s="131"/>
      <c r="I115" s="131"/>
      <c r="J115" s="131"/>
      <c r="K115" s="131"/>
      <c r="L115" s="131"/>
      <c r="M115" s="131"/>
      <c r="N115" s="131"/>
      <c r="O115" s="131"/>
      <c r="P115" s="131"/>
      <c r="Q115" s="131"/>
      <c r="R115" s="131"/>
      <c r="S115" s="131"/>
      <c r="T115" s="131"/>
    </row>
    <row r="116">
      <c r="A116" s="131"/>
      <c r="B116" s="131"/>
      <c r="C116" s="131"/>
      <c r="D116" s="81"/>
      <c r="E116" s="81"/>
      <c r="F116" s="131"/>
      <c r="G116" s="131"/>
      <c r="H116" s="131"/>
      <c r="I116" s="131"/>
      <c r="J116" s="131"/>
      <c r="K116" s="131"/>
      <c r="L116" s="131"/>
      <c r="M116" s="131"/>
      <c r="N116" s="131"/>
      <c r="O116" s="131"/>
      <c r="P116" s="131"/>
      <c r="Q116" s="131"/>
      <c r="R116" s="131"/>
      <c r="S116" s="131"/>
      <c r="T116" s="131"/>
    </row>
    <row r="117">
      <c r="A117" s="131"/>
      <c r="B117" s="131"/>
      <c r="C117" s="131"/>
      <c r="D117" s="81"/>
      <c r="E117" s="81"/>
      <c r="F117" s="131"/>
      <c r="G117" s="131"/>
      <c r="H117" s="131"/>
      <c r="I117" s="131"/>
      <c r="J117" s="131"/>
      <c r="K117" s="131"/>
      <c r="L117" s="131"/>
      <c r="M117" s="131"/>
      <c r="N117" s="131"/>
      <c r="O117" s="131"/>
      <c r="P117" s="131"/>
      <c r="Q117" s="131"/>
      <c r="R117" s="131"/>
      <c r="S117" s="131"/>
      <c r="T117" s="131"/>
    </row>
    <row r="118">
      <c r="A118" s="131"/>
      <c r="B118" s="131"/>
      <c r="C118" s="131"/>
      <c r="D118" s="81"/>
      <c r="E118" s="81"/>
      <c r="F118" s="131"/>
      <c r="G118" s="131"/>
      <c r="H118" s="131"/>
      <c r="I118" s="131"/>
      <c r="J118" s="131"/>
      <c r="K118" s="131"/>
      <c r="L118" s="131"/>
      <c r="M118" s="131"/>
      <c r="N118" s="131"/>
      <c r="O118" s="131"/>
      <c r="P118" s="131"/>
      <c r="Q118" s="131"/>
      <c r="R118" s="131"/>
      <c r="S118" s="131"/>
      <c r="T118" s="131"/>
    </row>
    <row r="119">
      <c r="A119" s="131"/>
      <c r="B119" s="131"/>
      <c r="C119" s="131"/>
      <c r="D119" s="81"/>
      <c r="E119" s="81"/>
      <c r="F119" s="131"/>
      <c r="G119" s="131"/>
      <c r="H119" s="131"/>
      <c r="I119" s="131"/>
      <c r="J119" s="131"/>
      <c r="K119" s="131"/>
      <c r="L119" s="131"/>
      <c r="M119" s="131"/>
      <c r="N119" s="131"/>
      <c r="O119" s="131"/>
      <c r="P119" s="131"/>
      <c r="Q119" s="131"/>
      <c r="R119" s="131"/>
      <c r="S119" s="131"/>
      <c r="T119" s="131"/>
    </row>
    <row r="120">
      <c r="A120" s="131"/>
      <c r="B120" s="131"/>
      <c r="C120" s="131"/>
      <c r="D120" s="81"/>
      <c r="E120" s="81"/>
      <c r="F120" s="131"/>
      <c r="G120" s="131"/>
      <c r="H120" s="131"/>
      <c r="I120" s="131"/>
      <c r="J120" s="131"/>
      <c r="K120" s="131"/>
      <c r="L120" s="131"/>
      <c r="M120" s="131"/>
      <c r="N120" s="131"/>
      <c r="O120" s="131"/>
      <c r="P120" s="131"/>
      <c r="Q120" s="131"/>
      <c r="R120" s="131"/>
      <c r="S120" s="131"/>
      <c r="T120" s="131"/>
    </row>
    <row r="121">
      <c r="A121" s="131"/>
      <c r="B121" s="131"/>
      <c r="C121" s="131"/>
      <c r="D121" s="81"/>
      <c r="E121" s="81"/>
      <c r="F121" s="131"/>
      <c r="G121" s="131"/>
      <c r="H121" s="131"/>
      <c r="I121" s="131"/>
      <c r="J121" s="131"/>
      <c r="K121" s="131"/>
      <c r="L121" s="131"/>
      <c r="M121" s="131"/>
      <c r="N121" s="131"/>
      <c r="O121" s="131"/>
      <c r="P121" s="131"/>
      <c r="Q121" s="131"/>
      <c r="R121" s="131"/>
      <c r="S121" s="131"/>
      <c r="T121" s="131"/>
    </row>
    <row r="122">
      <c r="A122" s="131"/>
      <c r="B122" s="131"/>
      <c r="C122" s="131"/>
      <c r="D122" s="81"/>
      <c r="E122" s="81"/>
      <c r="F122" s="131"/>
      <c r="G122" s="131"/>
      <c r="H122" s="131"/>
      <c r="I122" s="131"/>
      <c r="J122" s="131"/>
      <c r="K122" s="131"/>
      <c r="L122" s="131"/>
      <c r="M122" s="131"/>
      <c r="N122" s="131"/>
      <c r="O122" s="131"/>
      <c r="P122" s="131"/>
      <c r="Q122" s="131"/>
      <c r="R122" s="131"/>
      <c r="S122" s="131"/>
      <c r="T122" s="131"/>
    </row>
    <row r="123">
      <c r="A123" s="131"/>
      <c r="B123" s="131"/>
      <c r="C123" s="131"/>
      <c r="D123" s="81"/>
      <c r="E123" s="81"/>
      <c r="F123" s="131"/>
      <c r="G123" s="131"/>
      <c r="H123" s="131"/>
      <c r="I123" s="131"/>
      <c r="J123" s="131"/>
      <c r="K123" s="131"/>
      <c r="L123" s="131"/>
      <c r="M123" s="131"/>
      <c r="N123" s="131"/>
      <c r="O123" s="131"/>
      <c r="P123" s="131"/>
      <c r="Q123" s="131"/>
      <c r="R123" s="131"/>
      <c r="S123" s="131"/>
      <c r="T123" s="131"/>
    </row>
    <row r="124">
      <c r="A124" s="131"/>
      <c r="B124" s="131"/>
      <c r="C124" s="131"/>
      <c r="D124" s="81"/>
      <c r="E124" s="81"/>
      <c r="F124" s="131"/>
      <c r="G124" s="131"/>
      <c r="H124" s="131"/>
      <c r="I124" s="131"/>
      <c r="J124" s="131"/>
      <c r="K124" s="131"/>
      <c r="L124" s="131"/>
      <c r="M124" s="131"/>
      <c r="N124" s="131"/>
      <c r="O124" s="131"/>
      <c r="P124" s="131"/>
      <c r="Q124" s="131"/>
      <c r="R124" s="131"/>
      <c r="S124" s="131"/>
      <c r="T124" s="131"/>
    </row>
    <row r="125">
      <c r="A125" s="131"/>
      <c r="B125" s="131"/>
      <c r="C125" s="131"/>
      <c r="D125" s="81"/>
      <c r="E125" s="81"/>
      <c r="F125" s="131"/>
      <c r="G125" s="131"/>
      <c r="H125" s="131"/>
      <c r="I125" s="131"/>
      <c r="J125" s="131"/>
      <c r="K125" s="131"/>
      <c r="L125" s="131"/>
      <c r="M125" s="131"/>
      <c r="N125" s="131"/>
      <c r="O125" s="131"/>
      <c r="P125" s="131"/>
      <c r="Q125" s="131"/>
      <c r="R125" s="131"/>
      <c r="S125" s="131"/>
      <c r="T125" s="131"/>
    </row>
    <row r="126">
      <c r="A126" s="131"/>
      <c r="B126" s="131"/>
      <c r="C126" s="131"/>
      <c r="D126" s="81"/>
      <c r="E126" s="81"/>
      <c r="F126" s="131"/>
      <c r="G126" s="131"/>
      <c r="H126" s="131"/>
      <c r="I126" s="131"/>
      <c r="J126" s="131"/>
      <c r="K126" s="131"/>
      <c r="L126" s="131"/>
      <c r="M126" s="131"/>
      <c r="N126" s="131"/>
      <c r="O126" s="131"/>
      <c r="P126" s="131"/>
      <c r="Q126" s="131"/>
      <c r="R126" s="131"/>
      <c r="S126" s="131"/>
      <c r="T126" s="131"/>
    </row>
    <row r="127">
      <c r="A127" s="131"/>
      <c r="B127" s="131"/>
      <c r="C127" s="131"/>
      <c r="D127" s="81"/>
      <c r="E127" s="81"/>
      <c r="F127" s="131"/>
      <c r="G127" s="131"/>
      <c r="H127" s="131"/>
      <c r="I127" s="131"/>
      <c r="J127" s="131"/>
      <c r="K127" s="131"/>
      <c r="L127" s="131"/>
      <c r="M127" s="131"/>
      <c r="N127" s="131"/>
      <c r="O127" s="131"/>
      <c r="P127" s="131"/>
      <c r="Q127" s="131"/>
      <c r="R127" s="131"/>
      <c r="S127" s="131"/>
      <c r="T127" s="131"/>
    </row>
    <row r="128">
      <c r="A128" s="131"/>
      <c r="B128" s="131"/>
      <c r="C128" s="131"/>
      <c r="D128" s="81"/>
      <c r="E128" s="81"/>
      <c r="F128" s="131"/>
      <c r="G128" s="131"/>
      <c r="H128" s="131"/>
      <c r="I128" s="131"/>
      <c r="J128" s="131"/>
      <c r="K128" s="131"/>
      <c r="L128" s="131"/>
      <c r="M128" s="131"/>
      <c r="N128" s="131"/>
      <c r="O128" s="131"/>
      <c r="P128" s="131"/>
      <c r="Q128" s="131"/>
      <c r="R128" s="131"/>
      <c r="S128" s="131"/>
      <c r="T128" s="131"/>
    </row>
    <row r="129">
      <c r="A129" s="131"/>
      <c r="B129" s="131"/>
      <c r="C129" s="131"/>
      <c r="D129" s="81"/>
      <c r="E129" s="81"/>
      <c r="F129" s="131"/>
      <c r="G129" s="131"/>
      <c r="H129" s="131"/>
      <c r="I129" s="131"/>
      <c r="J129" s="131"/>
      <c r="K129" s="131"/>
      <c r="L129" s="131"/>
      <c r="M129" s="131"/>
      <c r="N129" s="131"/>
      <c r="O129" s="131"/>
      <c r="P129" s="131"/>
      <c r="Q129" s="131"/>
      <c r="R129" s="131"/>
      <c r="S129" s="131"/>
      <c r="T129" s="131"/>
    </row>
    <row r="130">
      <c r="A130" s="131"/>
      <c r="B130" s="131"/>
      <c r="C130" s="131"/>
      <c r="D130" s="81"/>
      <c r="E130" s="81"/>
      <c r="F130" s="131"/>
      <c r="G130" s="131"/>
      <c r="H130" s="131"/>
      <c r="I130" s="131"/>
      <c r="J130" s="131"/>
      <c r="K130" s="131"/>
      <c r="L130" s="131"/>
      <c r="M130" s="131"/>
      <c r="N130" s="131"/>
      <c r="O130" s="131"/>
      <c r="P130" s="131"/>
      <c r="Q130" s="131"/>
      <c r="R130" s="131"/>
      <c r="S130" s="131"/>
      <c r="T130" s="131"/>
    </row>
    <row r="131">
      <c r="A131" s="131"/>
      <c r="B131" s="131"/>
      <c r="C131" s="131"/>
      <c r="D131" s="81"/>
      <c r="E131" s="81"/>
      <c r="F131" s="131"/>
      <c r="G131" s="131"/>
      <c r="H131" s="131"/>
      <c r="I131" s="131"/>
      <c r="J131" s="131"/>
      <c r="K131" s="131"/>
      <c r="L131" s="131"/>
      <c r="M131" s="131"/>
      <c r="N131" s="131"/>
      <c r="O131" s="131"/>
      <c r="P131" s="131"/>
      <c r="Q131" s="131"/>
      <c r="R131" s="131"/>
      <c r="S131" s="131"/>
      <c r="T131" s="131"/>
    </row>
    <row r="132">
      <c r="A132" s="131"/>
      <c r="B132" s="131"/>
      <c r="C132" s="131"/>
      <c r="D132" s="81"/>
      <c r="E132" s="81"/>
      <c r="F132" s="131"/>
      <c r="G132" s="131"/>
      <c r="H132" s="131"/>
      <c r="I132" s="131"/>
      <c r="J132" s="131"/>
      <c r="K132" s="131"/>
      <c r="L132" s="131"/>
      <c r="M132" s="131"/>
      <c r="N132" s="131"/>
      <c r="O132" s="131"/>
      <c r="P132" s="131"/>
      <c r="Q132" s="131"/>
      <c r="R132" s="131"/>
      <c r="S132" s="131"/>
      <c r="T132" s="131"/>
    </row>
    <row r="133">
      <c r="A133" s="131"/>
      <c r="B133" s="131"/>
      <c r="C133" s="131"/>
      <c r="D133" s="81"/>
      <c r="E133" s="81"/>
      <c r="F133" s="131"/>
      <c r="G133" s="131"/>
      <c r="H133" s="131"/>
      <c r="I133" s="131"/>
      <c r="J133" s="131"/>
      <c r="K133" s="131"/>
      <c r="L133" s="131"/>
      <c r="M133" s="131"/>
      <c r="N133" s="131"/>
      <c r="O133" s="131"/>
      <c r="P133" s="131"/>
      <c r="Q133" s="131"/>
      <c r="R133" s="131"/>
      <c r="S133" s="131"/>
      <c r="T133" s="131"/>
    </row>
    <row r="134">
      <c r="A134" s="131"/>
      <c r="B134" s="131"/>
      <c r="C134" s="131"/>
      <c r="D134" s="81"/>
      <c r="E134" s="81"/>
      <c r="F134" s="131"/>
      <c r="G134" s="131"/>
      <c r="H134" s="131"/>
      <c r="I134" s="131"/>
      <c r="J134" s="131"/>
      <c r="K134" s="131"/>
      <c r="L134" s="131"/>
      <c r="M134" s="131"/>
      <c r="N134" s="131"/>
      <c r="O134" s="131"/>
      <c r="P134" s="131"/>
      <c r="Q134" s="131"/>
      <c r="R134" s="131"/>
      <c r="S134" s="131"/>
      <c r="T134" s="131"/>
    </row>
    <row r="135">
      <c r="A135" s="131"/>
      <c r="B135" s="131"/>
      <c r="C135" s="131"/>
      <c r="D135" s="81"/>
      <c r="E135" s="81"/>
      <c r="F135" s="131"/>
      <c r="G135" s="131"/>
      <c r="H135" s="131"/>
      <c r="I135" s="131"/>
      <c r="J135" s="131"/>
      <c r="K135" s="131"/>
      <c r="L135" s="131"/>
      <c r="M135" s="131"/>
      <c r="N135" s="131"/>
      <c r="O135" s="131"/>
      <c r="P135" s="131"/>
      <c r="Q135" s="131"/>
      <c r="R135" s="131"/>
      <c r="S135" s="131"/>
      <c r="T135" s="131"/>
    </row>
    <row r="136">
      <c r="A136" s="131"/>
      <c r="B136" s="131"/>
      <c r="C136" s="131"/>
      <c r="D136" s="81"/>
      <c r="E136" s="81"/>
      <c r="F136" s="131"/>
      <c r="G136" s="131"/>
      <c r="H136" s="131"/>
      <c r="I136" s="131"/>
      <c r="J136" s="131"/>
      <c r="K136" s="131"/>
      <c r="L136" s="131"/>
      <c r="M136" s="131"/>
      <c r="N136" s="131"/>
      <c r="O136" s="131"/>
      <c r="P136" s="131"/>
      <c r="Q136" s="131"/>
      <c r="R136" s="131"/>
      <c r="S136" s="131"/>
      <c r="T136" s="131"/>
    </row>
    <row r="137">
      <c r="A137" s="131"/>
      <c r="B137" s="131"/>
      <c r="C137" s="131"/>
      <c r="D137" s="81"/>
      <c r="E137" s="81"/>
      <c r="F137" s="131"/>
      <c r="G137" s="131"/>
      <c r="H137" s="131"/>
      <c r="I137" s="131"/>
      <c r="J137" s="131"/>
      <c r="K137" s="131"/>
      <c r="L137" s="131"/>
      <c r="M137" s="131"/>
      <c r="N137" s="131"/>
      <c r="O137" s="131"/>
      <c r="P137" s="131"/>
      <c r="Q137" s="131"/>
      <c r="R137" s="131"/>
      <c r="S137" s="131"/>
      <c r="T137" s="131"/>
    </row>
    <row r="138">
      <c r="A138" s="131"/>
      <c r="B138" s="131"/>
      <c r="C138" s="131"/>
      <c r="D138" s="81"/>
      <c r="E138" s="81"/>
      <c r="F138" s="131"/>
      <c r="G138" s="131"/>
      <c r="H138" s="131"/>
      <c r="I138" s="131"/>
      <c r="J138" s="131"/>
      <c r="K138" s="131"/>
      <c r="L138" s="131"/>
      <c r="M138" s="131"/>
      <c r="N138" s="131"/>
      <c r="O138" s="131"/>
      <c r="P138" s="131"/>
      <c r="Q138" s="131"/>
      <c r="R138" s="131"/>
      <c r="S138" s="131"/>
      <c r="T138" s="131"/>
    </row>
    <row r="139">
      <c r="A139" s="131"/>
      <c r="B139" s="131"/>
      <c r="C139" s="131"/>
      <c r="D139" s="81"/>
      <c r="E139" s="81"/>
      <c r="F139" s="131"/>
      <c r="G139" s="131"/>
      <c r="H139" s="131"/>
      <c r="I139" s="131"/>
      <c r="J139" s="131"/>
      <c r="K139" s="131"/>
      <c r="L139" s="131"/>
      <c r="M139" s="131"/>
      <c r="N139" s="131"/>
      <c r="O139" s="131"/>
      <c r="P139" s="131"/>
      <c r="Q139" s="131"/>
      <c r="R139" s="131"/>
      <c r="S139" s="131"/>
      <c r="T139" s="131"/>
    </row>
    <row r="140">
      <c r="A140" s="131"/>
      <c r="B140" s="131"/>
      <c r="C140" s="131"/>
      <c r="D140" s="81"/>
      <c r="E140" s="81"/>
      <c r="F140" s="131"/>
      <c r="G140" s="131"/>
      <c r="H140" s="131"/>
      <c r="I140" s="131"/>
      <c r="J140" s="131"/>
      <c r="K140" s="131"/>
      <c r="L140" s="131"/>
      <c r="M140" s="131"/>
      <c r="N140" s="131"/>
      <c r="O140" s="131"/>
      <c r="P140" s="131"/>
      <c r="Q140" s="131"/>
      <c r="R140" s="131"/>
      <c r="S140" s="131"/>
      <c r="T140" s="131"/>
    </row>
    <row r="141">
      <c r="A141" s="131"/>
      <c r="B141" s="131"/>
      <c r="C141" s="131"/>
      <c r="D141" s="81"/>
      <c r="E141" s="81"/>
      <c r="F141" s="131"/>
      <c r="G141" s="131"/>
      <c r="H141" s="131"/>
      <c r="I141" s="131"/>
      <c r="J141" s="131"/>
      <c r="K141" s="131"/>
      <c r="L141" s="131"/>
      <c r="M141" s="131"/>
      <c r="N141" s="131"/>
      <c r="O141" s="131"/>
      <c r="P141" s="131"/>
      <c r="Q141" s="131"/>
      <c r="R141" s="131"/>
      <c r="S141" s="131"/>
      <c r="T141" s="131"/>
    </row>
    <row r="142">
      <c r="A142" s="131"/>
      <c r="B142" s="131"/>
      <c r="C142" s="131"/>
      <c r="D142" s="81"/>
      <c r="E142" s="81"/>
      <c r="F142" s="131"/>
      <c r="G142" s="131"/>
      <c r="H142" s="131"/>
      <c r="I142" s="131"/>
      <c r="J142" s="131"/>
      <c r="K142" s="131"/>
      <c r="L142" s="131"/>
      <c r="M142" s="131"/>
      <c r="N142" s="131"/>
      <c r="O142" s="131"/>
      <c r="P142" s="131"/>
      <c r="Q142" s="131"/>
      <c r="R142" s="131"/>
      <c r="S142" s="131"/>
      <c r="T142" s="131"/>
    </row>
    <row r="143">
      <c r="A143" s="131"/>
      <c r="B143" s="131"/>
      <c r="C143" s="131"/>
      <c r="D143" s="81"/>
      <c r="E143" s="81"/>
      <c r="F143" s="131"/>
      <c r="G143" s="131"/>
      <c r="H143" s="131"/>
      <c r="I143" s="131"/>
      <c r="J143" s="131"/>
      <c r="K143" s="131"/>
      <c r="L143" s="131"/>
      <c r="M143" s="131"/>
      <c r="N143" s="131"/>
      <c r="O143" s="131"/>
      <c r="P143" s="131"/>
      <c r="Q143" s="131"/>
      <c r="R143" s="131"/>
      <c r="S143" s="131"/>
      <c r="T143" s="131"/>
    </row>
    <row r="144">
      <c r="A144" s="131"/>
      <c r="B144" s="131"/>
      <c r="C144" s="131"/>
      <c r="D144" s="81"/>
      <c r="E144" s="81"/>
      <c r="F144" s="131"/>
      <c r="G144" s="131"/>
      <c r="H144" s="131"/>
      <c r="I144" s="131"/>
      <c r="J144" s="131"/>
      <c r="K144" s="131"/>
      <c r="L144" s="131"/>
      <c r="M144" s="131"/>
      <c r="N144" s="131"/>
      <c r="O144" s="131"/>
      <c r="P144" s="131"/>
      <c r="Q144" s="131"/>
      <c r="R144" s="131"/>
      <c r="S144" s="131"/>
      <c r="T144" s="131"/>
    </row>
    <row r="145">
      <c r="A145" s="131"/>
      <c r="B145" s="131"/>
      <c r="C145" s="131"/>
      <c r="D145" s="81"/>
      <c r="E145" s="81"/>
      <c r="F145" s="131"/>
      <c r="G145" s="131"/>
      <c r="H145" s="131"/>
      <c r="I145" s="131"/>
      <c r="J145" s="131"/>
      <c r="K145" s="131"/>
      <c r="L145" s="131"/>
      <c r="M145" s="131"/>
      <c r="N145" s="131"/>
      <c r="O145" s="131"/>
      <c r="P145" s="131"/>
      <c r="Q145" s="131"/>
      <c r="R145" s="131"/>
      <c r="S145" s="131"/>
      <c r="T145" s="131"/>
    </row>
    <row r="146">
      <c r="A146" s="131"/>
      <c r="B146" s="131"/>
      <c r="C146" s="131"/>
      <c r="D146" s="81"/>
      <c r="E146" s="81"/>
      <c r="F146" s="131"/>
      <c r="G146" s="131"/>
      <c r="H146" s="131"/>
      <c r="I146" s="131"/>
      <c r="J146" s="131"/>
      <c r="K146" s="131"/>
      <c r="L146" s="131"/>
      <c r="M146" s="131"/>
      <c r="N146" s="131"/>
      <c r="O146" s="131"/>
      <c r="P146" s="131"/>
      <c r="Q146" s="131"/>
      <c r="R146" s="131"/>
      <c r="S146" s="131"/>
      <c r="T146" s="131"/>
    </row>
    <row r="147">
      <c r="A147" s="131"/>
      <c r="B147" s="131"/>
      <c r="C147" s="131"/>
      <c r="D147" s="81"/>
      <c r="E147" s="81"/>
      <c r="F147" s="131"/>
      <c r="G147" s="131"/>
      <c r="H147" s="131"/>
      <c r="I147" s="131"/>
      <c r="J147" s="131"/>
      <c r="K147" s="131"/>
      <c r="L147" s="131"/>
      <c r="M147" s="131"/>
      <c r="N147" s="131"/>
      <c r="O147" s="131"/>
      <c r="P147" s="131"/>
      <c r="Q147" s="131"/>
      <c r="R147" s="131"/>
      <c r="S147" s="131"/>
      <c r="T147" s="131"/>
    </row>
    <row r="148">
      <c r="A148" s="131"/>
      <c r="B148" s="131"/>
      <c r="C148" s="131"/>
      <c r="D148" s="81"/>
      <c r="E148" s="81"/>
      <c r="F148" s="131"/>
      <c r="G148" s="131"/>
      <c r="H148" s="131"/>
      <c r="I148" s="131"/>
      <c r="J148" s="131"/>
      <c r="K148" s="131"/>
      <c r="L148" s="131"/>
      <c r="M148" s="131"/>
      <c r="N148" s="131"/>
      <c r="O148" s="131"/>
      <c r="P148" s="131"/>
      <c r="Q148" s="131"/>
      <c r="R148" s="131"/>
      <c r="S148" s="131"/>
      <c r="T148" s="131"/>
    </row>
    <row r="149">
      <c r="A149" s="131"/>
      <c r="B149" s="131"/>
      <c r="C149" s="131"/>
      <c r="D149" s="81"/>
      <c r="E149" s="81"/>
      <c r="F149" s="131"/>
      <c r="G149" s="131"/>
      <c r="H149" s="131"/>
      <c r="I149" s="131"/>
      <c r="J149" s="131"/>
      <c r="K149" s="131"/>
      <c r="L149" s="131"/>
      <c r="M149" s="131"/>
      <c r="N149" s="131"/>
      <c r="O149" s="131"/>
      <c r="P149" s="131"/>
      <c r="Q149" s="131"/>
      <c r="R149" s="131"/>
      <c r="S149" s="131"/>
      <c r="T149" s="131"/>
    </row>
    <row r="150">
      <c r="A150" s="131"/>
      <c r="B150" s="131"/>
      <c r="C150" s="131"/>
      <c r="D150" s="81"/>
      <c r="E150" s="81"/>
      <c r="F150" s="131"/>
      <c r="G150" s="131"/>
      <c r="H150" s="131"/>
      <c r="I150" s="131"/>
      <c r="J150" s="131"/>
      <c r="K150" s="131"/>
      <c r="L150" s="131"/>
      <c r="M150" s="131"/>
      <c r="N150" s="131"/>
      <c r="O150" s="131"/>
      <c r="P150" s="131"/>
      <c r="Q150" s="131"/>
      <c r="R150" s="131"/>
      <c r="S150" s="131"/>
      <c r="T150" s="131"/>
    </row>
    <row r="151">
      <c r="A151" s="131"/>
      <c r="B151" s="131"/>
      <c r="C151" s="131"/>
      <c r="D151" s="81"/>
      <c r="E151" s="81"/>
      <c r="F151" s="131"/>
      <c r="G151" s="131"/>
      <c r="H151" s="131"/>
      <c r="I151" s="131"/>
      <c r="J151" s="131"/>
      <c r="K151" s="131"/>
      <c r="L151" s="131"/>
      <c r="M151" s="131"/>
      <c r="N151" s="131"/>
      <c r="O151" s="131"/>
      <c r="P151" s="131"/>
      <c r="Q151" s="131"/>
      <c r="R151" s="131"/>
      <c r="S151" s="131"/>
      <c r="T151" s="131"/>
    </row>
    <row r="152">
      <c r="A152" s="131"/>
      <c r="B152" s="131"/>
      <c r="C152" s="131"/>
      <c r="D152" s="81"/>
      <c r="E152" s="81"/>
      <c r="F152" s="131"/>
      <c r="G152" s="131"/>
      <c r="H152" s="131"/>
      <c r="I152" s="131"/>
      <c r="J152" s="131"/>
      <c r="K152" s="131"/>
      <c r="L152" s="131"/>
      <c r="M152" s="131"/>
      <c r="N152" s="131"/>
      <c r="O152" s="131"/>
      <c r="P152" s="131"/>
      <c r="Q152" s="131"/>
      <c r="R152" s="131"/>
      <c r="S152" s="131"/>
      <c r="T152" s="131"/>
    </row>
    <row r="153">
      <c r="A153" s="131"/>
      <c r="B153" s="131"/>
      <c r="C153" s="131"/>
      <c r="D153" s="81"/>
      <c r="E153" s="81"/>
      <c r="F153" s="131"/>
      <c r="G153" s="131"/>
      <c r="H153" s="131"/>
      <c r="I153" s="131"/>
      <c r="J153" s="131"/>
      <c r="K153" s="131"/>
      <c r="L153" s="131"/>
      <c r="M153" s="131"/>
      <c r="N153" s="131"/>
      <c r="O153" s="131"/>
      <c r="P153" s="131"/>
      <c r="Q153" s="131"/>
      <c r="R153" s="131"/>
      <c r="S153" s="131"/>
      <c r="T153" s="131"/>
    </row>
    <row r="154">
      <c r="A154" s="131"/>
      <c r="B154" s="131"/>
      <c r="C154" s="131"/>
      <c r="D154" s="81"/>
      <c r="E154" s="81"/>
      <c r="F154" s="131"/>
      <c r="G154" s="131"/>
      <c r="H154" s="131"/>
      <c r="I154" s="131"/>
      <c r="J154" s="131"/>
      <c r="K154" s="131"/>
      <c r="L154" s="131"/>
      <c r="M154" s="131"/>
      <c r="N154" s="131"/>
      <c r="O154" s="131"/>
      <c r="P154" s="131"/>
      <c r="Q154" s="131"/>
      <c r="R154" s="131"/>
      <c r="S154" s="131"/>
      <c r="T154" s="131"/>
    </row>
    <row r="155">
      <c r="A155" s="131"/>
      <c r="B155" s="131"/>
      <c r="C155" s="131"/>
      <c r="D155" s="81"/>
      <c r="E155" s="81"/>
      <c r="F155" s="131"/>
      <c r="G155" s="131"/>
      <c r="H155" s="131"/>
      <c r="I155" s="131"/>
      <c r="J155" s="131"/>
      <c r="K155" s="131"/>
      <c r="L155" s="131"/>
      <c r="M155" s="131"/>
      <c r="N155" s="131"/>
      <c r="O155" s="131"/>
      <c r="P155" s="131"/>
      <c r="Q155" s="131"/>
      <c r="R155" s="131"/>
      <c r="S155" s="131"/>
      <c r="T155" s="131"/>
    </row>
    <row r="156">
      <c r="A156" s="131"/>
      <c r="B156" s="131"/>
      <c r="C156" s="131"/>
      <c r="D156" s="81"/>
      <c r="E156" s="81"/>
      <c r="F156" s="131"/>
      <c r="G156" s="131"/>
      <c r="H156" s="131"/>
      <c r="I156" s="131"/>
      <c r="J156" s="131"/>
      <c r="K156" s="131"/>
      <c r="L156" s="131"/>
      <c r="M156" s="131"/>
      <c r="N156" s="131"/>
      <c r="O156" s="131"/>
      <c r="P156" s="131"/>
      <c r="Q156" s="131"/>
      <c r="R156" s="131"/>
      <c r="S156" s="131"/>
      <c r="T156" s="131"/>
    </row>
    <row r="157">
      <c r="A157" s="131"/>
      <c r="B157" s="131"/>
      <c r="C157" s="131"/>
      <c r="D157" s="81"/>
      <c r="E157" s="81"/>
      <c r="F157" s="131"/>
      <c r="G157" s="131"/>
      <c r="H157" s="131"/>
      <c r="I157" s="131"/>
      <c r="J157" s="131"/>
      <c r="K157" s="131"/>
      <c r="L157" s="131"/>
      <c r="M157" s="131"/>
      <c r="N157" s="131"/>
      <c r="O157" s="131"/>
      <c r="P157" s="131"/>
      <c r="Q157" s="131"/>
      <c r="R157" s="131"/>
      <c r="S157" s="131"/>
      <c r="T157" s="131"/>
    </row>
    <row r="158">
      <c r="A158" s="131"/>
      <c r="B158" s="131"/>
      <c r="C158" s="131"/>
      <c r="D158" s="81"/>
      <c r="E158" s="81"/>
      <c r="F158" s="131"/>
      <c r="G158" s="131"/>
      <c r="H158" s="131"/>
      <c r="I158" s="131"/>
      <c r="J158" s="131"/>
      <c r="K158" s="131"/>
      <c r="L158" s="131"/>
      <c r="M158" s="131"/>
      <c r="N158" s="131"/>
      <c r="O158" s="131"/>
      <c r="P158" s="131"/>
      <c r="Q158" s="131"/>
      <c r="R158" s="131"/>
      <c r="S158" s="131"/>
      <c r="T158" s="131"/>
    </row>
    <row r="159">
      <c r="A159" s="131"/>
      <c r="B159" s="131"/>
      <c r="C159" s="131"/>
      <c r="D159" s="81"/>
      <c r="E159" s="81"/>
      <c r="F159" s="131"/>
      <c r="G159" s="131"/>
      <c r="H159" s="131"/>
      <c r="I159" s="131"/>
      <c r="J159" s="131"/>
      <c r="K159" s="131"/>
      <c r="L159" s="131"/>
      <c r="M159" s="131"/>
      <c r="N159" s="131"/>
      <c r="O159" s="131"/>
      <c r="P159" s="131"/>
      <c r="Q159" s="131"/>
      <c r="R159" s="131"/>
      <c r="S159" s="131"/>
      <c r="T159" s="131"/>
    </row>
    <row r="160">
      <c r="A160" s="131"/>
      <c r="B160" s="131"/>
      <c r="C160" s="131"/>
      <c r="D160" s="81"/>
      <c r="E160" s="81"/>
      <c r="F160" s="131"/>
      <c r="G160" s="131"/>
      <c r="H160" s="131"/>
      <c r="I160" s="131"/>
      <c r="J160" s="131"/>
      <c r="K160" s="131"/>
      <c r="L160" s="131"/>
      <c r="M160" s="131"/>
      <c r="N160" s="131"/>
      <c r="O160" s="131"/>
      <c r="P160" s="131"/>
      <c r="Q160" s="131"/>
      <c r="R160" s="131"/>
      <c r="S160" s="131"/>
      <c r="T160" s="131"/>
    </row>
    <row r="161">
      <c r="A161" s="131"/>
      <c r="B161" s="131"/>
      <c r="C161" s="131"/>
      <c r="D161" s="81"/>
      <c r="E161" s="81"/>
      <c r="F161" s="131"/>
      <c r="G161" s="131"/>
      <c r="H161" s="131"/>
      <c r="I161" s="131"/>
      <c r="J161" s="131"/>
      <c r="K161" s="131"/>
      <c r="L161" s="131"/>
      <c r="M161" s="131"/>
      <c r="N161" s="131"/>
      <c r="O161" s="131"/>
      <c r="P161" s="131"/>
      <c r="Q161" s="131"/>
      <c r="R161" s="131"/>
      <c r="S161" s="131"/>
      <c r="T161" s="131"/>
    </row>
    <row r="162">
      <c r="A162" s="131"/>
      <c r="B162" s="131"/>
      <c r="C162" s="131"/>
      <c r="D162" s="81"/>
      <c r="E162" s="81"/>
      <c r="F162" s="131"/>
      <c r="G162" s="131"/>
      <c r="H162" s="131"/>
      <c r="I162" s="131"/>
      <c r="J162" s="131"/>
      <c r="K162" s="131"/>
      <c r="L162" s="131"/>
      <c r="M162" s="131"/>
      <c r="N162" s="131"/>
      <c r="O162" s="131"/>
      <c r="P162" s="131"/>
      <c r="Q162" s="131"/>
      <c r="R162" s="131"/>
      <c r="S162" s="131"/>
      <c r="T162" s="131"/>
    </row>
    <row r="163">
      <c r="A163" s="131"/>
      <c r="B163" s="131"/>
      <c r="C163" s="131"/>
      <c r="D163" s="81"/>
      <c r="E163" s="81"/>
      <c r="F163" s="131"/>
      <c r="G163" s="131"/>
      <c r="H163" s="131"/>
      <c r="I163" s="131"/>
      <c r="J163" s="131"/>
      <c r="K163" s="131"/>
      <c r="L163" s="131"/>
      <c r="M163" s="131"/>
      <c r="N163" s="131"/>
      <c r="O163" s="131"/>
      <c r="P163" s="131"/>
      <c r="Q163" s="131"/>
      <c r="R163" s="131"/>
      <c r="S163" s="131"/>
      <c r="T163" s="131"/>
    </row>
    <row r="164">
      <c r="A164" s="131"/>
      <c r="B164" s="131"/>
      <c r="C164" s="131"/>
      <c r="D164" s="81"/>
      <c r="E164" s="81"/>
      <c r="F164" s="131"/>
      <c r="G164" s="131"/>
      <c r="H164" s="131"/>
      <c r="I164" s="131"/>
      <c r="J164" s="131"/>
      <c r="K164" s="131"/>
      <c r="L164" s="131"/>
      <c r="M164" s="131"/>
      <c r="N164" s="131"/>
      <c r="O164" s="131"/>
      <c r="P164" s="131"/>
      <c r="Q164" s="131"/>
      <c r="R164" s="131"/>
      <c r="S164" s="131"/>
      <c r="T164" s="131"/>
    </row>
    <row r="165">
      <c r="A165" s="131"/>
      <c r="B165" s="131"/>
      <c r="C165" s="131"/>
      <c r="D165" s="81"/>
      <c r="E165" s="81"/>
      <c r="F165" s="131"/>
      <c r="G165" s="131"/>
      <c r="H165" s="131"/>
      <c r="I165" s="131"/>
      <c r="J165" s="131"/>
      <c r="K165" s="131"/>
      <c r="L165" s="131"/>
      <c r="M165" s="131"/>
      <c r="N165" s="131"/>
      <c r="O165" s="131"/>
      <c r="P165" s="131"/>
      <c r="Q165" s="131"/>
      <c r="R165" s="131"/>
      <c r="S165" s="131"/>
      <c r="T165" s="131"/>
    </row>
    <row r="166">
      <c r="A166" s="131"/>
      <c r="B166" s="131"/>
      <c r="C166" s="131"/>
      <c r="D166" s="81"/>
      <c r="E166" s="81"/>
      <c r="F166" s="131"/>
      <c r="G166" s="131"/>
      <c r="H166" s="131"/>
      <c r="I166" s="131"/>
      <c r="J166" s="131"/>
      <c r="K166" s="131"/>
      <c r="L166" s="131"/>
      <c r="M166" s="131"/>
      <c r="N166" s="131"/>
      <c r="O166" s="131"/>
      <c r="P166" s="131"/>
      <c r="Q166" s="131"/>
      <c r="R166" s="131"/>
      <c r="S166" s="131"/>
      <c r="T166" s="131"/>
    </row>
    <row r="167">
      <c r="A167" s="131"/>
      <c r="B167" s="131"/>
      <c r="C167" s="131"/>
      <c r="D167" s="81"/>
      <c r="E167" s="81"/>
      <c r="F167" s="131"/>
      <c r="G167" s="131"/>
      <c r="H167" s="131"/>
      <c r="I167" s="131"/>
      <c r="J167" s="131"/>
      <c r="K167" s="131"/>
      <c r="L167" s="131"/>
      <c r="M167" s="131"/>
      <c r="N167" s="131"/>
      <c r="O167" s="131"/>
      <c r="P167" s="131"/>
      <c r="Q167" s="131"/>
      <c r="R167" s="131"/>
      <c r="S167" s="131"/>
      <c r="T167" s="131"/>
    </row>
    <row r="168">
      <c r="A168" s="131"/>
      <c r="B168" s="131"/>
      <c r="C168" s="131"/>
      <c r="D168" s="81"/>
      <c r="E168" s="81"/>
      <c r="F168" s="131"/>
      <c r="G168" s="131"/>
      <c r="H168" s="131"/>
      <c r="I168" s="131"/>
      <c r="J168" s="131"/>
      <c r="K168" s="131"/>
      <c r="L168" s="131"/>
      <c r="M168" s="131"/>
      <c r="N168" s="131"/>
      <c r="O168" s="131"/>
      <c r="P168" s="131"/>
      <c r="Q168" s="131"/>
      <c r="R168" s="131"/>
      <c r="S168" s="131"/>
      <c r="T168" s="131"/>
    </row>
    <row r="169">
      <c r="A169" s="131"/>
      <c r="B169" s="131"/>
      <c r="C169" s="131"/>
      <c r="D169" s="81"/>
      <c r="E169" s="81"/>
      <c r="F169" s="131"/>
      <c r="G169" s="131"/>
      <c r="H169" s="131"/>
      <c r="I169" s="131"/>
      <c r="J169" s="131"/>
      <c r="K169" s="131"/>
      <c r="L169" s="131"/>
      <c r="M169" s="131"/>
      <c r="N169" s="131"/>
      <c r="O169" s="131"/>
      <c r="P169" s="131"/>
      <c r="Q169" s="131"/>
      <c r="R169" s="131"/>
      <c r="S169" s="131"/>
      <c r="T169" s="131"/>
    </row>
    <row r="170">
      <c r="A170" s="131"/>
      <c r="B170" s="131"/>
      <c r="C170" s="131"/>
      <c r="D170" s="81"/>
      <c r="E170" s="81"/>
      <c r="F170" s="131"/>
      <c r="G170" s="131"/>
      <c r="H170" s="131"/>
      <c r="I170" s="131"/>
      <c r="J170" s="131"/>
      <c r="K170" s="131"/>
      <c r="L170" s="131"/>
      <c r="M170" s="131"/>
      <c r="N170" s="131"/>
      <c r="O170" s="131"/>
      <c r="P170" s="131"/>
      <c r="Q170" s="131"/>
      <c r="R170" s="131"/>
      <c r="S170" s="131"/>
      <c r="T170" s="131"/>
    </row>
    <row r="171">
      <c r="A171" s="131"/>
      <c r="B171" s="131"/>
      <c r="C171" s="131"/>
      <c r="D171" s="81"/>
      <c r="E171" s="81"/>
      <c r="F171" s="131"/>
      <c r="G171" s="131"/>
      <c r="H171" s="131"/>
      <c r="I171" s="131"/>
      <c r="J171" s="131"/>
      <c r="K171" s="131"/>
      <c r="L171" s="131"/>
      <c r="M171" s="131"/>
      <c r="N171" s="131"/>
      <c r="O171" s="131"/>
      <c r="P171" s="131"/>
      <c r="Q171" s="131"/>
      <c r="R171" s="131"/>
      <c r="S171" s="131"/>
      <c r="T171" s="131"/>
    </row>
    <row r="172">
      <c r="A172" s="131"/>
      <c r="B172" s="131"/>
      <c r="C172" s="131"/>
      <c r="D172" s="81"/>
      <c r="E172" s="81"/>
      <c r="F172" s="131"/>
      <c r="G172" s="131"/>
      <c r="H172" s="131"/>
      <c r="I172" s="131"/>
      <c r="J172" s="131"/>
      <c r="K172" s="131"/>
      <c r="L172" s="131"/>
      <c r="M172" s="131"/>
      <c r="N172" s="131"/>
      <c r="O172" s="131"/>
      <c r="P172" s="131"/>
      <c r="Q172" s="131"/>
      <c r="R172" s="131"/>
      <c r="S172" s="131"/>
      <c r="T172" s="131"/>
    </row>
    <row r="173">
      <c r="A173" s="131"/>
      <c r="B173" s="131"/>
      <c r="C173" s="131"/>
      <c r="D173" s="81"/>
      <c r="E173" s="81"/>
      <c r="F173" s="131"/>
      <c r="G173" s="131"/>
      <c r="H173" s="131"/>
      <c r="I173" s="131"/>
      <c r="J173" s="131"/>
      <c r="K173" s="131"/>
      <c r="L173" s="131"/>
      <c r="M173" s="131"/>
      <c r="N173" s="131"/>
      <c r="O173" s="131"/>
      <c r="P173" s="131"/>
      <c r="Q173" s="131"/>
      <c r="R173" s="131"/>
      <c r="S173" s="131"/>
      <c r="T173" s="131"/>
    </row>
    <row r="174">
      <c r="A174" s="131"/>
      <c r="B174" s="131"/>
      <c r="C174" s="131"/>
      <c r="D174" s="81"/>
      <c r="E174" s="81"/>
      <c r="F174" s="131"/>
      <c r="G174" s="131"/>
      <c r="H174" s="131"/>
      <c r="I174" s="131"/>
      <c r="J174" s="131"/>
      <c r="K174" s="131"/>
      <c r="L174" s="131"/>
      <c r="M174" s="131"/>
      <c r="N174" s="131"/>
      <c r="O174" s="131"/>
      <c r="P174" s="131"/>
      <c r="Q174" s="131"/>
      <c r="R174" s="131"/>
      <c r="S174" s="131"/>
      <c r="T174" s="131"/>
    </row>
    <row r="175">
      <c r="A175" s="131"/>
      <c r="B175" s="131"/>
      <c r="C175" s="131"/>
      <c r="D175" s="81"/>
      <c r="E175" s="81"/>
      <c r="F175" s="131"/>
      <c r="G175" s="131"/>
      <c r="H175" s="131"/>
      <c r="I175" s="131"/>
      <c r="J175" s="131"/>
      <c r="K175" s="131"/>
      <c r="L175" s="131"/>
      <c r="M175" s="131"/>
      <c r="N175" s="131"/>
      <c r="O175" s="131"/>
      <c r="P175" s="131"/>
      <c r="Q175" s="131"/>
      <c r="R175" s="131"/>
      <c r="S175" s="131"/>
      <c r="T175" s="131"/>
    </row>
    <row r="176">
      <c r="A176" s="131"/>
      <c r="B176" s="131"/>
      <c r="C176" s="131"/>
      <c r="D176" s="81"/>
      <c r="E176" s="81"/>
      <c r="F176" s="131"/>
      <c r="G176" s="131"/>
      <c r="H176" s="131"/>
      <c r="I176" s="131"/>
      <c r="J176" s="131"/>
      <c r="K176" s="131"/>
      <c r="L176" s="131"/>
      <c r="M176" s="131"/>
      <c r="N176" s="131"/>
      <c r="O176" s="131"/>
      <c r="P176" s="131"/>
      <c r="Q176" s="131"/>
      <c r="R176" s="131"/>
      <c r="S176" s="131"/>
      <c r="T176" s="131"/>
    </row>
    <row r="177">
      <c r="A177" s="131"/>
      <c r="B177" s="131"/>
      <c r="C177" s="131"/>
      <c r="D177" s="81"/>
      <c r="E177" s="81"/>
      <c r="F177" s="131"/>
      <c r="G177" s="131"/>
      <c r="H177" s="131"/>
      <c r="I177" s="131"/>
      <c r="J177" s="131"/>
      <c r="K177" s="131"/>
      <c r="L177" s="131"/>
      <c r="M177" s="131"/>
      <c r="N177" s="131"/>
      <c r="O177" s="131"/>
      <c r="P177" s="131"/>
      <c r="Q177" s="131"/>
      <c r="R177" s="131"/>
      <c r="S177" s="131"/>
      <c r="T177" s="131"/>
    </row>
    <row r="178">
      <c r="A178" s="131"/>
      <c r="B178" s="131"/>
      <c r="C178" s="131"/>
      <c r="D178" s="81"/>
      <c r="E178" s="81"/>
      <c r="F178" s="131"/>
      <c r="G178" s="131"/>
      <c r="H178" s="131"/>
      <c r="I178" s="131"/>
      <c r="J178" s="131"/>
      <c r="K178" s="131"/>
      <c r="L178" s="131"/>
      <c r="M178" s="131"/>
      <c r="N178" s="131"/>
      <c r="O178" s="131"/>
      <c r="P178" s="131"/>
      <c r="Q178" s="131"/>
      <c r="R178" s="131"/>
      <c r="S178" s="131"/>
      <c r="T178" s="131"/>
    </row>
    <row r="179">
      <c r="A179" s="131"/>
      <c r="B179" s="131"/>
      <c r="C179" s="131"/>
      <c r="D179" s="81"/>
      <c r="E179" s="81"/>
      <c r="F179" s="131"/>
      <c r="G179" s="131"/>
      <c r="H179" s="131"/>
      <c r="I179" s="131"/>
      <c r="J179" s="131"/>
      <c r="K179" s="131"/>
      <c r="L179" s="131"/>
      <c r="M179" s="131"/>
      <c r="N179" s="131"/>
      <c r="O179" s="131"/>
      <c r="P179" s="131"/>
      <c r="Q179" s="131"/>
      <c r="R179" s="131"/>
      <c r="S179" s="131"/>
      <c r="T179" s="131"/>
    </row>
    <row r="180">
      <c r="A180" s="131"/>
      <c r="B180" s="131"/>
      <c r="C180" s="131"/>
      <c r="D180" s="81"/>
      <c r="E180" s="81"/>
      <c r="F180" s="131"/>
      <c r="G180" s="131"/>
      <c r="H180" s="131"/>
      <c r="I180" s="131"/>
      <c r="J180" s="131"/>
      <c r="K180" s="131"/>
      <c r="L180" s="131"/>
      <c r="M180" s="131"/>
      <c r="N180" s="131"/>
      <c r="O180" s="131"/>
      <c r="P180" s="131"/>
      <c r="Q180" s="131"/>
      <c r="R180" s="131"/>
      <c r="S180" s="131"/>
      <c r="T180" s="131"/>
    </row>
    <row r="181">
      <c r="A181" s="131"/>
      <c r="B181" s="131"/>
      <c r="C181" s="131"/>
      <c r="D181" s="81"/>
      <c r="E181" s="81"/>
      <c r="F181" s="131"/>
      <c r="G181" s="131"/>
      <c r="H181" s="131"/>
      <c r="I181" s="131"/>
      <c r="J181" s="131"/>
      <c r="K181" s="131"/>
      <c r="L181" s="131"/>
      <c r="M181" s="131"/>
      <c r="N181" s="131"/>
      <c r="O181" s="131"/>
      <c r="P181" s="131"/>
      <c r="Q181" s="131"/>
      <c r="R181" s="131"/>
      <c r="S181" s="131"/>
      <c r="T181" s="131"/>
    </row>
    <row r="182">
      <c r="A182" s="131"/>
      <c r="B182" s="131"/>
      <c r="C182" s="131"/>
      <c r="D182" s="81"/>
      <c r="E182" s="81"/>
      <c r="F182" s="131"/>
      <c r="G182" s="131"/>
      <c r="H182" s="131"/>
      <c r="I182" s="131"/>
      <c r="J182" s="131"/>
      <c r="K182" s="131"/>
      <c r="L182" s="131"/>
      <c r="M182" s="131"/>
      <c r="N182" s="131"/>
      <c r="O182" s="131"/>
      <c r="P182" s="131"/>
      <c r="Q182" s="131"/>
      <c r="R182" s="131"/>
      <c r="S182" s="131"/>
      <c r="T182" s="131"/>
    </row>
    <row r="183">
      <c r="A183" s="131"/>
      <c r="B183" s="131"/>
      <c r="C183" s="131"/>
      <c r="D183" s="81"/>
      <c r="E183" s="81"/>
      <c r="F183" s="131"/>
      <c r="G183" s="131"/>
      <c r="H183" s="131"/>
      <c r="I183" s="131"/>
      <c r="J183" s="131"/>
      <c r="K183" s="131"/>
      <c r="L183" s="131"/>
      <c r="M183" s="131"/>
      <c r="N183" s="131"/>
      <c r="O183" s="131"/>
      <c r="P183" s="131"/>
      <c r="Q183" s="131"/>
      <c r="R183" s="131"/>
      <c r="S183" s="131"/>
      <c r="T183" s="131"/>
    </row>
    <row r="184">
      <c r="A184" s="131"/>
      <c r="B184" s="131"/>
      <c r="C184" s="131"/>
      <c r="D184" s="81"/>
      <c r="E184" s="81"/>
      <c r="F184" s="131"/>
      <c r="G184" s="131"/>
      <c r="H184" s="131"/>
      <c r="I184" s="131"/>
      <c r="J184" s="131"/>
      <c r="K184" s="131"/>
      <c r="L184" s="131"/>
      <c r="M184" s="131"/>
      <c r="N184" s="131"/>
      <c r="O184" s="131"/>
      <c r="P184" s="131"/>
      <c r="Q184" s="131"/>
      <c r="R184" s="131"/>
      <c r="S184" s="131"/>
      <c r="T184" s="131"/>
    </row>
    <row r="185">
      <c r="A185" s="131"/>
      <c r="B185" s="131"/>
      <c r="C185" s="131"/>
      <c r="D185" s="81"/>
      <c r="E185" s="81"/>
      <c r="F185" s="131"/>
      <c r="G185" s="131"/>
      <c r="H185" s="131"/>
      <c r="I185" s="131"/>
      <c r="J185" s="131"/>
      <c r="K185" s="131"/>
      <c r="L185" s="131"/>
      <c r="M185" s="131"/>
      <c r="N185" s="131"/>
      <c r="O185" s="131"/>
      <c r="P185" s="131"/>
      <c r="Q185" s="131"/>
      <c r="R185" s="131"/>
      <c r="S185" s="131"/>
      <c r="T185" s="131"/>
    </row>
    <row r="186">
      <c r="A186" s="131"/>
      <c r="B186" s="131"/>
      <c r="C186" s="131"/>
      <c r="D186" s="81"/>
      <c r="E186" s="81"/>
      <c r="F186" s="131"/>
      <c r="G186" s="131"/>
      <c r="H186" s="131"/>
      <c r="I186" s="131"/>
      <c r="J186" s="131"/>
      <c r="K186" s="131"/>
      <c r="L186" s="131"/>
      <c r="M186" s="131"/>
      <c r="N186" s="131"/>
      <c r="O186" s="131"/>
      <c r="P186" s="131"/>
      <c r="Q186" s="131"/>
      <c r="R186" s="131"/>
      <c r="S186" s="131"/>
      <c r="T186" s="131"/>
    </row>
    <row r="187">
      <c r="A187" s="131"/>
      <c r="B187" s="131"/>
      <c r="C187" s="131"/>
      <c r="D187" s="81"/>
      <c r="E187" s="81"/>
      <c r="F187" s="131"/>
      <c r="G187" s="131"/>
      <c r="H187" s="131"/>
      <c r="I187" s="131"/>
      <c r="J187" s="131"/>
      <c r="K187" s="131"/>
      <c r="L187" s="131"/>
      <c r="M187" s="131"/>
      <c r="N187" s="131"/>
      <c r="O187" s="131"/>
      <c r="P187" s="131"/>
      <c r="Q187" s="131"/>
      <c r="R187" s="131"/>
      <c r="S187" s="131"/>
      <c r="T187" s="131"/>
    </row>
    <row r="188">
      <c r="A188" s="131"/>
      <c r="B188" s="131"/>
      <c r="C188" s="131"/>
      <c r="D188" s="81"/>
      <c r="E188" s="81"/>
      <c r="F188" s="131"/>
      <c r="G188" s="131"/>
      <c r="H188" s="131"/>
      <c r="I188" s="131"/>
      <c r="J188" s="131"/>
      <c r="K188" s="131"/>
      <c r="L188" s="131"/>
      <c r="M188" s="131"/>
      <c r="N188" s="131"/>
      <c r="O188" s="131"/>
      <c r="P188" s="131"/>
      <c r="Q188" s="131"/>
      <c r="R188" s="131"/>
      <c r="S188" s="131"/>
      <c r="T188" s="131"/>
    </row>
    <row r="189">
      <c r="A189" s="131"/>
      <c r="B189" s="131"/>
      <c r="C189" s="131"/>
      <c r="D189" s="81"/>
      <c r="E189" s="81"/>
      <c r="F189" s="131"/>
      <c r="G189" s="131"/>
      <c r="H189" s="131"/>
      <c r="I189" s="131"/>
      <c r="J189" s="131"/>
      <c r="K189" s="131"/>
      <c r="L189" s="131"/>
      <c r="M189" s="131"/>
      <c r="N189" s="131"/>
      <c r="O189" s="131"/>
      <c r="P189" s="131"/>
      <c r="Q189" s="131"/>
      <c r="R189" s="131"/>
      <c r="S189" s="131"/>
      <c r="T189" s="131"/>
    </row>
    <row r="190">
      <c r="A190" s="131"/>
      <c r="B190" s="131"/>
      <c r="C190" s="131"/>
      <c r="D190" s="81"/>
      <c r="E190" s="81"/>
      <c r="F190" s="131"/>
      <c r="G190" s="131"/>
      <c r="H190" s="131"/>
      <c r="I190" s="131"/>
      <c r="J190" s="131"/>
      <c r="K190" s="131"/>
      <c r="L190" s="131"/>
      <c r="M190" s="131"/>
      <c r="N190" s="131"/>
      <c r="O190" s="131"/>
      <c r="P190" s="131"/>
      <c r="Q190" s="131"/>
      <c r="R190" s="131"/>
      <c r="S190" s="131"/>
      <c r="T190" s="131"/>
    </row>
    <row r="191">
      <c r="A191" s="131"/>
      <c r="B191" s="131"/>
      <c r="C191" s="131"/>
      <c r="D191" s="81"/>
      <c r="E191" s="81"/>
      <c r="F191" s="131"/>
      <c r="G191" s="131"/>
      <c r="H191" s="131"/>
      <c r="I191" s="131"/>
      <c r="J191" s="131"/>
      <c r="K191" s="131"/>
      <c r="L191" s="131"/>
      <c r="M191" s="131"/>
      <c r="N191" s="131"/>
      <c r="O191" s="131"/>
      <c r="P191" s="131"/>
      <c r="Q191" s="131"/>
      <c r="R191" s="131"/>
      <c r="S191" s="131"/>
      <c r="T191" s="131"/>
    </row>
    <row r="192">
      <c r="A192" s="131"/>
      <c r="B192" s="131"/>
      <c r="C192" s="131"/>
      <c r="D192" s="81"/>
      <c r="E192" s="81"/>
      <c r="F192" s="131"/>
      <c r="G192" s="131"/>
      <c r="H192" s="131"/>
      <c r="I192" s="131"/>
      <c r="J192" s="131"/>
      <c r="K192" s="131"/>
      <c r="L192" s="131"/>
      <c r="M192" s="131"/>
      <c r="N192" s="131"/>
      <c r="O192" s="131"/>
      <c r="P192" s="131"/>
      <c r="Q192" s="131"/>
      <c r="R192" s="131"/>
      <c r="S192" s="131"/>
      <c r="T192" s="131"/>
    </row>
    <row r="193">
      <c r="A193" s="131"/>
      <c r="B193" s="131"/>
      <c r="C193" s="131"/>
      <c r="D193" s="81"/>
      <c r="E193" s="81"/>
      <c r="F193" s="131"/>
      <c r="G193" s="131"/>
      <c r="H193" s="131"/>
      <c r="I193" s="131"/>
      <c r="J193" s="131"/>
      <c r="K193" s="131"/>
      <c r="L193" s="131"/>
      <c r="M193" s="131"/>
      <c r="N193" s="131"/>
      <c r="O193" s="131"/>
      <c r="P193" s="131"/>
      <c r="Q193" s="131"/>
      <c r="R193" s="131"/>
      <c r="S193" s="131"/>
      <c r="T193" s="131"/>
    </row>
    <row r="194">
      <c r="A194" s="131"/>
      <c r="B194" s="131"/>
      <c r="C194" s="131"/>
      <c r="D194" s="81"/>
      <c r="E194" s="81"/>
      <c r="F194" s="131"/>
      <c r="G194" s="131"/>
      <c r="H194" s="131"/>
      <c r="I194" s="131"/>
      <c r="J194" s="131"/>
      <c r="K194" s="131"/>
      <c r="L194" s="131"/>
      <c r="M194" s="131"/>
      <c r="N194" s="131"/>
      <c r="O194" s="131"/>
      <c r="P194" s="131"/>
      <c r="Q194" s="131"/>
      <c r="R194" s="131"/>
      <c r="S194" s="131"/>
      <c r="T194" s="131"/>
    </row>
    <row r="195">
      <c r="A195" s="131"/>
      <c r="B195" s="131"/>
      <c r="C195" s="131"/>
      <c r="D195" s="81"/>
      <c r="E195" s="81"/>
      <c r="F195" s="131"/>
      <c r="G195" s="131"/>
      <c r="H195" s="131"/>
      <c r="I195" s="131"/>
      <c r="J195" s="131"/>
      <c r="K195" s="131"/>
      <c r="L195" s="131"/>
      <c r="M195" s="131"/>
      <c r="N195" s="131"/>
      <c r="O195" s="131"/>
      <c r="P195" s="131"/>
      <c r="Q195" s="131"/>
      <c r="R195" s="131"/>
      <c r="S195" s="131"/>
      <c r="T195" s="131"/>
    </row>
    <row r="196">
      <c r="A196" s="131"/>
      <c r="B196" s="131"/>
      <c r="C196" s="131"/>
      <c r="D196" s="81"/>
      <c r="E196" s="81"/>
      <c r="F196" s="131"/>
      <c r="G196" s="131"/>
      <c r="H196" s="131"/>
      <c r="I196" s="131"/>
      <c r="J196" s="131"/>
      <c r="K196" s="131"/>
      <c r="L196" s="131"/>
      <c r="M196" s="131"/>
      <c r="N196" s="131"/>
      <c r="O196" s="131"/>
      <c r="P196" s="131"/>
      <c r="Q196" s="131"/>
      <c r="R196" s="131"/>
      <c r="S196" s="131"/>
      <c r="T196" s="131"/>
    </row>
    <row r="197">
      <c r="A197" s="131"/>
      <c r="B197" s="131"/>
      <c r="C197" s="131"/>
      <c r="D197" s="81"/>
      <c r="E197" s="81"/>
      <c r="F197" s="131"/>
      <c r="G197" s="131"/>
      <c r="H197" s="131"/>
      <c r="I197" s="131"/>
      <c r="J197" s="131"/>
      <c r="K197" s="131"/>
      <c r="L197" s="131"/>
      <c r="M197" s="131"/>
      <c r="N197" s="131"/>
      <c r="O197" s="131"/>
      <c r="P197" s="131"/>
      <c r="Q197" s="131"/>
      <c r="R197" s="131"/>
      <c r="S197" s="131"/>
      <c r="T197" s="131"/>
    </row>
    <row r="198">
      <c r="A198" s="131"/>
      <c r="B198" s="131"/>
      <c r="C198" s="131"/>
      <c r="D198" s="81"/>
      <c r="E198" s="81"/>
      <c r="F198" s="131"/>
      <c r="G198" s="131"/>
      <c r="H198" s="131"/>
      <c r="I198" s="131"/>
      <c r="J198" s="131"/>
      <c r="K198" s="131"/>
      <c r="L198" s="131"/>
      <c r="M198" s="131"/>
      <c r="N198" s="131"/>
      <c r="O198" s="131"/>
      <c r="P198" s="131"/>
      <c r="Q198" s="131"/>
      <c r="R198" s="131"/>
      <c r="S198" s="131"/>
      <c r="T198" s="131"/>
    </row>
    <row r="199">
      <c r="A199" s="131"/>
      <c r="B199" s="131"/>
      <c r="C199" s="131"/>
      <c r="D199" s="81"/>
      <c r="E199" s="81"/>
      <c r="F199" s="131"/>
      <c r="G199" s="131"/>
      <c r="H199" s="131"/>
      <c r="I199" s="131"/>
      <c r="J199" s="131"/>
      <c r="K199" s="131"/>
      <c r="L199" s="131"/>
      <c r="M199" s="131"/>
      <c r="N199" s="131"/>
      <c r="O199" s="131"/>
      <c r="P199" s="131"/>
      <c r="Q199" s="131"/>
      <c r="R199" s="131"/>
      <c r="S199" s="131"/>
      <c r="T199" s="131"/>
    </row>
    <row r="200">
      <c r="A200" s="131"/>
      <c r="B200" s="131"/>
      <c r="C200" s="131"/>
      <c r="D200" s="81"/>
      <c r="E200" s="81"/>
      <c r="F200" s="131"/>
      <c r="G200" s="131"/>
      <c r="H200" s="131"/>
      <c r="I200" s="131"/>
      <c r="J200" s="131"/>
      <c r="K200" s="131"/>
      <c r="L200" s="131"/>
      <c r="M200" s="131"/>
      <c r="N200" s="131"/>
      <c r="O200" s="131"/>
      <c r="P200" s="131"/>
      <c r="Q200" s="131"/>
      <c r="R200" s="131"/>
      <c r="S200" s="131"/>
      <c r="T200" s="131"/>
    </row>
    <row r="201">
      <c r="A201" s="131"/>
      <c r="B201" s="131"/>
      <c r="C201" s="131"/>
      <c r="D201" s="81"/>
      <c r="E201" s="81"/>
      <c r="F201" s="131"/>
      <c r="G201" s="131"/>
      <c r="H201" s="131"/>
      <c r="I201" s="131"/>
      <c r="J201" s="131"/>
      <c r="K201" s="131"/>
      <c r="L201" s="131"/>
      <c r="M201" s="131"/>
      <c r="N201" s="131"/>
      <c r="O201" s="131"/>
      <c r="P201" s="131"/>
      <c r="Q201" s="131"/>
      <c r="R201" s="131"/>
      <c r="S201" s="131"/>
      <c r="T201" s="131"/>
    </row>
    <row r="202">
      <c r="A202" s="131"/>
      <c r="B202" s="131"/>
      <c r="C202" s="131"/>
      <c r="D202" s="81"/>
      <c r="E202" s="81"/>
      <c r="F202" s="131"/>
      <c r="G202" s="131"/>
      <c r="H202" s="131"/>
      <c r="I202" s="131"/>
      <c r="J202" s="131"/>
      <c r="K202" s="131"/>
      <c r="L202" s="131"/>
      <c r="M202" s="131"/>
      <c r="N202" s="131"/>
      <c r="O202" s="131"/>
      <c r="P202" s="131"/>
      <c r="Q202" s="131"/>
      <c r="R202" s="131"/>
      <c r="S202" s="131"/>
      <c r="T202" s="131"/>
    </row>
    <row r="203">
      <c r="A203" s="131"/>
      <c r="B203" s="131"/>
      <c r="C203" s="131"/>
      <c r="D203" s="81"/>
      <c r="E203" s="81"/>
      <c r="F203" s="131"/>
      <c r="G203" s="131"/>
      <c r="H203" s="131"/>
      <c r="I203" s="131"/>
      <c r="J203" s="131"/>
      <c r="K203" s="131"/>
      <c r="L203" s="131"/>
      <c r="M203" s="131"/>
      <c r="N203" s="131"/>
      <c r="O203" s="131"/>
      <c r="P203" s="131"/>
      <c r="Q203" s="131"/>
      <c r="R203" s="131"/>
      <c r="S203" s="131"/>
      <c r="T203" s="131"/>
    </row>
    <row r="204">
      <c r="A204" s="131"/>
      <c r="B204" s="131"/>
      <c r="C204" s="131"/>
      <c r="D204" s="81"/>
      <c r="E204" s="81"/>
      <c r="F204" s="131"/>
      <c r="G204" s="131"/>
      <c r="H204" s="131"/>
      <c r="I204" s="131"/>
      <c r="J204" s="131"/>
      <c r="K204" s="131"/>
      <c r="L204" s="131"/>
      <c r="M204" s="131"/>
      <c r="N204" s="131"/>
      <c r="O204" s="131"/>
      <c r="P204" s="131"/>
      <c r="Q204" s="131"/>
      <c r="R204" s="131"/>
      <c r="S204" s="131"/>
      <c r="T204" s="131"/>
    </row>
    <row r="205">
      <c r="A205" s="131"/>
      <c r="B205" s="131"/>
      <c r="C205" s="131"/>
      <c r="D205" s="81"/>
      <c r="E205" s="81"/>
      <c r="F205" s="131"/>
      <c r="G205" s="131"/>
      <c r="H205" s="131"/>
      <c r="I205" s="131"/>
      <c r="J205" s="131"/>
      <c r="K205" s="131"/>
      <c r="L205" s="131"/>
      <c r="M205" s="131"/>
      <c r="N205" s="131"/>
      <c r="O205" s="131"/>
      <c r="P205" s="131"/>
      <c r="Q205" s="131"/>
      <c r="R205" s="131"/>
      <c r="S205" s="131"/>
      <c r="T205" s="131"/>
    </row>
    <row r="206">
      <c r="A206" s="131"/>
      <c r="B206" s="131"/>
      <c r="C206" s="131"/>
      <c r="D206" s="81"/>
      <c r="E206" s="81"/>
      <c r="F206" s="131"/>
      <c r="G206" s="131"/>
      <c r="H206" s="131"/>
      <c r="I206" s="131"/>
      <c r="J206" s="131"/>
      <c r="K206" s="131"/>
      <c r="L206" s="131"/>
      <c r="M206" s="131"/>
      <c r="N206" s="131"/>
      <c r="O206" s="131"/>
      <c r="P206" s="131"/>
      <c r="Q206" s="131"/>
      <c r="R206" s="131"/>
      <c r="S206" s="131"/>
      <c r="T206" s="131"/>
    </row>
    <row r="207">
      <c r="A207" s="131"/>
      <c r="B207" s="131"/>
      <c r="C207" s="131"/>
      <c r="D207" s="81"/>
      <c r="E207" s="81"/>
      <c r="F207" s="131"/>
      <c r="G207" s="131"/>
      <c r="H207" s="131"/>
      <c r="I207" s="131"/>
      <c r="J207" s="131"/>
      <c r="K207" s="131"/>
      <c r="L207" s="131"/>
      <c r="M207" s="131"/>
      <c r="N207" s="131"/>
      <c r="O207" s="131"/>
      <c r="P207" s="131"/>
      <c r="Q207" s="131"/>
      <c r="R207" s="131"/>
      <c r="S207" s="131"/>
      <c r="T207" s="131"/>
    </row>
    <row r="208">
      <c r="A208" s="131"/>
      <c r="B208" s="131"/>
      <c r="C208" s="131"/>
      <c r="D208" s="81"/>
      <c r="E208" s="81"/>
      <c r="F208" s="131"/>
      <c r="G208" s="131"/>
      <c r="H208" s="131"/>
      <c r="I208" s="131"/>
      <c r="J208" s="131"/>
      <c r="K208" s="131"/>
      <c r="L208" s="131"/>
      <c r="M208" s="131"/>
      <c r="N208" s="131"/>
      <c r="O208" s="131"/>
      <c r="P208" s="131"/>
      <c r="Q208" s="131"/>
      <c r="R208" s="131"/>
      <c r="S208" s="131"/>
      <c r="T208" s="131"/>
    </row>
    <row r="209">
      <c r="A209" s="131"/>
      <c r="B209" s="131"/>
      <c r="C209" s="131"/>
      <c r="D209" s="81"/>
      <c r="E209" s="81"/>
      <c r="F209" s="131"/>
      <c r="G209" s="131"/>
      <c r="H209" s="131"/>
      <c r="I209" s="131"/>
      <c r="J209" s="131"/>
      <c r="K209" s="131"/>
      <c r="L209" s="131"/>
      <c r="M209" s="131"/>
      <c r="N209" s="131"/>
      <c r="O209" s="131"/>
      <c r="P209" s="131"/>
      <c r="Q209" s="131"/>
      <c r="R209" s="131"/>
      <c r="S209" s="131"/>
      <c r="T209" s="131"/>
    </row>
    <row r="210">
      <c r="A210" s="131"/>
      <c r="B210" s="131"/>
      <c r="C210" s="131"/>
      <c r="D210" s="81"/>
      <c r="E210" s="81"/>
      <c r="F210" s="131"/>
      <c r="G210" s="131"/>
      <c r="H210" s="131"/>
      <c r="I210" s="131"/>
      <c r="J210" s="131"/>
      <c r="K210" s="131"/>
      <c r="L210" s="131"/>
      <c r="M210" s="131"/>
      <c r="N210" s="131"/>
      <c r="O210" s="131"/>
      <c r="P210" s="131"/>
      <c r="Q210" s="131"/>
      <c r="R210" s="131"/>
      <c r="S210" s="131"/>
      <c r="T210" s="131"/>
    </row>
    <row r="211">
      <c r="A211" s="131"/>
      <c r="B211" s="131"/>
      <c r="C211" s="131"/>
      <c r="D211" s="81"/>
      <c r="E211" s="81"/>
      <c r="F211" s="131"/>
      <c r="G211" s="131"/>
      <c r="H211" s="131"/>
      <c r="I211" s="131"/>
      <c r="J211" s="131"/>
      <c r="K211" s="131"/>
      <c r="L211" s="131"/>
      <c r="M211" s="131"/>
      <c r="N211" s="131"/>
      <c r="O211" s="131"/>
      <c r="P211" s="131"/>
      <c r="Q211" s="131"/>
      <c r="R211" s="131"/>
      <c r="S211" s="131"/>
      <c r="T211" s="131"/>
    </row>
    <row r="212">
      <c r="A212" s="131"/>
      <c r="B212" s="131"/>
      <c r="C212" s="131"/>
      <c r="D212" s="81"/>
      <c r="E212" s="81"/>
      <c r="F212" s="131"/>
      <c r="G212" s="131"/>
      <c r="H212" s="131"/>
      <c r="I212" s="131"/>
      <c r="J212" s="131"/>
      <c r="K212" s="131"/>
      <c r="L212" s="131"/>
      <c r="M212" s="131"/>
      <c r="N212" s="131"/>
      <c r="O212" s="131"/>
      <c r="P212" s="131"/>
      <c r="Q212" s="131"/>
      <c r="R212" s="131"/>
      <c r="S212" s="131"/>
      <c r="T212" s="131"/>
    </row>
    <row r="213">
      <c r="A213" s="131"/>
      <c r="B213" s="131"/>
      <c r="C213" s="131"/>
      <c r="D213" s="81"/>
      <c r="E213" s="81"/>
      <c r="F213" s="131"/>
      <c r="G213" s="131"/>
      <c r="H213" s="131"/>
      <c r="I213" s="131"/>
      <c r="J213" s="131"/>
      <c r="K213" s="131"/>
      <c r="L213" s="131"/>
      <c r="M213" s="131"/>
      <c r="N213" s="131"/>
      <c r="O213" s="131"/>
      <c r="P213" s="131"/>
      <c r="Q213" s="131"/>
      <c r="R213" s="131"/>
      <c r="S213" s="131"/>
      <c r="T213" s="131"/>
    </row>
    <row r="214">
      <c r="A214" s="131"/>
      <c r="B214" s="131"/>
      <c r="C214" s="131"/>
      <c r="D214" s="81"/>
      <c r="E214" s="81"/>
      <c r="F214" s="131"/>
      <c r="G214" s="131"/>
      <c r="H214" s="131"/>
      <c r="I214" s="131"/>
      <c r="J214" s="131"/>
      <c r="K214" s="131"/>
      <c r="L214" s="131"/>
      <c r="M214" s="131"/>
      <c r="N214" s="131"/>
      <c r="O214" s="131"/>
      <c r="P214" s="131"/>
      <c r="Q214" s="131"/>
      <c r="R214" s="131"/>
      <c r="S214" s="131"/>
      <c r="T214" s="131"/>
    </row>
    <row r="215">
      <c r="A215" s="131"/>
      <c r="B215" s="131"/>
      <c r="C215" s="131"/>
      <c r="D215" s="81"/>
      <c r="E215" s="81"/>
      <c r="F215" s="131"/>
      <c r="G215" s="131"/>
      <c r="H215" s="131"/>
      <c r="I215" s="131"/>
      <c r="J215" s="131"/>
      <c r="K215" s="131"/>
      <c r="L215" s="131"/>
      <c r="M215" s="131"/>
      <c r="N215" s="131"/>
      <c r="O215" s="131"/>
      <c r="P215" s="131"/>
      <c r="Q215" s="131"/>
      <c r="R215" s="131"/>
      <c r="S215" s="131"/>
      <c r="T215" s="131"/>
    </row>
    <row r="216">
      <c r="A216" s="131"/>
      <c r="B216" s="131"/>
      <c r="C216" s="131"/>
      <c r="D216" s="81"/>
      <c r="E216" s="81"/>
      <c r="F216" s="131"/>
      <c r="G216" s="131"/>
      <c r="H216" s="131"/>
      <c r="I216" s="131"/>
      <c r="J216" s="131"/>
      <c r="K216" s="131"/>
      <c r="L216" s="131"/>
      <c r="M216" s="131"/>
      <c r="N216" s="131"/>
      <c r="O216" s="131"/>
      <c r="P216" s="131"/>
      <c r="Q216" s="131"/>
      <c r="R216" s="131"/>
      <c r="S216" s="131"/>
      <c r="T216" s="131"/>
    </row>
    <row r="217">
      <c r="A217" s="131"/>
      <c r="B217" s="131"/>
      <c r="C217" s="131"/>
      <c r="D217" s="81"/>
      <c r="E217" s="81"/>
      <c r="F217" s="131"/>
      <c r="G217" s="131"/>
      <c r="H217" s="131"/>
      <c r="I217" s="131"/>
      <c r="J217" s="131"/>
      <c r="K217" s="131"/>
      <c r="L217" s="131"/>
      <c r="M217" s="131"/>
      <c r="N217" s="131"/>
      <c r="O217" s="131"/>
      <c r="P217" s="131"/>
      <c r="Q217" s="131"/>
      <c r="R217" s="131"/>
      <c r="S217" s="131"/>
      <c r="T217" s="131"/>
    </row>
    <row r="218">
      <c r="A218" s="131"/>
      <c r="B218" s="131"/>
      <c r="C218" s="131"/>
      <c r="D218" s="81"/>
      <c r="E218" s="81"/>
      <c r="F218" s="131"/>
      <c r="G218" s="131"/>
      <c r="H218" s="131"/>
      <c r="I218" s="131"/>
      <c r="J218" s="131"/>
      <c r="K218" s="131"/>
      <c r="L218" s="131"/>
      <c r="M218" s="131"/>
      <c r="N218" s="131"/>
      <c r="O218" s="131"/>
      <c r="P218" s="131"/>
      <c r="Q218" s="131"/>
      <c r="R218" s="131"/>
      <c r="S218" s="131"/>
      <c r="T218" s="131"/>
    </row>
    <row r="219">
      <c r="A219" s="131"/>
      <c r="B219" s="131"/>
      <c r="C219" s="131"/>
      <c r="D219" s="81"/>
      <c r="E219" s="81"/>
      <c r="F219" s="131"/>
      <c r="G219" s="131"/>
      <c r="H219" s="131"/>
      <c r="I219" s="131"/>
      <c r="J219" s="131"/>
      <c r="K219" s="131"/>
      <c r="L219" s="131"/>
      <c r="M219" s="131"/>
      <c r="N219" s="131"/>
      <c r="O219" s="131"/>
      <c r="P219" s="131"/>
      <c r="Q219" s="131"/>
      <c r="R219" s="131"/>
      <c r="S219" s="131"/>
      <c r="T219" s="131"/>
    </row>
    <row r="220">
      <c r="A220" s="131"/>
      <c r="B220" s="131"/>
      <c r="C220" s="131"/>
      <c r="D220" s="81"/>
      <c r="E220" s="81"/>
      <c r="F220" s="131"/>
      <c r="G220" s="131"/>
      <c r="H220" s="131"/>
      <c r="I220" s="131"/>
      <c r="J220" s="131"/>
      <c r="K220" s="131"/>
      <c r="L220" s="131"/>
      <c r="M220" s="131"/>
      <c r="N220" s="131"/>
      <c r="O220" s="131"/>
      <c r="P220" s="131"/>
      <c r="Q220" s="131"/>
      <c r="R220" s="131"/>
      <c r="S220" s="131"/>
      <c r="T220" s="131"/>
    </row>
    <row r="221">
      <c r="A221" s="131"/>
      <c r="B221" s="131"/>
      <c r="C221" s="131"/>
      <c r="D221" s="81"/>
      <c r="E221" s="81"/>
      <c r="F221" s="131"/>
      <c r="G221" s="131"/>
      <c r="H221" s="131"/>
      <c r="I221" s="131"/>
      <c r="J221" s="131"/>
      <c r="K221" s="131"/>
      <c r="L221" s="131"/>
      <c r="M221" s="131"/>
      <c r="N221" s="131"/>
      <c r="O221" s="131"/>
      <c r="P221" s="131"/>
      <c r="Q221" s="131"/>
      <c r="R221" s="131"/>
      <c r="S221" s="131"/>
      <c r="T221" s="131"/>
    </row>
    <row r="222">
      <c r="A222" s="131"/>
      <c r="B222" s="131"/>
      <c r="C222" s="131"/>
      <c r="D222" s="81"/>
      <c r="E222" s="81"/>
      <c r="F222" s="131"/>
      <c r="G222" s="131"/>
      <c r="H222" s="131"/>
      <c r="I222" s="131"/>
      <c r="J222" s="131"/>
      <c r="K222" s="131"/>
      <c r="L222" s="131"/>
      <c r="M222" s="131"/>
      <c r="N222" s="131"/>
      <c r="O222" s="131"/>
      <c r="P222" s="131"/>
      <c r="Q222" s="131"/>
      <c r="R222" s="131"/>
      <c r="S222" s="131"/>
      <c r="T222" s="131"/>
    </row>
    <row r="223">
      <c r="A223" s="131"/>
      <c r="B223" s="131"/>
      <c r="C223" s="131"/>
      <c r="D223" s="81"/>
      <c r="E223" s="81"/>
      <c r="F223" s="131"/>
      <c r="G223" s="131"/>
      <c r="H223" s="131"/>
      <c r="I223" s="131"/>
      <c r="J223" s="131"/>
      <c r="K223" s="131"/>
      <c r="L223" s="131"/>
      <c r="M223" s="131"/>
      <c r="N223" s="131"/>
      <c r="O223" s="131"/>
      <c r="P223" s="131"/>
      <c r="Q223" s="131"/>
      <c r="R223" s="131"/>
      <c r="S223" s="131"/>
      <c r="T223" s="131"/>
    </row>
    <row r="224">
      <c r="A224" s="131"/>
      <c r="B224" s="131"/>
      <c r="C224" s="131"/>
      <c r="D224" s="81"/>
      <c r="E224" s="81"/>
      <c r="F224" s="131"/>
      <c r="G224" s="131"/>
      <c r="H224" s="131"/>
      <c r="I224" s="131"/>
      <c r="J224" s="131"/>
      <c r="K224" s="131"/>
      <c r="L224" s="131"/>
      <c r="M224" s="131"/>
      <c r="N224" s="131"/>
      <c r="O224" s="131"/>
      <c r="P224" s="131"/>
      <c r="Q224" s="131"/>
      <c r="R224" s="131"/>
      <c r="S224" s="131"/>
      <c r="T224" s="131"/>
    </row>
    <row r="225">
      <c r="A225" s="131"/>
      <c r="B225" s="131"/>
      <c r="C225" s="131"/>
      <c r="D225" s="81"/>
      <c r="E225" s="81"/>
      <c r="F225" s="131"/>
      <c r="G225" s="131"/>
      <c r="H225" s="131"/>
      <c r="I225" s="131"/>
      <c r="J225" s="131"/>
      <c r="K225" s="131"/>
      <c r="L225" s="131"/>
      <c r="M225" s="131"/>
      <c r="N225" s="131"/>
      <c r="O225" s="131"/>
      <c r="P225" s="131"/>
      <c r="Q225" s="131"/>
      <c r="R225" s="131"/>
      <c r="S225" s="131"/>
      <c r="T225" s="131"/>
    </row>
    <row r="226">
      <c r="A226" s="131"/>
      <c r="B226" s="131"/>
      <c r="C226" s="131"/>
      <c r="D226" s="81"/>
      <c r="E226" s="81"/>
      <c r="F226" s="131"/>
      <c r="G226" s="131"/>
      <c r="H226" s="131"/>
      <c r="I226" s="131"/>
      <c r="J226" s="131"/>
      <c r="K226" s="131"/>
      <c r="L226" s="131"/>
      <c r="M226" s="131"/>
      <c r="N226" s="131"/>
      <c r="O226" s="131"/>
      <c r="P226" s="131"/>
      <c r="Q226" s="131"/>
      <c r="R226" s="131"/>
      <c r="S226" s="131"/>
      <c r="T226" s="131"/>
    </row>
    <row r="227">
      <c r="A227" s="131"/>
      <c r="B227" s="131"/>
      <c r="C227" s="131"/>
      <c r="D227" s="81"/>
      <c r="E227" s="81"/>
      <c r="F227" s="131"/>
      <c r="G227" s="131"/>
      <c r="H227" s="131"/>
      <c r="I227" s="131"/>
      <c r="J227" s="131"/>
      <c r="K227" s="131"/>
      <c r="L227" s="131"/>
      <c r="M227" s="131"/>
      <c r="N227" s="131"/>
      <c r="O227" s="131"/>
      <c r="P227" s="131"/>
      <c r="Q227" s="131"/>
      <c r="R227" s="131"/>
      <c r="S227" s="131"/>
      <c r="T227" s="131"/>
    </row>
    <row r="228">
      <c r="A228" s="131"/>
      <c r="B228" s="131"/>
      <c r="C228" s="131"/>
      <c r="D228" s="81"/>
      <c r="E228" s="81"/>
      <c r="F228" s="131"/>
      <c r="G228" s="131"/>
      <c r="H228" s="131"/>
      <c r="I228" s="131"/>
      <c r="J228" s="131"/>
      <c r="K228" s="131"/>
      <c r="L228" s="131"/>
      <c r="M228" s="131"/>
      <c r="N228" s="131"/>
      <c r="O228" s="131"/>
      <c r="P228" s="131"/>
      <c r="Q228" s="131"/>
      <c r="R228" s="131"/>
      <c r="S228" s="131"/>
      <c r="T228" s="131"/>
    </row>
    <row r="229">
      <c r="A229" s="131"/>
      <c r="B229" s="131"/>
      <c r="C229" s="131"/>
      <c r="D229" s="81"/>
      <c r="E229" s="81"/>
      <c r="F229" s="131"/>
      <c r="G229" s="131"/>
      <c r="H229" s="131"/>
      <c r="I229" s="131"/>
      <c r="J229" s="131"/>
      <c r="K229" s="131"/>
      <c r="L229" s="131"/>
      <c r="M229" s="131"/>
      <c r="N229" s="131"/>
      <c r="O229" s="131"/>
      <c r="P229" s="131"/>
      <c r="Q229" s="131"/>
      <c r="R229" s="131"/>
      <c r="S229" s="131"/>
      <c r="T229" s="131"/>
    </row>
    <row r="230">
      <c r="A230" s="131"/>
      <c r="B230" s="131"/>
      <c r="C230" s="131"/>
      <c r="D230" s="81"/>
      <c r="E230" s="81"/>
      <c r="F230" s="131"/>
      <c r="G230" s="131"/>
      <c r="H230" s="131"/>
      <c r="I230" s="131"/>
      <c r="J230" s="131"/>
      <c r="K230" s="131"/>
      <c r="L230" s="131"/>
      <c r="M230" s="131"/>
      <c r="N230" s="131"/>
      <c r="O230" s="131"/>
      <c r="P230" s="131"/>
      <c r="Q230" s="131"/>
      <c r="R230" s="131"/>
      <c r="S230" s="131"/>
      <c r="T230" s="131"/>
    </row>
    <row r="231">
      <c r="A231" s="131"/>
      <c r="B231" s="131"/>
      <c r="C231" s="131"/>
      <c r="D231" s="81"/>
      <c r="E231" s="81"/>
      <c r="F231" s="131"/>
      <c r="G231" s="131"/>
      <c r="H231" s="131"/>
      <c r="I231" s="131"/>
      <c r="J231" s="131"/>
      <c r="K231" s="131"/>
      <c r="L231" s="131"/>
      <c r="M231" s="131"/>
      <c r="N231" s="131"/>
      <c r="O231" s="131"/>
      <c r="P231" s="131"/>
      <c r="Q231" s="131"/>
      <c r="R231" s="131"/>
      <c r="S231" s="131"/>
      <c r="T231" s="131"/>
    </row>
    <row r="232">
      <c r="A232" s="131"/>
      <c r="B232" s="131"/>
      <c r="C232" s="131"/>
      <c r="D232" s="81"/>
      <c r="E232" s="81"/>
      <c r="F232" s="131"/>
      <c r="G232" s="131"/>
      <c r="H232" s="131"/>
      <c r="I232" s="131"/>
      <c r="J232" s="131"/>
      <c r="K232" s="131"/>
      <c r="L232" s="131"/>
      <c r="M232" s="131"/>
      <c r="N232" s="131"/>
      <c r="O232" s="131"/>
      <c r="P232" s="131"/>
      <c r="Q232" s="131"/>
      <c r="R232" s="131"/>
      <c r="S232" s="131"/>
      <c r="T232" s="131"/>
    </row>
    <row r="233">
      <c r="A233" s="131"/>
      <c r="B233" s="131"/>
      <c r="C233" s="131"/>
      <c r="D233" s="81"/>
      <c r="E233" s="81"/>
      <c r="F233" s="131"/>
      <c r="G233" s="131"/>
      <c r="H233" s="131"/>
      <c r="I233" s="131"/>
      <c r="J233" s="131"/>
      <c r="K233" s="131"/>
      <c r="L233" s="131"/>
      <c r="M233" s="131"/>
      <c r="N233" s="131"/>
      <c r="O233" s="131"/>
      <c r="P233" s="131"/>
      <c r="Q233" s="131"/>
      <c r="R233" s="131"/>
      <c r="S233" s="131"/>
      <c r="T233" s="131"/>
    </row>
    <row r="234">
      <c r="A234" s="131"/>
      <c r="B234" s="131"/>
      <c r="C234" s="131"/>
      <c r="D234" s="81"/>
      <c r="E234" s="81"/>
      <c r="F234" s="131"/>
      <c r="G234" s="131"/>
      <c r="H234" s="131"/>
      <c r="I234" s="131"/>
      <c r="J234" s="131"/>
      <c r="K234" s="131"/>
      <c r="L234" s="131"/>
      <c r="M234" s="131"/>
      <c r="N234" s="131"/>
      <c r="O234" s="131"/>
      <c r="P234" s="131"/>
      <c r="Q234" s="131"/>
      <c r="R234" s="131"/>
      <c r="S234" s="131"/>
      <c r="T234" s="131"/>
    </row>
    <row r="235">
      <c r="A235" s="131"/>
      <c r="B235" s="131"/>
      <c r="C235" s="131"/>
      <c r="D235" s="81"/>
      <c r="E235" s="81"/>
      <c r="F235" s="131"/>
      <c r="G235" s="131"/>
      <c r="H235" s="131"/>
      <c r="I235" s="131"/>
      <c r="J235" s="131"/>
      <c r="K235" s="131"/>
      <c r="L235" s="131"/>
      <c r="M235" s="131"/>
      <c r="N235" s="131"/>
      <c r="O235" s="131"/>
      <c r="P235" s="131"/>
      <c r="Q235" s="131"/>
      <c r="R235" s="131"/>
      <c r="S235" s="131"/>
      <c r="T235" s="131"/>
    </row>
    <row r="236">
      <c r="A236" s="131"/>
      <c r="B236" s="131"/>
      <c r="C236" s="131"/>
      <c r="D236" s="81"/>
      <c r="E236" s="81"/>
      <c r="F236" s="131"/>
      <c r="G236" s="131"/>
      <c r="H236" s="131"/>
      <c r="I236" s="131"/>
      <c r="J236" s="131"/>
      <c r="K236" s="131"/>
      <c r="L236" s="131"/>
      <c r="M236" s="131"/>
      <c r="N236" s="131"/>
      <c r="O236" s="131"/>
      <c r="P236" s="131"/>
      <c r="Q236" s="131"/>
      <c r="R236" s="131"/>
      <c r="S236" s="131"/>
      <c r="T236" s="131"/>
    </row>
    <row r="237">
      <c r="A237" s="131"/>
      <c r="B237" s="131"/>
      <c r="C237" s="131"/>
      <c r="D237" s="81"/>
      <c r="E237" s="81"/>
      <c r="F237" s="131"/>
      <c r="G237" s="131"/>
      <c r="H237" s="131"/>
      <c r="I237" s="131"/>
      <c r="J237" s="131"/>
      <c r="K237" s="131"/>
      <c r="L237" s="131"/>
      <c r="M237" s="131"/>
      <c r="N237" s="131"/>
      <c r="O237" s="131"/>
      <c r="P237" s="131"/>
      <c r="Q237" s="131"/>
      <c r="R237" s="131"/>
      <c r="S237" s="131"/>
      <c r="T237" s="131"/>
    </row>
    <row r="238">
      <c r="A238" s="131"/>
      <c r="B238" s="131"/>
      <c r="C238" s="131"/>
      <c r="D238" s="81"/>
      <c r="E238" s="81"/>
      <c r="F238" s="131"/>
      <c r="G238" s="131"/>
      <c r="H238" s="131"/>
      <c r="I238" s="131"/>
      <c r="J238" s="131"/>
      <c r="K238" s="131"/>
      <c r="L238" s="131"/>
      <c r="M238" s="131"/>
      <c r="N238" s="131"/>
      <c r="O238" s="131"/>
      <c r="P238" s="131"/>
      <c r="Q238" s="131"/>
      <c r="R238" s="131"/>
      <c r="S238" s="131"/>
      <c r="T238" s="131"/>
    </row>
    <row r="239">
      <c r="A239" s="131"/>
      <c r="B239" s="131"/>
      <c r="C239" s="131"/>
      <c r="D239" s="81"/>
      <c r="E239" s="81"/>
      <c r="F239" s="131"/>
      <c r="G239" s="131"/>
      <c r="H239" s="131"/>
      <c r="I239" s="131"/>
      <c r="J239" s="131"/>
      <c r="K239" s="131"/>
      <c r="L239" s="131"/>
      <c r="M239" s="131"/>
      <c r="N239" s="131"/>
      <c r="O239" s="131"/>
      <c r="P239" s="131"/>
      <c r="Q239" s="131"/>
      <c r="R239" s="131"/>
      <c r="S239" s="131"/>
      <c r="T239" s="131"/>
    </row>
    <row r="240">
      <c r="A240" s="131"/>
      <c r="B240" s="131"/>
      <c r="C240" s="131"/>
      <c r="D240" s="81"/>
      <c r="E240" s="81"/>
      <c r="F240" s="131"/>
      <c r="G240" s="131"/>
      <c r="H240" s="131"/>
      <c r="I240" s="131"/>
      <c r="J240" s="131"/>
      <c r="K240" s="131"/>
      <c r="L240" s="131"/>
      <c r="M240" s="131"/>
      <c r="N240" s="131"/>
      <c r="O240" s="131"/>
      <c r="P240" s="131"/>
      <c r="Q240" s="131"/>
      <c r="R240" s="131"/>
      <c r="S240" s="131"/>
      <c r="T240" s="131"/>
    </row>
    <row r="241">
      <c r="A241" s="131"/>
      <c r="B241" s="131"/>
      <c r="C241" s="131"/>
      <c r="D241" s="81"/>
      <c r="E241" s="81"/>
      <c r="F241" s="131"/>
      <c r="G241" s="131"/>
      <c r="H241" s="131"/>
      <c r="I241" s="131"/>
      <c r="J241" s="131"/>
      <c r="K241" s="131"/>
      <c r="L241" s="131"/>
      <c r="M241" s="131"/>
      <c r="N241" s="131"/>
      <c r="O241" s="131"/>
      <c r="P241" s="131"/>
      <c r="Q241" s="131"/>
      <c r="R241" s="131"/>
      <c r="S241" s="131"/>
      <c r="T241" s="131"/>
    </row>
    <row r="242">
      <c r="A242" s="131"/>
      <c r="B242" s="131"/>
      <c r="C242" s="131"/>
      <c r="D242" s="81"/>
      <c r="E242" s="81"/>
      <c r="F242" s="131"/>
      <c r="G242" s="131"/>
      <c r="H242" s="131"/>
      <c r="I242" s="131"/>
      <c r="J242" s="131"/>
      <c r="K242" s="131"/>
      <c r="L242" s="131"/>
      <c r="M242" s="131"/>
      <c r="N242" s="131"/>
      <c r="O242" s="131"/>
      <c r="P242" s="131"/>
      <c r="Q242" s="131"/>
      <c r="R242" s="131"/>
      <c r="S242" s="131"/>
      <c r="T242" s="131"/>
    </row>
    <row r="243">
      <c r="A243" s="131"/>
      <c r="B243" s="131"/>
      <c r="C243" s="131"/>
      <c r="D243" s="81"/>
      <c r="E243" s="81"/>
      <c r="F243" s="131"/>
      <c r="G243" s="131"/>
      <c r="H243" s="131"/>
      <c r="I243" s="131"/>
      <c r="J243" s="131"/>
      <c r="K243" s="131"/>
      <c r="L243" s="131"/>
      <c r="M243" s="131"/>
      <c r="N243" s="131"/>
      <c r="O243" s="131"/>
      <c r="P243" s="131"/>
      <c r="Q243" s="131"/>
      <c r="R243" s="131"/>
      <c r="S243" s="131"/>
      <c r="T243" s="131"/>
    </row>
    <row r="244">
      <c r="A244" s="131"/>
      <c r="B244" s="131"/>
      <c r="C244" s="131"/>
      <c r="D244" s="81"/>
      <c r="E244" s="81"/>
      <c r="F244" s="131"/>
      <c r="G244" s="131"/>
      <c r="H244" s="131"/>
      <c r="I244" s="131"/>
      <c r="J244" s="131"/>
      <c r="K244" s="131"/>
      <c r="L244" s="131"/>
      <c r="M244" s="131"/>
      <c r="N244" s="131"/>
      <c r="O244" s="131"/>
      <c r="P244" s="131"/>
      <c r="Q244" s="131"/>
      <c r="R244" s="131"/>
      <c r="S244" s="131"/>
      <c r="T244" s="131"/>
    </row>
    <row r="245">
      <c r="A245" s="131"/>
      <c r="B245" s="131"/>
      <c r="C245" s="131"/>
      <c r="D245" s="81"/>
      <c r="E245" s="81"/>
      <c r="F245" s="131"/>
      <c r="G245" s="131"/>
      <c r="H245" s="131"/>
      <c r="I245" s="131"/>
      <c r="J245" s="131"/>
      <c r="K245" s="131"/>
      <c r="L245" s="131"/>
      <c r="M245" s="131"/>
      <c r="N245" s="131"/>
      <c r="O245" s="131"/>
      <c r="P245" s="131"/>
      <c r="Q245" s="131"/>
      <c r="R245" s="131"/>
      <c r="S245" s="131"/>
      <c r="T245" s="131"/>
    </row>
    <row r="246">
      <c r="A246" s="131"/>
      <c r="B246" s="131"/>
      <c r="C246" s="131"/>
      <c r="D246" s="81"/>
      <c r="E246" s="81"/>
      <c r="F246" s="131"/>
      <c r="G246" s="131"/>
      <c r="H246" s="131"/>
      <c r="I246" s="131"/>
      <c r="J246" s="131"/>
      <c r="K246" s="131"/>
      <c r="L246" s="131"/>
      <c r="M246" s="131"/>
      <c r="N246" s="131"/>
      <c r="O246" s="131"/>
      <c r="P246" s="131"/>
      <c r="Q246" s="131"/>
      <c r="R246" s="131"/>
      <c r="S246" s="131"/>
      <c r="T246" s="131"/>
    </row>
    <row r="247">
      <c r="A247" s="131"/>
      <c r="B247" s="131"/>
      <c r="C247" s="131"/>
      <c r="D247" s="81"/>
      <c r="E247" s="81"/>
      <c r="F247" s="131"/>
      <c r="G247" s="131"/>
      <c r="H247" s="131"/>
      <c r="I247" s="131"/>
      <c r="J247" s="131"/>
      <c r="K247" s="131"/>
      <c r="L247" s="131"/>
      <c r="M247" s="131"/>
      <c r="N247" s="131"/>
      <c r="O247" s="131"/>
      <c r="P247" s="131"/>
      <c r="Q247" s="131"/>
      <c r="R247" s="131"/>
      <c r="S247" s="131"/>
      <c r="T247" s="131"/>
    </row>
    <row r="248">
      <c r="A248" s="131"/>
      <c r="B248" s="131"/>
      <c r="C248" s="131"/>
      <c r="D248" s="81"/>
      <c r="E248" s="81"/>
      <c r="F248" s="131"/>
      <c r="G248" s="131"/>
      <c r="H248" s="131"/>
      <c r="I248" s="131"/>
      <c r="J248" s="131"/>
      <c r="K248" s="131"/>
      <c r="L248" s="131"/>
      <c r="M248" s="131"/>
      <c r="N248" s="131"/>
      <c r="O248" s="131"/>
      <c r="P248" s="131"/>
      <c r="Q248" s="131"/>
      <c r="R248" s="131"/>
      <c r="S248" s="131"/>
      <c r="T248" s="131"/>
    </row>
    <row r="249">
      <c r="A249" s="131"/>
      <c r="B249" s="131"/>
      <c r="C249" s="131"/>
      <c r="D249" s="81"/>
      <c r="E249" s="81"/>
      <c r="F249" s="131"/>
      <c r="G249" s="131"/>
      <c r="H249" s="131"/>
      <c r="I249" s="131"/>
      <c r="J249" s="131"/>
      <c r="K249" s="131"/>
      <c r="L249" s="131"/>
      <c r="M249" s="131"/>
      <c r="N249" s="131"/>
      <c r="O249" s="131"/>
      <c r="P249" s="131"/>
      <c r="Q249" s="131"/>
      <c r="R249" s="131"/>
      <c r="S249" s="131"/>
      <c r="T249" s="131"/>
    </row>
    <row r="250">
      <c r="A250" s="131"/>
      <c r="B250" s="131"/>
      <c r="C250" s="131"/>
      <c r="D250" s="81"/>
      <c r="E250" s="81"/>
      <c r="F250" s="131"/>
      <c r="G250" s="131"/>
      <c r="H250" s="131"/>
      <c r="I250" s="131"/>
      <c r="J250" s="131"/>
      <c r="K250" s="131"/>
      <c r="L250" s="131"/>
      <c r="M250" s="131"/>
      <c r="N250" s="131"/>
      <c r="O250" s="131"/>
      <c r="P250" s="131"/>
      <c r="Q250" s="131"/>
      <c r="R250" s="131"/>
      <c r="S250" s="131"/>
      <c r="T250" s="131"/>
    </row>
    <row r="251">
      <c r="A251" s="131"/>
      <c r="B251" s="131"/>
      <c r="C251" s="131"/>
      <c r="D251" s="81"/>
      <c r="E251" s="81"/>
      <c r="F251" s="131"/>
      <c r="G251" s="131"/>
      <c r="H251" s="131"/>
      <c r="I251" s="131"/>
      <c r="J251" s="131"/>
      <c r="K251" s="131"/>
      <c r="L251" s="131"/>
      <c r="M251" s="131"/>
      <c r="N251" s="131"/>
      <c r="O251" s="131"/>
      <c r="P251" s="131"/>
      <c r="Q251" s="131"/>
      <c r="R251" s="131"/>
      <c r="S251" s="131"/>
      <c r="T251" s="131"/>
    </row>
    <row r="252">
      <c r="A252" s="131"/>
      <c r="B252" s="131"/>
      <c r="C252" s="131"/>
      <c r="D252" s="81"/>
      <c r="E252" s="81"/>
      <c r="F252" s="131"/>
      <c r="G252" s="131"/>
      <c r="H252" s="131"/>
      <c r="I252" s="131"/>
      <c r="J252" s="131"/>
      <c r="K252" s="131"/>
      <c r="L252" s="131"/>
      <c r="M252" s="131"/>
      <c r="N252" s="131"/>
      <c r="O252" s="131"/>
      <c r="P252" s="131"/>
      <c r="Q252" s="131"/>
      <c r="R252" s="131"/>
      <c r="S252" s="131"/>
      <c r="T252" s="131"/>
    </row>
    <row r="253">
      <c r="A253" s="131"/>
      <c r="B253" s="131"/>
      <c r="C253" s="131"/>
      <c r="D253" s="81"/>
      <c r="E253" s="81"/>
      <c r="F253" s="131"/>
      <c r="G253" s="131"/>
      <c r="H253" s="131"/>
      <c r="I253" s="131"/>
      <c r="J253" s="131"/>
      <c r="K253" s="131"/>
      <c r="L253" s="131"/>
      <c r="M253" s="131"/>
      <c r="N253" s="131"/>
      <c r="O253" s="131"/>
      <c r="P253" s="131"/>
      <c r="Q253" s="131"/>
      <c r="R253" s="131"/>
      <c r="S253" s="131"/>
      <c r="T253" s="131"/>
    </row>
    <row r="254">
      <c r="A254" s="131"/>
      <c r="B254" s="131"/>
      <c r="C254" s="131"/>
      <c r="D254" s="81"/>
      <c r="E254" s="81"/>
      <c r="F254" s="131"/>
      <c r="G254" s="131"/>
      <c r="H254" s="131"/>
      <c r="I254" s="131"/>
      <c r="J254" s="131"/>
      <c r="K254" s="131"/>
      <c r="L254" s="131"/>
      <c r="M254" s="131"/>
      <c r="N254" s="131"/>
      <c r="O254" s="131"/>
      <c r="P254" s="131"/>
      <c r="Q254" s="131"/>
      <c r="R254" s="131"/>
      <c r="S254" s="131"/>
      <c r="T254" s="131"/>
    </row>
    <row r="255">
      <c r="A255" s="131"/>
      <c r="B255" s="131"/>
      <c r="C255" s="131"/>
      <c r="D255" s="81"/>
      <c r="E255" s="81"/>
      <c r="F255" s="131"/>
      <c r="G255" s="131"/>
      <c r="H255" s="131"/>
      <c r="I255" s="131"/>
      <c r="J255" s="131"/>
      <c r="K255" s="131"/>
      <c r="L255" s="131"/>
      <c r="M255" s="131"/>
      <c r="N255" s="131"/>
      <c r="O255" s="131"/>
      <c r="P255" s="131"/>
      <c r="Q255" s="131"/>
      <c r="R255" s="131"/>
      <c r="S255" s="131"/>
      <c r="T255" s="131"/>
    </row>
    <row r="256">
      <c r="A256" s="131"/>
      <c r="B256" s="131"/>
      <c r="C256" s="131"/>
      <c r="D256" s="81"/>
      <c r="E256" s="81"/>
      <c r="F256" s="131"/>
      <c r="G256" s="131"/>
      <c r="H256" s="131"/>
      <c r="I256" s="131"/>
      <c r="J256" s="131"/>
      <c r="K256" s="131"/>
      <c r="L256" s="131"/>
      <c r="M256" s="131"/>
      <c r="N256" s="131"/>
      <c r="O256" s="131"/>
      <c r="P256" s="131"/>
      <c r="Q256" s="131"/>
      <c r="R256" s="131"/>
      <c r="S256" s="131"/>
      <c r="T256" s="131"/>
    </row>
    <row r="257">
      <c r="A257" s="131"/>
      <c r="B257" s="131"/>
      <c r="C257" s="131"/>
      <c r="D257" s="81"/>
      <c r="E257" s="81"/>
      <c r="F257" s="131"/>
      <c r="G257" s="131"/>
      <c r="H257" s="131"/>
      <c r="I257" s="131"/>
      <c r="J257" s="131"/>
      <c r="K257" s="131"/>
      <c r="L257" s="131"/>
      <c r="M257" s="131"/>
      <c r="N257" s="131"/>
      <c r="O257" s="131"/>
      <c r="P257" s="131"/>
      <c r="Q257" s="131"/>
      <c r="R257" s="131"/>
      <c r="S257" s="131"/>
      <c r="T257" s="131"/>
    </row>
    <row r="258">
      <c r="A258" s="131"/>
      <c r="B258" s="131"/>
      <c r="C258" s="131"/>
      <c r="D258" s="81"/>
      <c r="E258" s="81"/>
      <c r="F258" s="131"/>
      <c r="G258" s="131"/>
      <c r="H258" s="131"/>
      <c r="I258" s="131"/>
      <c r="J258" s="131"/>
      <c r="K258" s="131"/>
      <c r="L258" s="131"/>
      <c r="M258" s="131"/>
      <c r="N258" s="131"/>
      <c r="O258" s="131"/>
      <c r="P258" s="131"/>
      <c r="Q258" s="131"/>
      <c r="R258" s="131"/>
      <c r="S258" s="131"/>
      <c r="T258" s="131"/>
    </row>
    <row r="259">
      <c r="A259" s="131"/>
      <c r="B259" s="131"/>
      <c r="C259" s="131"/>
      <c r="D259" s="81"/>
      <c r="E259" s="81"/>
      <c r="F259" s="131"/>
      <c r="G259" s="131"/>
      <c r="H259" s="131"/>
      <c r="I259" s="131"/>
      <c r="J259" s="131"/>
      <c r="K259" s="131"/>
      <c r="L259" s="131"/>
      <c r="M259" s="131"/>
      <c r="N259" s="131"/>
      <c r="O259" s="131"/>
      <c r="P259" s="131"/>
      <c r="Q259" s="131"/>
      <c r="R259" s="131"/>
      <c r="S259" s="131"/>
      <c r="T259" s="131"/>
    </row>
    <row r="260">
      <c r="A260" s="131"/>
      <c r="B260" s="131"/>
      <c r="C260" s="131"/>
      <c r="D260" s="81"/>
      <c r="E260" s="81"/>
      <c r="F260" s="131"/>
      <c r="G260" s="131"/>
      <c r="H260" s="131"/>
      <c r="I260" s="131"/>
      <c r="J260" s="131"/>
      <c r="K260" s="131"/>
      <c r="L260" s="131"/>
      <c r="M260" s="131"/>
      <c r="N260" s="131"/>
      <c r="O260" s="131"/>
      <c r="P260" s="131"/>
      <c r="Q260" s="131"/>
      <c r="R260" s="131"/>
      <c r="S260" s="131"/>
      <c r="T260" s="131"/>
    </row>
    <row r="261">
      <c r="A261" s="131"/>
      <c r="B261" s="131"/>
      <c r="C261" s="131"/>
      <c r="D261" s="81"/>
      <c r="E261" s="81"/>
      <c r="F261" s="131"/>
      <c r="G261" s="131"/>
      <c r="H261" s="131"/>
      <c r="I261" s="131"/>
      <c r="J261" s="131"/>
      <c r="K261" s="131"/>
      <c r="L261" s="131"/>
      <c r="M261" s="131"/>
      <c r="N261" s="131"/>
      <c r="O261" s="131"/>
      <c r="P261" s="131"/>
      <c r="Q261" s="131"/>
      <c r="R261" s="131"/>
      <c r="S261" s="131"/>
      <c r="T261" s="131"/>
    </row>
    <row r="262">
      <c r="A262" s="131"/>
      <c r="B262" s="131"/>
      <c r="C262" s="131"/>
      <c r="D262" s="81"/>
      <c r="E262" s="81"/>
      <c r="F262" s="131"/>
      <c r="G262" s="131"/>
      <c r="H262" s="131"/>
      <c r="I262" s="131"/>
      <c r="J262" s="131"/>
      <c r="K262" s="131"/>
      <c r="L262" s="131"/>
      <c r="M262" s="131"/>
      <c r="N262" s="131"/>
      <c r="O262" s="131"/>
      <c r="P262" s="131"/>
      <c r="Q262" s="131"/>
      <c r="R262" s="131"/>
      <c r="S262" s="131"/>
      <c r="T262" s="131"/>
    </row>
    <row r="263">
      <c r="A263" s="131"/>
      <c r="B263" s="131"/>
      <c r="C263" s="131"/>
      <c r="D263" s="81"/>
      <c r="E263" s="81"/>
      <c r="F263" s="131"/>
      <c r="G263" s="131"/>
      <c r="H263" s="131"/>
      <c r="I263" s="131"/>
      <c r="J263" s="131"/>
      <c r="K263" s="131"/>
      <c r="L263" s="131"/>
      <c r="M263" s="131"/>
      <c r="N263" s="131"/>
      <c r="O263" s="131"/>
      <c r="P263" s="131"/>
      <c r="Q263" s="131"/>
      <c r="R263" s="131"/>
      <c r="S263" s="131"/>
      <c r="T263" s="131"/>
    </row>
    <row r="264">
      <c r="A264" s="131"/>
      <c r="B264" s="131"/>
      <c r="C264" s="131"/>
      <c r="D264" s="81"/>
      <c r="E264" s="81"/>
      <c r="F264" s="131"/>
      <c r="G264" s="131"/>
      <c r="H264" s="131"/>
      <c r="I264" s="131"/>
      <c r="J264" s="131"/>
      <c r="K264" s="131"/>
      <c r="L264" s="131"/>
      <c r="M264" s="131"/>
      <c r="N264" s="131"/>
      <c r="O264" s="131"/>
      <c r="P264" s="131"/>
      <c r="Q264" s="131"/>
      <c r="R264" s="131"/>
      <c r="S264" s="131"/>
      <c r="T264" s="131"/>
    </row>
    <row r="265">
      <c r="A265" s="131"/>
      <c r="B265" s="131"/>
      <c r="C265" s="131"/>
      <c r="D265" s="81"/>
      <c r="E265" s="81"/>
      <c r="F265" s="131"/>
      <c r="G265" s="131"/>
      <c r="H265" s="131"/>
      <c r="I265" s="131"/>
      <c r="J265" s="131"/>
      <c r="K265" s="131"/>
      <c r="L265" s="131"/>
      <c r="M265" s="131"/>
      <c r="N265" s="131"/>
      <c r="O265" s="131"/>
      <c r="P265" s="131"/>
      <c r="Q265" s="131"/>
      <c r="R265" s="131"/>
      <c r="S265" s="131"/>
      <c r="T265" s="131"/>
    </row>
    <row r="266">
      <c r="A266" s="131"/>
      <c r="B266" s="131"/>
      <c r="C266" s="131"/>
      <c r="D266" s="81"/>
      <c r="E266" s="81"/>
      <c r="F266" s="131"/>
      <c r="G266" s="131"/>
      <c r="H266" s="131"/>
      <c r="I266" s="131"/>
      <c r="J266" s="131"/>
      <c r="K266" s="131"/>
      <c r="L266" s="131"/>
      <c r="M266" s="131"/>
      <c r="N266" s="131"/>
      <c r="O266" s="131"/>
      <c r="P266" s="131"/>
      <c r="Q266" s="131"/>
      <c r="R266" s="131"/>
      <c r="S266" s="131"/>
      <c r="T266" s="131"/>
    </row>
    <row r="267">
      <c r="A267" s="131"/>
      <c r="B267" s="131"/>
      <c r="C267" s="131"/>
      <c r="D267" s="81"/>
      <c r="E267" s="81"/>
      <c r="F267" s="131"/>
      <c r="G267" s="131"/>
      <c r="H267" s="131"/>
      <c r="I267" s="131"/>
      <c r="J267" s="131"/>
      <c r="K267" s="131"/>
      <c r="L267" s="131"/>
      <c r="M267" s="131"/>
      <c r="N267" s="131"/>
      <c r="O267" s="131"/>
      <c r="P267" s="131"/>
      <c r="Q267" s="131"/>
      <c r="R267" s="131"/>
      <c r="S267" s="131"/>
      <c r="T267" s="131"/>
    </row>
    <row r="268">
      <c r="A268" s="131"/>
      <c r="B268" s="131"/>
      <c r="C268" s="131"/>
      <c r="D268" s="81"/>
      <c r="E268" s="81"/>
      <c r="F268" s="131"/>
      <c r="G268" s="131"/>
      <c r="H268" s="131"/>
      <c r="I268" s="131"/>
      <c r="J268" s="131"/>
      <c r="K268" s="131"/>
      <c r="L268" s="131"/>
      <c r="M268" s="131"/>
      <c r="N268" s="131"/>
      <c r="O268" s="131"/>
      <c r="P268" s="131"/>
      <c r="Q268" s="131"/>
      <c r="R268" s="131"/>
      <c r="S268" s="131"/>
      <c r="T268" s="131"/>
    </row>
    <row r="269">
      <c r="A269" s="131"/>
      <c r="B269" s="131"/>
      <c r="C269" s="131"/>
      <c r="D269" s="81"/>
      <c r="E269" s="81"/>
      <c r="F269" s="131"/>
      <c r="G269" s="131"/>
      <c r="H269" s="131"/>
      <c r="I269" s="131"/>
      <c r="J269" s="131"/>
      <c r="K269" s="131"/>
      <c r="L269" s="131"/>
      <c r="M269" s="131"/>
      <c r="N269" s="131"/>
      <c r="O269" s="131"/>
      <c r="P269" s="131"/>
      <c r="Q269" s="131"/>
      <c r="R269" s="131"/>
      <c r="S269" s="131"/>
      <c r="T269" s="131"/>
    </row>
    <row r="270">
      <c r="A270" s="131"/>
      <c r="B270" s="131"/>
      <c r="C270" s="131"/>
      <c r="D270" s="81"/>
      <c r="E270" s="81"/>
      <c r="F270" s="131"/>
      <c r="G270" s="131"/>
      <c r="H270" s="131"/>
      <c r="I270" s="131"/>
      <c r="J270" s="131"/>
      <c r="K270" s="131"/>
      <c r="L270" s="131"/>
      <c r="M270" s="131"/>
      <c r="N270" s="131"/>
      <c r="O270" s="131"/>
      <c r="P270" s="131"/>
      <c r="Q270" s="131"/>
      <c r="R270" s="131"/>
      <c r="S270" s="131"/>
      <c r="T270" s="131"/>
    </row>
    <row r="271">
      <c r="A271" s="131"/>
      <c r="B271" s="131"/>
      <c r="C271" s="131"/>
      <c r="D271" s="81"/>
      <c r="E271" s="81"/>
      <c r="F271" s="131"/>
      <c r="G271" s="131"/>
      <c r="H271" s="131"/>
      <c r="I271" s="131"/>
      <c r="J271" s="131"/>
      <c r="K271" s="131"/>
      <c r="L271" s="131"/>
      <c r="M271" s="131"/>
      <c r="N271" s="131"/>
      <c r="O271" s="131"/>
      <c r="P271" s="131"/>
      <c r="Q271" s="131"/>
      <c r="R271" s="131"/>
      <c r="S271" s="131"/>
      <c r="T271" s="131"/>
    </row>
    <row r="272">
      <c r="A272" s="131"/>
      <c r="B272" s="131"/>
      <c r="C272" s="131"/>
      <c r="D272" s="81"/>
      <c r="E272" s="81"/>
      <c r="F272" s="131"/>
      <c r="G272" s="131"/>
      <c r="H272" s="131"/>
      <c r="I272" s="131"/>
      <c r="J272" s="131"/>
      <c r="K272" s="131"/>
      <c r="L272" s="131"/>
      <c r="M272" s="131"/>
      <c r="N272" s="131"/>
      <c r="O272" s="131"/>
      <c r="P272" s="131"/>
      <c r="Q272" s="131"/>
      <c r="R272" s="131"/>
      <c r="S272" s="131"/>
      <c r="T272" s="131"/>
    </row>
    <row r="273">
      <c r="A273" s="131"/>
      <c r="B273" s="131"/>
      <c r="C273" s="131"/>
      <c r="D273" s="81"/>
      <c r="E273" s="81"/>
      <c r="F273" s="131"/>
      <c r="G273" s="131"/>
      <c r="H273" s="131"/>
      <c r="I273" s="131"/>
      <c r="J273" s="131"/>
      <c r="K273" s="131"/>
      <c r="L273" s="131"/>
      <c r="M273" s="131"/>
      <c r="N273" s="131"/>
      <c r="O273" s="131"/>
      <c r="P273" s="131"/>
      <c r="Q273" s="131"/>
      <c r="R273" s="131"/>
      <c r="S273" s="131"/>
      <c r="T273" s="131"/>
    </row>
    <row r="274">
      <c r="A274" s="131"/>
      <c r="B274" s="131"/>
      <c r="C274" s="131"/>
      <c r="D274" s="81"/>
      <c r="E274" s="81"/>
      <c r="F274" s="131"/>
      <c r="G274" s="131"/>
      <c r="H274" s="131"/>
      <c r="I274" s="131"/>
      <c r="J274" s="131"/>
      <c r="K274" s="131"/>
      <c r="L274" s="131"/>
      <c r="M274" s="131"/>
      <c r="N274" s="131"/>
      <c r="O274" s="131"/>
      <c r="P274" s="131"/>
      <c r="Q274" s="131"/>
      <c r="R274" s="131"/>
      <c r="S274" s="131"/>
      <c r="T274" s="131"/>
    </row>
    <row r="275">
      <c r="A275" s="131"/>
      <c r="B275" s="131"/>
      <c r="C275" s="131"/>
      <c r="D275" s="81"/>
      <c r="E275" s="81"/>
      <c r="F275" s="131"/>
      <c r="G275" s="131"/>
      <c r="H275" s="131"/>
      <c r="I275" s="131"/>
      <c r="J275" s="131"/>
      <c r="K275" s="131"/>
      <c r="L275" s="131"/>
      <c r="M275" s="131"/>
      <c r="N275" s="131"/>
      <c r="O275" s="131"/>
      <c r="P275" s="131"/>
      <c r="Q275" s="131"/>
      <c r="R275" s="131"/>
      <c r="S275" s="131"/>
      <c r="T275" s="131"/>
    </row>
    <row r="276">
      <c r="A276" s="131"/>
      <c r="B276" s="131"/>
      <c r="C276" s="131"/>
      <c r="D276" s="81"/>
      <c r="E276" s="81"/>
      <c r="F276" s="131"/>
      <c r="G276" s="131"/>
      <c r="H276" s="131"/>
      <c r="I276" s="131"/>
      <c r="J276" s="131"/>
      <c r="K276" s="131"/>
      <c r="L276" s="131"/>
      <c r="M276" s="131"/>
      <c r="N276" s="131"/>
      <c r="O276" s="131"/>
      <c r="P276" s="131"/>
      <c r="Q276" s="131"/>
      <c r="R276" s="131"/>
      <c r="S276" s="131"/>
      <c r="T276" s="131"/>
    </row>
    <row r="277">
      <c r="A277" s="131"/>
      <c r="B277" s="131"/>
      <c r="C277" s="131"/>
      <c r="D277" s="81"/>
      <c r="E277" s="81"/>
      <c r="F277" s="131"/>
      <c r="G277" s="131"/>
      <c r="H277" s="131"/>
      <c r="I277" s="131"/>
      <c r="J277" s="131"/>
      <c r="K277" s="131"/>
      <c r="L277" s="131"/>
      <c r="M277" s="131"/>
      <c r="N277" s="131"/>
      <c r="O277" s="131"/>
      <c r="P277" s="131"/>
      <c r="Q277" s="131"/>
      <c r="R277" s="131"/>
      <c r="S277" s="131"/>
      <c r="T277" s="131"/>
    </row>
    <row r="278">
      <c r="A278" s="131"/>
      <c r="B278" s="131"/>
      <c r="C278" s="131"/>
      <c r="D278" s="81"/>
      <c r="E278" s="81"/>
      <c r="F278" s="131"/>
      <c r="G278" s="131"/>
      <c r="H278" s="131"/>
      <c r="I278" s="131"/>
      <c r="J278" s="131"/>
      <c r="K278" s="131"/>
      <c r="L278" s="131"/>
      <c r="M278" s="131"/>
      <c r="N278" s="131"/>
      <c r="O278" s="131"/>
      <c r="P278" s="131"/>
      <c r="Q278" s="131"/>
      <c r="R278" s="131"/>
      <c r="S278" s="131"/>
      <c r="T278" s="131"/>
    </row>
    <row r="279">
      <c r="A279" s="131"/>
      <c r="B279" s="131"/>
      <c r="C279" s="131"/>
      <c r="D279" s="81"/>
      <c r="E279" s="81"/>
      <c r="F279" s="131"/>
      <c r="G279" s="131"/>
      <c r="H279" s="131"/>
      <c r="I279" s="131"/>
      <c r="J279" s="131"/>
      <c r="K279" s="131"/>
      <c r="L279" s="131"/>
      <c r="M279" s="131"/>
      <c r="N279" s="131"/>
      <c r="O279" s="131"/>
      <c r="P279" s="131"/>
      <c r="Q279" s="131"/>
      <c r="R279" s="131"/>
      <c r="S279" s="131"/>
      <c r="T279" s="131"/>
    </row>
    <row r="280">
      <c r="A280" s="131"/>
      <c r="B280" s="131"/>
      <c r="C280" s="131"/>
      <c r="D280" s="81"/>
      <c r="E280" s="81"/>
      <c r="F280" s="131"/>
      <c r="G280" s="131"/>
      <c r="H280" s="131"/>
      <c r="I280" s="131"/>
      <c r="J280" s="131"/>
      <c r="K280" s="131"/>
      <c r="L280" s="131"/>
      <c r="M280" s="131"/>
      <c r="N280" s="131"/>
      <c r="O280" s="131"/>
      <c r="P280" s="131"/>
      <c r="Q280" s="131"/>
      <c r="R280" s="131"/>
      <c r="S280" s="131"/>
      <c r="T280" s="131"/>
    </row>
    <row r="281">
      <c r="A281" s="131"/>
      <c r="B281" s="131"/>
      <c r="C281" s="131"/>
      <c r="D281" s="81"/>
      <c r="E281" s="81"/>
      <c r="F281" s="131"/>
      <c r="G281" s="131"/>
      <c r="H281" s="131"/>
      <c r="I281" s="131"/>
      <c r="J281" s="131"/>
      <c r="K281" s="131"/>
      <c r="L281" s="131"/>
      <c r="M281" s="131"/>
      <c r="N281" s="131"/>
      <c r="O281" s="131"/>
      <c r="P281" s="131"/>
      <c r="Q281" s="131"/>
      <c r="R281" s="131"/>
      <c r="S281" s="131"/>
      <c r="T281" s="131"/>
    </row>
    <row r="282">
      <c r="A282" s="131"/>
      <c r="B282" s="131"/>
      <c r="C282" s="131"/>
      <c r="D282" s="81"/>
      <c r="E282" s="81"/>
      <c r="F282" s="131"/>
      <c r="G282" s="131"/>
      <c r="H282" s="131"/>
      <c r="I282" s="131"/>
      <c r="J282" s="131"/>
      <c r="K282" s="131"/>
      <c r="L282" s="131"/>
      <c r="M282" s="131"/>
      <c r="N282" s="131"/>
      <c r="O282" s="131"/>
      <c r="P282" s="131"/>
      <c r="Q282" s="131"/>
      <c r="R282" s="131"/>
      <c r="S282" s="131"/>
      <c r="T282" s="131"/>
    </row>
    <row r="283">
      <c r="A283" s="131"/>
      <c r="B283" s="131"/>
      <c r="C283" s="131"/>
      <c r="D283" s="81"/>
      <c r="E283" s="81"/>
      <c r="F283" s="131"/>
      <c r="G283" s="131"/>
      <c r="H283" s="131"/>
      <c r="I283" s="131"/>
      <c r="J283" s="131"/>
      <c r="K283" s="131"/>
      <c r="L283" s="131"/>
      <c r="M283" s="131"/>
      <c r="N283" s="131"/>
      <c r="O283" s="131"/>
      <c r="P283" s="131"/>
      <c r="Q283" s="131"/>
      <c r="R283" s="131"/>
      <c r="S283" s="131"/>
      <c r="T283" s="131"/>
    </row>
    <row r="284">
      <c r="A284" s="131"/>
      <c r="B284" s="131"/>
      <c r="C284" s="131"/>
      <c r="D284" s="81"/>
      <c r="E284" s="81"/>
      <c r="F284" s="131"/>
      <c r="G284" s="131"/>
      <c r="H284" s="131"/>
      <c r="I284" s="131"/>
      <c r="J284" s="131"/>
      <c r="K284" s="131"/>
      <c r="L284" s="131"/>
      <c r="M284" s="131"/>
      <c r="N284" s="131"/>
      <c r="O284" s="131"/>
      <c r="P284" s="131"/>
      <c r="Q284" s="131"/>
      <c r="R284" s="131"/>
      <c r="S284" s="131"/>
      <c r="T284" s="131"/>
    </row>
    <row r="285">
      <c r="A285" s="131"/>
      <c r="B285" s="131"/>
      <c r="C285" s="131"/>
      <c r="D285" s="81"/>
      <c r="E285" s="81"/>
      <c r="F285" s="131"/>
      <c r="G285" s="131"/>
      <c r="H285" s="131"/>
      <c r="I285" s="131"/>
      <c r="J285" s="131"/>
      <c r="K285" s="131"/>
      <c r="L285" s="131"/>
      <c r="M285" s="131"/>
      <c r="N285" s="131"/>
      <c r="O285" s="131"/>
      <c r="P285" s="131"/>
      <c r="Q285" s="131"/>
      <c r="R285" s="131"/>
      <c r="S285" s="131"/>
      <c r="T285" s="131"/>
    </row>
    <row r="286">
      <c r="A286" s="131"/>
      <c r="B286" s="131"/>
      <c r="C286" s="131"/>
      <c r="D286" s="81"/>
      <c r="E286" s="81"/>
      <c r="F286" s="131"/>
      <c r="G286" s="131"/>
      <c r="H286" s="131"/>
      <c r="I286" s="131"/>
      <c r="J286" s="131"/>
      <c r="K286" s="131"/>
      <c r="L286" s="131"/>
      <c r="M286" s="131"/>
      <c r="N286" s="131"/>
      <c r="O286" s="131"/>
      <c r="P286" s="131"/>
      <c r="Q286" s="131"/>
      <c r="R286" s="131"/>
      <c r="S286" s="131"/>
      <c r="T286" s="131"/>
    </row>
    <row r="287">
      <c r="A287" s="131"/>
      <c r="B287" s="131"/>
      <c r="C287" s="131"/>
      <c r="D287" s="81"/>
      <c r="E287" s="81"/>
      <c r="F287" s="131"/>
      <c r="G287" s="131"/>
      <c r="H287" s="131"/>
      <c r="I287" s="131"/>
      <c r="J287" s="131"/>
      <c r="K287" s="131"/>
      <c r="L287" s="131"/>
      <c r="M287" s="131"/>
      <c r="N287" s="131"/>
      <c r="O287" s="131"/>
      <c r="P287" s="131"/>
      <c r="Q287" s="131"/>
      <c r="R287" s="131"/>
      <c r="S287" s="131"/>
      <c r="T287" s="131"/>
    </row>
    <row r="288">
      <c r="A288" s="131"/>
      <c r="B288" s="131"/>
      <c r="C288" s="131"/>
      <c r="D288" s="81"/>
      <c r="E288" s="81"/>
      <c r="F288" s="131"/>
      <c r="G288" s="131"/>
      <c r="H288" s="131"/>
      <c r="I288" s="131"/>
      <c r="J288" s="131"/>
      <c r="K288" s="131"/>
      <c r="L288" s="131"/>
      <c r="M288" s="131"/>
      <c r="N288" s="131"/>
      <c r="O288" s="131"/>
      <c r="P288" s="131"/>
      <c r="Q288" s="131"/>
      <c r="R288" s="131"/>
      <c r="S288" s="131"/>
      <c r="T288" s="131"/>
    </row>
    <row r="289">
      <c r="A289" s="131"/>
      <c r="B289" s="131"/>
      <c r="C289" s="131"/>
      <c r="D289" s="81"/>
      <c r="E289" s="81"/>
      <c r="F289" s="131"/>
      <c r="G289" s="131"/>
      <c r="H289" s="131"/>
      <c r="I289" s="131"/>
      <c r="J289" s="131"/>
      <c r="K289" s="131"/>
      <c r="L289" s="131"/>
      <c r="M289" s="131"/>
      <c r="N289" s="131"/>
      <c r="O289" s="131"/>
      <c r="P289" s="131"/>
      <c r="Q289" s="131"/>
      <c r="R289" s="131"/>
      <c r="S289" s="131"/>
      <c r="T289" s="131"/>
    </row>
    <row r="290">
      <c r="A290" s="131"/>
      <c r="B290" s="131"/>
      <c r="C290" s="131"/>
      <c r="D290" s="81"/>
      <c r="E290" s="81"/>
      <c r="F290" s="131"/>
      <c r="G290" s="131"/>
      <c r="H290" s="131"/>
      <c r="I290" s="131"/>
      <c r="J290" s="131"/>
      <c r="K290" s="131"/>
      <c r="L290" s="131"/>
      <c r="M290" s="131"/>
      <c r="N290" s="131"/>
      <c r="O290" s="131"/>
      <c r="P290" s="131"/>
      <c r="Q290" s="131"/>
      <c r="R290" s="131"/>
      <c r="S290" s="131"/>
      <c r="T290" s="131"/>
    </row>
    <row r="291">
      <c r="A291" s="131"/>
      <c r="B291" s="131"/>
      <c r="C291" s="131"/>
      <c r="D291" s="81"/>
      <c r="E291" s="81"/>
      <c r="F291" s="131"/>
      <c r="G291" s="131"/>
      <c r="H291" s="131"/>
      <c r="I291" s="131"/>
      <c r="J291" s="131"/>
      <c r="K291" s="131"/>
      <c r="L291" s="131"/>
      <c r="M291" s="131"/>
      <c r="N291" s="131"/>
      <c r="O291" s="131"/>
      <c r="P291" s="131"/>
      <c r="Q291" s="131"/>
      <c r="R291" s="131"/>
      <c r="S291" s="131"/>
      <c r="T291" s="131"/>
    </row>
    <row r="292">
      <c r="A292" s="131"/>
      <c r="B292" s="131"/>
      <c r="C292" s="131"/>
      <c r="D292" s="81"/>
      <c r="E292" s="81"/>
      <c r="F292" s="131"/>
      <c r="G292" s="131"/>
      <c r="H292" s="131"/>
      <c r="I292" s="131"/>
      <c r="J292" s="131"/>
      <c r="K292" s="131"/>
      <c r="L292" s="131"/>
      <c r="M292" s="131"/>
      <c r="N292" s="131"/>
      <c r="O292" s="131"/>
      <c r="P292" s="131"/>
      <c r="Q292" s="131"/>
      <c r="R292" s="131"/>
      <c r="S292" s="131"/>
      <c r="T292" s="131"/>
    </row>
    <row r="293">
      <c r="A293" s="131"/>
      <c r="B293" s="131"/>
      <c r="C293" s="131"/>
      <c r="D293" s="81"/>
      <c r="E293" s="81"/>
      <c r="F293" s="131"/>
      <c r="G293" s="131"/>
      <c r="H293" s="131"/>
      <c r="I293" s="131"/>
      <c r="J293" s="131"/>
      <c r="K293" s="131"/>
      <c r="L293" s="131"/>
      <c r="M293" s="131"/>
      <c r="N293" s="131"/>
      <c r="O293" s="131"/>
      <c r="P293" s="131"/>
      <c r="Q293" s="131"/>
      <c r="R293" s="131"/>
      <c r="S293" s="131"/>
      <c r="T293" s="131"/>
    </row>
    <row r="294">
      <c r="A294" s="131"/>
      <c r="B294" s="131"/>
      <c r="C294" s="131"/>
      <c r="D294" s="81"/>
      <c r="E294" s="81"/>
      <c r="F294" s="131"/>
      <c r="G294" s="131"/>
      <c r="H294" s="131"/>
      <c r="I294" s="131"/>
      <c r="J294" s="131"/>
      <c r="K294" s="131"/>
      <c r="L294" s="131"/>
      <c r="M294" s="131"/>
      <c r="N294" s="131"/>
      <c r="O294" s="131"/>
      <c r="P294" s="131"/>
      <c r="Q294" s="131"/>
      <c r="R294" s="131"/>
      <c r="S294" s="131"/>
      <c r="T294" s="131"/>
    </row>
    <row r="295">
      <c r="A295" s="131"/>
      <c r="B295" s="131"/>
      <c r="C295" s="131"/>
      <c r="D295" s="81"/>
      <c r="E295" s="81"/>
      <c r="F295" s="131"/>
      <c r="G295" s="131"/>
      <c r="H295" s="131"/>
      <c r="I295" s="131"/>
      <c r="J295" s="131"/>
      <c r="K295" s="131"/>
      <c r="L295" s="131"/>
      <c r="M295" s="131"/>
      <c r="N295" s="131"/>
      <c r="O295" s="131"/>
      <c r="P295" s="131"/>
      <c r="Q295" s="131"/>
      <c r="R295" s="131"/>
      <c r="S295" s="131"/>
      <c r="T295" s="131"/>
    </row>
    <row r="296">
      <c r="A296" s="131"/>
      <c r="B296" s="131"/>
      <c r="C296" s="131"/>
      <c r="D296" s="81"/>
      <c r="E296" s="81"/>
      <c r="F296" s="131"/>
      <c r="G296" s="131"/>
      <c r="H296" s="131"/>
      <c r="I296" s="131"/>
      <c r="J296" s="131"/>
      <c r="K296" s="131"/>
      <c r="L296" s="131"/>
      <c r="M296" s="131"/>
      <c r="N296" s="131"/>
      <c r="O296" s="131"/>
      <c r="P296" s="131"/>
      <c r="Q296" s="131"/>
      <c r="R296" s="131"/>
      <c r="S296" s="131"/>
      <c r="T296" s="131"/>
    </row>
    <row r="297">
      <c r="A297" s="131"/>
      <c r="B297" s="131"/>
      <c r="C297" s="131"/>
      <c r="D297" s="81"/>
      <c r="E297" s="81"/>
      <c r="F297" s="131"/>
      <c r="G297" s="131"/>
      <c r="H297" s="131"/>
      <c r="I297" s="131"/>
      <c r="J297" s="131"/>
      <c r="K297" s="131"/>
      <c r="L297" s="131"/>
      <c r="M297" s="131"/>
      <c r="N297" s="131"/>
      <c r="O297" s="131"/>
      <c r="P297" s="131"/>
      <c r="Q297" s="131"/>
      <c r="R297" s="131"/>
      <c r="S297" s="131"/>
      <c r="T297" s="131"/>
    </row>
    <row r="298">
      <c r="A298" s="131"/>
      <c r="B298" s="131"/>
      <c r="C298" s="131"/>
      <c r="D298" s="81"/>
      <c r="E298" s="81"/>
      <c r="F298" s="131"/>
      <c r="G298" s="131"/>
      <c r="H298" s="131"/>
      <c r="I298" s="131"/>
      <c r="J298" s="131"/>
      <c r="K298" s="131"/>
      <c r="L298" s="131"/>
      <c r="M298" s="131"/>
      <c r="N298" s="131"/>
      <c r="O298" s="131"/>
      <c r="P298" s="131"/>
      <c r="Q298" s="131"/>
      <c r="R298" s="131"/>
      <c r="S298" s="131"/>
      <c r="T298" s="131"/>
    </row>
    <row r="299">
      <c r="A299" s="131"/>
      <c r="B299" s="131"/>
      <c r="C299" s="131"/>
      <c r="D299" s="81"/>
      <c r="E299" s="81"/>
      <c r="F299" s="131"/>
      <c r="G299" s="131"/>
      <c r="H299" s="131"/>
      <c r="I299" s="131"/>
      <c r="J299" s="131"/>
      <c r="K299" s="131"/>
      <c r="L299" s="131"/>
      <c r="M299" s="131"/>
      <c r="N299" s="131"/>
      <c r="O299" s="131"/>
      <c r="P299" s="131"/>
      <c r="Q299" s="131"/>
      <c r="R299" s="131"/>
      <c r="S299" s="131"/>
      <c r="T299" s="131"/>
    </row>
    <row r="300">
      <c r="A300" s="131"/>
      <c r="B300" s="131"/>
      <c r="C300" s="131"/>
      <c r="D300" s="81"/>
      <c r="E300" s="81"/>
      <c r="F300" s="131"/>
      <c r="G300" s="131"/>
      <c r="H300" s="131"/>
      <c r="I300" s="131"/>
      <c r="J300" s="131"/>
      <c r="K300" s="131"/>
      <c r="L300" s="131"/>
      <c r="M300" s="131"/>
      <c r="N300" s="131"/>
      <c r="O300" s="131"/>
      <c r="P300" s="131"/>
      <c r="Q300" s="131"/>
      <c r="R300" s="131"/>
      <c r="S300" s="131"/>
      <c r="T300" s="131"/>
    </row>
    <row r="301">
      <c r="A301" s="131"/>
      <c r="B301" s="131"/>
      <c r="C301" s="131"/>
      <c r="D301" s="81"/>
      <c r="E301" s="81"/>
      <c r="F301" s="131"/>
      <c r="G301" s="131"/>
      <c r="H301" s="131"/>
      <c r="I301" s="131"/>
      <c r="J301" s="131"/>
      <c r="K301" s="131"/>
      <c r="L301" s="131"/>
      <c r="M301" s="131"/>
      <c r="N301" s="131"/>
      <c r="O301" s="131"/>
      <c r="P301" s="131"/>
      <c r="Q301" s="131"/>
      <c r="R301" s="131"/>
      <c r="S301" s="131"/>
      <c r="T301" s="131"/>
    </row>
    <row r="302">
      <c r="A302" s="131"/>
      <c r="B302" s="131"/>
      <c r="C302" s="131"/>
      <c r="D302" s="81"/>
      <c r="E302" s="81"/>
      <c r="F302" s="131"/>
      <c r="G302" s="131"/>
      <c r="H302" s="131"/>
      <c r="I302" s="131"/>
      <c r="J302" s="131"/>
      <c r="K302" s="131"/>
      <c r="L302" s="131"/>
      <c r="M302" s="131"/>
      <c r="N302" s="131"/>
      <c r="O302" s="131"/>
      <c r="P302" s="131"/>
      <c r="Q302" s="131"/>
      <c r="R302" s="131"/>
      <c r="S302" s="131"/>
      <c r="T302" s="131"/>
    </row>
    <row r="303">
      <c r="A303" s="131"/>
      <c r="B303" s="131"/>
      <c r="C303" s="131"/>
      <c r="D303" s="81"/>
      <c r="E303" s="81"/>
      <c r="F303" s="131"/>
      <c r="G303" s="131"/>
      <c r="H303" s="131"/>
      <c r="I303" s="131"/>
      <c r="J303" s="131"/>
      <c r="K303" s="131"/>
      <c r="L303" s="131"/>
      <c r="M303" s="131"/>
      <c r="N303" s="131"/>
      <c r="O303" s="131"/>
      <c r="P303" s="131"/>
      <c r="Q303" s="131"/>
      <c r="R303" s="131"/>
      <c r="S303" s="131"/>
      <c r="T303" s="131"/>
    </row>
    <row r="304">
      <c r="A304" s="131"/>
      <c r="B304" s="131"/>
      <c r="C304" s="131"/>
      <c r="D304" s="81"/>
      <c r="E304" s="81"/>
      <c r="F304" s="131"/>
      <c r="G304" s="131"/>
      <c r="H304" s="131"/>
      <c r="I304" s="131"/>
      <c r="J304" s="131"/>
      <c r="K304" s="131"/>
      <c r="L304" s="131"/>
      <c r="M304" s="131"/>
      <c r="N304" s="131"/>
      <c r="O304" s="131"/>
      <c r="P304" s="131"/>
      <c r="Q304" s="131"/>
      <c r="R304" s="131"/>
      <c r="S304" s="131"/>
      <c r="T304" s="131"/>
    </row>
    <row r="305">
      <c r="A305" s="131"/>
      <c r="B305" s="131"/>
      <c r="C305" s="131"/>
      <c r="D305" s="81"/>
      <c r="E305" s="81"/>
      <c r="F305" s="131"/>
      <c r="G305" s="131"/>
      <c r="H305" s="131"/>
      <c r="I305" s="131"/>
      <c r="J305" s="131"/>
      <c r="K305" s="131"/>
      <c r="L305" s="131"/>
      <c r="M305" s="131"/>
      <c r="N305" s="131"/>
      <c r="O305" s="131"/>
      <c r="P305" s="131"/>
      <c r="Q305" s="131"/>
      <c r="R305" s="131"/>
      <c r="S305" s="131"/>
      <c r="T305" s="131"/>
    </row>
    <row r="306">
      <c r="A306" s="131"/>
      <c r="B306" s="131"/>
      <c r="C306" s="131"/>
      <c r="D306" s="81"/>
      <c r="E306" s="81"/>
      <c r="F306" s="131"/>
      <c r="G306" s="131"/>
      <c r="H306" s="131"/>
      <c r="I306" s="131"/>
      <c r="J306" s="131"/>
      <c r="K306" s="131"/>
      <c r="L306" s="131"/>
      <c r="M306" s="131"/>
      <c r="N306" s="131"/>
      <c r="O306" s="131"/>
      <c r="P306" s="131"/>
      <c r="Q306" s="131"/>
      <c r="R306" s="131"/>
      <c r="S306" s="131"/>
      <c r="T306" s="131"/>
    </row>
    <row r="307">
      <c r="A307" s="131"/>
      <c r="B307" s="131"/>
      <c r="C307" s="131"/>
      <c r="D307" s="81"/>
      <c r="E307" s="81"/>
      <c r="F307" s="131"/>
      <c r="G307" s="131"/>
      <c r="H307" s="131"/>
      <c r="I307" s="131"/>
      <c r="J307" s="131"/>
      <c r="K307" s="131"/>
      <c r="L307" s="131"/>
      <c r="M307" s="131"/>
      <c r="N307" s="131"/>
      <c r="O307" s="131"/>
      <c r="P307" s="131"/>
      <c r="Q307" s="131"/>
      <c r="R307" s="131"/>
      <c r="S307" s="131"/>
      <c r="T307" s="131"/>
    </row>
    <row r="308">
      <c r="A308" s="131"/>
      <c r="B308" s="131"/>
      <c r="C308" s="131"/>
      <c r="D308" s="81"/>
      <c r="E308" s="81"/>
      <c r="F308" s="131"/>
      <c r="G308" s="131"/>
      <c r="H308" s="131"/>
      <c r="I308" s="131"/>
      <c r="J308" s="131"/>
      <c r="K308" s="131"/>
      <c r="L308" s="131"/>
      <c r="M308" s="131"/>
      <c r="N308" s="131"/>
      <c r="O308" s="131"/>
      <c r="P308" s="131"/>
      <c r="Q308" s="131"/>
      <c r="R308" s="131"/>
      <c r="S308" s="131"/>
      <c r="T308" s="131"/>
    </row>
    <row r="309">
      <c r="A309" s="131"/>
      <c r="B309" s="131"/>
      <c r="C309" s="131"/>
      <c r="D309" s="81"/>
      <c r="E309" s="81"/>
      <c r="F309" s="131"/>
      <c r="G309" s="131"/>
      <c r="H309" s="131"/>
      <c r="I309" s="131"/>
      <c r="J309" s="131"/>
      <c r="K309" s="131"/>
      <c r="L309" s="131"/>
      <c r="M309" s="131"/>
      <c r="N309" s="131"/>
      <c r="O309" s="131"/>
      <c r="P309" s="131"/>
      <c r="Q309" s="131"/>
      <c r="R309" s="131"/>
      <c r="S309" s="131"/>
      <c r="T309" s="131"/>
    </row>
    <row r="310">
      <c r="A310" s="131"/>
      <c r="B310" s="131"/>
      <c r="C310" s="131"/>
      <c r="D310" s="81"/>
      <c r="E310" s="81"/>
      <c r="F310" s="131"/>
      <c r="G310" s="131"/>
      <c r="H310" s="131"/>
      <c r="I310" s="131"/>
      <c r="J310" s="131"/>
      <c r="K310" s="131"/>
      <c r="L310" s="131"/>
      <c r="M310" s="131"/>
      <c r="N310" s="131"/>
      <c r="O310" s="131"/>
      <c r="P310" s="131"/>
      <c r="Q310" s="131"/>
      <c r="R310" s="131"/>
      <c r="S310" s="131"/>
      <c r="T310" s="131"/>
    </row>
    <row r="311">
      <c r="A311" s="131"/>
      <c r="B311" s="131"/>
      <c r="C311" s="131"/>
      <c r="D311" s="81"/>
      <c r="E311" s="81"/>
      <c r="F311" s="131"/>
      <c r="G311" s="131"/>
      <c r="H311" s="131"/>
      <c r="I311" s="131"/>
      <c r="J311" s="131"/>
      <c r="K311" s="131"/>
      <c r="L311" s="131"/>
      <c r="M311" s="131"/>
      <c r="N311" s="131"/>
      <c r="O311" s="131"/>
      <c r="P311" s="131"/>
      <c r="Q311" s="131"/>
      <c r="R311" s="131"/>
      <c r="S311" s="131"/>
      <c r="T311" s="131"/>
    </row>
    <row r="312">
      <c r="A312" s="131"/>
      <c r="B312" s="131"/>
      <c r="C312" s="131"/>
      <c r="D312" s="81"/>
      <c r="E312" s="81"/>
      <c r="F312" s="131"/>
      <c r="G312" s="131"/>
      <c r="H312" s="131"/>
      <c r="I312" s="131"/>
      <c r="J312" s="131"/>
      <c r="K312" s="131"/>
      <c r="L312" s="131"/>
      <c r="M312" s="131"/>
      <c r="N312" s="131"/>
      <c r="O312" s="131"/>
      <c r="P312" s="131"/>
      <c r="Q312" s="131"/>
      <c r="R312" s="131"/>
      <c r="S312" s="131"/>
      <c r="T312" s="131"/>
    </row>
    <row r="313">
      <c r="A313" s="131"/>
      <c r="B313" s="131"/>
      <c r="C313" s="131"/>
      <c r="D313" s="81"/>
      <c r="E313" s="81"/>
      <c r="F313" s="131"/>
      <c r="G313" s="131"/>
      <c r="H313" s="131"/>
      <c r="I313" s="131"/>
      <c r="J313" s="131"/>
      <c r="K313" s="131"/>
      <c r="L313" s="131"/>
      <c r="M313" s="131"/>
      <c r="N313" s="131"/>
      <c r="O313" s="131"/>
      <c r="P313" s="131"/>
      <c r="Q313" s="131"/>
      <c r="R313" s="131"/>
      <c r="S313" s="131"/>
      <c r="T313" s="131"/>
    </row>
    <row r="314">
      <c r="A314" s="131"/>
      <c r="B314" s="131"/>
      <c r="C314" s="131"/>
      <c r="D314" s="81"/>
      <c r="E314" s="81"/>
      <c r="F314" s="131"/>
      <c r="G314" s="131"/>
      <c r="H314" s="131"/>
      <c r="I314" s="131"/>
      <c r="J314" s="131"/>
      <c r="K314" s="131"/>
      <c r="L314" s="131"/>
      <c r="M314" s="131"/>
      <c r="N314" s="131"/>
      <c r="O314" s="131"/>
      <c r="P314" s="131"/>
      <c r="Q314" s="131"/>
      <c r="R314" s="131"/>
      <c r="S314" s="131"/>
      <c r="T314" s="131"/>
    </row>
    <row r="315">
      <c r="A315" s="131"/>
      <c r="B315" s="131"/>
      <c r="C315" s="131"/>
      <c r="D315" s="81"/>
      <c r="E315" s="81"/>
      <c r="F315" s="131"/>
      <c r="G315" s="131"/>
      <c r="H315" s="131"/>
      <c r="I315" s="131"/>
      <c r="J315" s="131"/>
      <c r="K315" s="131"/>
      <c r="L315" s="131"/>
      <c r="M315" s="131"/>
      <c r="N315" s="131"/>
      <c r="O315" s="131"/>
      <c r="P315" s="131"/>
      <c r="Q315" s="131"/>
      <c r="R315" s="131"/>
      <c r="S315" s="131"/>
      <c r="T315" s="131"/>
    </row>
    <row r="316">
      <c r="A316" s="131"/>
      <c r="B316" s="131"/>
      <c r="C316" s="131"/>
      <c r="D316" s="81"/>
      <c r="E316" s="81"/>
      <c r="F316" s="131"/>
      <c r="G316" s="131"/>
      <c r="H316" s="131"/>
      <c r="I316" s="131"/>
      <c r="J316" s="131"/>
      <c r="K316" s="131"/>
      <c r="L316" s="131"/>
      <c r="M316" s="131"/>
      <c r="N316" s="131"/>
      <c r="O316" s="131"/>
      <c r="P316" s="131"/>
      <c r="Q316" s="131"/>
      <c r="R316" s="131"/>
      <c r="S316" s="131"/>
      <c r="T316" s="131"/>
    </row>
    <row r="317">
      <c r="A317" s="131"/>
      <c r="B317" s="131"/>
      <c r="C317" s="131"/>
      <c r="D317" s="81"/>
      <c r="E317" s="81"/>
      <c r="F317" s="131"/>
      <c r="G317" s="131"/>
      <c r="H317" s="131"/>
      <c r="I317" s="131"/>
      <c r="J317" s="131"/>
      <c r="K317" s="131"/>
      <c r="L317" s="131"/>
      <c r="M317" s="131"/>
      <c r="N317" s="131"/>
      <c r="O317" s="131"/>
      <c r="P317" s="131"/>
      <c r="Q317" s="131"/>
      <c r="R317" s="131"/>
      <c r="S317" s="131"/>
      <c r="T317" s="131"/>
    </row>
    <row r="318">
      <c r="A318" s="131"/>
      <c r="B318" s="131"/>
      <c r="C318" s="131"/>
      <c r="D318" s="81"/>
      <c r="E318" s="81"/>
      <c r="F318" s="131"/>
      <c r="G318" s="131"/>
      <c r="H318" s="131"/>
      <c r="I318" s="131"/>
      <c r="J318" s="131"/>
      <c r="K318" s="131"/>
      <c r="L318" s="131"/>
      <c r="M318" s="131"/>
      <c r="N318" s="131"/>
      <c r="O318" s="131"/>
      <c r="P318" s="131"/>
      <c r="Q318" s="131"/>
      <c r="R318" s="131"/>
      <c r="S318" s="131"/>
      <c r="T318" s="131"/>
    </row>
    <row r="319">
      <c r="A319" s="131"/>
      <c r="B319" s="131"/>
      <c r="C319" s="131"/>
      <c r="D319" s="81"/>
      <c r="E319" s="81"/>
      <c r="F319" s="131"/>
      <c r="G319" s="131"/>
      <c r="H319" s="131"/>
      <c r="I319" s="131"/>
      <c r="J319" s="131"/>
      <c r="K319" s="131"/>
      <c r="L319" s="131"/>
      <c r="M319" s="131"/>
      <c r="N319" s="131"/>
      <c r="O319" s="131"/>
      <c r="P319" s="131"/>
      <c r="Q319" s="131"/>
      <c r="R319" s="131"/>
      <c r="S319" s="131"/>
      <c r="T319" s="131"/>
    </row>
    <row r="320">
      <c r="A320" s="131"/>
      <c r="B320" s="131"/>
      <c r="C320" s="131"/>
      <c r="D320" s="81"/>
      <c r="E320" s="81"/>
      <c r="F320" s="131"/>
      <c r="G320" s="131"/>
      <c r="H320" s="131"/>
      <c r="I320" s="131"/>
      <c r="J320" s="131"/>
      <c r="K320" s="131"/>
      <c r="L320" s="131"/>
      <c r="M320" s="131"/>
      <c r="N320" s="131"/>
      <c r="O320" s="131"/>
      <c r="P320" s="131"/>
      <c r="Q320" s="131"/>
      <c r="R320" s="131"/>
      <c r="S320" s="131"/>
      <c r="T320" s="131"/>
    </row>
    <row r="321">
      <c r="A321" s="131"/>
      <c r="B321" s="131"/>
      <c r="C321" s="131"/>
      <c r="D321" s="81"/>
      <c r="E321" s="81"/>
      <c r="F321" s="131"/>
      <c r="G321" s="131"/>
      <c r="H321" s="131"/>
      <c r="I321" s="131"/>
      <c r="J321" s="131"/>
      <c r="K321" s="131"/>
      <c r="L321" s="131"/>
      <c r="M321" s="131"/>
      <c r="N321" s="131"/>
      <c r="O321" s="131"/>
      <c r="P321" s="131"/>
      <c r="Q321" s="131"/>
      <c r="R321" s="131"/>
      <c r="S321" s="131"/>
      <c r="T321" s="131"/>
    </row>
    <row r="322">
      <c r="A322" s="131"/>
      <c r="B322" s="131"/>
      <c r="C322" s="131"/>
      <c r="D322" s="81"/>
      <c r="E322" s="81"/>
      <c r="F322" s="131"/>
      <c r="G322" s="131"/>
      <c r="H322" s="131"/>
      <c r="I322" s="131"/>
      <c r="J322" s="131"/>
      <c r="K322" s="131"/>
      <c r="L322" s="131"/>
      <c r="M322" s="131"/>
      <c r="N322" s="131"/>
      <c r="O322" s="131"/>
      <c r="P322" s="131"/>
      <c r="Q322" s="131"/>
      <c r="R322" s="131"/>
      <c r="S322" s="131"/>
      <c r="T322" s="131"/>
    </row>
    <row r="323">
      <c r="A323" s="131"/>
      <c r="B323" s="131"/>
      <c r="C323" s="131"/>
      <c r="D323" s="81"/>
      <c r="E323" s="81"/>
      <c r="F323" s="131"/>
      <c r="G323" s="131"/>
      <c r="H323" s="131"/>
      <c r="I323" s="131"/>
      <c r="J323" s="131"/>
      <c r="K323" s="131"/>
      <c r="L323" s="131"/>
      <c r="M323" s="131"/>
      <c r="N323" s="131"/>
      <c r="O323" s="131"/>
      <c r="P323" s="131"/>
      <c r="Q323" s="131"/>
      <c r="R323" s="131"/>
      <c r="S323" s="131"/>
      <c r="T323" s="131"/>
    </row>
    <row r="324">
      <c r="A324" s="131"/>
      <c r="B324" s="131"/>
      <c r="C324" s="131"/>
      <c r="D324" s="81"/>
      <c r="E324" s="81"/>
      <c r="F324" s="131"/>
      <c r="G324" s="131"/>
      <c r="H324" s="131"/>
      <c r="I324" s="131"/>
      <c r="J324" s="131"/>
      <c r="K324" s="131"/>
      <c r="L324" s="131"/>
      <c r="M324" s="131"/>
      <c r="N324" s="131"/>
      <c r="O324" s="131"/>
      <c r="P324" s="131"/>
      <c r="Q324" s="131"/>
      <c r="R324" s="131"/>
      <c r="S324" s="131"/>
      <c r="T324" s="131"/>
    </row>
    <row r="325">
      <c r="A325" s="131"/>
      <c r="B325" s="131"/>
      <c r="C325" s="131"/>
      <c r="D325" s="81"/>
      <c r="E325" s="81"/>
      <c r="F325" s="131"/>
      <c r="G325" s="131"/>
      <c r="H325" s="131"/>
      <c r="I325" s="131"/>
      <c r="J325" s="131"/>
      <c r="K325" s="131"/>
      <c r="L325" s="131"/>
      <c r="M325" s="131"/>
      <c r="N325" s="131"/>
      <c r="O325" s="131"/>
      <c r="P325" s="131"/>
      <c r="Q325" s="131"/>
      <c r="R325" s="131"/>
      <c r="S325" s="131"/>
      <c r="T325" s="131"/>
    </row>
    <row r="326">
      <c r="A326" s="131"/>
      <c r="B326" s="131"/>
      <c r="C326" s="131"/>
      <c r="D326" s="81"/>
      <c r="E326" s="81"/>
      <c r="F326" s="131"/>
      <c r="G326" s="131"/>
      <c r="H326" s="131"/>
      <c r="I326" s="131"/>
      <c r="J326" s="131"/>
      <c r="K326" s="131"/>
      <c r="L326" s="131"/>
      <c r="M326" s="131"/>
      <c r="N326" s="131"/>
      <c r="O326" s="131"/>
      <c r="P326" s="131"/>
      <c r="Q326" s="131"/>
      <c r="R326" s="131"/>
      <c r="S326" s="131"/>
      <c r="T326" s="131"/>
    </row>
    <row r="327">
      <c r="A327" s="131"/>
      <c r="B327" s="131"/>
      <c r="C327" s="131"/>
      <c r="D327" s="81"/>
      <c r="E327" s="81"/>
      <c r="F327" s="131"/>
      <c r="G327" s="131"/>
      <c r="H327" s="131"/>
      <c r="I327" s="131"/>
      <c r="J327" s="131"/>
      <c r="K327" s="131"/>
      <c r="L327" s="131"/>
      <c r="M327" s="131"/>
      <c r="N327" s="131"/>
      <c r="O327" s="131"/>
      <c r="P327" s="131"/>
      <c r="Q327" s="131"/>
      <c r="R327" s="131"/>
      <c r="S327" s="131"/>
      <c r="T327" s="131"/>
    </row>
    <row r="328">
      <c r="A328" s="131"/>
      <c r="B328" s="131"/>
      <c r="C328" s="131"/>
      <c r="D328" s="81"/>
      <c r="E328" s="81"/>
      <c r="F328" s="131"/>
      <c r="G328" s="131"/>
      <c r="H328" s="131"/>
      <c r="I328" s="131"/>
      <c r="J328" s="131"/>
      <c r="K328" s="131"/>
      <c r="L328" s="131"/>
      <c r="M328" s="131"/>
      <c r="N328" s="131"/>
      <c r="O328" s="131"/>
      <c r="P328" s="131"/>
      <c r="Q328" s="131"/>
      <c r="R328" s="131"/>
      <c r="S328" s="131"/>
      <c r="T328" s="131"/>
    </row>
    <row r="329">
      <c r="A329" s="131"/>
      <c r="B329" s="131"/>
      <c r="C329" s="131"/>
      <c r="D329" s="81"/>
      <c r="E329" s="81"/>
      <c r="F329" s="131"/>
      <c r="G329" s="131"/>
      <c r="H329" s="131"/>
      <c r="I329" s="131"/>
      <c r="J329" s="131"/>
      <c r="K329" s="131"/>
      <c r="L329" s="131"/>
      <c r="M329" s="131"/>
      <c r="N329" s="131"/>
      <c r="O329" s="131"/>
      <c r="P329" s="131"/>
      <c r="Q329" s="131"/>
      <c r="R329" s="131"/>
      <c r="S329" s="131"/>
      <c r="T329" s="131"/>
    </row>
    <row r="330">
      <c r="A330" s="131"/>
      <c r="B330" s="131"/>
      <c r="C330" s="131"/>
      <c r="D330" s="81"/>
      <c r="E330" s="81"/>
      <c r="F330" s="131"/>
      <c r="G330" s="131"/>
      <c r="H330" s="131"/>
      <c r="I330" s="131"/>
      <c r="J330" s="131"/>
      <c r="K330" s="131"/>
      <c r="L330" s="131"/>
      <c r="M330" s="131"/>
      <c r="N330" s="131"/>
      <c r="O330" s="131"/>
      <c r="P330" s="131"/>
      <c r="Q330" s="131"/>
      <c r="R330" s="131"/>
      <c r="S330" s="131"/>
      <c r="T330" s="131"/>
    </row>
    <row r="331">
      <c r="A331" s="131"/>
      <c r="B331" s="131"/>
      <c r="C331" s="131"/>
      <c r="D331" s="81"/>
      <c r="E331" s="81"/>
      <c r="F331" s="131"/>
      <c r="G331" s="131"/>
      <c r="H331" s="131"/>
      <c r="I331" s="131"/>
      <c r="J331" s="131"/>
      <c r="K331" s="131"/>
      <c r="L331" s="131"/>
      <c r="M331" s="131"/>
      <c r="N331" s="131"/>
      <c r="O331" s="131"/>
      <c r="P331" s="131"/>
      <c r="Q331" s="131"/>
      <c r="R331" s="131"/>
      <c r="S331" s="131"/>
      <c r="T331" s="131"/>
    </row>
    <row r="332">
      <c r="A332" s="131"/>
      <c r="B332" s="131"/>
      <c r="C332" s="131"/>
      <c r="D332" s="81"/>
      <c r="E332" s="81"/>
      <c r="F332" s="131"/>
      <c r="G332" s="131"/>
      <c r="H332" s="131"/>
      <c r="I332" s="131"/>
      <c r="J332" s="131"/>
      <c r="K332" s="131"/>
      <c r="L332" s="131"/>
      <c r="M332" s="131"/>
      <c r="N332" s="131"/>
      <c r="O332" s="131"/>
      <c r="P332" s="131"/>
      <c r="Q332" s="131"/>
      <c r="R332" s="131"/>
      <c r="S332" s="131"/>
      <c r="T332" s="131"/>
    </row>
    <row r="333">
      <c r="A333" s="131"/>
      <c r="B333" s="131"/>
      <c r="C333" s="131"/>
      <c r="D333" s="81"/>
      <c r="E333" s="81"/>
      <c r="F333" s="131"/>
      <c r="G333" s="131"/>
      <c r="H333" s="131"/>
      <c r="I333" s="131"/>
      <c r="J333" s="131"/>
      <c r="K333" s="131"/>
      <c r="L333" s="131"/>
      <c r="M333" s="131"/>
      <c r="N333" s="131"/>
      <c r="O333" s="131"/>
      <c r="P333" s="131"/>
      <c r="Q333" s="131"/>
      <c r="R333" s="131"/>
      <c r="S333" s="131"/>
      <c r="T333" s="131"/>
    </row>
    <row r="334">
      <c r="A334" s="131"/>
      <c r="B334" s="131"/>
      <c r="C334" s="131"/>
      <c r="D334" s="81"/>
      <c r="E334" s="81"/>
      <c r="F334" s="131"/>
      <c r="G334" s="131"/>
      <c r="H334" s="131"/>
      <c r="I334" s="131"/>
      <c r="J334" s="131"/>
      <c r="K334" s="131"/>
      <c r="L334" s="131"/>
      <c r="M334" s="131"/>
      <c r="N334" s="131"/>
      <c r="O334" s="131"/>
      <c r="P334" s="131"/>
      <c r="Q334" s="131"/>
      <c r="R334" s="131"/>
      <c r="S334" s="131"/>
      <c r="T334" s="131"/>
    </row>
    <row r="335">
      <c r="A335" s="131"/>
      <c r="B335" s="131"/>
      <c r="C335" s="131"/>
      <c r="D335" s="81"/>
      <c r="E335" s="81"/>
      <c r="F335" s="131"/>
      <c r="G335" s="131"/>
      <c r="H335" s="131"/>
      <c r="I335" s="131"/>
      <c r="J335" s="131"/>
      <c r="K335" s="131"/>
      <c r="L335" s="131"/>
      <c r="M335" s="131"/>
      <c r="N335" s="131"/>
      <c r="O335" s="131"/>
      <c r="P335" s="131"/>
      <c r="Q335" s="131"/>
      <c r="R335" s="131"/>
      <c r="S335" s="131"/>
      <c r="T335" s="131"/>
    </row>
    <row r="336">
      <c r="A336" s="131"/>
      <c r="B336" s="131"/>
      <c r="C336" s="131"/>
      <c r="D336" s="81"/>
      <c r="E336" s="81"/>
      <c r="F336" s="131"/>
      <c r="G336" s="131"/>
      <c r="H336" s="131"/>
      <c r="I336" s="131"/>
      <c r="J336" s="131"/>
      <c r="K336" s="131"/>
      <c r="L336" s="131"/>
      <c r="M336" s="131"/>
      <c r="N336" s="131"/>
      <c r="O336" s="131"/>
      <c r="P336" s="131"/>
      <c r="Q336" s="131"/>
      <c r="R336" s="131"/>
      <c r="S336" s="131"/>
      <c r="T336" s="131"/>
    </row>
    <row r="337">
      <c r="A337" s="131"/>
      <c r="B337" s="131"/>
      <c r="C337" s="131"/>
      <c r="D337" s="81"/>
      <c r="E337" s="81"/>
      <c r="F337" s="131"/>
      <c r="G337" s="131"/>
      <c r="H337" s="131"/>
      <c r="I337" s="131"/>
      <c r="J337" s="131"/>
      <c r="K337" s="131"/>
      <c r="L337" s="131"/>
      <c r="M337" s="131"/>
      <c r="N337" s="131"/>
      <c r="O337" s="131"/>
      <c r="P337" s="131"/>
      <c r="Q337" s="131"/>
      <c r="R337" s="131"/>
      <c r="S337" s="131"/>
      <c r="T337" s="131"/>
    </row>
    <row r="338">
      <c r="A338" s="131"/>
      <c r="B338" s="131"/>
      <c r="C338" s="131"/>
      <c r="D338" s="81"/>
      <c r="E338" s="81"/>
      <c r="F338" s="131"/>
      <c r="G338" s="131"/>
      <c r="H338" s="131"/>
      <c r="I338" s="131"/>
      <c r="J338" s="131"/>
      <c r="K338" s="131"/>
      <c r="L338" s="131"/>
      <c r="M338" s="131"/>
      <c r="N338" s="131"/>
      <c r="O338" s="131"/>
      <c r="P338" s="131"/>
      <c r="Q338" s="131"/>
      <c r="R338" s="131"/>
      <c r="S338" s="131"/>
      <c r="T338" s="131"/>
    </row>
    <row r="339">
      <c r="A339" s="131"/>
      <c r="B339" s="131"/>
      <c r="C339" s="131"/>
      <c r="D339" s="81"/>
      <c r="E339" s="81"/>
      <c r="F339" s="131"/>
      <c r="G339" s="131"/>
      <c r="H339" s="131"/>
      <c r="I339" s="131"/>
      <c r="J339" s="131"/>
      <c r="K339" s="131"/>
      <c r="L339" s="131"/>
      <c r="M339" s="131"/>
      <c r="N339" s="131"/>
      <c r="O339" s="131"/>
      <c r="P339" s="131"/>
      <c r="Q339" s="131"/>
      <c r="R339" s="131"/>
      <c r="S339" s="131"/>
      <c r="T339" s="131"/>
    </row>
    <row r="340">
      <c r="A340" s="131"/>
      <c r="B340" s="131"/>
      <c r="C340" s="131"/>
      <c r="D340" s="81"/>
      <c r="E340" s="81"/>
      <c r="F340" s="131"/>
      <c r="G340" s="131"/>
      <c r="H340" s="131"/>
      <c r="I340" s="131"/>
      <c r="J340" s="131"/>
      <c r="K340" s="131"/>
      <c r="L340" s="131"/>
      <c r="M340" s="131"/>
      <c r="N340" s="131"/>
      <c r="O340" s="131"/>
      <c r="P340" s="131"/>
      <c r="Q340" s="131"/>
      <c r="R340" s="131"/>
      <c r="S340" s="131"/>
      <c r="T340" s="131"/>
    </row>
    <row r="341">
      <c r="A341" s="131"/>
      <c r="B341" s="131"/>
      <c r="C341" s="131"/>
      <c r="D341" s="81"/>
      <c r="E341" s="81"/>
      <c r="F341" s="131"/>
      <c r="G341" s="131"/>
      <c r="H341" s="131"/>
      <c r="I341" s="131"/>
      <c r="J341" s="131"/>
      <c r="K341" s="131"/>
      <c r="L341" s="131"/>
      <c r="M341" s="131"/>
      <c r="N341" s="131"/>
      <c r="O341" s="131"/>
      <c r="P341" s="131"/>
      <c r="Q341" s="131"/>
      <c r="R341" s="131"/>
      <c r="S341" s="131"/>
      <c r="T341" s="131"/>
    </row>
    <row r="342">
      <c r="A342" s="131"/>
      <c r="B342" s="131"/>
      <c r="C342" s="131"/>
      <c r="D342" s="81"/>
      <c r="E342" s="81"/>
      <c r="F342" s="131"/>
      <c r="G342" s="131"/>
      <c r="H342" s="131"/>
      <c r="I342" s="131"/>
      <c r="J342" s="131"/>
      <c r="K342" s="131"/>
      <c r="L342" s="131"/>
      <c r="M342" s="131"/>
      <c r="N342" s="131"/>
      <c r="O342" s="131"/>
      <c r="P342" s="131"/>
      <c r="Q342" s="131"/>
      <c r="R342" s="131"/>
      <c r="S342" s="131"/>
      <c r="T342" s="131"/>
    </row>
    <row r="343">
      <c r="A343" s="131"/>
      <c r="B343" s="131"/>
      <c r="C343" s="131"/>
      <c r="D343" s="81"/>
      <c r="E343" s="81"/>
      <c r="F343" s="131"/>
      <c r="G343" s="131"/>
      <c r="H343" s="131"/>
      <c r="I343" s="131"/>
      <c r="J343" s="131"/>
      <c r="K343" s="131"/>
      <c r="L343" s="131"/>
      <c r="M343" s="131"/>
      <c r="N343" s="131"/>
      <c r="O343" s="131"/>
      <c r="P343" s="131"/>
      <c r="Q343" s="131"/>
      <c r="R343" s="131"/>
      <c r="S343" s="131"/>
      <c r="T343" s="131"/>
    </row>
    <row r="344">
      <c r="A344" s="131"/>
      <c r="B344" s="131"/>
      <c r="C344" s="131"/>
      <c r="D344" s="81"/>
      <c r="E344" s="81"/>
      <c r="F344" s="131"/>
      <c r="G344" s="131"/>
      <c r="H344" s="131"/>
      <c r="I344" s="131"/>
      <c r="J344" s="131"/>
      <c r="K344" s="131"/>
      <c r="L344" s="131"/>
      <c r="M344" s="131"/>
      <c r="N344" s="131"/>
      <c r="O344" s="131"/>
      <c r="P344" s="131"/>
      <c r="Q344" s="131"/>
      <c r="R344" s="131"/>
      <c r="S344" s="131"/>
      <c r="T344" s="131"/>
    </row>
    <row r="345">
      <c r="A345" s="131"/>
      <c r="B345" s="131"/>
      <c r="C345" s="131"/>
      <c r="D345" s="81"/>
      <c r="E345" s="81"/>
      <c r="F345" s="131"/>
      <c r="G345" s="131"/>
      <c r="H345" s="131"/>
      <c r="I345" s="131"/>
      <c r="J345" s="131"/>
      <c r="K345" s="131"/>
      <c r="L345" s="131"/>
      <c r="M345" s="131"/>
      <c r="N345" s="131"/>
      <c r="O345" s="131"/>
      <c r="P345" s="131"/>
      <c r="Q345" s="131"/>
      <c r="R345" s="131"/>
      <c r="S345" s="131"/>
      <c r="T345" s="131"/>
    </row>
    <row r="346">
      <c r="A346" s="131"/>
      <c r="B346" s="131"/>
      <c r="C346" s="131"/>
      <c r="D346" s="81"/>
      <c r="E346" s="81"/>
      <c r="F346" s="131"/>
      <c r="G346" s="131"/>
      <c r="H346" s="131"/>
      <c r="I346" s="131"/>
      <c r="J346" s="131"/>
      <c r="K346" s="131"/>
      <c r="L346" s="131"/>
      <c r="M346" s="131"/>
      <c r="N346" s="131"/>
      <c r="O346" s="131"/>
      <c r="P346" s="131"/>
      <c r="Q346" s="131"/>
      <c r="R346" s="131"/>
      <c r="S346" s="131"/>
      <c r="T346" s="131"/>
    </row>
    <row r="347">
      <c r="A347" s="131"/>
      <c r="B347" s="131"/>
      <c r="C347" s="131"/>
      <c r="D347" s="81"/>
      <c r="E347" s="81"/>
      <c r="F347" s="131"/>
      <c r="G347" s="131"/>
      <c r="H347" s="131"/>
      <c r="I347" s="131"/>
      <c r="J347" s="131"/>
      <c r="K347" s="131"/>
      <c r="L347" s="131"/>
      <c r="M347" s="131"/>
      <c r="N347" s="131"/>
      <c r="O347" s="131"/>
      <c r="P347" s="131"/>
      <c r="Q347" s="131"/>
      <c r="R347" s="131"/>
      <c r="S347" s="131"/>
      <c r="T347" s="131"/>
    </row>
    <row r="348">
      <c r="A348" s="131"/>
      <c r="B348" s="131"/>
      <c r="C348" s="131"/>
      <c r="D348" s="81"/>
      <c r="E348" s="81"/>
      <c r="F348" s="131"/>
      <c r="G348" s="131"/>
      <c r="H348" s="131"/>
      <c r="I348" s="131"/>
      <c r="J348" s="131"/>
      <c r="K348" s="131"/>
      <c r="L348" s="131"/>
      <c r="M348" s="131"/>
      <c r="N348" s="131"/>
      <c r="O348" s="131"/>
      <c r="P348" s="131"/>
      <c r="Q348" s="131"/>
      <c r="R348" s="131"/>
      <c r="S348" s="131"/>
      <c r="T348" s="131"/>
    </row>
    <row r="349">
      <c r="A349" s="131"/>
      <c r="B349" s="131"/>
      <c r="C349" s="131"/>
      <c r="D349" s="81"/>
      <c r="E349" s="81"/>
      <c r="F349" s="131"/>
      <c r="G349" s="131"/>
      <c r="H349" s="131"/>
      <c r="I349" s="131"/>
      <c r="J349" s="131"/>
      <c r="K349" s="131"/>
      <c r="L349" s="131"/>
      <c r="M349" s="131"/>
      <c r="N349" s="131"/>
      <c r="O349" s="131"/>
      <c r="P349" s="131"/>
      <c r="Q349" s="131"/>
      <c r="R349" s="131"/>
      <c r="S349" s="131"/>
      <c r="T349" s="131"/>
    </row>
    <row r="350">
      <c r="A350" s="131"/>
      <c r="B350" s="131"/>
      <c r="C350" s="131"/>
      <c r="D350" s="81"/>
      <c r="E350" s="81"/>
      <c r="F350" s="131"/>
      <c r="G350" s="131"/>
      <c r="H350" s="131"/>
      <c r="I350" s="131"/>
      <c r="J350" s="131"/>
      <c r="K350" s="131"/>
      <c r="L350" s="131"/>
      <c r="M350" s="131"/>
      <c r="N350" s="131"/>
      <c r="O350" s="131"/>
      <c r="P350" s="131"/>
      <c r="Q350" s="131"/>
      <c r="R350" s="131"/>
      <c r="S350" s="131"/>
      <c r="T350" s="131"/>
    </row>
    <row r="351">
      <c r="A351" s="131"/>
      <c r="B351" s="131"/>
      <c r="C351" s="131"/>
      <c r="D351" s="81"/>
      <c r="E351" s="81"/>
      <c r="F351" s="131"/>
      <c r="G351" s="131"/>
      <c r="H351" s="131"/>
      <c r="I351" s="131"/>
      <c r="J351" s="131"/>
      <c r="K351" s="131"/>
      <c r="L351" s="131"/>
      <c r="M351" s="131"/>
      <c r="N351" s="131"/>
      <c r="O351" s="131"/>
      <c r="P351" s="131"/>
      <c r="Q351" s="131"/>
      <c r="R351" s="131"/>
      <c r="S351" s="131"/>
      <c r="T351" s="131"/>
    </row>
    <row r="352">
      <c r="A352" s="131"/>
      <c r="B352" s="131"/>
      <c r="C352" s="131"/>
      <c r="D352" s="81"/>
      <c r="E352" s="81"/>
      <c r="F352" s="131"/>
      <c r="G352" s="131"/>
      <c r="H352" s="131"/>
      <c r="I352" s="131"/>
      <c r="J352" s="131"/>
      <c r="K352" s="131"/>
      <c r="L352" s="131"/>
      <c r="M352" s="131"/>
      <c r="N352" s="131"/>
      <c r="O352" s="131"/>
      <c r="P352" s="131"/>
      <c r="Q352" s="131"/>
      <c r="R352" s="131"/>
      <c r="S352" s="131"/>
      <c r="T352" s="131"/>
    </row>
    <row r="353">
      <c r="A353" s="131"/>
      <c r="B353" s="131"/>
      <c r="C353" s="131"/>
      <c r="D353" s="81"/>
      <c r="E353" s="81"/>
      <c r="F353" s="131"/>
      <c r="G353" s="131"/>
      <c r="H353" s="131"/>
      <c r="I353" s="131"/>
      <c r="J353" s="131"/>
      <c r="K353" s="131"/>
      <c r="L353" s="131"/>
      <c r="M353" s="131"/>
      <c r="N353" s="131"/>
      <c r="O353" s="131"/>
      <c r="P353" s="131"/>
      <c r="Q353" s="131"/>
      <c r="R353" s="131"/>
      <c r="S353" s="131"/>
      <c r="T353" s="131"/>
    </row>
    <row r="354">
      <c r="A354" s="131"/>
      <c r="B354" s="131"/>
      <c r="C354" s="131"/>
      <c r="D354" s="81"/>
      <c r="E354" s="81"/>
      <c r="F354" s="131"/>
      <c r="G354" s="131"/>
      <c r="H354" s="131"/>
      <c r="I354" s="131"/>
      <c r="J354" s="131"/>
      <c r="K354" s="131"/>
      <c r="L354" s="131"/>
      <c r="M354" s="131"/>
      <c r="N354" s="131"/>
      <c r="O354" s="131"/>
      <c r="P354" s="131"/>
      <c r="Q354" s="131"/>
      <c r="R354" s="131"/>
      <c r="S354" s="131"/>
      <c r="T354" s="131"/>
    </row>
    <row r="355">
      <c r="A355" s="131"/>
      <c r="B355" s="131"/>
      <c r="C355" s="131"/>
      <c r="D355" s="81"/>
      <c r="E355" s="81"/>
      <c r="F355" s="131"/>
      <c r="G355" s="131"/>
      <c r="H355" s="131"/>
      <c r="I355" s="131"/>
      <c r="J355" s="131"/>
      <c r="K355" s="131"/>
      <c r="L355" s="131"/>
      <c r="M355" s="131"/>
      <c r="N355" s="131"/>
      <c r="O355" s="131"/>
      <c r="P355" s="131"/>
      <c r="Q355" s="131"/>
      <c r="R355" s="131"/>
      <c r="S355" s="131"/>
      <c r="T355" s="131"/>
    </row>
    <row r="356">
      <c r="A356" s="131"/>
      <c r="B356" s="131"/>
      <c r="C356" s="131"/>
      <c r="D356" s="81"/>
      <c r="E356" s="81"/>
      <c r="F356" s="131"/>
      <c r="G356" s="131"/>
      <c r="H356" s="131"/>
      <c r="I356" s="131"/>
      <c r="J356" s="131"/>
      <c r="K356" s="131"/>
      <c r="L356" s="131"/>
      <c r="M356" s="131"/>
      <c r="N356" s="131"/>
      <c r="O356" s="131"/>
      <c r="P356" s="131"/>
      <c r="Q356" s="131"/>
      <c r="R356" s="131"/>
      <c r="S356" s="131"/>
      <c r="T356" s="131"/>
    </row>
    <row r="357">
      <c r="A357" s="131"/>
      <c r="B357" s="131"/>
      <c r="C357" s="131"/>
      <c r="D357" s="81"/>
      <c r="E357" s="81"/>
      <c r="F357" s="131"/>
      <c r="G357" s="131"/>
      <c r="H357" s="131"/>
      <c r="I357" s="131"/>
      <c r="J357" s="131"/>
      <c r="K357" s="131"/>
      <c r="L357" s="131"/>
      <c r="M357" s="131"/>
      <c r="N357" s="131"/>
      <c r="O357" s="131"/>
      <c r="P357" s="131"/>
      <c r="Q357" s="131"/>
      <c r="R357" s="131"/>
      <c r="S357" s="131"/>
      <c r="T357" s="131"/>
    </row>
    <row r="358">
      <c r="A358" s="131"/>
      <c r="B358" s="131"/>
      <c r="C358" s="131"/>
      <c r="D358" s="81"/>
      <c r="E358" s="81"/>
      <c r="F358" s="131"/>
      <c r="G358" s="131"/>
      <c r="H358" s="131"/>
      <c r="I358" s="131"/>
      <c r="J358" s="131"/>
      <c r="K358" s="131"/>
      <c r="L358" s="131"/>
      <c r="M358" s="131"/>
      <c r="N358" s="131"/>
      <c r="O358" s="131"/>
      <c r="P358" s="131"/>
      <c r="Q358" s="131"/>
      <c r="R358" s="131"/>
      <c r="S358" s="131"/>
      <c r="T358" s="131"/>
    </row>
    <row r="359">
      <c r="A359" s="131"/>
      <c r="B359" s="131"/>
      <c r="C359" s="131"/>
      <c r="D359" s="81"/>
      <c r="E359" s="81"/>
      <c r="F359" s="131"/>
      <c r="G359" s="131"/>
      <c r="H359" s="131"/>
      <c r="I359" s="131"/>
      <c r="J359" s="131"/>
      <c r="K359" s="131"/>
      <c r="L359" s="131"/>
      <c r="M359" s="131"/>
      <c r="N359" s="131"/>
      <c r="O359" s="131"/>
      <c r="P359" s="131"/>
      <c r="Q359" s="131"/>
      <c r="R359" s="131"/>
      <c r="S359" s="131"/>
      <c r="T359" s="131"/>
    </row>
    <row r="360">
      <c r="A360" s="131"/>
      <c r="B360" s="131"/>
      <c r="C360" s="131"/>
      <c r="D360" s="81"/>
      <c r="E360" s="81"/>
      <c r="F360" s="131"/>
      <c r="G360" s="131"/>
      <c r="H360" s="131"/>
      <c r="I360" s="131"/>
      <c r="J360" s="131"/>
      <c r="K360" s="131"/>
      <c r="L360" s="131"/>
      <c r="M360" s="131"/>
      <c r="N360" s="131"/>
      <c r="O360" s="131"/>
      <c r="P360" s="131"/>
      <c r="Q360" s="131"/>
      <c r="R360" s="131"/>
      <c r="S360" s="131"/>
      <c r="T360" s="131"/>
    </row>
    <row r="361">
      <c r="A361" s="131"/>
      <c r="B361" s="131"/>
      <c r="C361" s="131"/>
      <c r="D361" s="81"/>
      <c r="E361" s="81"/>
      <c r="F361" s="131"/>
      <c r="G361" s="131"/>
      <c r="H361" s="131"/>
      <c r="I361" s="131"/>
      <c r="J361" s="131"/>
      <c r="K361" s="131"/>
      <c r="L361" s="131"/>
      <c r="M361" s="131"/>
      <c r="N361" s="131"/>
      <c r="O361" s="131"/>
      <c r="P361" s="131"/>
      <c r="Q361" s="131"/>
      <c r="R361" s="131"/>
      <c r="S361" s="131"/>
      <c r="T361" s="131"/>
    </row>
    <row r="362">
      <c r="A362" s="131"/>
      <c r="B362" s="131"/>
      <c r="C362" s="131"/>
      <c r="D362" s="81"/>
      <c r="E362" s="81"/>
      <c r="F362" s="131"/>
      <c r="G362" s="131"/>
      <c r="H362" s="131"/>
      <c r="I362" s="131"/>
      <c r="J362" s="131"/>
      <c r="K362" s="131"/>
      <c r="L362" s="131"/>
      <c r="M362" s="131"/>
      <c r="N362" s="131"/>
      <c r="O362" s="131"/>
      <c r="P362" s="131"/>
      <c r="Q362" s="131"/>
      <c r="R362" s="131"/>
      <c r="S362" s="131"/>
      <c r="T362" s="131"/>
    </row>
    <row r="363">
      <c r="A363" s="131"/>
      <c r="B363" s="131"/>
      <c r="C363" s="131"/>
      <c r="D363" s="81"/>
      <c r="E363" s="81"/>
      <c r="F363" s="131"/>
      <c r="G363" s="131"/>
      <c r="H363" s="131"/>
      <c r="I363" s="131"/>
      <c r="J363" s="131"/>
      <c r="K363" s="131"/>
      <c r="L363" s="131"/>
      <c r="M363" s="131"/>
      <c r="N363" s="131"/>
      <c r="O363" s="131"/>
      <c r="P363" s="131"/>
      <c r="Q363" s="131"/>
      <c r="R363" s="131"/>
      <c r="S363" s="131"/>
      <c r="T363" s="131"/>
    </row>
    <row r="364">
      <c r="A364" s="131"/>
      <c r="B364" s="131"/>
      <c r="C364" s="131"/>
      <c r="D364" s="81"/>
      <c r="E364" s="81"/>
      <c r="F364" s="131"/>
      <c r="G364" s="131"/>
      <c r="H364" s="131"/>
      <c r="I364" s="131"/>
      <c r="J364" s="131"/>
      <c r="K364" s="131"/>
      <c r="L364" s="131"/>
      <c r="M364" s="131"/>
      <c r="N364" s="131"/>
      <c r="O364" s="131"/>
      <c r="P364" s="131"/>
      <c r="Q364" s="131"/>
      <c r="R364" s="131"/>
      <c r="S364" s="131"/>
      <c r="T364" s="131"/>
    </row>
    <row r="365">
      <c r="A365" s="131"/>
      <c r="B365" s="131"/>
      <c r="C365" s="131"/>
      <c r="D365" s="81"/>
      <c r="E365" s="81"/>
      <c r="F365" s="131"/>
      <c r="G365" s="131"/>
      <c r="H365" s="131"/>
      <c r="I365" s="131"/>
      <c r="J365" s="131"/>
      <c r="K365" s="131"/>
      <c r="L365" s="131"/>
      <c r="M365" s="131"/>
      <c r="N365" s="131"/>
      <c r="O365" s="131"/>
      <c r="P365" s="131"/>
      <c r="Q365" s="131"/>
      <c r="R365" s="131"/>
      <c r="S365" s="131"/>
      <c r="T365" s="131"/>
    </row>
    <row r="366">
      <c r="A366" s="131"/>
      <c r="B366" s="131"/>
      <c r="C366" s="131"/>
      <c r="D366" s="81"/>
      <c r="E366" s="81"/>
      <c r="F366" s="131"/>
      <c r="G366" s="131"/>
      <c r="H366" s="131"/>
      <c r="I366" s="131"/>
      <c r="J366" s="131"/>
      <c r="K366" s="131"/>
      <c r="L366" s="131"/>
      <c r="M366" s="131"/>
      <c r="N366" s="131"/>
      <c r="O366" s="131"/>
      <c r="P366" s="131"/>
      <c r="Q366" s="131"/>
      <c r="R366" s="131"/>
      <c r="S366" s="131"/>
      <c r="T366" s="131"/>
    </row>
    <row r="367">
      <c r="A367" s="131"/>
      <c r="B367" s="131"/>
      <c r="C367" s="131"/>
      <c r="D367" s="81"/>
      <c r="E367" s="81"/>
      <c r="F367" s="131"/>
      <c r="G367" s="131"/>
      <c r="H367" s="131"/>
      <c r="I367" s="131"/>
      <c r="J367" s="131"/>
      <c r="K367" s="131"/>
      <c r="L367" s="131"/>
      <c r="M367" s="131"/>
      <c r="N367" s="131"/>
      <c r="O367" s="131"/>
      <c r="P367" s="131"/>
      <c r="Q367" s="131"/>
      <c r="R367" s="131"/>
      <c r="S367" s="131"/>
      <c r="T367" s="131"/>
    </row>
    <row r="368">
      <c r="A368" s="131"/>
      <c r="B368" s="131"/>
      <c r="C368" s="131"/>
      <c r="D368" s="81"/>
      <c r="E368" s="81"/>
      <c r="F368" s="131"/>
      <c r="G368" s="131"/>
      <c r="H368" s="131"/>
      <c r="I368" s="131"/>
      <c r="J368" s="131"/>
      <c r="K368" s="131"/>
      <c r="L368" s="131"/>
      <c r="M368" s="131"/>
      <c r="N368" s="131"/>
      <c r="O368" s="131"/>
      <c r="P368" s="131"/>
      <c r="Q368" s="131"/>
      <c r="R368" s="131"/>
      <c r="S368" s="131"/>
      <c r="T368" s="131"/>
    </row>
    <row r="369">
      <c r="A369" s="131"/>
      <c r="B369" s="131"/>
      <c r="C369" s="131"/>
      <c r="D369" s="81"/>
      <c r="E369" s="81"/>
      <c r="F369" s="131"/>
      <c r="G369" s="131"/>
      <c r="H369" s="131"/>
      <c r="I369" s="131"/>
      <c r="J369" s="131"/>
      <c r="K369" s="131"/>
      <c r="L369" s="131"/>
      <c r="M369" s="131"/>
      <c r="N369" s="131"/>
      <c r="O369" s="131"/>
      <c r="P369" s="131"/>
      <c r="Q369" s="131"/>
      <c r="R369" s="131"/>
      <c r="S369" s="131"/>
      <c r="T369" s="131"/>
    </row>
    <row r="370">
      <c r="A370" s="131"/>
      <c r="B370" s="131"/>
      <c r="C370" s="131"/>
      <c r="D370" s="81"/>
      <c r="E370" s="81"/>
      <c r="F370" s="131"/>
      <c r="G370" s="131"/>
      <c r="H370" s="131"/>
      <c r="I370" s="131"/>
      <c r="J370" s="131"/>
      <c r="K370" s="131"/>
      <c r="L370" s="131"/>
      <c r="M370" s="131"/>
      <c r="N370" s="131"/>
      <c r="O370" s="131"/>
      <c r="P370" s="131"/>
      <c r="Q370" s="131"/>
      <c r="R370" s="131"/>
      <c r="S370" s="131"/>
      <c r="T370" s="131"/>
    </row>
    <row r="371">
      <c r="A371" s="131"/>
      <c r="B371" s="131"/>
      <c r="C371" s="131"/>
      <c r="D371" s="81"/>
      <c r="E371" s="81"/>
      <c r="F371" s="131"/>
      <c r="G371" s="131"/>
      <c r="H371" s="131"/>
      <c r="I371" s="131"/>
      <c r="J371" s="131"/>
      <c r="K371" s="131"/>
      <c r="L371" s="131"/>
      <c r="M371" s="131"/>
      <c r="N371" s="131"/>
      <c r="O371" s="131"/>
      <c r="P371" s="131"/>
      <c r="Q371" s="131"/>
      <c r="R371" s="131"/>
      <c r="S371" s="131"/>
      <c r="T371" s="131"/>
    </row>
    <row r="372">
      <c r="A372" s="131"/>
      <c r="B372" s="131"/>
      <c r="C372" s="131"/>
      <c r="D372" s="81"/>
      <c r="E372" s="81"/>
      <c r="F372" s="131"/>
      <c r="G372" s="131"/>
      <c r="H372" s="131"/>
      <c r="I372" s="131"/>
      <c r="J372" s="131"/>
      <c r="K372" s="131"/>
      <c r="L372" s="131"/>
      <c r="M372" s="131"/>
      <c r="N372" s="131"/>
      <c r="O372" s="131"/>
      <c r="P372" s="131"/>
      <c r="Q372" s="131"/>
      <c r="R372" s="131"/>
      <c r="S372" s="131"/>
      <c r="T372" s="131"/>
    </row>
    <row r="373">
      <c r="A373" s="131"/>
      <c r="B373" s="131"/>
      <c r="C373" s="131"/>
      <c r="D373" s="81"/>
      <c r="E373" s="81"/>
      <c r="F373" s="131"/>
      <c r="G373" s="131"/>
      <c r="H373" s="131"/>
      <c r="I373" s="131"/>
      <c r="J373" s="131"/>
      <c r="K373" s="131"/>
      <c r="L373" s="131"/>
      <c r="M373" s="131"/>
      <c r="N373" s="131"/>
      <c r="O373" s="131"/>
      <c r="P373" s="131"/>
      <c r="Q373" s="131"/>
      <c r="R373" s="131"/>
      <c r="S373" s="131"/>
      <c r="T373" s="131"/>
    </row>
    <row r="374">
      <c r="A374" s="131"/>
      <c r="B374" s="131"/>
      <c r="C374" s="131"/>
      <c r="D374" s="81"/>
      <c r="E374" s="81"/>
      <c r="F374" s="131"/>
      <c r="G374" s="131"/>
      <c r="H374" s="131"/>
      <c r="I374" s="131"/>
      <c r="J374" s="131"/>
      <c r="K374" s="131"/>
      <c r="L374" s="131"/>
      <c r="M374" s="131"/>
      <c r="N374" s="131"/>
      <c r="O374" s="131"/>
      <c r="P374" s="131"/>
      <c r="Q374" s="131"/>
      <c r="R374" s="131"/>
      <c r="S374" s="131"/>
      <c r="T374" s="131"/>
    </row>
    <row r="375">
      <c r="A375" s="131"/>
      <c r="B375" s="131"/>
      <c r="C375" s="131"/>
      <c r="D375" s="81"/>
      <c r="E375" s="81"/>
      <c r="F375" s="131"/>
      <c r="G375" s="131"/>
      <c r="H375" s="131"/>
      <c r="I375" s="131"/>
      <c r="J375" s="131"/>
      <c r="K375" s="131"/>
      <c r="L375" s="131"/>
      <c r="M375" s="131"/>
      <c r="N375" s="131"/>
      <c r="O375" s="131"/>
      <c r="P375" s="131"/>
      <c r="Q375" s="131"/>
      <c r="R375" s="131"/>
      <c r="S375" s="131"/>
      <c r="T375" s="131"/>
    </row>
    <row r="376">
      <c r="A376" s="131"/>
      <c r="B376" s="131"/>
      <c r="C376" s="131"/>
      <c r="D376" s="81"/>
      <c r="E376" s="81"/>
      <c r="F376" s="131"/>
      <c r="G376" s="131"/>
      <c r="H376" s="131"/>
      <c r="I376" s="131"/>
      <c r="J376" s="131"/>
      <c r="K376" s="131"/>
      <c r="L376" s="131"/>
      <c r="M376" s="131"/>
      <c r="N376" s="131"/>
      <c r="O376" s="131"/>
      <c r="P376" s="131"/>
      <c r="Q376" s="131"/>
      <c r="R376" s="131"/>
      <c r="S376" s="131"/>
      <c r="T376" s="131"/>
    </row>
    <row r="377">
      <c r="A377" s="131"/>
      <c r="B377" s="131"/>
      <c r="C377" s="131"/>
      <c r="D377" s="81"/>
      <c r="E377" s="81"/>
      <c r="F377" s="131"/>
      <c r="G377" s="131"/>
      <c r="H377" s="131"/>
      <c r="I377" s="131"/>
      <c r="J377" s="131"/>
      <c r="K377" s="131"/>
      <c r="L377" s="131"/>
      <c r="M377" s="131"/>
      <c r="N377" s="131"/>
      <c r="O377" s="131"/>
      <c r="P377" s="131"/>
      <c r="Q377" s="131"/>
      <c r="R377" s="131"/>
      <c r="S377" s="131"/>
      <c r="T377" s="131"/>
    </row>
    <row r="378">
      <c r="A378" s="131"/>
      <c r="B378" s="131"/>
      <c r="C378" s="131"/>
      <c r="D378" s="81"/>
      <c r="E378" s="81"/>
      <c r="F378" s="131"/>
      <c r="G378" s="131"/>
      <c r="H378" s="131"/>
      <c r="I378" s="131"/>
      <c r="J378" s="131"/>
      <c r="K378" s="131"/>
      <c r="L378" s="131"/>
      <c r="M378" s="131"/>
      <c r="N378" s="131"/>
      <c r="O378" s="131"/>
      <c r="P378" s="131"/>
      <c r="Q378" s="131"/>
      <c r="R378" s="131"/>
      <c r="S378" s="131"/>
      <c r="T378" s="131"/>
    </row>
    <row r="379">
      <c r="A379" s="131"/>
      <c r="B379" s="131"/>
      <c r="C379" s="131"/>
      <c r="D379" s="81"/>
      <c r="E379" s="81"/>
      <c r="F379" s="131"/>
      <c r="G379" s="131"/>
      <c r="H379" s="131"/>
      <c r="I379" s="131"/>
      <c r="J379" s="131"/>
      <c r="K379" s="131"/>
      <c r="L379" s="131"/>
      <c r="M379" s="131"/>
      <c r="N379" s="131"/>
      <c r="O379" s="131"/>
      <c r="P379" s="131"/>
      <c r="Q379" s="131"/>
      <c r="R379" s="131"/>
      <c r="S379" s="131"/>
      <c r="T379" s="131"/>
    </row>
    <row r="380">
      <c r="A380" s="131"/>
      <c r="B380" s="131"/>
      <c r="C380" s="131"/>
      <c r="D380" s="81"/>
      <c r="E380" s="81"/>
      <c r="F380" s="131"/>
      <c r="G380" s="131"/>
      <c r="H380" s="131"/>
      <c r="I380" s="131"/>
      <c r="J380" s="131"/>
      <c r="K380" s="131"/>
      <c r="L380" s="131"/>
      <c r="M380" s="131"/>
      <c r="N380" s="131"/>
      <c r="O380" s="131"/>
      <c r="P380" s="131"/>
      <c r="Q380" s="131"/>
      <c r="R380" s="131"/>
      <c r="S380" s="131"/>
      <c r="T380" s="131"/>
    </row>
    <row r="381">
      <c r="A381" s="131"/>
      <c r="B381" s="131"/>
      <c r="C381" s="131"/>
      <c r="D381" s="81"/>
      <c r="E381" s="81"/>
      <c r="F381" s="131"/>
      <c r="G381" s="131"/>
      <c r="H381" s="131"/>
      <c r="I381" s="131"/>
      <c r="J381" s="131"/>
      <c r="K381" s="131"/>
      <c r="L381" s="131"/>
      <c r="M381" s="131"/>
      <c r="N381" s="131"/>
      <c r="O381" s="131"/>
      <c r="P381" s="131"/>
      <c r="Q381" s="131"/>
      <c r="R381" s="131"/>
      <c r="S381" s="131"/>
      <c r="T381" s="131"/>
    </row>
    <row r="382">
      <c r="A382" s="131"/>
      <c r="B382" s="131"/>
      <c r="C382" s="131"/>
      <c r="D382" s="81"/>
      <c r="E382" s="81"/>
      <c r="F382" s="131"/>
      <c r="G382" s="131"/>
      <c r="H382" s="131"/>
      <c r="I382" s="131"/>
      <c r="J382" s="131"/>
      <c r="K382" s="131"/>
      <c r="L382" s="131"/>
      <c r="M382" s="131"/>
      <c r="N382" s="131"/>
      <c r="O382" s="131"/>
      <c r="P382" s="131"/>
      <c r="Q382" s="131"/>
      <c r="R382" s="131"/>
      <c r="S382" s="131"/>
      <c r="T382" s="131"/>
    </row>
    <row r="383">
      <c r="A383" s="131"/>
      <c r="B383" s="131"/>
      <c r="C383" s="131"/>
      <c r="D383" s="81"/>
      <c r="E383" s="81"/>
      <c r="F383" s="131"/>
      <c r="G383" s="131"/>
      <c r="H383" s="131"/>
      <c r="I383" s="131"/>
      <c r="J383" s="131"/>
      <c r="K383" s="131"/>
      <c r="L383" s="131"/>
      <c r="M383" s="131"/>
      <c r="N383" s="131"/>
      <c r="O383" s="131"/>
      <c r="P383" s="131"/>
      <c r="Q383" s="131"/>
      <c r="R383" s="131"/>
      <c r="S383" s="131"/>
      <c r="T383" s="131"/>
    </row>
    <row r="384">
      <c r="A384" s="131"/>
      <c r="B384" s="131"/>
      <c r="C384" s="131"/>
      <c r="D384" s="81"/>
      <c r="E384" s="81"/>
      <c r="F384" s="131"/>
      <c r="G384" s="131"/>
      <c r="H384" s="131"/>
      <c r="I384" s="131"/>
      <c r="J384" s="131"/>
      <c r="K384" s="131"/>
      <c r="L384" s="131"/>
      <c r="M384" s="131"/>
      <c r="N384" s="131"/>
      <c r="O384" s="131"/>
      <c r="P384" s="131"/>
      <c r="Q384" s="131"/>
      <c r="R384" s="131"/>
      <c r="S384" s="131"/>
      <c r="T384" s="131"/>
    </row>
    <row r="385">
      <c r="A385" s="131"/>
      <c r="B385" s="131"/>
      <c r="C385" s="131"/>
      <c r="D385" s="81"/>
      <c r="E385" s="81"/>
      <c r="F385" s="131"/>
      <c r="G385" s="131"/>
      <c r="H385" s="131"/>
      <c r="I385" s="131"/>
      <c r="J385" s="131"/>
      <c r="K385" s="131"/>
      <c r="L385" s="131"/>
      <c r="M385" s="131"/>
      <c r="N385" s="131"/>
      <c r="O385" s="131"/>
      <c r="P385" s="131"/>
      <c r="Q385" s="131"/>
      <c r="R385" s="131"/>
      <c r="S385" s="131"/>
      <c r="T385" s="131"/>
    </row>
    <row r="386">
      <c r="A386" s="131"/>
      <c r="B386" s="131"/>
      <c r="C386" s="131"/>
      <c r="D386" s="81"/>
      <c r="E386" s="81"/>
      <c r="F386" s="131"/>
      <c r="G386" s="131"/>
      <c r="H386" s="131"/>
      <c r="I386" s="131"/>
      <c r="J386" s="131"/>
      <c r="K386" s="131"/>
      <c r="L386" s="131"/>
      <c r="M386" s="131"/>
      <c r="N386" s="131"/>
      <c r="O386" s="131"/>
      <c r="P386" s="131"/>
      <c r="Q386" s="131"/>
      <c r="R386" s="131"/>
      <c r="S386" s="131"/>
      <c r="T386" s="131"/>
    </row>
    <row r="387">
      <c r="A387" s="131"/>
      <c r="B387" s="131"/>
      <c r="C387" s="131"/>
      <c r="D387" s="81"/>
      <c r="E387" s="81"/>
      <c r="F387" s="131"/>
      <c r="G387" s="131"/>
      <c r="H387" s="131"/>
      <c r="I387" s="131"/>
      <c r="J387" s="131"/>
      <c r="K387" s="131"/>
      <c r="L387" s="131"/>
      <c r="M387" s="131"/>
      <c r="N387" s="131"/>
      <c r="O387" s="131"/>
      <c r="P387" s="131"/>
      <c r="Q387" s="131"/>
      <c r="R387" s="131"/>
      <c r="S387" s="131"/>
      <c r="T387" s="131"/>
    </row>
    <row r="388">
      <c r="A388" s="131"/>
      <c r="B388" s="131"/>
      <c r="C388" s="131"/>
      <c r="D388" s="81"/>
      <c r="E388" s="81"/>
      <c r="F388" s="131"/>
      <c r="G388" s="131"/>
      <c r="H388" s="131"/>
      <c r="I388" s="131"/>
      <c r="J388" s="131"/>
      <c r="K388" s="131"/>
      <c r="L388" s="131"/>
      <c r="M388" s="131"/>
      <c r="N388" s="131"/>
      <c r="O388" s="131"/>
      <c r="P388" s="131"/>
      <c r="Q388" s="131"/>
      <c r="R388" s="131"/>
      <c r="S388" s="131"/>
      <c r="T388" s="131"/>
    </row>
    <row r="389">
      <c r="A389" s="131"/>
      <c r="B389" s="131"/>
      <c r="C389" s="131"/>
      <c r="D389" s="81"/>
      <c r="E389" s="81"/>
      <c r="F389" s="131"/>
      <c r="G389" s="131"/>
      <c r="H389" s="131"/>
      <c r="I389" s="131"/>
      <c r="J389" s="131"/>
      <c r="K389" s="131"/>
      <c r="L389" s="131"/>
      <c r="M389" s="131"/>
      <c r="N389" s="131"/>
      <c r="O389" s="131"/>
      <c r="P389" s="131"/>
      <c r="Q389" s="131"/>
      <c r="R389" s="131"/>
      <c r="S389" s="131"/>
      <c r="T389" s="131"/>
    </row>
    <row r="390">
      <c r="A390" s="131"/>
      <c r="B390" s="131"/>
      <c r="C390" s="131"/>
      <c r="D390" s="81"/>
      <c r="E390" s="81"/>
      <c r="F390" s="131"/>
      <c r="G390" s="131"/>
      <c r="H390" s="131"/>
      <c r="I390" s="131"/>
      <c r="J390" s="131"/>
      <c r="K390" s="131"/>
      <c r="L390" s="131"/>
      <c r="M390" s="131"/>
      <c r="N390" s="131"/>
      <c r="O390" s="131"/>
      <c r="P390" s="131"/>
      <c r="Q390" s="131"/>
      <c r="R390" s="131"/>
      <c r="S390" s="131"/>
      <c r="T390" s="131"/>
    </row>
    <row r="391">
      <c r="A391" s="131"/>
      <c r="B391" s="131"/>
      <c r="C391" s="131"/>
      <c r="D391" s="81"/>
      <c r="E391" s="81"/>
      <c r="F391" s="131"/>
      <c r="G391" s="131"/>
      <c r="H391" s="131"/>
      <c r="I391" s="131"/>
      <c r="J391" s="131"/>
      <c r="K391" s="131"/>
      <c r="L391" s="131"/>
      <c r="M391" s="131"/>
      <c r="N391" s="131"/>
      <c r="O391" s="131"/>
      <c r="P391" s="131"/>
      <c r="Q391" s="131"/>
      <c r="R391" s="131"/>
      <c r="S391" s="131"/>
      <c r="T391" s="131"/>
    </row>
    <row r="392">
      <c r="A392" s="131"/>
      <c r="B392" s="131"/>
      <c r="C392" s="131"/>
      <c r="D392" s="81"/>
      <c r="E392" s="81"/>
      <c r="F392" s="131"/>
      <c r="G392" s="131"/>
      <c r="H392" s="131"/>
      <c r="I392" s="131"/>
      <c r="J392" s="131"/>
      <c r="K392" s="131"/>
      <c r="L392" s="131"/>
      <c r="M392" s="131"/>
      <c r="N392" s="131"/>
      <c r="O392" s="131"/>
      <c r="P392" s="131"/>
      <c r="Q392" s="131"/>
      <c r="R392" s="131"/>
      <c r="S392" s="131"/>
      <c r="T392" s="131"/>
    </row>
    <row r="393">
      <c r="A393" s="131"/>
      <c r="B393" s="131"/>
      <c r="C393" s="131"/>
      <c r="D393" s="81"/>
      <c r="E393" s="81"/>
      <c r="F393" s="131"/>
      <c r="G393" s="131"/>
      <c r="H393" s="131"/>
      <c r="I393" s="131"/>
      <c r="J393" s="131"/>
      <c r="K393" s="131"/>
      <c r="L393" s="131"/>
      <c r="M393" s="131"/>
      <c r="N393" s="131"/>
      <c r="O393" s="131"/>
      <c r="P393" s="131"/>
      <c r="Q393" s="131"/>
      <c r="R393" s="131"/>
      <c r="S393" s="131"/>
      <c r="T393" s="131"/>
    </row>
    <row r="394">
      <c r="A394" s="131"/>
      <c r="B394" s="131"/>
      <c r="C394" s="131"/>
      <c r="D394" s="81"/>
      <c r="E394" s="81"/>
      <c r="F394" s="131"/>
      <c r="G394" s="131"/>
      <c r="H394" s="131"/>
      <c r="I394" s="131"/>
      <c r="J394" s="131"/>
      <c r="K394" s="131"/>
      <c r="L394" s="131"/>
      <c r="M394" s="131"/>
      <c r="N394" s="131"/>
      <c r="O394" s="131"/>
      <c r="P394" s="131"/>
      <c r="Q394" s="131"/>
      <c r="R394" s="131"/>
      <c r="S394" s="131"/>
      <c r="T394" s="131"/>
    </row>
    <row r="395">
      <c r="A395" s="131"/>
      <c r="B395" s="131"/>
      <c r="C395" s="131"/>
      <c r="D395" s="81"/>
      <c r="E395" s="81"/>
      <c r="F395" s="131"/>
      <c r="G395" s="131"/>
      <c r="H395" s="131"/>
      <c r="I395" s="131"/>
      <c r="J395" s="131"/>
      <c r="K395" s="131"/>
      <c r="L395" s="131"/>
      <c r="M395" s="131"/>
      <c r="N395" s="131"/>
      <c r="O395" s="131"/>
      <c r="P395" s="131"/>
      <c r="Q395" s="131"/>
      <c r="R395" s="131"/>
      <c r="S395" s="131"/>
      <c r="T395" s="131"/>
    </row>
    <row r="396">
      <c r="A396" s="131"/>
      <c r="B396" s="131"/>
      <c r="C396" s="131"/>
      <c r="D396" s="81"/>
      <c r="E396" s="81"/>
      <c r="F396" s="131"/>
      <c r="G396" s="131"/>
      <c r="H396" s="131"/>
      <c r="I396" s="131"/>
      <c r="J396" s="131"/>
      <c r="K396" s="131"/>
      <c r="L396" s="131"/>
      <c r="M396" s="131"/>
      <c r="N396" s="131"/>
      <c r="O396" s="131"/>
      <c r="P396" s="131"/>
      <c r="Q396" s="131"/>
      <c r="R396" s="131"/>
      <c r="S396" s="131"/>
      <c r="T396" s="131"/>
    </row>
    <row r="397">
      <c r="A397" s="131"/>
      <c r="B397" s="131"/>
      <c r="C397" s="131"/>
      <c r="D397" s="81"/>
      <c r="E397" s="81"/>
      <c r="F397" s="131"/>
      <c r="G397" s="131"/>
      <c r="H397" s="131"/>
      <c r="I397" s="131"/>
      <c r="J397" s="131"/>
      <c r="K397" s="131"/>
      <c r="L397" s="131"/>
      <c r="M397" s="131"/>
      <c r="N397" s="131"/>
      <c r="O397" s="131"/>
      <c r="P397" s="131"/>
      <c r="Q397" s="131"/>
      <c r="R397" s="131"/>
      <c r="S397" s="131"/>
      <c r="T397" s="131"/>
    </row>
    <row r="398">
      <c r="A398" s="131"/>
      <c r="B398" s="131"/>
      <c r="C398" s="131"/>
      <c r="D398" s="81"/>
      <c r="E398" s="81"/>
      <c r="F398" s="131"/>
      <c r="G398" s="131"/>
      <c r="H398" s="131"/>
      <c r="I398" s="131"/>
      <c r="J398" s="131"/>
      <c r="K398" s="131"/>
      <c r="L398" s="131"/>
      <c r="M398" s="131"/>
      <c r="N398" s="131"/>
      <c r="O398" s="131"/>
      <c r="P398" s="131"/>
      <c r="Q398" s="131"/>
      <c r="R398" s="131"/>
      <c r="S398" s="131"/>
      <c r="T398" s="131"/>
    </row>
    <row r="399">
      <c r="A399" s="131"/>
      <c r="B399" s="131"/>
      <c r="C399" s="131"/>
      <c r="D399" s="81"/>
      <c r="E399" s="81"/>
      <c r="F399" s="131"/>
      <c r="G399" s="131"/>
      <c r="H399" s="131"/>
      <c r="I399" s="131"/>
      <c r="J399" s="131"/>
      <c r="K399" s="131"/>
      <c r="L399" s="131"/>
      <c r="M399" s="131"/>
      <c r="N399" s="131"/>
      <c r="O399" s="131"/>
      <c r="P399" s="131"/>
      <c r="Q399" s="131"/>
      <c r="R399" s="131"/>
      <c r="S399" s="131"/>
      <c r="T399" s="131"/>
    </row>
    <row r="400">
      <c r="A400" s="131"/>
      <c r="B400" s="131"/>
      <c r="C400" s="131"/>
      <c r="D400" s="81"/>
      <c r="E400" s="81"/>
      <c r="F400" s="131"/>
      <c r="G400" s="131"/>
      <c r="H400" s="131"/>
      <c r="I400" s="131"/>
      <c r="J400" s="131"/>
      <c r="K400" s="131"/>
      <c r="L400" s="131"/>
      <c r="M400" s="131"/>
      <c r="N400" s="131"/>
      <c r="O400" s="131"/>
      <c r="P400" s="131"/>
      <c r="Q400" s="131"/>
      <c r="R400" s="131"/>
      <c r="S400" s="131"/>
      <c r="T400" s="131"/>
    </row>
    <row r="401">
      <c r="A401" s="131"/>
      <c r="B401" s="131"/>
      <c r="C401" s="131"/>
      <c r="D401" s="81"/>
      <c r="E401" s="81"/>
      <c r="F401" s="131"/>
      <c r="G401" s="131"/>
      <c r="H401" s="131"/>
      <c r="I401" s="131"/>
      <c r="J401" s="131"/>
      <c r="K401" s="131"/>
      <c r="L401" s="131"/>
      <c r="M401" s="131"/>
      <c r="N401" s="131"/>
      <c r="O401" s="131"/>
      <c r="P401" s="131"/>
      <c r="Q401" s="131"/>
      <c r="R401" s="131"/>
      <c r="S401" s="131"/>
      <c r="T401" s="131"/>
    </row>
    <row r="402">
      <c r="A402" s="131"/>
      <c r="B402" s="131"/>
      <c r="C402" s="131"/>
      <c r="D402" s="81"/>
      <c r="E402" s="81"/>
      <c r="F402" s="131"/>
      <c r="G402" s="131"/>
      <c r="H402" s="131"/>
      <c r="I402" s="131"/>
      <c r="J402" s="131"/>
      <c r="K402" s="131"/>
      <c r="L402" s="131"/>
      <c r="M402" s="131"/>
      <c r="N402" s="131"/>
      <c r="O402" s="131"/>
      <c r="P402" s="131"/>
      <c r="Q402" s="131"/>
      <c r="R402" s="131"/>
      <c r="S402" s="131"/>
      <c r="T402" s="131"/>
    </row>
    <row r="403">
      <c r="A403" s="131"/>
      <c r="B403" s="131"/>
      <c r="C403" s="131"/>
      <c r="D403" s="81"/>
      <c r="E403" s="81"/>
      <c r="F403" s="131"/>
      <c r="G403" s="131"/>
      <c r="H403" s="131"/>
      <c r="I403" s="131"/>
      <c r="J403" s="131"/>
      <c r="K403" s="131"/>
      <c r="L403" s="131"/>
      <c r="M403" s="131"/>
      <c r="N403" s="131"/>
      <c r="O403" s="131"/>
      <c r="P403" s="131"/>
      <c r="Q403" s="131"/>
      <c r="R403" s="131"/>
      <c r="S403" s="131"/>
      <c r="T403" s="131"/>
    </row>
    <row r="404">
      <c r="A404" s="131"/>
      <c r="B404" s="131"/>
      <c r="C404" s="131"/>
      <c r="D404" s="81"/>
      <c r="E404" s="81"/>
      <c r="F404" s="131"/>
      <c r="G404" s="131"/>
      <c r="H404" s="131"/>
      <c r="I404" s="131"/>
      <c r="J404" s="131"/>
      <c r="K404" s="131"/>
      <c r="L404" s="131"/>
      <c r="M404" s="131"/>
      <c r="N404" s="131"/>
      <c r="O404" s="131"/>
      <c r="P404" s="131"/>
      <c r="Q404" s="131"/>
      <c r="R404" s="131"/>
      <c r="S404" s="131"/>
      <c r="T404" s="131"/>
    </row>
    <row r="405">
      <c r="A405" s="131"/>
      <c r="B405" s="131"/>
      <c r="C405" s="131"/>
      <c r="D405" s="81"/>
      <c r="E405" s="81"/>
      <c r="F405" s="131"/>
      <c r="G405" s="131"/>
      <c r="H405" s="131"/>
      <c r="I405" s="131"/>
      <c r="J405" s="131"/>
      <c r="K405" s="131"/>
      <c r="L405" s="131"/>
      <c r="M405" s="131"/>
      <c r="N405" s="131"/>
      <c r="O405" s="131"/>
      <c r="P405" s="131"/>
      <c r="Q405" s="131"/>
      <c r="R405" s="131"/>
      <c r="S405" s="131"/>
      <c r="T405" s="131"/>
    </row>
    <row r="406">
      <c r="A406" s="131"/>
      <c r="B406" s="131"/>
      <c r="C406" s="131"/>
      <c r="D406" s="81"/>
      <c r="E406" s="81"/>
      <c r="F406" s="131"/>
      <c r="G406" s="131"/>
      <c r="H406" s="131"/>
      <c r="I406" s="131"/>
      <c r="J406" s="131"/>
      <c r="K406" s="131"/>
      <c r="L406" s="131"/>
      <c r="M406" s="131"/>
      <c r="N406" s="131"/>
      <c r="O406" s="131"/>
      <c r="P406" s="131"/>
      <c r="Q406" s="131"/>
      <c r="R406" s="131"/>
      <c r="S406" s="131"/>
      <c r="T406" s="131"/>
    </row>
    <row r="407">
      <c r="A407" s="131"/>
      <c r="B407" s="131"/>
      <c r="C407" s="131"/>
      <c r="D407" s="81"/>
      <c r="E407" s="81"/>
      <c r="F407" s="131"/>
      <c r="G407" s="131"/>
      <c r="H407" s="131"/>
      <c r="I407" s="131"/>
      <c r="J407" s="131"/>
      <c r="K407" s="131"/>
      <c r="L407" s="131"/>
      <c r="M407" s="131"/>
      <c r="N407" s="131"/>
      <c r="O407" s="131"/>
      <c r="P407" s="131"/>
      <c r="Q407" s="131"/>
      <c r="R407" s="131"/>
      <c r="S407" s="131"/>
      <c r="T407" s="131"/>
    </row>
    <row r="408">
      <c r="A408" s="131"/>
      <c r="B408" s="131"/>
      <c r="C408" s="131"/>
      <c r="D408" s="81"/>
      <c r="E408" s="81"/>
      <c r="F408" s="131"/>
      <c r="G408" s="131"/>
      <c r="H408" s="131"/>
      <c r="I408" s="131"/>
      <c r="J408" s="131"/>
      <c r="K408" s="131"/>
      <c r="L408" s="131"/>
      <c r="M408" s="131"/>
      <c r="N408" s="131"/>
      <c r="O408" s="131"/>
      <c r="P408" s="131"/>
      <c r="Q408" s="131"/>
      <c r="R408" s="131"/>
      <c r="S408" s="131"/>
      <c r="T408" s="131"/>
    </row>
    <row r="409">
      <c r="A409" s="131"/>
      <c r="B409" s="131"/>
      <c r="C409" s="131"/>
      <c r="D409" s="81"/>
      <c r="E409" s="81"/>
      <c r="F409" s="131"/>
      <c r="G409" s="131"/>
      <c r="H409" s="131"/>
      <c r="I409" s="131"/>
      <c r="J409" s="131"/>
      <c r="K409" s="131"/>
      <c r="L409" s="131"/>
      <c r="M409" s="131"/>
      <c r="N409" s="131"/>
      <c r="O409" s="131"/>
      <c r="P409" s="131"/>
      <c r="Q409" s="131"/>
      <c r="R409" s="131"/>
      <c r="S409" s="131"/>
      <c r="T409" s="131"/>
    </row>
    <row r="410">
      <c r="A410" s="131"/>
      <c r="B410" s="131"/>
      <c r="C410" s="131"/>
      <c r="D410" s="81"/>
      <c r="E410" s="81"/>
      <c r="F410" s="131"/>
      <c r="G410" s="131"/>
      <c r="H410" s="131"/>
      <c r="I410" s="131"/>
      <c r="J410" s="131"/>
      <c r="K410" s="131"/>
      <c r="L410" s="131"/>
      <c r="M410" s="131"/>
      <c r="N410" s="131"/>
      <c r="O410" s="131"/>
      <c r="P410" s="131"/>
      <c r="Q410" s="131"/>
      <c r="R410" s="131"/>
      <c r="S410" s="131"/>
      <c r="T410" s="131"/>
    </row>
    <row r="411">
      <c r="A411" s="131"/>
      <c r="B411" s="131"/>
      <c r="C411" s="131"/>
      <c r="D411" s="81"/>
      <c r="E411" s="81"/>
      <c r="F411" s="131"/>
      <c r="G411" s="131"/>
      <c r="H411" s="131"/>
      <c r="I411" s="131"/>
      <c r="J411" s="131"/>
      <c r="K411" s="131"/>
      <c r="L411" s="131"/>
      <c r="M411" s="131"/>
      <c r="N411" s="131"/>
      <c r="O411" s="131"/>
      <c r="P411" s="131"/>
      <c r="Q411" s="131"/>
      <c r="R411" s="131"/>
      <c r="S411" s="131"/>
      <c r="T411" s="131"/>
    </row>
    <row r="412">
      <c r="A412" s="131"/>
      <c r="B412" s="131"/>
      <c r="C412" s="131"/>
      <c r="D412" s="81"/>
      <c r="E412" s="81"/>
      <c r="F412" s="131"/>
      <c r="G412" s="131"/>
      <c r="H412" s="131"/>
      <c r="I412" s="131"/>
      <c r="J412" s="131"/>
      <c r="K412" s="131"/>
      <c r="L412" s="131"/>
      <c r="M412" s="131"/>
      <c r="N412" s="131"/>
      <c r="O412" s="131"/>
      <c r="P412" s="131"/>
      <c r="Q412" s="131"/>
      <c r="R412" s="131"/>
      <c r="S412" s="131"/>
      <c r="T412" s="131"/>
    </row>
    <row r="413">
      <c r="A413" s="131"/>
      <c r="B413" s="131"/>
      <c r="C413" s="131"/>
      <c r="D413" s="81"/>
      <c r="E413" s="81"/>
      <c r="F413" s="131"/>
      <c r="G413" s="131"/>
      <c r="H413" s="131"/>
      <c r="I413" s="131"/>
      <c r="J413" s="131"/>
      <c r="K413" s="131"/>
      <c r="L413" s="131"/>
      <c r="M413" s="131"/>
      <c r="N413" s="131"/>
      <c r="O413" s="131"/>
      <c r="P413" s="131"/>
      <c r="Q413" s="131"/>
      <c r="R413" s="131"/>
      <c r="S413" s="131"/>
      <c r="T413" s="131"/>
    </row>
    <row r="414">
      <c r="A414" s="131"/>
      <c r="B414" s="131"/>
      <c r="C414" s="131"/>
      <c r="D414" s="81"/>
      <c r="E414" s="81"/>
      <c r="F414" s="131"/>
      <c r="G414" s="131"/>
      <c r="H414" s="131"/>
      <c r="I414" s="131"/>
      <c r="J414" s="131"/>
      <c r="K414" s="131"/>
      <c r="L414" s="131"/>
      <c r="M414" s="131"/>
      <c r="N414" s="131"/>
      <c r="O414" s="131"/>
      <c r="P414" s="131"/>
      <c r="Q414" s="131"/>
      <c r="R414" s="131"/>
      <c r="S414" s="131"/>
      <c r="T414" s="131"/>
    </row>
    <row r="415">
      <c r="A415" s="131"/>
      <c r="B415" s="131"/>
      <c r="C415" s="131"/>
      <c r="D415" s="81"/>
      <c r="E415" s="81"/>
      <c r="F415" s="131"/>
      <c r="G415" s="131"/>
      <c r="H415" s="131"/>
      <c r="I415" s="131"/>
      <c r="J415" s="131"/>
      <c r="K415" s="131"/>
      <c r="L415" s="131"/>
      <c r="M415" s="131"/>
      <c r="N415" s="131"/>
      <c r="O415" s="131"/>
      <c r="P415" s="131"/>
      <c r="Q415" s="131"/>
      <c r="R415" s="131"/>
      <c r="S415" s="131"/>
      <c r="T415" s="131"/>
    </row>
    <row r="416">
      <c r="A416" s="131"/>
      <c r="B416" s="131"/>
      <c r="C416" s="131"/>
      <c r="D416" s="81"/>
      <c r="E416" s="81"/>
      <c r="F416" s="131"/>
      <c r="G416" s="131"/>
      <c r="H416" s="131"/>
      <c r="I416" s="131"/>
      <c r="J416" s="131"/>
      <c r="K416" s="131"/>
      <c r="L416" s="131"/>
      <c r="M416" s="131"/>
      <c r="N416" s="131"/>
      <c r="O416" s="131"/>
      <c r="P416" s="131"/>
      <c r="Q416" s="131"/>
      <c r="R416" s="131"/>
      <c r="S416" s="131"/>
      <c r="T416" s="131"/>
    </row>
    <row r="417">
      <c r="A417" s="131"/>
      <c r="B417" s="131"/>
      <c r="C417" s="131"/>
      <c r="D417" s="81"/>
      <c r="E417" s="81"/>
      <c r="F417" s="131"/>
      <c r="G417" s="131"/>
      <c r="H417" s="131"/>
      <c r="I417" s="131"/>
      <c r="J417" s="131"/>
      <c r="K417" s="131"/>
      <c r="L417" s="131"/>
      <c r="M417" s="131"/>
      <c r="N417" s="131"/>
      <c r="O417" s="131"/>
      <c r="P417" s="131"/>
      <c r="Q417" s="131"/>
      <c r="R417" s="131"/>
      <c r="S417" s="131"/>
      <c r="T417" s="131"/>
    </row>
    <row r="418">
      <c r="A418" s="131"/>
      <c r="B418" s="131"/>
      <c r="C418" s="131"/>
      <c r="D418" s="81"/>
      <c r="E418" s="81"/>
      <c r="F418" s="131"/>
      <c r="G418" s="131"/>
      <c r="H418" s="131"/>
      <c r="I418" s="131"/>
      <c r="J418" s="131"/>
      <c r="K418" s="131"/>
      <c r="L418" s="131"/>
      <c r="M418" s="131"/>
      <c r="N418" s="131"/>
      <c r="O418" s="131"/>
      <c r="P418" s="131"/>
      <c r="Q418" s="131"/>
      <c r="R418" s="131"/>
      <c r="S418" s="131"/>
      <c r="T418" s="131"/>
    </row>
    <row r="419">
      <c r="A419" s="131"/>
      <c r="B419" s="131"/>
      <c r="C419" s="131"/>
      <c r="D419" s="81"/>
      <c r="E419" s="81"/>
      <c r="F419" s="131"/>
      <c r="G419" s="131"/>
      <c r="H419" s="131"/>
      <c r="I419" s="131"/>
      <c r="J419" s="131"/>
      <c r="K419" s="131"/>
      <c r="L419" s="131"/>
      <c r="M419" s="131"/>
      <c r="N419" s="131"/>
      <c r="O419" s="131"/>
      <c r="P419" s="131"/>
      <c r="Q419" s="131"/>
      <c r="R419" s="131"/>
      <c r="S419" s="131"/>
      <c r="T419" s="131"/>
    </row>
    <row r="420">
      <c r="A420" s="131"/>
      <c r="B420" s="131"/>
      <c r="C420" s="131"/>
      <c r="D420" s="81"/>
      <c r="E420" s="81"/>
      <c r="F420" s="131"/>
      <c r="G420" s="131"/>
      <c r="H420" s="131"/>
      <c r="I420" s="131"/>
      <c r="J420" s="131"/>
      <c r="K420" s="131"/>
      <c r="L420" s="131"/>
      <c r="M420" s="131"/>
      <c r="N420" s="131"/>
      <c r="O420" s="131"/>
      <c r="P420" s="131"/>
      <c r="Q420" s="131"/>
      <c r="R420" s="131"/>
      <c r="S420" s="131"/>
      <c r="T420" s="131"/>
    </row>
    <row r="421">
      <c r="A421" s="131"/>
      <c r="B421" s="131"/>
      <c r="C421" s="131"/>
      <c r="D421" s="81"/>
      <c r="E421" s="81"/>
      <c r="F421" s="131"/>
      <c r="G421" s="131"/>
      <c r="H421" s="131"/>
      <c r="I421" s="131"/>
      <c r="J421" s="131"/>
      <c r="K421" s="131"/>
      <c r="L421" s="131"/>
      <c r="M421" s="131"/>
      <c r="N421" s="131"/>
      <c r="O421" s="131"/>
      <c r="P421" s="131"/>
      <c r="Q421" s="131"/>
      <c r="R421" s="131"/>
      <c r="S421" s="131"/>
      <c r="T421" s="131"/>
    </row>
    <row r="422">
      <c r="A422" s="131"/>
      <c r="B422" s="131"/>
      <c r="C422" s="131"/>
      <c r="D422" s="81"/>
      <c r="E422" s="81"/>
      <c r="F422" s="131"/>
      <c r="G422" s="131"/>
      <c r="H422" s="131"/>
      <c r="I422" s="131"/>
      <c r="J422" s="131"/>
      <c r="K422" s="131"/>
      <c r="L422" s="131"/>
      <c r="M422" s="131"/>
      <c r="N422" s="131"/>
      <c r="O422" s="131"/>
      <c r="P422" s="131"/>
      <c r="Q422" s="131"/>
      <c r="R422" s="131"/>
      <c r="S422" s="131"/>
      <c r="T422" s="131"/>
    </row>
    <row r="423">
      <c r="A423" s="131"/>
      <c r="B423" s="131"/>
      <c r="C423" s="131"/>
      <c r="D423" s="81"/>
      <c r="E423" s="81"/>
      <c r="F423" s="131"/>
      <c r="G423" s="131"/>
      <c r="H423" s="131"/>
      <c r="I423" s="131"/>
      <c r="J423" s="131"/>
      <c r="K423" s="131"/>
      <c r="L423" s="131"/>
      <c r="M423" s="131"/>
      <c r="N423" s="131"/>
      <c r="O423" s="131"/>
      <c r="P423" s="131"/>
      <c r="Q423" s="131"/>
      <c r="R423" s="131"/>
      <c r="S423" s="131"/>
      <c r="T423" s="131"/>
    </row>
    <row r="424">
      <c r="A424" s="131"/>
      <c r="B424" s="131"/>
      <c r="C424" s="131"/>
      <c r="D424" s="81"/>
      <c r="E424" s="81"/>
      <c r="F424" s="131"/>
      <c r="G424" s="131"/>
      <c r="H424" s="131"/>
      <c r="I424" s="131"/>
      <c r="J424" s="131"/>
      <c r="K424" s="131"/>
      <c r="L424" s="131"/>
      <c r="M424" s="131"/>
      <c r="N424" s="131"/>
      <c r="O424" s="131"/>
      <c r="P424" s="131"/>
      <c r="Q424" s="131"/>
      <c r="R424" s="131"/>
      <c r="S424" s="131"/>
      <c r="T424" s="131"/>
    </row>
    <row r="425">
      <c r="A425" s="131"/>
      <c r="B425" s="131"/>
      <c r="C425" s="131"/>
      <c r="D425" s="81"/>
      <c r="E425" s="81"/>
      <c r="F425" s="131"/>
      <c r="G425" s="131"/>
      <c r="H425" s="131"/>
      <c r="I425" s="131"/>
      <c r="J425" s="131"/>
      <c r="K425" s="131"/>
      <c r="L425" s="131"/>
      <c r="M425" s="131"/>
      <c r="N425" s="131"/>
      <c r="O425" s="131"/>
      <c r="P425" s="131"/>
      <c r="Q425" s="131"/>
      <c r="R425" s="131"/>
      <c r="S425" s="131"/>
      <c r="T425" s="131"/>
    </row>
    <row r="426">
      <c r="A426" s="131"/>
      <c r="B426" s="131"/>
      <c r="C426" s="131"/>
      <c r="D426" s="81"/>
      <c r="E426" s="81"/>
      <c r="F426" s="131"/>
      <c r="G426" s="131"/>
      <c r="H426" s="131"/>
      <c r="I426" s="131"/>
      <c r="J426" s="131"/>
      <c r="K426" s="131"/>
      <c r="L426" s="131"/>
      <c r="M426" s="131"/>
      <c r="N426" s="131"/>
      <c r="O426" s="131"/>
      <c r="P426" s="131"/>
      <c r="Q426" s="131"/>
      <c r="R426" s="131"/>
      <c r="S426" s="131"/>
      <c r="T426" s="131"/>
    </row>
    <row r="427">
      <c r="A427" s="131"/>
      <c r="B427" s="131"/>
      <c r="C427" s="131"/>
      <c r="D427" s="81"/>
      <c r="E427" s="81"/>
      <c r="F427" s="131"/>
      <c r="G427" s="131"/>
      <c r="H427" s="131"/>
      <c r="I427" s="131"/>
      <c r="J427" s="131"/>
      <c r="K427" s="131"/>
      <c r="L427" s="131"/>
      <c r="M427" s="131"/>
      <c r="N427" s="131"/>
      <c r="O427" s="131"/>
      <c r="P427" s="131"/>
      <c r="Q427" s="131"/>
      <c r="R427" s="131"/>
      <c r="S427" s="131"/>
      <c r="T427" s="131"/>
    </row>
    <row r="428">
      <c r="A428" s="131"/>
      <c r="B428" s="131"/>
      <c r="C428" s="131"/>
      <c r="D428" s="81"/>
      <c r="E428" s="81"/>
      <c r="F428" s="131"/>
      <c r="G428" s="131"/>
      <c r="H428" s="131"/>
      <c r="I428" s="131"/>
      <c r="J428" s="131"/>
      <c r="K428" s="131"/>
      <c r="L428" s="131"/>
      <c r="M428" s="131"/>
      <c r="N428" s="131"/>
      <c r="O428" s="131"/>
      <c r="P428" s="131"/>
      <c r="Q428" s="131"/>
      <c r="R428" s="131"/>
      <c r="S428" s="131"/>
      <c r="T428" s="131"/>
    </row>
    <row r="429">
      <c r="A429" s="131"/>
      <c r="B429" s="131"/>
      <c r="C429" s="131"/>
      <c r="D429" s="81"/>
      <c r="E429" s="81"/>
      <c r="F429" s="131"/>
      <c r="G429" s="131"/>
      <c r="H429" s="131"/>
      <c r="I429" s="131"/>
      <c r="J429" s="131"/>
      <c r="K429" s="131"/>
      <c r="L429" s="131"/>
      <c r="M429" s="131"/>
      <c r="N429" s="131"/>
      <c r="O429" s="131"/>
      <c r="P429" s="131"/>
      <c r="Q429" s="131"/>
      <c r="R429" s="131"/>
      <c r="S429" s="131"/>
      <c r="T429" s="131"/>
    </row>
    <row r="430">
      <c r="A430" s="131"/>
      <c r="B430" s="131"/>
      <c r="C430" s="131"/>
      <c r="D430" s="81"/>
      <c r="E430" s="81"/>
      <c r="F430" s="131"/>
      <c r="G430" s="131"/>
      <c r="H430" s="131"/>
      <c r="I430" s="131"/>
      <c r="J430" s="131"/>
      <c r="K430" s="131"/>
      <c r="L430" s="131"/>
      <c r="M430" s="131"/>
      <c r="N430" s="131"/>
      <c r="O430" s="131"/>
      <c r="P430" s="131"/>
      <c r="Q430" s="131"/>
      <c r="R430" s="131"/>
      <c r="S430" s="131"/>
      <c r="T430" s="131"/>
    </row>
    <row r="431">
      <c r="A431" s="131"/>
      <c r="B431" s="131"/>
      <c r="C431" s="131"/>
      <c r="D431" s="81"/>
      <c r="E431" s="81"/>
      <c r="F431" s="131"/>
      <c r="G431" s="131"/>
      <c r="H431" s="131"/>
      <c r="I431" s="131"/>
      <c r="J431" s="131"/>
      <c r="K431" s="131"/>
      <c r="L431" s="131"/>
      <c r="M431" s="131"/>
      <c r="N431" s="131"/>
      <c r="O431" s="131"/>
      <c r="P431" s="131"/>
      <c r="Q431" s="131"/>
      <c r="R431" s="131"/>
      <c r="S431" s="131"/>
      <c r="T431" s="131"/>
    </row>
    <row r="432">
      <c r="A432" s="131"/>
      <c r="B432" s="131"/>
      <c r="C432" s="131"/>
      <c r="D432" s="81"/>
      <c r="E432" s="81"/>
      <c r="F432" s="131"/>
      <c r="G432" s="131"/>
      <c r="H432" s="131"/>
      <c r="I432" s="131"/>
      <c r="J432" s="131"/>
      <c r="K432" s="131"/>
      <c r="L432" s="131"/>
      <c r="M432" s="131"/>
      <c r="N432" s="131"/>
      <c r="O432" s="131"/>
      <c r="P432" s="131"/>
      <c r="Q432" s="131"/>
      <c r="R432" s="131"/>
      <c r="S432" s="131"/>
      <c r="T432" s="131"/>
    </row>
    <row r="433">
      <c r="A433" s="131"/>
      <c r="B433" s="131"/>
      <c r="C433" s="131"/>
      <c r="D433" s="81"/>
      <c r="E433" s="81"/>
      <c r="F433" s="131"/>
      <c r="G433" s="131"/>
      <c r="H433" s="131"/>
      <c r="I433" s="131"/>
      <c r="J433" s="131"/>
      <c r="K433" s="131"/>
      <c r="L433" s="131"/>
      <c r="M433" s="131"/>
      <c r="N433" s="131"/>
      <c r="O433" s="131"/>
      <c r="P433" s="131"/>
      <c r="Q433" s="131"/>
      <c r="R433" s="131"/>
      <c r="S433" s="131"/>
      <c r="T433" s="131"/>
    </row>
    <row r="434">
      <c r="A434" s="131"/>
      <c r="B434" s="131"/>
      <c r="C434" s="131"/>
      <c r="D434" s="81"/>
      <c r="E434" s="81"/>
      <c r="F434" s="131"/>
      <c r="G434" s="131"/>
      <c r="H434" s="131"/>
      <c r="I434" s="131"/>
      <c r="J434" s="131"/>
      <c r="K434" s="131"/>
      <c r="L434" s="131"/>
      <c r="M434" s="131"/>
      <c r="N434" s="131"/>
      <c r="O434" s="131"/>
      <c r="P434" s="131"/>
      <c r="Q434" s="131"/>
      <c r="R434" s="131"/>
      <c r="S434" s="131"/>
      <c r="T434" s="131"/>
    </row>
    <row r="435">
      <c r="A435" s="131"/>
      <c r="B435" s="131"/>
      <c r="C435" s="131"/>
      <c r="D435" s="81"/>
      <c r="E435" s="81"/>
      <c r="F435" s="131"/>
      <c r="G435" s="131"/>
      <c r="H435" s="131"/>
      <c r="I435" s="131"/>
      <c r="J435" s="131"/>
      <c r="K435" s="131"/>
      <c r="L435" s="131"/>
      <c r="M435" s="131"/>
      <c r="N435" s="131"/>
      <c r="O435" s="131"/>
      <c r="P435" s="131"/>
      <c r="Q435" s="131"/>
      <c r="R435" s="131"/>
      <c r="S435" s="131"/>
      <c r="T435" s="131"/>
    </row>
    <row r="436">
      <c r="A436" s="131"/>
      <c r="B436" s="131"/>
      <c r="C436" s="131"/>
      <c r="D436" s="81"/>
      <c r="E436" s="81"/>
      <c r="F436" s="131"/>
      <c r="G436" s="131"/>
      <c r="H436" s="131"/>
      <c r="I436" s="131"/>
      <c r="J436" s="131"/>
      <c r="K436" s="131"/>
      <c r="L436" s="131"/>
      <c r="M436" s="131"/>
      <c r="N436" s="131"/>
      <c r="O436" s="131"/>
      <c r="P436" s="131"/>
      <c r="Q436" s="131"/>
      <c r="R436" s="131"/>
      <c r="S436" s="131"/>
      <c r="T436" s="131"/>
    </row>
    <row r="437">
      <c r="A437" s="131"/>
      <c r="B437" s="131"/>
      <c r="C437" s="131"/>
      <c r="D437" s="81"/>
      <c r="E437" s="81"/>
      <c r="F437" s="131"/>
      <c r="G437" s="131"/>
      <c r="H437" s="131"/>
      <c r="I437" s="131"/>
      <c r="J437" s="131"/>
      <c r="K437" s="131"/>
      <c r="L437" s="131"/>
      <c r="M437" s="131"/>
      <c r="N437" s="131"/>
      <c r="O437" s="131"/>
      <c r="P437" s="131"/>
      <c r="Q437" s="131"/>
      <c r="R437" s="131"/>
      <c r="S437" s="131"/>
      <c r="T437" s="131"/>
    </row>
    <row r="438">
      <c r="A438" s="131"/>
      <c r="B438" s="131"/>
      <c r="C438" s="131"/>
      <c r="D438" s="81"/>
      <c r="E438" s="81"/>
      <c r="F438" s="131"/>
      <c r="G438" s="131"/>
      <c r="H438" s="131"/>
      <c r="I438" s="131"/>
      <c r="J438" s="131"/>
      <c r="K438" s="131"/>
      <c r="L438" s="131"/>
      <c r="M438" s="131"/>
      <c r="N438" s="131"/>
      <c r="O438" s="131"/>
      <c r="P438" s="131"/>
      <c r="Q438" s="131"/>
      <c r="R438" s="131"/>
      <c r="S438" s="131"/>
      <c r="T438" s="131"/>
    </row>
    <row r="439">
      <c r="A439" s="131"/>
      <c r="B439" s="131"/>
      <c r="C439" s="131"/>
      <c r="D439" s="81"/>
      <c r="E439" s="81"/>
      <c r="F439" s="131"/>
      <c r="G439" s="131"/>
      <c r="H439" s="131"/>
      <c r="I439" s="131"/>
      <c r="J439" s="131"/>
      <c r="K439" s="131"/>
      <c r="L439" s="131"/>
      <c r="M439" s="131"/>
      <c r="N439" s="131"/>
      <c r="O439" s="131"/>
      <c r="P439" s="131"/>
      <c r="Q439" s="131"/>
      <c r="R439" s="131"/>
      <c r="S439" s="131"/>
      <c r="T439" s="131"/>
    </row>
    <row r="440">
      <c r="A440" s="131"/>
      <c r="B440" s="131"/>
      <c r="C440" s="131"/>
      <c r="D440" s="81"/>
      <c r="E440" s="81"/>
      <c r="F440" s="131"/>
      <c r="G440" s="131"/>
      <c r="H440" s="131"/>
      <c r="I440" s="131"/>
      <c r="J440" s="131"/>
      <c r="K440" s="131"/>
      <c r="L440" s="131"/>
      <c r="M440" s="131"/>
      <c r="N440" s="131"/>
      <c r="O440" s="131"/>
      <c r="P440" s="131"/>
      <c r="Q440" s="131"/>
      <c r="R440" s="131"/>
      <c r="S440" s="131"/>
      <c r="T440" s="131"/>
    </row>
    <row r="441">
      <c r="A441" s="131"/>
      <c r="B441" s="131"/>
      <c r="C441" s="131"/>
      <c r="D441" s="81"/>
      <c r="E441" s="81"/>
      <c r="F441" s="131"/>
      <c r="G441" s="131"/>
      <c r="H441" s="131"/>
      <c r="I441" s="131"/>
      <c r="J441" s="131"/>
      <c r="K441" s="131"/>
      <c r="L441" s="131"/>
      <c r="M441" s="131"/>
      <c r="N441" s="131"/>
      <c r="O441" s="131"/>
      <c r="P441" s="131"/>
      <c r="Q441" s="131"/>
      <c r="R441" s="131"/>
      <c r="S441" s="131"/>
      <c r="T441" s="131"/>
    </row>
    <row r="442">
      <c r="A442" s="131"/>
      <c r="B442" s="131"/>
      <c r="C442" s="131"/>
      <c r="D442" s="81"/>
      <c r="E442" s="81"/>
      <c r="F442" s="131"/>
      <c r="G442" s="131"/>
      <c r="H442" s="131"/>
      <c r="I442" s="131"/>
      <c r="J442" s="131"/>
      <c r="K442" s="131"/>
      <c r="L442" s="131"/>
      <c r="M442" s="131"/>
      <c r="N442" s="131"/>
      <c r="O442" s="131"/>
      <c r="P442" s="131"/>
      <c r="Q442" s="131"/>
      <c r="R442" s="131"/>
      <c r="S442" s="131"/>
      <c r="T442" s="131"/>
    </row>
    <row r="443">
      <c r="A443" s="131"/>
      <c r="B443" s="131"/>
      <c r="C443" s="131"/>
      <c r="D443" s="81"/>
      <c r="E443" s="81"/>
      <c r="F443" s="131"/>
      <c r="G443" s="131"/>
      <c r="H443" s="131"/>
      <c r="I443" s="131"/>
      <c r="J443" s="131"/>
      <c r="K443" s="131"/>
      <c r="L443" s="131"/>
      <c r="M443" s="131"/>
      <c r="N443" s="131"/>
      <c r="O443" s="131"/>
      <c r="P443" s="131"/>
      <c r="Q443" s="131"/>
      <c r="R443" s="131"/>
      <c r="S443" s="131"/>
      <c r="T443" s="131"/>
    </row>
    <row r="444">
      <c r="A444" s="131"/>
      <c r="B444" s="131"/>
      <c r="C444" s="131"/>
      <c r="D444" s="81"/>
      <c r="E444" s="81"/>
      <c r="F444" s="131"/>
      <c r="G444" s="131"/>
      <c r="H444" s="131"/>
      <c r="I444" s="131"/>
      <c r="J444" s="131"/>
      <c r="K444" s="131"/>
      <c r="L444" s="131"/>
      <c r="M444" s="131"/>
      <c r="N444" s="131"/>
      <c r="O444" s="131"/>
      <c r="P444" s="131"/>
      <c r="Q444" s="131"/>
      <c r="R444" s="131"/>
      <c r="S444" s="131"/>
      <c r="T444" s="131"/>
    </row>
    <row r="445">
      <c r="A445" s="131"/>
      <c r="B445" s="131"/>
      <c r="C445" s="131"/>
      <c r="D445" s="81"/>
      <c r="E445" s="81"/>
      <c r="F445" s="131"/>
      <c r="G445" s="131"/>
      <c r="H445" s="131"/>
      <c r="I445" s="131"/>
      <c r="J445" s="131"/>
      <c r="K445" s="131"/>
      <c r="L445" s="131"/>
      <c r="M445" s="131"/>
      <c r="N445" s="131"/>
      <c r="O445" s="131"/>
      <c r="P445" s="131"/>
      <c r="Q445" s="131"/>
      <c r="R445" s="131"/>
      <c r="S445" s="131"/>
      <c r="T445" s="131"/>
    </row>
    <row r="446">
      <c r="A446" s="131"/>
      <c r="B446" s="131"/>
      <c r="C446" s="131"/>
      <c r="D446" s="81"/>
      <c r="E446" s="81"/>
      <c r="F446" s="131"/>
      <c r="G446" s="131"/>
      <c r="H446" s="131"/>
      <c r="I446" s="131"/>
      <c r="J446" s="131"/>
      <c r="K446" s="131"/>
      <c r="L446" s="131"/>
      <c r="M446" s="131"/>
      <c r="N446" s="131"/>
      <c r="O446" s="131"/>
      <c r="P446" s="131"/>
      <c r="Q446" s="131"/>
      <c r="R446" s="131"/>
      <c r="S446" s="131"/>
      <c r="T446" s="131"/>
    </row>
    <row r="447">
      <c r="A447" s="131"/>
      <c r="B447" s="131"/>
      <c r="C447" s="131"/>
      <c r="D447" s="81"/>
      <c r="E447" s="81"/>
      <c r="F447" s="131"/>
      <c r="G447" s="131"/>
      <c r="H447" s="131"/>
      <c r="I447" s="131"/>
      <c r="J447" s="131"/>
      <c r="K447" s="131"/>
      <c r="L447" s="131"/>
      <c r="M447" s="131"/>
      <c r="N447" s="131"/>
      <c r="O447" s="131"/>
      <c r="P447" s="131"/>
      <c r="Q447" s="131"/>
      <c r="R447" s="131"/>
      <c r="S447" s="131"/>
      <c r="T447" s="131"/>
    </row>
    <row r="448">
      <c r="A448" s="131"/>
      <c r="B448" s="131"/>
      <c r="C448" s="131"/>
      <c r="D448" s="81"/>
      <c r="E448" s="81"/>
      <c r="F448" s="131"/>
      <c r="G448" s="131"/>
      <c r="H448" s="131"/>
      <c r="I448" s="131"/>
      <c r="J448" s="131"/>
      <c r="K448" s="131"/>
      <c r="L448" s="131"/>
      <c r="M448" s="131"/>
      <c r="N448" s="131"/>
      <c r="O448" s="131"/>
      <c r="P448" s="131"/>
      <c r="Q448" s="131"/>
      <c r="R448" s="131"/>
      <c r="S448" s="131"/>
      <c r="T448" s="131"/>
    </row>
    <row r="449">
      <c r="A449" s="131"/>
      <c r="B449" s="131"/>
      <c r="C449" s="131"/>
      <c r="D449" s="81"/>
      <c r="E449" s="81"/>
      <c r="F449" s="131"/>
      <c r="G449" s="131"/>
      <c r="H449" s="131"/>
      <c r="I449" s="131"/>
      <c r="J449" s="131"/>
      <c r="K449" s="131"/>
      <c r="L449" s="131"/>
      <c r="M449" s="131"/>
      <c r="N449" s="131"/>
      <c r="O449" s="131"/>
      <c r="P449" s="131"/>
      <c r="Q449" s="131"/>
      <c r="R449" s="131"/>
      <c r="S449" s="131"/>
      <c r="T449" s="131"/>
    </row>
    <row r="450">
      <c r="A450" s="131"/>
      <c r="B450" s="131"/>
      <c r="C450" s="131"/>
      <c r="D450" s="81"/>
      <c r="E450" s="81"/>
      <c r="F450" s="131"/>
      <c r="G450" s="131"/>
      <c r="H450" s="131"/>
      <c r="I450" s="131"/>
      <c r="J450" s="131"/>
      <c r="K450" s="131"/>
      <c r="L450" s="131"/>
      <c r="M450" s="131"/>
      <c r="N450" s="131"/>
      <c r="O450" s="131"/>
      <c r="P450" s="131"/>
      <c r="Q450" s="131"/>
      <c r="R450" s="131"/>
      <c r="S450" s="131"/>
      <c r="T450" s="131"/>
    </row>
    <row r="451">
      <c r="A451" s="131"/>
      <c r="B451" s="131"/>
      <c r="C451" s="131"/>
      <c r="D451" s="81"/>
      <c r="E451" s="81"/>
      <c r="F451" s="131"/>
      <c r="G451" s="131"/>
      <c r="H451" s="131"/>
      <c r="I451" s="131"/>
      <c r="J451" s="131"/>
      <c r="K451" s="131"/>
      <c r="L451" s="131"/>
      <c r="M451" s="131"/>
      <c r="N451" s="131"/>
      <c r="O451" s="131"/>
      <c r="P451" s="131"/>
      <c r="Q451" s="131"/>
      <c r="R451" s="131"/>
      <c r="S451" s="131"/>
      <c r="T451" s="131"/>
    </row>
    <row r="452">
      <c r="A452" s="131"/>
      <c r="B452" s="131"/>
      <c r="C452" s="131"/>
      <c r="D452" s="81"/>
      <c r="E452" s="81"/>
      <c r="F452" s="131"/>
      <c r="G452" s="131"/>
      <c r="H452" s="131"/>
      <c r="I452" s="131"/>
      <c r="J452" s="131"/>
      <c r="K452" s="131"/>
      <c r="L452" s="131"/>
      <c r="M452" s="131"/>
      <c r="N452" s="131"/>
      <c r="O452" s="131"/>
      <c r="P452" s="131"/>
      <c r="Q452" s="131"/>
      <c r="R452" s="131"/>
      <c r="S452" s="131"/>
      <c r="T452" s="131"/>
    </row>
    <row r="453">
      <c r="A453" s="131"/>
      <c r="B453" s="131"/>
      <c r="C453" s="131"/>
      <c r="D453" s="81"/>
      <c r="E453" s="81"/>
      <c r="F453" s="131"/>
      <c r="G453" s="131"/>
      <c r="H453" s="131"/>
      <c r="I453" s="131"/>
      <c r="J453" s="131"/>
      <c r="K453" s="131"/>
      <c r="L453" s="131"/>
      <c r="M453" s="131"/>
      <c r="N453" s="131"/>
      <c r="O453" s="131"/>
      <c r="P453" s="131"/>
      <c r="Q453" s="131"/>
      <c r="R453" s="131"/>
      <c r="S453" s="131"/>
      <c r="T453" s="131"/>
    </row>
    <row r="454">
      <c r="A454" s="131"/>
      <c r="B454" s="131"/>
      <c r="C454" s="131"/>
      <c r="D454" s="81"/>
      <c r="E454" s="81"/>
      <c r="F454" s="131"/>
      <c r="G454" s="131"/>
      <c r="H454" s="131"/>
      <c r="I454" s="131"/>
      <c r="J454" s="131"/>
      <c r="K454" s="131"/>
      <c r="L454" s="131"/>
      <c r="M454" s="131"/>
      <c r="N454" s="131"/>
      <c r="O454" s="131"/>
      <c r="P454" s="131"/>
      <c r="Q454" s="131"/>
      <c r="R454" s="131"/>
      <c r="S454" s="131"/>
      <c r="T454" s="131"/>
    </row>
    <row r="455">
      <c r="A455" s="131"/>
      <c r="B455" s="131"/>
      <c r="C455" s="131"/>
      <c r="D455" s="81"/>
      <c r="E455" s="81"/>
      <c r="F455" s="131"/>
      <c r="G455" s="131"/>
      <c r="H455" s="131"/>
      <c r="I455" s="131"/>
      <c r="J455" s="131"/>
      <c r="K455" s="131"/>
      <c r="L455" s="131"/>
      <c r="M455" s="131"/>
      <c r="N455" s="131"/>
      <c r="O455" s="131"/>
      <c r="P455" s="131"/>
      <c r="Q455" s="131"/>
      <c r="R455" s="131"/>
      <c r="S455" s="131"/>
      <c r="T455" s="131"/>
    </row>
    <row r="456">
      <c r="A456" s="131"/>
      <c r="B456" s="131"/>
      <c r="C456" s="131"/>
      <c r="D456" s="81"/>
      <c r="E456" s="81"/>
      <c r="F456" s="131"/>
      <c r="G456" s="131"/>
      <c r="H456" s="131"/>
      <c r="I456" s="131"/>
      <c r="J456" s="131"/>
      <c r="K456" s="131"/>
      <c r="L456" s="131"/>
      <c r="M456" s="131"/>
      <c r="N456" s="131"/>
      <c r="O456" s="131"/>
      <c r="P456" s="131"/>
      <c r="Q456" s="131"/>
      <c r="R456" s="131"/>
      <c r="S456" s="131"/>
      <c r="T456" s="131"/>
    </row>
    <row r="457">
      <c r="A457" s="131"/>
      <c r="B457" s="131"/>
      <c r="C457" s="131"/>
      <c r="D457" s="81"/>
      <c r="E457" s="81"/>
      <c r="F457" s="131"/>
      <c r="G457" s="131"/>
      <c r="H457" s="131"/>
      <c r="I457" s="131"/>
      <c r="J457" s="131"/>
      <c r="K457" s="131"/>
      <c r="L457" s="131"/>
      <c r="M457" s="131"/>
      <c r="N457" s="131"/>
      <c r="O457" s="131"/>
      <c r="P457" s="131"/>
      <c r="Q457" s="131"/>
      <c r="R457" s="131"/>
      <c r="S457" s="131"/>
      <c r="T457" s="131"/>
    </row>
    <row r="458">
      <c r="A458" s="131"/>
      <c r="B458" s="131"/>
      <c r="C458" s="131"/>
      <c r="D458" s="81"/>
      <c r="E458" s="81"/>
      <c r="F458" s="131"/>
      <c r="G458" s="131"/>
      <c r="H458" s="131"/>
      <c r="I458" s="131"/>
      <c r="J458" s="131"/>
      <c r="K458" s="131"/>
      <c r="L458" s="131"/>
      <c r="M458" s="131"/>
      <c r="N458" s="131"/>
      <c r="O458" s="131"/>
      <c r="P458" s="131"/>
      <c r="Q458" s="131"/>
      <c r="R458" s="131"/>
      <c r="S458" s="131"/>
      <c r="T458" s="131"/>
    </row>
    <row r="459">
      <c r="A459" s="131"/>
      <c r="B459" s="131"/>
      <c r="C459" s="131"/>
      <c r="D459" s="81"/>
      <c r="E459" s="81"/>
      <c r="F459" s="131"/>
      <c r="G459" s="131"/>
      <c r="H459" s="131"/>
      <c r="I459" s="131"/>
      <c r="J459" s="131"/>
      <c r="K459" s="131"/>
      <c r="L459" s="131"/>
      <c r="M459" s="131"/>
      <c r="N459" s="131"/>
      <c r="O459" s="131"/>
      <c r="P459" s="131"/>
      <c r="Q459" s="131"/>
      <c r="R459" s="131"/>
      <c r="S459" s="131"/>
      <c r="T459" s="131"/>
    </row>
    <row r="460">
      <c r="A460" s="131"/>
      <c r="B460" s="131"/>
      <c r="C460" s="131"/>
      <c r="D460" s="81"/>
      <c r="E460" s="81"/>
      <c r="F460" s="131"/>
      <c r="G460" s="131"/>
      <c r="H460" s="131"/>
      <c r="I460" s="131"/>
      <c r="J460" s="131"/>
      <c r="K460" s="131"/>
      <c r="L460" s="131"/>
      <c r="M460" s="131"/>
      <c r="N460" s="131"/>
      <c r="O460" s="131"/>
      <c r="P460" s="131"/>
      <c r="Q460" s="131"/>
      <c r="R460" s="131"/>
      <c r="S460" s="131"/>
      <c r="T460" s="131"/>
    </row>
    <row r="461">
      <c r="A461" s="131"/>
      <c r="B461" s="131"/>
      <c r="C461" s="131"/>
      <c r="D461" s="81"/>
      <c r="E461" s="81"/>
      <c r="F461" s="131"/>
      <c r="G461" s="131"/>
      <c r="H461" s="131"/>
      <c r="I461" s="131"/>
      <c r="J461" s="131"/>
      <c r="K461" s="131"/>
      <c r="L461" s="131"/>
      <c r="M461" s="131"/>
      <c r="N461" s="131"/>
      <c r="O461" s="131"/>
      <c r="P461" s="131"/>
      <c r="Q461" s="131"/>
      <c r="R461" s="131"/>
      <c r="S461" s="131"/>
      <c r="T461" s="131"/>
    </row>
    <row r="462">
      <c r="A462" s="131"/>
      <c r="B462" s="131"/>
      <c r="C462" s="131"/>
      <c r="D462" s="81"/>
      <c r="E462" s="81"/>
      <c r="F462" s="131"/>
      <c r="G462" s="131"/>
      <c r="H462" s="131"/>
      <c r="I462" s="131"/>
      <c r="J462" s="131"/>
      <c r="K462" s="131"/>
      <c r="L462" s="131"/>
      <c r="M462" s="131"/>
      <c r="N462" s="131"/>
      <c r="O462" s="131"/>
      <c r="P462" s="131"/>
      <c r="Q462" s="131"/>
      <c r="R462" s="131"/>
      <c r="S462" s="131"/>
      <c r="T462" s="131"/>
    </row>
    <row r="463">
      <c r="A463" s="131"/>
      <c r="B463" s="131"/>
      <c r="C463" s="131"/>
      <c r="D463" s="81"/>
      <c r="E463" s="81"/>
      <c r="F463" s="131"/>
      <c r="G463" s="131"/>
      <c r="H463" s="131"/>
      <c r="I463" s="131"/>
      <c r="J463" s="131"/>
      <c r="K463" s="131"/>
      <c r="L463" s="131"/>
      <c r="M463" s="131"/>
      <c r="N463" s="131"/>
      <c r="O463" s="131"/>
      <c r="P463" s="131"/>
      <c r="Q463" s="131"/>
      <c r="R463" s="131"/>
      <c r="S463" s="131"/>
      <c r="T463" s="131"/>
    </row>
    <row r="464">
      <c r="A464" s="131"/>
      <c r="B464" s="131"/>
      <c r="C464" s="131"/>
      <c r="D464" s="81"/>
      <c r="E464" s="81"/>
      <c r="F464" s="131"/>
      <c r="G464" s="131"/>
      <c r="H464" s="131"/>
      <c r="I464" s="131"/>
      <c r="J464" s="131"/>
      <c r="K464" s="131"/>
      <c r="L464" s="131"/>
      <c r="M464" s="131"/>
      <c r="N464" s="131"/>
      <c r="O464" s="131"/>
      <c r="P464" s="131"/>
      <c r="Q464" s="131"/>
      <c r="R464" s="131"/>
      <c r="S464" s="131"/>
      <c r="T464" s="131"/>
    </row>
    <row r="465">
      <c r="A465" s="131"/>
      <c r="B465" s="131"/>
      <c r="C465" s="131"/>
      <c r="D465" s="81"/>
      <c r="E465" s="81"/>
      <c r="F465" s="131"/>
      <c r="G465" s="131"/>
      <c r="H465" s="131"/>
      <c r="I465" s="131"/>
      <c r="J465" s="131"/>
      <c r="K465" s="131"/>
      <c r="L465" s="131"/>
      <c r="M465" s="131"/>
      <c r="N465" s="131"/>
      <c r="O465" s="131"/>
      <c r="P465" s="131"/>
      <c r="Q465" s="131"/>
      <c r="R465" s="131"/>
      <c r="S465" s="131"/>
      <c r="T465" s="131"/>
    </row>
    <row r="466">
      <c r="A466" s="131"/>
      <c r="B466" s="131"/>
      <c r="C466" s="131"/>
      <c r="D466" s="81"/>
      <c r="E466" s="81"/>
      <c r="F466" s="131"/>
      <c r="G466" s="131"/>
      <c r="H466" s="131"/>
      <c r="I466" s="131"/>
      <c r="J466" s="131"/>
      <c r="K466" s="131"/>
      <c r="L466" s="131"/>
      <c r="M466" s="131"/>
      <c r="N466" s="131"/>
      <c r="O466" s="131"/>
      <c r="P466" s="131"/>
      <c r="Q466" s="131"/>
      <c r="R466" s="131"/>
      <c r="S466" s="131"/>
      <c r="T466" s="131"/>
    </row>
    <row r="467">
      <c r="A467" s="131"/>
      <c r="B467" s="131"/>
      <c r="C467" s="131"/>
      <c r="D467" s="81"/>
      <c r="E467" s="81"/>
      <c r="F467" s="131"/>
      <c r="G467" s="131"/>
      <c r="H467" s="131"/>
      <c r="I467" s="131"/>
      <c r="J467" s="131"/>
      <c r="K467" s="131"/>
      <c r="L467" s="131"/>
      <c r="M467" s="131"/>
      <c r="N467" s="131"/>
      <c r="O467" s="131"/>
      <c r="P467" s="131"/>
      <c r="Q467" s="131"/>
      <c r="R467" s="131"/>
      <c r="S467" s="131"/>
      <c r="T467" s="131"/>
    </row>
    <row r="468">
      <c r="A468" s="131"/>
      <c r="B468" s="131"/>
      <c r="C468" s="131"/>
      <c r="D468" s="81"/>
      <c r="E468" s="81"/>
      <c r="F468" s="131"/>
      <c r="G468" s="131"/>
      <c r="H468" s="131"/>
      <c r="I468" s="131"/>
      <c r="J468" s="131"/>
      <c r="K468" s="131"/>
      <c r="L468" s="131"/>
      <c r="M468" s="131"/>
      <c r="N468" s="131"/>
      <c r="O468" s="131"/>
      <c r="P468" s="131"/>
      <c r="Q468" s="131"/>
      <c r="R468" s="131"/>
      <c r="S468" s="131"/>
      <c r="T468" s="131"/>
    </row>
    <row r="469">
      <c r="A469" s="131"/>
      <c r="B469" s="131"/>
      <c r="C469" s="131"/>
      <c r="D469" s="81"/>
      <c r="E469" s="81"/>
      <c r="F469" s="131"/>
      <c r="G469" s="131"/>
      <c r="H469" s="131"/>
      <c r="I469" s="131"/>
      <c r="J469" s="131"/>
      <c r="K469" s="131"/>
      <c r="L469" s="131"/>
      <c r="M469" s="131"/>
      <c r="N469" s="131"/>
      <c r="O469" s="131"/>
      <c r="P469" s="131"/>
      <c r="Q469" s="131"/>
      <c r="R469" s="131"/>
      <c r="S469" s="131"/>
      <c r="T469" s="131"/>
    </row>
    <row r="470">
      <c r="A470" s="131"/>
      <c r="B470" s="131"/>
      <c r="C470" s="131"/>
      <c r="D470" s="81"/>
      <c r="E470" s="81"/>
      <c r="F470" s="131"/>
      <c r="G470" s="131"/>
      <c r="H470" s="131"/>
      <c r="I470" s="131"/>
      <c r="J470" s="131"/>
      <c r="K470" s="131"/>
      <c r="L470" s="131"/>
      <c r="M470" s="131"/>
      <c r="N470" s="131"/>
      <c r="O470" s="131"/>
      <c r="P470" s="131"/>
      <c r="Q470" s="131"/>
      <c r="R470" s="131"/>
      <c r="S470" s="131"/>
      <c r="T470" s="131"/>
    </row>
    <row r="471">
      <c r="A471" s="131"/>
      <c r="B471" s="131"/>
      <c r="C471" s="131"/>
      <c r="D471" s="81"/>
      <c r="E471" s="81"/>
      <c r="F471" s="131"/>
      <c r="G471" s="131"/>
      <c r="H471" s="131"/>
      <c r="I471" s="131"/>
      <c r="J471" s="131"/>
      <c r="K471" s="131"/>
      <c r="L471" s="131"/>
      <c r="M471" s="131"/>
      <c r="N471" s="131"/>
      <c r="O471" s="131"/>
      <c r="P471" s="131"/>
      <c r="Q471" s="131"/>
      <c r="R471" s="131"/>
      <c r="S471" s="131"/>
      <c r="T471" s="131"/>
    </row>
    <row r="472">
      <c r="A472" s="131"/>
      <c r="B472" s="131"/>
      <c r="C472" s="131"/>
      <c r="D472" s="81"/>
      <c r="E472" s="81"/>
      <c r="F472" s="131"/>
      <c r="G472" s="131"/>
      <c r="H472" s="131"/>
      <c r="I472" s="131"/>
      <c r="J472" s="131"/>
      <c r="K472" s="131"/>
      <c r="L472" s="131"/>
      <c r="M472" s="131"/>
      <c r="N472" s="131"/>
      <c r="O472" s="131"/>
      <c r="P472" s="131"/>
      <c r="Q472" s="131"/>
      <c r="R472" s="131"/>
      <c r="S472" s="131"/>
      <c r="T472" s="131"/>
    </row>
    <row r="473">
      <c r="A473" s="131"/>
      <c r="B473" s="131"/>
      <c r="C473" s="131"/>
      <c r="D473" s="81"/>
      <c r="E473" s="81"/>
      <c r="F473" s="131"/>
      <c r="G473" s="131"/>
      <c r="H473" s="131"/>
      <c r="I473" s="131"/>
      <c r="J473" s="131"/>
      <c r="K473" s="131"/>
      <c r="L473" s="131"/>
      <c r="M473" s="131"/>
      <c r="N473" s="131"/>
      <c r="O473" s="131"/>
      <c r="P473" s="131"/>
      <c r="Q473" s="131"/>
      <c r="R473" s="131"/>
      <c r="S473" s="131"/>
      <c r="T473" s="131"/>
    </row>
    <row r="474">
      <c r="A474" s="131"/>
      <c r="B474" s="131"/>
      <c r="C474" s="131"/>
      <c r="D474" s="81"/>
      <c r="E474" s="81"/>
      <c r="F474" s="131"/>
      <c r="G474" s="131"/>
      <c r="H474" s="131"/>
      <c r="I474" s="131"/>
      <c r="J474" s="131"/>
      <c r="K474" s="131"/>
      <c r="L474" s="131"/>
      <c r="M474" s="131"/>
      <c r="N474" s="131"/>
      <c r="O474" s="131"/>
      <c r="P474" s="131"/>
      <c r="Q474" s="131"/>
      <c r="R474" s="131"/>
      <c r="S474" s="131"/>
      <c r="T474" s="131"/>
    </row>
    <row r="475">
      <c r="A475" s="131"/>
      <c r="B475" s="131"/>
      <c r="C475" s="131"/>
      <c r="D475" s="81"/>
      <c r="E475" s="81"/>
      <c r="F475" s="131"/>
      <c r="G475" s="131"/>
      <c r="H475" s="131"/>
      <c r="I475" s="131"/>
      <c r="J475" s="131"/>
      <c r="K475" s="131"/>
      <c r="L475" s="131"/>
      <c r="M475" s="131"/>
      <c r="N475" s="131"/>
      <c r="O475" s="131"/>
      <c r="P475" s="131"/>
      <c r="Q475" s="131"/>
      <c r="R475" s="131"/>
      <c r="S475" s="131"/>
      <c r="T475" s="131"/>
    </row>
    <row r="476">
      <c r="A476" s="131"/>
      <c r="B476" s="131"/>
      <c r="C476" s="131"/>
      <c r="D476" s="81"/>
      <c r="E476" s="81"/>
      <c r="F476" s="131"/>
      <c r="G476" s="131"/>
      <c r="H476" s="131"/>
      <c r="I476" s="131"/>
      <c r="J476" s="131"/>
      <c r="K476" s="131"/>
      <c r="L476" s="131"/>
      <c r="M476" s="131"/>
      <c r="N476" s="131"/>
      <c r="O476" s="131"/>
      <c r="P476" s="131"/>
      <c r="Q476" s="131"/>
      <c r="R476" s="131"/>
      <c r="S476" s="131"/>
      <c r="T476" s="131"/>
    </row>
    <row r="477">
      <c r="A477" s="131"/>
      <c r="B477" s="131"/>
      <c r="C477" s="131"/>
      <c r="D477" s="81"/>
      <c r="E477" s="81"/>
      <c r="F477" s="131"/>
      <c r="G477" s="131"/>
      <c r="H477" s="131"/>
      <c r="I477" s="131"/>
      <c r="J477" s="131"/>
      <c r="K477" s="131"/>
      <c r="L477" s="131"/>
      <c r="M477" s="131"/>
      <c r="N477" s="131"/>
      <c r="O477" s="131"/>
      <c r="P477" s="131"/>
      <c r="Q477" s="131"/>
      <c r="R477" s="131"/>
      <c r="S477" s="131"/>
      <c r="T477" s="131"/>
    </row>
    <row r="478">
      <c r="A478" s="131"/>
      <c r="B478" s="131"/>
      <c r="C478" s="131"/>
      <c r="D478" s="81"/>
      <c r="E478" s="81"/>
      <c r="F478" s="131"/>
      <c r="G478" s="131"/>
      <c r="H478" s="131"/>
      <c r="I478" s="131"/>
      <c r="J478" s="131"/>
      <c r="K478" s="131"/>
      <c r="L478" s="131"/>
      <c r="M478" s="131"/>
      <c r="N478" s="131"/>
      <c r="O478" s="131"/>
      <c r="P478" s="131"/>
      <c r="Q478" s="131"/>
      <c r="R478" s="131"/>
      <c r="S478" s="131"/>
      <c r="T478" s="131"/>
    </row>
    <row r="479">
      <c r="A479" s="131"/>
      <c r="B479" s="131"/>
      <c r="C479" s="131"/>
      <c r="D479" s="81"/>
      <c r="E479" s="81"/>
      <c r="F479" s="131"/>
      <c r="G479" s="131"/>
      <c r="H479" s="131"/>
      <c r="I479" s="131"/>
      <c r="J479" s="131"/>
      <c r="K479" s="131"/>
      <c r="L479" s="131"/>
      <c r="M479" s="131"/>
      <c r="N479" s="131"/>
      <c r="O479" s="131"/>
      <c r="P479" s="131"/>
      <c r="Q479" s="131"/>
      <c r="R479" s="131"/>
      <c r="S479" s="131"/>
      <c r="T479" s="131"/>
    </row>
    <row r="480">
      <c r="A480" s="131"/>
      <c r="B480" s="131"/>
      <c r="C480" s="131"/>
      <c r="D480" s="81"/>
      <c r="E480" s="81"/>
      <c r="F480" s="131"/>
      <c r="G480" s="131"/>
      <c r="H480" s="131"/>
      <c r="I480" s="131"/>
      <c r="J480" s="131"/>
      <c r="K480" s="131"/>
      <c r="L480" s="131"/>
      <c r="M480" s="131"/>
      <c r="N480" s="131"/>
      <c r="O480" s="131"/>
      <c r="P480" s="131"/>
      <c r="Q480" s="131"/>
      <c r="R480" s="131"/>
      <c r="S480" s="131"/>
      <c r="T480" s="131"/>
    </row>
    <row r="481">
      <c r="A481" s="131"/>
      <c r="B481" s="131"/>
      <c r="C481" s="131"/>
      <c r="D481" s="81"/>
      <c r="E481" s="81"/>
      <c r="F481" s="131"/>
      <c r="G481" s="131"/>
      <c r="H481" s="131"/>
      <c r="I481" s="131"/>
      <c r="J481" s="131"/>
      <c r="K481" s="131"/>
      <c r="L481" s="131"/>
      <c r="M481" s="131"/>
      <c r="N481" s="131"/>
      <c r="O481" s="131"/>
      <c r="P481" s="131"/>
      <c r="Q481" s="131"/>
      <c r="R481" s="131"/>
      <c r="S481" s="131"/>
      <c r="T481" s="131"/>
    </row>
    <row r="482">
      <c r="A482" s="131"/>
      <c r="B482" s="131"/>
      <c r="C482" s="131"/>
      <c r="D482" s="81"/>
      <c r="E482" s="81"/>
      <c r="F482" s="131"/>
      <c r="G482" s="131"/>
      <c r="H482" s="131"/>
      <c r="I482" s="131"/>
      <c r="J482" s="131"/>
      <c r="K482" s="131"/>
      <c r="L482" s="131"/>
      <c r="M482" s="131"/>
      <c r="N482" s="131"/>
      <c r="O482" s="131"/>
      <c r="P482" s="131"/>
      <c r="Q482" s="131"/>
      <c r="R482" s="131"/>
      <c r="S482" s="131"/>
      <c r="T482" s="131"/>
    </row>
    <row r="483">
      <c r="A483" s="131"/>
      <c r="B483" s="131"/>
      <c r="C483" s="131"/>
      <c r="D483" s="81"/>
      <c r="E483" s="81"/>
      <c r="F483" s="131"/>
      <c r="G483" s="131"/>
      <c r="H483" s="131"/>
      <c r="I483" s="131"/>
      <c r="J483" s="131"/>
      <c r="K483" s="131"/>
      <c r="L483" s="131"/>
      <c r="M483" s="131"/>
      <c r="N483" s="131"/>
      <c r="O483" s="131"/>
      <c r="P483" s="131"/>
      <c r="Q483" s="131"/>
      <c r="R483" s="131"/>
      <c r="S483" s="131"/>
      <c r="T483" s="131"/>
    </row>
    <row r="484">
      <c r="A484" s="131"/>
      <c r="B484" s="131"/>
      <c r="C484" s="131"/>
      <c r="D484" s="81"/>
      <c r="E484" s="81"/>
      <c r="F484" s="131"/>
      <c r="G484" s="131"/>
      <c r="H484" s="131"/>
      <c r="I484" s="131"/>
      <c r="J484" s="131"/>
      <c r="K484" s="131"/>
      <c r="L484" s="131"/>
      <c r="M484" s="131"/>
      <c r="N484" s="131"/>
      <c r="O484" s="131"/>
      <c r="P484" s="131"/>
      <c r="Q484" s="131"/>
      <c r="R484" s="131"/>
      <c r="S484" s="131"/>
      <c r="T484" s="131"/>
    </row>
    <row r="485">
      <c r="A485" s="131"/>
      <c r="B485" s="131"/>
      <c r="C485" s="131"/>
      <c r="D485" s="81"/>
      <c r="E485" s="81"/>
      <c r="F485" s="131"/>
      <c r="G485" s="131"/>
      <c r="H485" s="131"/>
      <c r="I485" s="131"/>
      <c r="J485" s="131"/>
      <c r="K485" s="131"/>
      <c r="L485" s="131"/>
      <c r="M485" s="131"/>
      <c r="N485" s="131"/>
      <c r="O485" s="131"/>
      <c r="P485" s="131"/>
      <c r="Q485" s="131"/>
      <c r="R485" s="131"/>
      <c r="S485" s="131"/>
      <c r="T485" s="131"/>
    </row>
    <row r="486">
      <c r="A486" s="131"/>
      <c r="B486" s="131"/>
      <c r="C486" s="131"/>
      <c r="D486" s="81"/>
      <c r="E486" s="81"/>
      <c r="F486" s="131"/>
      <c r="G486" s="131"/>
      <c r="H486" s="131"/>
      <c r="I486" s="131"/>
      <c r="J486" s="131"/>
      <c r="K486" s="131"/>
      <c r="L486" s="131"/>
      <c r="M486" s="131"/>
      <c r="N486" s="131"/>
      <c r="O486" s="131"/>
      <c r="P486" s="131"/>
      <c r="Q486" s="131"/>
      <c r="R486" s="131"/>
      <c r="S486" s="131"/>
      <c r="T486" s="131"/>
    </row>
    <row r="487">
      <c r="A487" s="131"/>
      <c r="B487" s="131"/>
      <c r="C487" s="131"/>
      <c r="D487" s="81"/>
      <c r="E487" s="81"/>
      <c r="F487" s="131"/>
      <c r="G487" s="131"/>
      <c r="H487" s="131"/>
      <c r="I487" s="131"/>
      <c r="J487" s="131"/>
      <c r="K487" s="131"/>
      <c r="L487" s="131"/>
      <c r="M487" s="131"/>
      <c r="N487" s="131"/>
      <c r="O487" s="131"/>
      <c r="P487" s="131"/>
      <c r="Q487" s="131"/>
      <c r="R487" s="131"/>
      <c r="S487" s="131"/>
      <c r="T487" s="131"/>
    </row>
    <row r="488">
      <c r="A488" s="131"/>
      <c r="B488" s="131"/>
      <c r="C488" s="131"/>
      <c r="D488" s="81"/>
      <c r="E488" s="81"/>
      <c r="F488" s="131"/>
      <c r="G488" s="131"/>
      <c r="H488" s="131"/>
      <c r="I488" s="131"/>
      <c r="J488" s="131"/>
      <c r="K488" s="131"/>
      <c r="L488" s="131"/>
      <c r="M488" s="131"/>
      <c r="N488" s="131"/>
      <c r="O488" s="131"/>
      <c r="P488" s="131"/>
      <c r="Q488" s="131"/>
      <c r="R488" s="131"/>
      <c r="S488" s="131"/>
      <c r="T488" s="131"/>
    </row>
    <row r="489">
      <c r="A489" s="131"/>
      <c r="B489" s="131"/>
      <c r="C489" s="131"/>
      <c r="D489" s="81"/>
      <c r="E489" s="81"/>
      <c r="F489" s="131"/>
      <c r="G489" s="131"/>
      <c r="H489" s="131"/>
      <c r="I489" s="131"/>
      <c r="J489" s="131"/>
      <c r="K489" s="131"/>
      <c r="L489" s="131"/>
      <c r="M489" s="131"/>
      <c r="N489" s="131"/>
      <c r="O489" s="131"/>
      <c r="P489" s="131"/>
      <c r="Q489" s="131"/>
      <c r="R489" s="131"/>
      <c r="S489" s="131"/>
      <c r="T489" s="131"/>
    </row>
    <row r="490">
      <c r="A490" s="131"/>
      <c r="B490" s="131"/>
      <c r="C490" s="131"/>
      <c r="D490" s="81"/>
      <c r="E490" s="81"/>
      <c r="F490" s="131"/>
      <c r="G490" s="131"/>
      <c r="H490" s="131"/>
      <c r="I490" s="131"/>
      <c r="J490" s="131"/>
      <c r="K490" s="131"/>
      <c r="L490" s="131"/>
      <c r="M490" s="131"/>
      <c r="N490" s="131"/>
      <c r="O490" s="131"/>
      <c r="P490" s="131"/>
      <c r="Q490" s="131"/>
      <c r="R490" s="131"/>
      <c r="S490" s="131"/>
      <c r="T490" s="131"/>
    </row>
    <row r="491">
      <c r="A491" s="131"/>
      <c r="B491" s="131"/>
      <c r="C491" s="131"/>
      <c r="D491" s="81"/>
      <c r="E491" s="81"/>
      <c r="F491" s="131"/>
      <c r="G491" s="131"/>
      <c r="H491" s="131"/>
      <c r="I491" s="131"/>
      <c r="J491" s="131"/>
      <c r="K491" s="131"/>
      <c r="L491" s="131"/>
      <c r="M491" s="131"/>
      <c r="N491" s="131"/>
      <c r="O491" s="131"/>
      <c r="P491" s="131"/>
      <c r="Q491" s="131"/>
      <c r="R491" s="131"/>
      <c r="S491" s="131"/>
      <c r="T491" s="131"/>
    </row>
    <row r="492">
      <c r="A492" s="131"/>
      <c r="B492" s="131"/>
      <c r="C492" s="131"/>
      <c r="D492" s="81"/>
      <c r="E492" s="81"/>
      <c r="F492" s="131"/>
      <c r="G492" s="131"/>
      <c r="H492" s="131"/>
      <c r="I492" s="131"/>
      <c r="J492" s="131"/>
      <c r="K492" s="131"/>
      <c r="L492" s="131"/>
      <c r="M492" s="131"/>
      <c r="N492" s="131"/>
      <c r="O492" s="131"/>
      <c r="P492" s="131"/>
      <c r="Q492" s="131"/>
      <c r="R492" s="131"/>
      <c r="S492" s="131"/>
      <c r="T492" s="131"/>
    </row>
    <row r="493">
      <c r="A493" s="131"/>
      <c r="B493" s="131"/>
      <c r="C493" s="131"/>
      <c r="D493" s="81"/>
      <c r="E493" s="81"/>
      <c r="F493" s="131"/>
      <c r="G493" s="131"/>
      <c r="H493" s="131"/>
      <c r="I493" s="131"/>
      <c r="J493" s="131"/>
      <c r="K493" s="131"/>
      <c r="L493" s="131"/>
      <c r="M493" s="131"/>
      <c r="N493" s="131"/>
      <c r="O493" s="131"/>
      <c r="P493" s="131"/>
      <c r="Q493" s="131"/>
      <c r="R493" s="131"/>
      <c r="S493" s="131"/>
      <c r="T493" s="131"/>
    </row>
    <row r="494">
      <c r="A494" s="131"/>
      <c r="B494" s="131"/>
      <c r="C494" s="131"/>
      <c r="D494" s="81"/>
      <c r="E494" s="81"/>
      <c r="F494" s="131"/>
      <c r="G494" s="131"/>
      <c r="H494" s="131"/>
      <c r="I494" s="131"/>
      <c r="J494" s="131"/>
      <c r="K494" s="131"/>
      <c r="L494" s="131"/>
      <c r="M494" s="131"/>
      <c r="N494" s="131"/>
      <c r="O494" s="131"/>
      <c r="P494" s="131"/>
      <c r="Q494" s="131"/>
      <c r="R494" s="131"/>
      <c r="S494" s="131"/>
      <c r="T494" s="131"/>
    </row>
    <row r="495">
      <c r="A495" s="131"/>
      <c r="B495" s="131"/>
      <c r="C495" s="131"/>
      <c r="D495" s="81"/>
      <c r="E495" s="81"/>
      <c r="F495" s="131"/>
      <c r="G495" s="131"/>
      <c r="H495" s="131"/>
      <c r="I495" s="131"/>
      <c r="J495" s="131"/>
      <c r="K495" s="131"/>
      <c r="L495" s="131"/>
      <c r="M495" s="131"/>
      <c r="N495" s="131"/>
      <c r="O495" s="131"/>
      <c r="P495" s="131"/>
      <c r="Q495" s="131"/>
      <c r="R495" s="131"/>
      <c r="S495" s="131"/>
      <c r="T495" s="131"/>
    </row>
    <row r="496">
      <c r="A496" s="131"/>
      <c r="B496" s="131"/>
      <c r="C496" s="131"/>
      <c r="D496" s="81"/>
      <c r="E496" s="81"/>
      <c r="F496" s="131"/>
      <c r="G496" s="131"/>
      <c r="H496" s="131"/>
      <c r="I496" s="131"/>
      <c r="J496" s="131"/>
      <c r="K496" s="131"/>
      <c r="L496" s="131"/>
      <c r="M496" s="131"/>
      <c r="N496" s="131"/>
      <c r="O496" s="131"/>
      <c r="P496" s="131"/>
      <c r="Q496" s="131"/>
      <c r="R496" s="131"/>
      <c r="S496" s="131"/>
      <c r="T496" s="131"/>
    </row>
    <row r="497">
      <c r="A497" s="131"/>
      <c r="B497" s="131"/>
      <c r="C497" s="131"/>
      <c r="D497" s="81"/>
      <c r="E497" s="81"/>
      <c r="F497" s="131"/>
      <c r="G497" s="131"/>
      <c r="H497" s="131"/>
      <c r="I497" s="131"/>
      <c r="J497" s="131"/>
      <c r="K497" s="131"/>
      <c r="L497" s="131"/>
      <c r="M497" s="131"/>
      <c r="N497" s="131"/>
      <c r="O497" s="131"/>
      <c r="P497" s="131"/>
      <c r="Q497" s="131"/>
      <c r="R497" s="131"/>
      <c r="S497" s="131"/>
      <c r="T497" s="131"/>
    </row>
    <row r="498">
      <c r="A498" s="131"/>
      <c r="B498" s="131"/>
      <c r="C498" s="131"/>
      <c r="D498" s="81"/>
      <c r="E498" s="81"/>
      <c r="F498" s="131"/>
      <c r="G498" s="131"/>
      <c r="H498" s="131"/>
      <c r="I498" s="131"/>
      <c r="J498" s="131"/>
      <c r="K498" s="131"/>
      <c r="L498" s="131"/>
      <c r="M498" s="131"/>
      <c r="N498" s="131"/>
      <c r="O498" s="131"/>
      <c r="P498" s="131"/>
      <c r="Q498" s="131"/>
      <c r="R498" s="131"/>
      <c r="S498" s="131"/>
      <c r="T498" s="131"/>
    </row>
    <row r="499">
      <c r="A499" s="131"/>
      <c r="B499" s="131"/>
      <c r="C499" s="131"/>
      <c r="D499" s="81"/>
      <c r="E499" s="81"/>
      <c r="F499" s="131"/>
      <c r="G499" s="131"/>
      <c r="H499" s="131"/>
      <c r="I499" s="131"/>
      <c r="J499" s="131"/>
      <c r="K499" s="131"/>
      <c r="L499" s="131"/>
      <c r="M499" s="131"/>
      <c r="N499" s="131"/>
      <c r="O499" s="131"/>
      <c r="P499" s="131"/>
      <c r="Q499" s="131"/>
      <c r="R499" s="131"/>
      <c r="S499" s="131"/>
      <c r="T499" s="131"/>
    </row>
    <row r="500">
      <c r="A500" s="131"/>
      <c r="B500" s="131"/>
      <c r="C500" s="131"/>
      <c r="D500" s="81"/>
      <c r="E500" s="81"/>
      <c r="F500" s="131"/>
      <c r="G500" s="131"/>
      <c r="H500" s="131"/>
      <c r="I500" s="131"/>
      <c r="J500" s="131"/>
      <c r="K500" s="131"/>
      <c r="L500" s="131"/>
      <c r="M500" s="131"/>
      <c r="N500" s="131"/>
      <c r="O500" s="131"/>
      <c r="P500" s="131"/>
      <c r="Q500" s="131"/>
      <c r="R500" s="131"/>
      <c r="S500" s="131"/>
      <c r="T500" s="131"/>
    </row>
    <row r="501">
      <c r="A501" s="131"/>
      <c r="B501" s="131"/>
      <c r="C501" s="131"/>
      <c r="D501" s="81"/>
      <c r="E501" s="81"/>
      <c r="F501" s="131"/>
      <c r="G501" s="131"/>
      <c r="H501" s="131"/>
      <c r="I501" s="131"/>
      <c r="J501" s="131"/>
      <c r="K501" s="131"/>
      <c r="L501" s="131"/>
      <c r="M501" s="131"/>
      <c r="N501" s="131"/>
      <c r="O501" s="131"/>
      <c r="P501" s="131"/>
      <c r="Q501" s="131"/>
      <c r="R501" s="131"/>
      <c r="S501" s="131"/>
      <c r="T501" s="131"/>
    </row>
    <row r="502">
      <c r="A502" s="131"/>
      <c r="B502" s="131"/>
      <c r="C502" s="131"/>
      <c r="D502" s="81"/>
      <c r="E502" s="81"/>
      <c r="F502" s="131"/>
      <c r="G502" s="131"/>
      <c r="H502" s="131"/>
      <c r="I502" s="131"/>
      <c r="J502" s="131"/>
      <c r="K502" s="131"/>
      <c r="L502" s="131"/>
      <c r="M502" s="131"/>
      <c r="N502" s="131"/>
      <c r="O502" s="131"/>
      <c r="P502" s="131"/>
      <c r="Q502" s="131"/>
      <c r="R502" s="131"/>
      <c r="S502" s="131"/>
      <c r="T502" s="131"/>
    </row>
    <row r="503">
      <c r="A503" s="131"/>
      <c r="B503" s="131"/>
      <c r="C503" s="131"/>
      <c r="D503" s="81"/>
      <c r="E503" s="81"/>
      <c r="F503" s="131"/>
      <c r="G503" s="131"/>
      <c r="H503" s="131"/>
      <c r="I503" s="131"/>
      <c r="J503" s="131"/>
      <c r="K503" s="131"/>
      <c r="L503" s="131"/>
      <c r="M503" s="131"/>
      <c r="N503" s="131"/>
      <c r="O503" s="131"/>
      <c r="P503" s="131"/>
      <c r="Q503" s="131"/>
      <c r="R503" s="131"/>
      <c r="S503" s="131"/>
      <c r="T503" s="131"/>
    </row>
    <row r="504">
      <c r="A504" s="131"/>
      <c r="B504" s="131"/>
      <c r="C504" s="131"/>
      <c r="D504" s="81"/>
      <c r="E504" s="81"/>
      <c r="F504" s="131"/>
      <c r="G504" s="131"/>
      <c r="H504" s="131"/>
      <c r="I504" s="131"/>
      <c r="J504" s="131"/>
      <c r="K504" s="131"/>
      <c r="L504" s="131"/>
      <c r="M504" s="131"/>
      <c r="N504" s="131"/>
      <c r="O504" s="131"/>
      <c r="P504" s="131"/>
      <c r="Q504" s="131"/>
      <c r="R504" s="131"/>
      <c r="S504" s="131"/>
      <c r="T504" s="131"/>
    </row>
    <row r="505">
      <c r="A505" s="131"/>
      <c r="B505" s="131"/>
      <c r="C505" s="131"/>
      <c r="D505" s="81"/>
      <c r="E505" s="81"/>
      <c r="F505" s="131"/>
      <c r="G505" s="131"/>
      <c r="H505" s="131"/>
      <c r="I505" s="131"/>
      <c r="J505" s="131"/>
      <c r="K505" s="131"/>
      <c r="L505" s="131"/>
      <c r="M505" s="131"/>
      <c r="N505" s="131"/>
      <c r="O505" s="131"/>
      <c r="P505" s="131"/>
      <c r="Q505" s="131"/>
      <c r="R505" s="131"/>
      <c r="S505" s="131"/>
      <c r="T505" s="131"/>
    </row>
    <row r="506">
      <c r="A506" s="131"/>
      <c r="B506" s="131"/>
      <c r="C506" s="131"/>
      <c r="D506" s="81"/>
      <c r="E506" s="81"/>
      <c r="F506" s="131"/>
      <c r="G506" s="131"/>
      <c r="H506" s="131"/>
      <c r="I506" s="131"/>
      <c r="J506" s="131"/>
      <c r="K506" s="131"/>
      <c r="L506" s="131"/>
      <c r="M506" s="131"/>
      <c r="N506" s="131"/>
      <c r="O506" s="131"/>
      <c r="P506" s="131"/>
      <c r="Q506" s="131"/>
      <c r="R506" s="131"/>
      <c r="S506" s="131"/>
      <c r="T506" s="131"/>
    </row>
    <row r="507">
      <c r="A507" s="131"/>
      <c r="B507" s="131"/>
      <c r="C507" s="131"/>
      <c r="D507" s="81"/>
      <c r="E507" s="81"/>
      <c r="F507" s="131"/>
      <c r="G507" s="131"/>
      <c r="H507" s="131"/>
      <c r="I507" s="131"/>
      <c r="J507" s="131"/>
      <c r="K507" s="131"/>
      <c r="L507" s="131"/>
      <c r="M507" s="131"/>
      <c r="N507" s="131"/>
      <c r="O507" s="131"/>
      <c r="P507" s="131"/>
      <c r="Q507" s="131"/>
      <c r="R507" s="131"/>
      <c r="S507" s="131"/>
      <c r="T507" s="131"/>
    </row>
    <row r="508">
      <c r="A508" s="131"/>
      <c r="B508" s="131"/>
      <c r="C508" s="131"/>
      <c r="D508" s="81"/>
      <c r="E508" s="81"/>
      <c r="F508" s="131"/>
      <c r="G508" s="131"/>
      <c r="H508" s="131"/>
      <c r="I508" s="131"/>
      <c r="J508" s="131"/>
      <c r="K508" s="131"/>
      <c r="L508" s="131"/>
      <c r="M508" s="131"/>
      <c r="N508" s="131"/>
      <c r="O508" s="131"/>
      <c r="P508" s="131"/>
      <c r="Q508" s="131"/>
      <c r="R508" s="131"/>
      <c r="S508" s="131"/>
      <c r="T508" s="131"/>
    </row>
    <row r="509">
      <c r="A509" s="131"/>
      <c r="B509" s="131"/>
      <c r="C509" s="131"/>
      <c r="D509" s="81"/>
      <c r="E509" s="81"/>
      <c r="F509" s="131"/>
      <c r="G509" s="131"/>
      <c r="H509" s="131"/>
      <c r="I509" s="131"/>
      <c r="J509" s="131"/>
      <c r="K509" s="131"/>
      <c r="L509" s="131"/>
      <c r="M509" s="131"/>
      <c r="N509" s="131"/>
      <c r="O509" s="131"/>
      <c r="P509" s="131"/>
      <c r="Q509" s="131"/>
      <c r="R509" s="131"/>
      <c r="S509" s="131"/>
      <c r="T509" s="131"/>
    </row>
    <row r="510">
      <c r="A510" s="131"/>
      <c r="B510" s="131"/>
      <c r="C510" s="131"/>
      <c r="D510" s="81"/>
      <c r="E510" s="81"/>
      <c r="F510" s="131"/>
      <c r="G510" s="131"/>
      <c r="H510" s="131"/>
      <c r="I510" s="131"/>
      <c r="J510" s="131"/>
      <c r="K510" s="131"/>
      <c r="L510" s="131"/>
      <c r="M510" s="131"/>
      <c r="N510" s="131"/>
      <c r="O510" s="131"/>
      <c r="P510" s="131"/>
      <c r="Q510" s="131"/>
      <c r="R510" s="131"/>
      <c r="S510" s="131"/>
      <c r="T510" s="131"/>
    </row>
    <row r="511">
      <c r="A511" s="131"/>
      <c r="B511" s="131"/>
      <c r="C511" s="131"/>
      <c r="D511" s="81"/>
      <c r="E511" s="81"/>
      <c r="F511" s="131"/>
      <c r="G511" s="131"/>
      <c r="H511" s="131"/>
      <c r="I511" s="131"/>
      <c r="J511" s="131"/>
      <c r="K511" s="131"/>
      <c r="L511" s="131"/>
      <c r="M511" s="131"/>
      <c r="N511" s="131"/>
      <c r="O511" s="131"/>
      <c r="P511" s="131"/>
      <c r="Q511" s="131"/>
      <c r="R511" s="131"/>
      <c r="S511" s="131"/>
      <c r="T511" s="131"/>
    </row>
    <row r="512">
      <c r="A512" s="131"/>
      <c r="B512" s="131"/>
      <c r="C512" s="131"/>
      <c r="D512" s="81"/>
      <c r="E512" s="81"/>
      <c r="F512" s="131"/>
      <c r="G512" s="131"/>
      <c r="H512" s="131"/>
      <c r="I512" s="131"/>
      <c r="J512" s="131"/>
      <c r="K512" s="131"/>
      <c r="L512" s="131"/>
      <c r="M512" s="131"/>
      <c r="N512" s="131"/>
      <c r="O512" s="131"/>
      <c r="P512" s="131"/>
      <c r="Q512" s="131"/>
      <c r="R512" s="131"/>
      <c r="S512" s="131"/>
      <c r="T512" s="131"/>
    </row>
    <row r="513">
      <c r="A513" s="131"/>
      <c r="B513" s="131"/>
      <c r="C513" s="131"/>
      <c r="D513" s="81"/>
      <c r="E513" s="81"/>
      <c r="F513" s="131"/>
      <c r="G513" s="131"/>
      <c r="H513" s="131"/>
      <c r="I513" s="131"/>
      <c r="J513" s="131"/>
      <c r="K513" s="131"/>
      <c r="L513" s="131"/>
      <c r="M513" s="131"/>
      <c r="N513" s="131"/>
      <c r="O513" s="131"/>
      <c r="P513" s="131"/>
      <c r="Q513" s="131"/>
      <c r="R513" s="131"/>
      <c r="S513" s="131"/>
      <c r="T513" s="131"/>
    </row>
    <row r="514">
      <c r="A514" s="131"/>
      <c r="B514" s="131"/>
      <c r="C514" s="131"/>
      <c r="D514" s="81"/>
      <c r="E514" s="81"/>
      <c r="F514" s="131"/>
      <c r="G514" s="131"/>
      <c r="H514" s="131"/>
      <c r="I514" s="131"/>
      <c r="J514" s="131"/>
      <c r="K514" s="131"/>
      <c r="L514" s="131"/>
      <c r="M514" s="131"/>
      <c r="N514" s="131"/>
      <c r="O514" s="131"/>
      <c r="P514" s="131"/>
      <c r="Q514" s="131"/>
      <c r="R514" s="131"/>
      <c r="S514" s="131"/>
      <c r="T514" s="131"/>
    </row>
    <row r="515">
      <c r="A515" s="131"/>
      <c r="B515" s="131"/>
      <c r="C515" s="131"/>
      <c r="D515" s="81"/>
      <c r="E515" s="81"/>
      <c r="F515" s="131"/>
      <c r="G515" s="131"/>
      <c r="H515" s="131"/>
      <c r="I515" s="131"/>
      <c r="J515" s="131"/>
      <c r="K515" s="131"/>
      <c r="L515" s="131"/>
      <c r="M515" s="131"/>
      <c r="N515" s="131"/>
      <c r="O515" s="131"/>
      <c r="P515" s="131"/>
      <c r="Q515" s="131"/>
      <c r="R515" s="131"/>
      <c r="S515" s="131"/>
      <c r="T515" s="131"/>
    </row>
    <row r="516">
      <c r="A516" s="131"/>
      <c r="B516" s="131"/>
      <c r="C516" s="131"/>
      <c r="D516" s="81"/>
      <c r="E516" s="81"/>
      <c r="F516" s="131"/>
      <c r="G516" s="131"/>
      <c r="H516" s="131"/>
      <c r="I516" s="131"/>
      <c r="J516" s="131"/>
      <c r="K516" s="131"/>
      <c r="L516" s="131"/>
      <c r="M516" s="131"/>
      <c r="N516" s="131"/>
      <c r="O516" s="131"/>
      <c r="P516" s="131"/>
      <c r="Q516" s="131"/>
      <c r="R516" s="131"/>
      <c r="S516" s="131"/>
      <c r="T516" s="131"/>
    </row>
    <row r="517">
      <c r="A517" s="131"/>
      <c r="B517" s="131"/>
      <c r="C517" s="131"/>
      <c r="D517" s="81"/>
      <c r="E517" s="81"/>
      <c r="F517" s="131"/>
      <c r="G517" s="131"/>
      <c r="H517" s="131"/>
      <c r="I517" s="131"/>
      <c r="J517" s="131"/>
      <c r="K517" s="131"/>
      <c r="L517" s="131"/>
      <c r="M517" s="131"/>
      <c r="N517" s="131"/>
      <c r="O517" s="131"/>
      <c r="P517" s="131"/>
      <c r="Q517" s="131"/>
      <c r="R517" s="131"/>
      <c r="S517" s="131"/>
      <c r="T517" s="131"/>
    </row>
    <row r="518">
      <c r="A518" s="131"/>
      <c r="B518" s="131"/>
      <c r="C518" s="131"/>
      <c r="D518" s="81"/>
      <c r="E518" s="81"/>
      <c r="F518" s="131"/>
      <c r="G518" s="131"/>
      <c r="H518" s="131"/>
      <c r="I518" s="131"/>
      <c r="J518" s="131"/>
      <c r="K518" s="131"/>
      <c r="L518" s="131"/>
      <c r="M518" s="131"/>
      <c r="N518" s="131"/>
      <c r="O518" s="131"/>
      <c r="P518" s="131"/>
      <c r="Q518" s="131"/>
      <c r="R518" s="131"/>
      <c r="S518" s="131"/>
      <c r="T518" s="131"/>
    </row>
    <row r="519">
      <c r="A519" s="131"/>
      <c r="B519" s="131"/>
      <c r="C519" s="131"/>
      <c r="D519" s="81"/>
      <c r="E519" s="81"/>
      <c r="F519" s="131"/>
      <c r="G519" s="131"/>
      <c r="H519" s="131"/>
      <c r="I519" s="131"/>
      <c r="J519" s="131"/>
      <c r="K519" s="131"/>
      <c r="L519" s="131"/>
      <c r="M519" s="131"/>
      <c r="N519" s="131"/>
      <c r="O519" s="131"/>
      <c r="P519" s="131"/>
      <c r="Q519" s="131"/>
      <c r="R519" s="131"/>
      <c r="S519" s="131"/>
      <c r="T519" s="131"/>
    </row>
    <row r="520">
      <c r="A520" s="131"/>
      <c r="B520" s="131"/>
      <c r="C520" s="131"/>
      <c r="D520" s="81"/>
      <c r="E520" s="81"/>
      <c r="F520" s="131"/>
      <c r="G520" s="131"/>
      <c r="H520" s="131"/>
      <c r="I520" s="131"/>
      <c r="J520" s="131"/>
      <c r="K520" s="131"/>
      <c r="L520" s="131"/>
      <c r="M520" s="131"/>
      <c r="N520" s="131"/>
      <c r="O520" s="131"/>
      <c r="P520" s="131"/>
      <c r="Q520" s="131"/>
      <c r="R520" s="131"/>
      <c r="S520" s="131"/>
      <c r="T520" s="131"/>
    </row>
    <row r="521">
      <c r="A521" s="131"/>
      <c r="B521" s="131"/>
      <c r="C521" s="131"/>
      <c r="D521" s="81"/>
      <c r="E521" s="81"/>
      <c r="F521" s="131"/>
      <c r="G521" s="131"/>
      <c r="H521" s="131"/>
      <c r="I521" s="131"/>
      <c r="J521" s="131"/>
      <c r="K521" s="131"/>
      <c r="L521" s="131"/>
      <c r="M521" s="131"/>
      <c r="N521" s="131"/>
      <c r="O521" s="131"/>
      <c r="P521" s="131"/>
      <c r="Q521" s="131"/>
      <c r="R521" s="131"/>
      <c r="S521" s="131"/>
      <c r="T521" s="131"/>
    </row>
    <row r="522">
      <c r="A522" s="131"/>
      <c r="B522" s="131"/>
      <c r="C522" s="131"/>
      <c r="D522" s="81"/>
      <c r="E522" s="81"/>
      <c r="F522" s="131"/>
      <c r="G522" s="131"/>
      <c r="H522" s="131"/>
      <c r="I522" s="131"/>
      <c r="J522" s="131"/>
      <c r="K522" s="131"/>
      <c r="L522" s="131"/>
      <c r="M522" s="131"/>
      <c r="N522" s="131"/>
      <c r="O522" s="131"/>
      <c r="P522" s="131"/>
      <c r="Q522" s="131"/>
      <c r="R522" s="131"/>
      <c r="S522" s="131"/>
      <c r="T522" s="131"/>
    </row>
    <row r="523">
      <c r="A523" s="131"/>
      <c r="B523" s="131"/>
      <c r="C523" s="131"/>
      <c r="D523" s="81"/>
      <c r="E523" s="81"/>
      <c r="F523" s="131"/>
      <c r="G523" s="131"/>
      <c r="H523" s="131"/>
      <c r="I523" s="131"/>
      <c r="J523" s="131"/>
      <c r="K523" s="131"/>
      <c r="L523" s="131"/>
      <c r="M523" s="131"/>
      <c r="N523" s="131"/>
      <c r="O523" s="131"/>
      <c r="P523" s="131"/>
      <c r="Q523" s="131"/>
      <c r="R523" s="131"/>
      <c r="S523" s="131"/>
      <c r="T523" s="131"/>
    </row>
    <row r="524">
      <c r="A524" s="131"/>
      <c r="B524" s="131"/>
      <c r="C524" s="131"/>
      <c r="D524" s="81"/>
      <c r="E524" s="81"/>
      <c r="F524" s="131"/>
      <c r="G524" s="131"/>
      <c r="H524" s="131"/>
      <c r="I524" s="131"/>
      <c r="J524" s="131"/>
      <c r="K524" s="131"/>
      <c r="L524" s="131"/>
      <c r="M524" s="131"/>
      <c r="N524" s="131"/>
      <c r="O524" s="131"/>
      <c r="P524" s="131"/>
      <c r="Q524" s="131"/>
      <c r="R524" s="131"/>
      <c r="S524" s="131"/>
      <c r="T524" s="131"/>
    </row>
    <row r="525">
      <c r="A525" s="131"/>
      <c r="B525" s="131"/>
      <c r="C525" s="131"/>
      <c r="D525" s="81"/>
      <c r="E525" s="81"/>
      <c r="F525" s="131"/>
      <c r="G525" s="131"/>
      <c r="H525" s="131"/>
      <c r="I525" s="131"/>
      <c r="J525" s="131"/>
      <c r="K525" s="131"/>
      <c r="L525" s="131"/>
      <c r="M525" s="131"/>
      <c r="N525" s="131"/>
      <c r="O525" s="131"/>
      <c r="P525" s="131"/>
      <c r="Q525" s="131"/>
      <c r="R525" s="131"/>
      <c r="S525" s="131"/>
      <c r="T525" s="131"/>
    </row>
    <row r="526">
      <c r="A526" s="131"/>
      <c r="B526" s="131"/>
      <c r="C526" s="131"/>
      <c r="D526" s="81"/>
      <c r="E526" s="81"/>
      <c r="F526" s="131"/>
      <c r="G526" s="131"/>
      <c r="H526" s="131"/>
      <c r="I526" s="131"/>
      <c r="J526" s="131"/>
      <c r="K526" s="131"/>
      <c r="L526" s="131"/>
      <c r="M526" s="131"/>
      <c r="N526" s="131"/>
      <c r="O526" s="131"/>
      <c r="P526" s="131"/>
      <c r="Q526" s="131"/>
      <c r="R526" s="131"/>
      <c r="S526" s="131"/>
      <c r="T526" s="131"/>
    </row>
    <row r="527">
      <c r="A527" s="131"/>
      <c r="B527" s="131"/>
      <c r="C527" s="131"/>
      <c r="D527" s="81"/>
      <c r="E527" s="81"/>
      <c r="F527" s="131"/>
      <c r="G527" s="131"/>
      <c r="H527" s="131"/>
      <c r="I527" s="131"/>
      <c r="J527" s="131"/>
      <c r="K527" s="131"/>
      <c r="L527" s="131"/>
      <c r="M527" s="131"/>
      <c r="N527" s="131"/>
      <c r="O527" s="131"/>
      <c r="P527" s="131"/>
      <c r="Q527" s="131"/>
      <c r="R527" s="131"/>
      <c r="S527" s="131"/>
      <c r="T527" s="131"/>
    </row>
    <row r="528">
      <c r="A528" s="131"/>
      <c r="B528" s="131"/>
      <c r="C528" s="131"/>
      <c r="D528" s="81"/>
      <c r="E528" s="81"/>
      <c r="F528" s="131"/>
      <c r="G528" s="131"/>
      <c r="H528" s="131"/>
      <c r="I528" s="131"/>
      <c r="J528" s="131"/>
      <c r="K528" s="131"/>
      <c r="L528" s="131"/>
      <c r="M528" s="131"/>
      <c r="N528" s="131"/>
      <c r="O528" s="131"/>
      <c r="P528" s="131"/>
      <c r="Q528" s="131"/>
      <c r="R528" s="131"/>
      <c r="S528" s="131"/>
      <c r="T528" s="131"/>
    </row>
    <row r="529">
      <c r="A529" s="131"/>
      <c r="B529" s="131"/>
      <c r="C529" s="131"/>
      <c r="D529" s="81"/>
      <c r="E529" s="81"/>
      <c r="F529" s="131"/>
      <c r="G529" s="131"/>
      <c r="H529" s="131"/>
      <c r="I529" s="131"/>
      <c r="J529" s="131"/>
      <c r="K529" s="131"/>
      <c r="L529" s="131"/>
      <c r="M529" s="131"/>
      <c r="N529" s="131"/>
      <c r="O529" s="131"/>
      <c r="P529" s="131"/>
      <c r="Q529" s="131"/>
      <c r="R529" s="131"/>
      <c r="S529" s="131"/>
      <c r="T529" s="131"/>
    </row>
    <row r="530">
      <c r="A530" s="131"/>
      <c r="B530" s="131"/>
      <c r="C530" s="131"/>
      <c r="D530" s="81"/>
      <c r="E530" s="81"/>
      <c r="F530" s="131"/>
      <c r="G530" s="131"/>
      <c r="H530" s="131"/>
      <c r="I530" s="131"/>
      <c r="J530" s="131"/>
      <c r="K530" s="131"/>
      <c r="L530" s="131"/>
      <c r="M530" s="131"/>
      <c r="N530" s="131"/>
      <c r="O530" s="131"/>
      <c r="P530" s="131"/>
      <c r="Q530" s="131"/>
      <c r="R530" s="131"/>
      <c r="S530" s="131"/>
      <c r="T530" s="131"/>
    </row>
    <row r="531">
      <c r="A531" s="131"/>
      <c r="B531" s="131"/>
      <c r="C531" s="131"/>
      <c r="D531" s="81"/>
      <c r="E531" s="81"/>
      <c r="F531" s="131"/>
      <c r="G531" s="131"/>
      <c r="H531" s="131"/>
      <c r="I531" s="131"/>
      <c r="J531" s="131"/>
      <c r="K531" s="131"/>
      <c r="L531" s="131"/>
      <c r="M531" s="131"/>
      <c r="N531" s="131"/>
      <c r="O531" s="131"/>
      <c r="P531" s="131"/>
      <c r="Q531" s="131"/>
      <c r="R531" s="131"/>
      <c r="S531" s="131"/>
      <c r="T531" s="131"/>
    </row>
    <row r="532">
      <c r="A532" s="131"/>
      <c r="B532" s="131"/>
      <c r="C532" s="131"/>
      <c r="D532" s="81"/>
      <c r="E532" s="81"/>
      <c r="F532" s="131"/>
      <c r="G532" s="131"/>
      <c r="H532" s="131"/>
      <c r="I532" s="131"/>
      <c r="J532" s="131"/>
      <c r="K532" s="131"/>
      <c r="L532" s="131"/>
      <c r="M532" s="131"/>
      <c r="N532" s="131"/>
      <c r="O532" s="131"/>
      <c r="P532" s="131"/>
      <c r="Q532" s="131"/>
      <c r="R532" s="131"/>
      <c r="S532" s="131"/>
      <c r="T532" s="131"/>
    </row>
    <row r="533">
      <c r="A533" s="131"/>
      <c r="B533" s="131"/>
      <c r="C533" s="131"/>
      <c r="D533" s="81"/>
      <c r="E533" s="81"/>
      <c r="F533" s="131"/>
      <c r="G533" s="131"/>
      <c r="H533" s="131"/>
      <c r="I533" s="131"/>
      <c r="J533" s="131"/>
      <c r="K533" s="131"/>
      <c r="L533" s="131"/>
      <c r="M533" s="131"/>
      <c r="N533" s="131"/>
      <c r="O533" s="131"/>
      <c r="P533" s="131"/>
      <c r="Q533" s="131"/>
      <c r="R533" s="131"/>
      <c r="S533" s="131"/>
      <c r="T533" s="131"/>
    </row>
    <row r="534">
      <c r="A534" s="131"/>
      <c r="B534" s="131"/>
      <c r="C534" s="131"/>
      <c r="D534" s="81"/>
      <c r="E534" s="81"/>
      <c r="F534" s="131"/>
      <c r="G534" s="131"/>
      <c r="H534" s="131"/>
      <c r="I534" s="131"/>
      <c r="J534" s="131"/>
      <c r="K534" s="131"/>
      <c r="L534" s="131"/>
      <c r="M534" s="131"/>
      <c r="N534" s="131"/>
      <c r="O534" s="131"/>
      <c r="P534" s="131"/>
      <c r="Q534" s="131"/>
      <c r="R534" s="131"/>
      <c r="S534" s="131"/>
      <c r="T534" s="131"/>
    </row>
    <row r="535">
      <c r="A535" s="131"/>
      <c r="B535" s="131"/>
      <c r="C535" s="131"/>
      <c r="D535" s="81"/>
      <c r="E535" s="81"/>
      <c r="F535" s="131"/>
      <c r="G535" s="131"/>
      <c r="H535" s="131"/>
      <c r="I535" s="131"/>
      <c r="J535" s="131"/>
      <c r="K535" s="131"/>
      <c r="L535" s="131"/>
      <c r="M535" s="131"/>
      <c r="N535" s="131"/>
      <c r="O535" s="131"/>
      <c r="P535" s="131"/>
      <c r="Q535" s="131"/>
      <c r="R535" s="131"/>
      <c r="S535" s="131"/>
      <c r="T535" s="131"/>
    </row>
    <row r="536">
      <c r="A536" s="131"/>
      <c r="B536" s="131"/>
      <c r="C536" s="131"/>
      <c r="D536" s="81"/>
      <c r="E536" s="81"/>
      <c r="F536" s="131"/>
      <c r="G536" s="131"/>
      <c r="H536" s="131"/>
      <c r="I536" s="131"/>
      <c r="J536" s="131"/>
      <c r="K536" s="131"/>
      <c r="L536" s="131"/>
      <c r="M536" s="131"/>
      <c r="N536" s="131"/>
      <c r="O536" s="131"/>
      <c r="P536" s="131"/>
      <c r="Q536" s="131"/>
      <c r="R536" s="131"/>
      <c r="S536" s="131"/>
      <c r="T536" s="131"/>
    </row>
    <row r="537">
      <c r="A537" s="131"/>
      <c r="B537" s="131"/>
      <c r="C537" s="131"/>
      <c r="D537" s="81"/>
      <c r="E537" s="81"/>
      <c r="F537" s="131"/>
      <c r="G537" s="131"/>
      <c r="H537" s="131"/>
      <c r="I537" s="131"/>
      <c r="J537" s="131"/>
      <c r="K537" s="131"/>
      <c r="L537" s="131"/>
      <c r="M537" s="131"/>
      <c r="N537" s="131"/>
      <c r="O537" s="131"/>
      <c r="P537" s="131"/>
      <c r="Q537" s="131"/>
      <c r="R537" s="131"/>
      <c r="S537" s="131"/>
      <c r="T537" s="131"/>
    </row>
    <row r="538">
      <c r="A538" s="131"/>
      <c r="B538" s="131"/>
      <c r="C538" s="131"/>
      <c r="D538" s="81"/>
      <c r="E538" s="81"/>
      <c r="F538" s="131"/>
      <c r="G538" s="131"/>
      <c r="H538" s="131"/>
      <c r="I538" s="131"/>
      <c r="J538" s="131"/>
      <c r="K538" s="131"/>
      <c r="L538" s="131"/>
      <c r="M538" s="131"/>
      <c r="N538" s="131"/>
      <c r="O538" s="131"/>
      <c r="P538" s="131"/>
      <c r="Q538" s="131"/>
      <c r="R538" s="131"/>
      <c r="S538" s="131"/>
      <c r="T538" s="131"/>
    </row>
    <row r="539">
      <c r="A539" s="131"/>
      <c r="B539" s="131"/>
      <c r="C539" s="131"/>
      <c r="D539" s="81"/>
      <c r="E539" s="81"/>
      <c r="F539" s="131"/>
      <c r="G539" s="131"/>
      <c r="H539" s="131"/>
      <c r="I539" s="131"/>
      <c r="J539" s="131"/>
      <c r="K539" s="131"/>
      <c r="L539" s="131"/>
      <c r="M539" s="131"/>
      <c r="N539" s="131"/>
      <c r="O539" s="131"/>
      <c r="P539" s="131"/>
      <c r="Q539" s="131"/>
      <c r="R539" s="131"/>
      <c r="S539" s="131"/>
      <c r="T539" s="131"/>
    </row>
    <row r="540">
      <c r="A540" s="131"/>
      <c r="B540" s="131"/>
      <c r="C540" s="131"/>
      <c r="D540" s="81"/>
      <c r="E540" s="81"/>
      <c r="F540" s="131"/>
      <c r="G540" s="131"/>
      <c r="H540" s="131"/>
      <c r="I540" s="131"/>
      <c r="J540" s="131"/>
      <c r="K540" s="131"/>
      <c r="L540" s="131"/>
      <c r="M540" s="131"/>
      <c r="N540" s="131"/>
      <c r="O540" s="131"/>
      <c r="P540" s="131"/>
      <c r="Q540" s="131"/>
      <c r="R540" s="131"/>
      <c r="S540" s="131"/>
      <c r="T540" s="131"/>
    </row>
    <row r="541">
      <c r="A541" s="131"/>
      <c r="B541" s="131"/>
      <c r="C541" s="131"/>
      <c r="D541" s="81"/>
      <c r="E541" s="81"/>
      <c r="F541" s="131"/>
      <c r="G541" s="131"/>
      <c r="H541" s="131"/>
      <c r="I541" s="131"/>
      <c r="J541" s="131"/>
      <c r="K541" s="131"/>
      <c r="L541" s="131"/>
      <c r="M541" s="131"/>
      <c r="N541" s="131"/>
      <c r="O541" s="131"/>
      <c r="P541" s="131"/>
      <c r="Q541" s="131"/>
      <c r="R541" s="131"/>
      <c r="S541" s="131"/>
      <c r="T541" s="131"/>
    </row>
    <row r="542">
      <c r="A542" s="131"/>
      <c r="B542" s="131"/>
      <c r="C542" s="131"/>
      <c r="D542" s="81"/>
      <c r="E542" s="81"/>
      <c r="F542" s="131"/>
      <c r="G542" s="131"/>
      <c r="H542" s="131"/>
      <c r="I542" s="131"/>
      <c r="J542" s="131"/>
      <c r="K542" s="131"/>
      <c r="L542" s="131"/>
      <c r="M542" s="131"/>
      <c r="N542" s="131"/>
      <c r="O542" s="131"/>
      <c r="P542" s="131"/>
      <c r="Q542" s="131"/>
      <c r="R542" s="131"/>
      <c r="S542" s="131"/>
      <c r="T542" s="131"/>
    </row>
    <row r="543">
      <c r="A543" s="131"/>
      <c r="B543" s="131"/>
      <c r="C543" s="131"/>
      <c r="D543" s="81"/>
      <c r="E543" s="81"/>
      <c r="F543" s="131"/>
      <c r="G543" s="131"/>
      <c r="H543" s="131"/>
      <c r="I543" s="131"/>
      <c r="J543" s="131"/>
      <c r="K543" s="131"/>
      <c r="L543" s="131"/>
      <c r="M543" s="131"/>
      <c r="N543" s="131"/>
      <c r="O543" s="131"/>
      <c r="P543" s="131"/>
      <c r="Q543" s="131"/>
      <c r="R543" s="131"/>
      <c r="S543" s="131"/>
      <c r="T543" s="131"/>
    </row>
    <row r="544">
      <c r="A544" s="131"/>
      <c r="B544" s="131"/>
      <c r="C544" s="131"/>
      <c r="D544" s="81"/>
      <c r="E544" s="81"/>
      <c r="F544" s="131"/>
      <c r="G544" s="131"/>
      <c r="H544" s="131"/>
      <c r="I544" s="131"/>
      <c r="J544" s="131"/>
      <c r="K544" s="131"/>
      <c r="L544" s="131"/>
      <c r="M544" s="131"/>
      <c r="N544" s="131"/>
      <c r="O544" s="131"/>
      <c r="P544" s="131"/>
      <c r="Q544" s="131"/>
      <c r="R544" s="131"/>
      <c r="S544" s="131"/>
      <c r="T544" s="131"/>
    </row>
    <row r="545">
      <c r="A545" s="131"/>
      <c r="B545" s="131"/>
      <c r="C545" s="131"/>
      <c r="D545" s="81"/>
      <c r="E545" s="81"/>
      <c r="F545" s="131"/>
      <c r="G545" s="131"/>
      <c r="H545" s="131"/>
      <c r="I545" s="131"/>
      <c r="J545" s="131"/>
      <c r="K545" s="131"/>
      <c r="L545" s="131"/>
      <c r="M545" s="131"/>
      <c r="N545" s="131"/>
      <c r="O545" s="131"/>
      <c r="P545" s="131"/>
      <c r="Q545" s="131"/>
      <c r="R545" s="131"/>
      <c r="S545" s="131"/>
      <c r="T545" s="131"/>
    </row>
    <row r="546">
      <c r="A546" s="131"/>
      <c r="B546" s="131"/>
      <c r="C546" s="131"/>
      <c r="D546" s="81"/>
      <c r="E546" s="81"/>
      <c r="F546" s="131"/>
      <c r="G546" s="131"/>
      <c r="H546" s="131"/>
      <c r="I546" s="131"/>
      <c r="J546" s="131"/>
      <c r="K546" s="131"/>
      <c r="L546" s="131"/>
      <c r="M546" s="131"/>
      <c r="N546" s="131"/>
      <c r="O546" s="131"/>
      <c r="P546" s="131"/>
      <c r="Q546" s="131"/>
      <c r="R546" s="131"/>
      <c r="S546" s="131"/>
      <c r="T546" s="131"/>
    </row>
    <row r="547">
      <c r="A547" s="131"/>
      <c r="B547" s="131"/>
      <c r="C547" s="131"/>
      <c r="D547" s="81"/>
      <c r="E547" s="81"/>
      <c r="F547" s="131"/>
      <c r="G547" s="131"/>
      <c r="H547" s="131"/>
      <c r="I547" s="131"/>
      <c r="J547" s="131"/>
      <c r="K547" s="131"/>
      <c r="L547" s="131"/>
      <c r="M547" s="131"/>
      <c r="N547" s="131"/>
      <c r="O547" s="131"/>
      <c r="P547" s="131"/>
      <c r="Q547" s="131"/>
      <c r="R547" s="131"/>
      <c r="S547" s="131"/>
      <c r="T547" s="131"/>
    </row>
    <row r="548">
      <c r="A548" s="131"/>
      <c r="B548" s="131"/>
      <c r="C548" s="131"/>
      <c r="D548" s="81"/>
      <c r="E548" s="81"/>
      <c r="F548" s="131"/>
      <c r="G548" s="131"/>
      <c r="H548" s="131"/>
      <c r="I548" s="131"/>
      <c r="J548" s="131"/>
      <c r="K548" s="131"/>
      <c r="L548" s="131"/>
      <c r="M548" s="131"/>
      <c r="N548" s="131"/>
      <c r="O548" s="131"/>
      <c r="P548" s="131"/>
      <c r="Q548" s="131"/>
      <c r="R548" s="131"/>
      <c r="S548" s="131"/>
      <c r="T548" s="131"/>
    </row>
    <row r="549">
      <c r="A549" s="131"/>
      <c r="B549" s="131"/>
      <c r="C549" s="131"/>
      <c r="D549" s="81"/>
      <c r="E549" s="81"/>
      <c r="F549" s="131"/>
      <c r="G549" s="131"/>
      <c r="H549" s="131"/>
      <c r="I549" s="131"/>
      <c r="J549" s="131"/>
      <c r="K549" s="131"/>
      <c r="L549" s="131"/>
      <c r="M549" s="131"/>
      <c r="N549" s="131"/>
      <c r="O549" s="131"/>
      <c r="P549" s="131"/>
      <c r="Q549" s="131"/>
      <c r="R549" s="131"/>
      <c r="S549" s="131"/>
      <c r="T549" s="131"/>
    </row>
    <row r="550">
      <c r="A550" s="131"/>
      <c r="B550" s="131"/>
      <c r="C550" s="131"/>
      <c r="D550" s="81"/>
      <c r="E550" s="81"/>
      <c r="F550" s="131"/>
      <c r="G550" s="131"/>
      <c r="H550" s="131"/>
      <c r="I550" s="131"/>
      <c r="J550" s="131"/>
      <c r="K550" s="131"/>
      <c r="L550" s="131"/>
      <c r="M550" s="131"/>
      <c r="N550" s="131"/>
      <c r="O550" s="131"/>
      <c r="P550" s="131"/>
      <c r="Q550" s="131"/>
      <c r="R550" s="131"/>
      <c r="S550" s="131"/>
      <c r="T550" s="131"/>
    </row>
    <row r="551">
      <c r="A551" s="131"/>
      <c r="B551" s="131"/>
      <c r="C551" s="131"/>
      <c r="D551" s="81"/>
      <c r="E551" s="81"/>
      <c r="F551" s="131"/>
      <c r="G551" s="131"/>
      <c r="H551" s="131"/>
      <c r="I551" s="131"/>
      <c r="J551" s="131"/>
      <c r="K551" s="131"/>
      <c r="L551" s="131"/>
      <c r="M551" s="131"/>
      <c r="N551" s="131"/>
      <c r="O551" s="131"/>
      <c r="P551" s="131"/>
      <c r="Q551" s="131"/>
      <c r="R551" s="131"/>
      <c r="S551" s="131"/>
      <c r="T551" s="131"/>
    </row>
    <row r="552">
      <c r="A552" s="131"/>
      <c r="B552" s="131"/>
      <c r="C552" s="131"/>
      <c r="D552" s="81"/>
      <c r="E552" s="81"/>
      <c r="F552" s="131"/>
      <c r="G552" s="131"/>
      <c r="H552" s="131"/>
      <c r="I552" s="131"/>
      <c r="J552" s="131"/>
      <c r="K552" s="131"/>
      <c r="L552" s="131"/>
      <c r="M552" s="131"/>
      <c r="N552" s="131"/>
      <c r="O552" s="131"/>
      <c r="P552" s="131"/>
      <c r="Q552" s="131"/>
      <c r="R552" s="131"/>
      <c r="S552" s="131"/>
      <c r="T552" s="131"/>
    </row>
    <row r="553">
      <c r="A553" s="131"/>
      <c r="B553" s="131"/>
      <c r="C553" s="131"/>
      <c r="D553" s="81"/>
      <c r="E553" s="81"/>
      <c r="F553" s="131"/>
      <c r="G553" s="131"/>
      <c r="H553" s="131"/>
      <c r="I553" s="131"/>
      <c r="J553" s="131"/>
      <c r="K553" s="131"/>
      <c r="L553" s="131"/>
      <c r="M553" s="131"/>
      <c r="N553" s="131"/>
      <c r="O553" s="131"/>
      <c r="P553" s="131"/>
      <c r="Q553" s="131"/>
      <c r="R553" s="131"/>
      <c r="S553" s="131"/>
      <c r="T553" s="131"/>
    </row>
    <row r="554">
      <c r="A554" s="131"/>
      <c r="B554" s="131"/>
      <c r="C554" s="131"/>
      <c r="D554" s="81"/>
      <c r="E554" s="81"/>
      <c r="F554" s="131"/>
      <c r="G554" s="131"/>
      <c r="H554" s="131"/>
      <c r="I554" s="131"/>
      <c r="J554" s="131"/>
      <c r="K554" s="131"/>
      <c r="L554" s="131"/>
      <c r="M554" s="131"/>
      <c r="N554" s="131"/>
      <c r="O554" s="131"/>
      <c r="P554" s="131"/>
      <c r="Q554" s="131"/>
      <c r="R554" s="131"/>
      <c r="S554" s="131"/>
      <c r="T554" s="131"/>
    </row>
    <row r="555">
      <c r="A555" s="131"/>
      <c r="B555" s="131"/>
      <c r="C555" s="131"/>
      <c r="D555" s="81"/>
      <c r="E555" s="81"/>
      <c r="F555" s="131"/>
      <c r="G555" s="131"/>
      <c r="H555" s="131"/>
      <c r="I555" s="131"/>
      <c r="J555" s="131"/>
      <c r="K555" s="131"/>
      <c r="L555" s="131"/>
      <c r="M555" s="131"/>
      <c r="N555" s="131"/>
      <c r="O555" s="131"/>
      <c r="P555" s="131"/>
      <c r="Q555" s="131"/>
      <c r="R555" s="131"/>
      <c r="S555" s="131"/>
      <c r="T555" s="131"/>
    </row>
    <row r="556">
      <c r="A556" s="131"/>
      <c r="B556" s="131"/>
      <c r="C556" s="131"/>
      <c r="D556" s="81"/>
      <c r="E556" s="81"/>
      <c r="F556" s="131"/>
      <c r="G556" s="131"/>
      <c r="H556" s="131"/>
      <c r="I556" s="131"/>
      <c r="J556" s="131"/>
      <c r="K556" s="131"/>
      <c r="L556" s="131"/>
      <c r="M556" s="131"/>
      <c r="N556" s="131"/>
      <c r="O556" s="131"/>
      <c r="P556" s="131"/>
      <c r="Q556" s="131"/>
      <c r="R556" s="131"/>
      <c r="S556" s="131"/>
      <c r="T556" s="131"/>
    </row>
    <row r="557">
      <c r="A557" s="131"/>
      <c r="B557" s="131"/>
      <c r="C557" s="131"/>
      <c r="D557" s="81"/>
      <c r="E557" s="81"/>
      <c r="F557" s="131"/>
      <c r="G557" s="131"/>
      <c r="H557" s="131"/>
      <c r="I557" s="131"/>
      <c r="J557" s="131"/>
      <c r="K557" s="131"/>
      <c r="L557" s="131"/>
      <c r="M557" s="131"/>
      <c r="N557" s="131"/>
      <c r="O557" s="131"/>
      <c r="P557" s="131"/>
      <c r="Q557" s="131"/>
      <c r="R557" s="131"/>
      <c r="S557" s="131"/>
      <c r="T557" s="131"/>
    </row>
    <row r="558">
      <c r="A558" s="131"/>
      <c r="B558" s="131"/>
      <c r="C558" s="131"/>
      <c r="D558" s="81"/>
      <c r="E558" s="81"/>
      <c r="F558" s="131"/>
      <c r="G558" s="131"/>
      <c r="H558" s="131"/>
      <c r="I558" s="131"/>
      <c r="J558" s="131"/>
      <c r="K558" s="131"/>
      <c r="L558" s="131"/>
      <c r="M558" s="131"/>
      <c r="N558" s="131"/>
      <c r="O558" s="131"/>
      <c r="P558" s="131"/>
      <c r="Q558" s="131"/>
      <c r="R558" s="131"/>
      <c r="S558" s="131"/>
      <c r="T558" s="131"/>
    </row>
    <row r="559">
      <c r="A559" s="131"/>
      <c r="B559" s="131"/>
      <c r="C559" s="131"/>
      <c r="D559" s="81"/>
      <c r="E559" s="81"/>
      <c r="F559" s="131"/>
      <c r="G559" s="131"/>
      <c r="H559" s="131"/>
      <c r="I559" s="131"/>
      <c r="J559" s="131"/>
      <c r="K559" s="131"/>
      <c r="L559" s="131"/>
      <c r="M559" s="131"/>
      <c r="N559" s="131"/>
      <c r="O559" s="131"/>
      <c r="P559" s="131"/>
      <c r="Q559" s="131"/>
      <c r="R559" s="131"/>
      <c r="S559" s="131"/>
      <c r="T559" s="131"/>
    </row>
    <row r="560">
      <c r="A560" s="131"/>
      <c r="B560" s="131"/>
      <c r="C560" s="131"/>
      <c r="D560" s="81"/>
      <c r="E560" s="81"/>
      <c r="F560" s="131"/>
      <c r="G560" s="131"/>
      <c r="H560" s="131"/>
      <c r="I560" s="131"/>
      <c r="J560" s="131"/>
      <c r="K560" s="131"/>
      <c r="L560" s="131"/>
      <c r="M560" s="131"/>
      <c r="N560" s="131"/>
      <c r="O560" s="131"/>
      <c r="P560" s="131"/>
      <c r="Q560" s="131"/>
      <c r="R560" s="131"/>
      <c r="S560" s="131"/>
      <c r="T560" s="131"/>
    </row>
    <row r="561">
      <c r="A561" s="131"/>
      <c r="B561" s="131"/>
      <c r="C561" s="131"/>
      <c r="D561" s="81"/>
      <c r="E561" s="81"/>
      <c r="F561" s="131"/>
      <c r="G561" s="131"/>
      <c r="H561" s="131"/>
      <c r="I561" s="131"/>
      <c r="J561" s="131"/>
      <c r="K561" s="131"/>
      <c r="L561" s="131"/>
      <c r="M561" s="131"/>
      <c r="N561" s="131"/>
      <c r="O561" s="131"/>
      <c r="P561" s="131"/>
      <c r="Q561" s="131"/>
      <c r="R561" s="131"/>
      <c r="S561" s="131"/>
      <c r="T561" s="131"/>
    </row>
    <row r="562">
      <c r="A562" s="131"/>
      <c r="B562" s="131"/>
      <c r="C562" s="131"/>
      <c r="D562" s="81"/>
      <c r="E562" s="81"/>
      <c r="F562" s="131"/>
      <c r="G562" s="131"/>
      <c r="H562" s="131"/>
      <c r="I562" s="131"/>
      <c r="J562" s="131"/>
      <c r="K562" s="131"/>
      <c r="L562" s="131"/>
      <c r="M562" s="131"/>
      <c r="N562" s="131"/>
      <c r="O562" s="131"/>
      <c r="P562" s="131"/>
      <c r="Q562" s="131"/>
      <c r="R562" s="131"/>
      <c r="S562" s="131"/>
      <c r="T562" s="131"/>
    </row>
    <row r="563">
      <c r="A563" s="131"/>
      <c r="B563" s="131"/>
      <c r="C563" s="131"/>
      <c r="D563" s="81"/>
      <c r="E563" s="81"/>
      <c r="F563" s="131"/>
      <c r="G563" s="131"/>
      <c r="H563" s="131"/>
      <c r="I563" s="131"/>
      <c r="J563" s="131"/>
      <c r="K563" s="131"/>
      <c r="L563" s="131"/>
      <c r="M563" s="131"/>
      <c r="N563" s="131"/>
      <c r="O563" s="131"/>
      <c r="P563" s="131"/>
      <c r="Q563" s="131"/>
      <c r="R563" s="131"/>
      <c r="S563" s="131"/>
      <c r="T563" s="131"/>
    </row>
    <row r="564">
      <c r="A564" s="131"/>
      <c r="B564" s="131"/>
      <c r="C564" s="131"/>
      <c r="D564" s="81"/>
      <c r="E564" s="81"/>
      <c r="F564" s="131"/>
      <c r="G564" s="131"/>
      <c r="H564" s="131"/>
      <c r="I564" s="131"/>
      <c r="J564" s="131"/>
      <c r="K564" s="131"/>
      <c r="L564" s="131"/>
      <c r="M564" s="131"/>
      <c r="N564" s="131"/>
      <c r="O564" s="131"/>
      <c r="P564" s="131"/>
      <c r="Q564" s="131"/>
      <c r="R564" s="131"/>
      <c r="S564" s="131"/>
      <c r="T564" s="131"/>
    </row>
    <row r="565">
      <c r="A565" s="131"/>
      <c r="B565" s="131"/>
      <c r="C565" s="131"/>
      <c r="D565" s="81"/>
      <c r="E565" s="81"/>
      <c r="F565" s="131"/>
      <c r="G565" s="131"/>
      <c r="H565" s="131"/>
      <c r="I565" s="131"/>
      <c r="J565" s="131"/>
      <c r="K565" s="131"/>
      <c r="L565" s="131"/>
      <c r="M565" s="131"/>
      <c r="N565" s="131"/>
      <c r="O565" s="131"/>
      <c r="P565" s="131"/>
      <c r="Q565" s="131"/>
      <c r="R565" s="131"/>
      <c r="S565" s="131"/>
      <c r="T565" s="131"/>
    </row>
    <row r="566">
      <c r="A566" s="131"/>
      <c r="B566" s="131"/>
      <c r="C566" s="131"/>
      <c r="D566" s="81"/>
      <c r="E566" s="81"/>
      <c r="F566" s="131"/>
      <c r="G566" s="131"/>
      <c r="H566" s="131"/>
      <c r="I566" s="131"/>
      <c r="J566" s="131"/>
      <c r="K566" s="131"/>
      <c r="L566" s="131"/>
      <c r="M566" s="131"/>
      <c r="N566" s="131"/>
      <c r="O566" s="131"/>
      <c r="P566" s="131"/>
      <c r="Q566" s="131"/>
      <c r="R566" s="131"/>
      <c r="S566" s="131"/>
      <c r="T566" s="131"/>
    </row>
    <row r="567">
      <c r="A567" s="131"/>
      <c r="B567" s="131"/>
      <c r="C567" s="131"/>
      <c r="D567" s="81"/>
      <c r="E567" s="81"/>
      <c r="F567" s="131"/>
      <c r="G567" s="131"/>
      <c r="H567" s="131"/>
      <c r="I567" s="131"/>
      <c r="J567" s="131"/>
      <c r="K567" s="131"/>
      <c r="L567" s="131"/>
      <c r="M567" s="131"/>
      <c r="N567" s="131"/>
      <c r="O567" s="131"/>
      <c r="P567" s="131"/>
      <c r="Q567" s="131"/>
      <c r="R567" s="131"/>
      <c r="S567" s="131"/>
      <c r="T567" s="131"/>
    </row>
    <row r="568">
      <c r="A568" s="131"/>
      <c r="B568" s="131"/>
      <c r="C568" s="131"/>
      <c r="D568" s="81"/>
      <c r="E568" s="81"/>
      <c r="F568" s="131"/>
      <c r="G568" s="131"/>
      <c r="H568" s="131"/>
      <c r="I568" s="131"/>
      <c r="J568" s="131"/>
      <c r="K568" s="131"/>
      <c r="L568" s="131"/>
      <c r="M568" s="131"/>
      <c r="N568" s="131"/>
      <c r="O568" s="131"/>
      <c r="P568" s="131"/>
      <c r="Q568" s="131"/>
      <c r="R568" s="131"/>
      <c r="S568" s="131"/>
      <c r="T568" s="131"/>
    </row>
    <row r="569">
      <c r="A569" s="131"/>
      <c r="B569" s="131"/>
      <c r="C569" s="131"/>
      <c r="D569" s="81"/>
      <c r="E569" s="81"/>
      <c r="F569" s="131"/>
      <c r="G569" s="131"/>
      <c r="H569" s="131"/>
      <c r="I569" s="131"/>
      <c r="J569" s="131"/>
      <c r="K569" s="131"/>
      <c r="L569" s="131"/>
      <c r="M569" s="131"/>
      <c r="N569" s="131"/>
      <c r="O569" s="131"/>
      <c r="P569" s="131"/>
      <c r="Q569" s="131"/>
      <c r="R569" s="131"/>
      <c r="S569" s="131"/>
      <c r="T569" s="131"/>
    </row>
    <row r="570">
      <c r="A570" s="131"/>
      <c r="B570" s="131"/>
      <c r="C570" s="131"/>
      <c r="D570" s="81"/>
      <c r="E570" s="81"/>
      <c r="F570" s="131"/>
      <c r="G570" s="131"/>
      <c r="H570" s="131"/>
      <c r="I570" s="131"/>
      <c r="J570" s="131"/>
      <c r="K570" s="131"/>
      <c r="L570" s="131"/>
      <c r="M570" s="131"/>
      <c r="N570" s="131"/>
      <c r="O570" s="131"/>
      <c r="P570" s="131"/>
      <c r="Q570" s="131"/>
      <c r="R570" s="131"/>
      <c r="S570" s="131"/>
      <c r="T570" s="131"/>
    </row>
    <row r="571">
      <c r="A571" s="131"/>
      <c r="B571" s="131"/>
      <c r="C571" s="131"/>
      <c r="D571" s="81"/>
      <c r="E571" s="81"/>
      <c r="F571" s="131"/>
      <c r="G571" s="131"/>
      <c r="H571" s="131"/>
      <c r="I571" s="131"/>
      <c r="J571" s="131"/>
      <c r="K571" s="131"/>
      <c r="L571" s="131"/>
      <c r="M571" s="131"/>
      <c r="N571" s="131"/>
      <c r="O571" s="131"/>
      <c r="P571" s="131"/>
      <c r="Q571" s="131"/>
      <c r="R571" s="131"/>
      <c r="S571" s="131"/>
      <c r="T571" s="131"/>
    </row>
    <row r="572">
      <c r="A572" s="131"/>
      <c r="B572" s="131"/>
      <c r="C572" s="131"/>
      <c r="D572" s="81"/>
      <c r="E572" s="81"/>
      <c r="F572" s="131"/>
      <c r="G572" s="131"/>
      <c r="H572" s="131"/>
      <c r="I572" s="131"/>
      <c r="J572" s="131"/>
      <c r="K572" s="131"/>
      <c r="L572" s="131"/>
      <c r="M572" s="131"/>
      <c r="N572" s="131"/>
      <c r="O572" s="131"/>
      <c r="P572" s="131"/>
      <c r="Q572" s="131"/>
      <c r="R572" s="131"/>
      <c r="S572" s="131"/>
      <c r="T572" s="131"/>
    </row>
    <row r="573">
      <c r="A573" s="131"/>
      <c r="B573" s="131"/>
      <c r="C573" s="131"/>
      <c r="D573" s="81"/>
      <c r="E573" s="81"/>
      <c r="F573" s="131"/>
      <c r="G573" s="131"/>
      <c r="H573" s="131"/>
      <c r="I573" s="131"/>
      <c r="J573" s="131"/>
      <c r="K573" s="131"/>
      <c r="L573" s="131"/>
      <c r="M573" s="131"/>
      <c r="N573" s="131"/>
      <c r="O573" s="131"/>
      <c r="P573" s="131"/>
      <c r="Q573" s="131"/>
      <c r="R573" s="131"/>
      <c r="S573" s="131"/>
      <c r="T573" s="131"/>
    </row>
    <row r="574">
      <c r="A574" s="131"/>
      <c r="B574" s="131"/>
      <c r="C574" s="131"/>
      <c r="D574" s="81"/>
      <c r="E574" s="81"/>
      <c r="F574" s="131"/>
      <c r="G574" s="131"/>
      <c r="H574" s="131"/>
      <c r="I574" s="131"/>
      <c r="J574" s="131"/>
      <c r="K574" s="131"/>
      <c r="L574" s="131"/>
      <c r="M574" s="131"/>
      <c r="N574" s="131"/>
      <c r="O574" s="131"/>
      <c r="P574" s="131"/>
      <c r="Q574" s="131"/>
      <c r="R574" s="131"/>
      <c r="S574" s="131"/>
      <c r="T574" s="131"/>
    </row>
    <row r="575">
      <c r="A575" s="131"/>
      <c r="B575" s="131"/>
      <c r="C575" s="131"/>
      <c r="D575" s="81"/>
      <c r="E575" s="81"/>
      <c r="F575" s="131"/>
      <c r="G575" s="131"/>
      <c r="H575" s="131"/>
      <c r="I575" s="131"/>
      <c r="J575" s="131"/>
      <c r="K575" s="131"/>
      <c r="L575" s="131"/>
      <c r="M575" s="131"/>
      <c r="N575" s="131"/>
      <c r="O575" s="131"/>
      <c r="P575" s="131"/>
      <c r="Q575" s="131"/>
      <c r="R575" s="131"/>
      <c r="S575" s="131"/>
      <c r="T575" s="131"/>
    </row>
    <row r="576">
      <c r="A576" s="131"/>
      <c r="B576" s="131"/>
      <c r="C576" s="131"/>
      <c r="D576" s="81"/>
      <c r="E576" s="81"/>
      <c r="F576" s="131"/>
      <c r="G576" s="131"/>
      <c r="H576" s="131"/>
      <c r="I576" s="131"/>
      <c r="J576" s="131"/>
      <c r="K576" s="131"/>
      <c r="L576" s="131"/>
      <c r="M576" s="131"/>
      <c r="N576" s="131"/>
      <c r="O576" s="131"/>
      <c r="P576" s="131"/>
      <c r="Q576" s="131"/>
      <c r="R576" s="131"/>
      <c r="S576" s="131"/>
      <c r="T576" s="131"/>
    </row>
    <row r="577">
      <c r="A577" s="131"/>
      <c r="B577" s="131"/>
      <c r="C577" s="131"/>
      <c r="D577" s="81"/>
      <c r="E577" s="81"/>
      <c r="F577" s="131"/>
      <c r="G577" s="131"/>
      <c r="H577" s="131"/>
      <c r="I577" s="131"/>
      <c r="J577" s="131"/>
      <c r="K577" s="131"/>
      <c r="L577" s="131"/>
      <c r="M577" s="131"/>
      <c r="N577" s="131"/>
      <c r="O577" s="131"/>
      <c r="P577" s="131"/>
      <c r="Q577" s="131"/>
      <c r="R577" s="131"/>
      <c r="S577" s="131"/>
      <c r="T577" s="131"/>
    </row>
    <row r="578">
      <c r="A578" s="131"/>
      <c r="B578" s="131"/>
      <c r="C578" s="131"/>
      <c r="D578" s="81"/>
      <c r="E578" s="81"/>
      <c r="F578" s="131"/>
      <c r="G578" s="131"/>
      <c r="H578" s="131"/>
      <c r="I578" s="131"/>
      <c r="J578" s="131"/>
      <c r="K578" s="131"/>
      <c r="L578" s="131"/>
      <c r="M578" s="131"/>
      <c r="N578" s="131"/>
      <c r="O578" s="131"/>
      <c r="P578" s="131"/>
      <c r="Q578" s="131"/>
      <c r="R578" s="131"/>
      <c r="S578" s="131"/>
      <c r="T578" s="131"/>
    </row>
    <row r="579">
      <c r="A579" s="131"/>
      <c r="B579" s="131"/>
      <c r="C579" s="131"/>
      <c r="D579" s="81"/>
      <c r="E579" s="81"/>
      <c r="F579" s="131"/>
      <c r="G579" s="131"/>
      <c r="H579" s="131"/>
      <c r="I579" s="131"/>
      <c r="J579" s="131"/>
      <c r="K579" s="131"/>
      <c r="L579" s="131"/>
      <c r="M579" s="131"/>
      <c r="N579" s="131"/>
      <c r="O579" s="131"/>
      <c r="P579" s="131"/>
      <c r="Q579" s="131"/>
      <c r="R579" s="131"/>
      <c r="S579" s="131"/>
      <c r="T579" s="131"/>
    </row>
    <row r="580">
      <c r="A580" s="131"/>
      <c r="B580" s="131"/>
      <c r="C580" s="131"/>
      <c r="D580" s="81"/>
      <c r="E580" s="81"/>
      <c r="F580" s="131"/>
      <c r="G580" s="131"/>
      <c r="H580" s="131"/>
      <c r="I580" s="131"/>
      <c r="J580" s="131"/>
      <c r="K580" s="131"/>
      <c r="L580" s="131"/>
      <c r="M580" s="131"/>
      <c r="N580" s="131"/>
      <c r="O580" s="131"/>
      <c r="P580" s="131"/>
      <c r="Q580" s="131"/>
      <c r="R580" s="131"/>
      <c r="S580" s="131"/>
      <c r="T580" s="131"/>
    </row>
    <row r="581">
      <c r="A581" s="131"/>
      <c r="B581" s="131"/>
      <c r="C581" s="131"/>
      <c r="D581" s="81"/>
      <c r="E581" s="81"/>
      <c r="F581" s="131"/>
      <c r="G581" s="131"/>
      <c r="H581" s="131"/>
      <c r="I581" s="131"/>
      <c r="J581" s="131"/>
      <c r="K581" s="131"/>
      <c r="L581" s="131"/>
      <c r="M581" s="131"/>
      <c r="N581" s="131"/>
      <c r="O581" s="131"/>
      <c r="P581" s="131"/>
      <c r="Q581" s="131"/>
      <c r="R581" s="131"/>
      <c r="S581" s="131"/>
      <c r="T581" s="131"/>
    </row>
    <row r="582">
      <c r="A582" s="131"/>
      <c r="B582" s="131"/>
      <c r="C582" s="131"/>
      <c r="D582" s="81"/>
      <c r="E582" s="81"/>
      <c r="F582" s="131"/>
      <c r="G582" s="131"/>
      <c r="H582" s="131"/>
      <c r="I582" s="131"/>
      <c r="J582" s="131"/>
      <c r="K582" s="131"/>
      <c r="L582" s="131"/>
      <c r="M582" s="131"/>
      <c r="N582" s="131"/>
      <c r="O582" s="131"/>
      <c r="P582" s="131"/>
      <c r="Q582" s="131"/>
      <c r="R582" s="131"/>
      <c r="S582" s="131"/>
      <c r="T582" s="131"/>
    </row>
    <row r="583">
      <c r="A583" s="131"/>
      <c r="B583" s="131"/>
      <c r="C583" s="131"/>
      <c r="D583" s="81"/>
      <c r="E583" s="81"/>
      <c r="F583" s="131"/>
      <c r="G583" s="131"/>
      <c r="H583" s="131"/>
      <c r="I583" s="131"/>
      <c r="J583" s="131"/>
      <c r="K583" s="131"/>
      <c r="L583" s="131"/>
      <c r="M583" s="131"/>
      <c r="N583" s="131"/>
      <c r="O583" s="131"/>
      <c r="P583" s="131"/>
      <c r="Q583" s="131"/>
      <c r="R583" s="131"/>
      <c r="S583" s="131"/>
      <c r="T583" s="131"/>
    </row>
    <row r="584">
      <c r="A584" s="131"/>
      <c r="B584" s="131"/>
      <c r="C584" s="131"/>
      <c r="D584" s="81"/>
      <c r="E584" s="81"/>
      <c r="F584" s="131"/>
      <c r="G584" s="131"/>
      <c r="H584" s="131"/>
      <c r="I584" s="131"/>
      <c r="J584" s="131"/>
      <c r="K584" s="131"/>
      <c r="L584" s="131"/>
      <c r="M584" s="131"/>
      <c r="N584" s="131"/>
      <c r="O584" s="131"/>
      <c r="P584" s="131"/>
      <c r="Q584" s="131"/>
      <c r="R584" s="131"/>
      <c r="S584" s="131"/>
      <c r="T584" s="131"/>
    </row>
    <row r="585">
      <c r="A585" s="131"/>
      <c r="B585" s="131"/>
      <c r="C585" s="131"/>
      <c r="D585" s="81"/>
      <c r="E585" s="81"/>
      <c r="F585" s="131"/>
      <c r="G585" s="131"/>
      <c r="H585" s="131"/>
      <c r="I585" s="131"/>
      <c r="J585" s="131"/>
      <c r="K585" s="131"/>
      <c r="L585" s="131"/>
      <c r="M585" s="131"/>
      <c r="N585" s="131"/>
      <c r="O585" s="131"/>
      <c r="P585" s="131"/>
      <c r="Q585" s="131"/>
      <c r="R585" s="131"/>
      <c r="S585" s="131"/>
      <c r="T585" s="131"/>
    </row>
    <row r="586">
      <c r="A586" s="131"/>
      <c r="B586" s="131"/>
      <c r="C586" s="131"/>
      <c r="D586" s="81"/>
      <c r="E586" s="81"/>
      <c r="F586" s="131"/>
      <c r="G586" s="131"/>
      <c r="H586" s="131"/>
      <c r="I586" s="131"/>
      <c r="J586" s="131"/>
      <c r="K586" s="131"/>
      <c r="L586" s="131"/>
      <c r="M586" s="131"/>
      <c r="N586" s="131"/>
      <c r="O586" s="131"/>
      <c r="P586" s="131"/>
      <c r="Q586" s="131"/>
      <c r="R586" s="131"/>
      <c r="S586" s="131"/>
      <c r="T586" s="131"/>
    </row>
    <row r="587">
      <c r="A587" s="131"/>
      <c r="B587" s="131"/>
      <c r="C587" s="131"/>
      <c r="D587" s="81"/>
      <c r="E587" s="81"/>
      <c r="F587" s="131"/>
      <c r="G587" s="131"/>
      <c r="H587" s="131"/>
      <c r="I587" s="131"/>
      <c r="J587" s="131"/>
      <c r="K587" s="131"/>
      <c r="L587" s="131"/>
      <c r="M587" s="131"/>
      <c r="N587" s="131"/>
      <c r="O587" s="131"/>
      <c r="P587" s="131"/>
      <c r="Q587" s="131"/>
      <c r="R587" s="131"/>
      <c r="S587" s="131"/>
      <c r="T587" s="131"/>
    </row>
    <row r="588">
      <c r="A588" s="131"/>
      <c r="B588" s="131"/>
      <c r="C588" s="131"/>
      <c r="D588" s="81"/>
      <c r="E588" s="81"/>
      <c r="F588" s="131"/>
      <c r="G588" s="131"/>
      <c r="H588" s="131"/>
      <c r="I588" s="131"/>
      <c r="J588" s="131"/>
      <c r="K588" s="131"/>
      <c r="L588" s="131"/>
      <c r="M588" s="131"/>
      <c r="N588" s="131"/>
      <c r="O588" s="131"/>
      <c r="P588" s="131"/>
      <c r="Q588" s="131"/>
      <c r="R588" s="131"/>
      <c r="S588" s="131"/>
      <c r="T588" s="131"/>
    </row>
    <row r="589">
      <c r="A589" s="131"/>
      <c r="B589" s="131"/>
      <c r="C589" s="131"/>
      <c r="D589" s="81"/>
      <c r="E589" s="81"/>
      <c r="F589" s="131"/>
      <c r="G589" s="131"/>
      <c r="H589" s="131"/>
      <c r="I589" s="131"/>
      <c r="J589" s="131"/>
      <c r="K589" s="131"/>
      <c r="L589" s="131"/>
      <c r="M589" s="131"/>
      <c r="N589" s="131"/>
      <c r="O589" s="131"/>
      <c r="P589" s="131"/>
      <c r="Q589" s="131"/>
      <c r="R589" s="131"/>
      <c r="S589" s="131"/>
      <c r="T589" s="131"/>
    </row>
    <row r="590">
      <c r="A590" s="131"/>
      <c r="B590" s="131"/>
      <c r="C590" s="131"/>
      <c r="D590" s="81"/>
      <c r="E590" s="81"/>
      <c r="F590" s="131"/>
      <c r="G590" s="131"/>
      <c r="H590" s="131"/>
      <c r="I590" s="131"/>
      <c r="J590" s="131"/>
      <c r="K590" s="131"/>
      <c r="L590" s="131"/>
      <c r="M590" s="131"/>
      <c r="N590" s="131"/>
      <c r="O590" s="131"/>
      <c r="P590" s="131"/>
      <c r="Q590" s="131"/>
      <c r="R590" s="131"/>
      <c r="S590" s="131"/>
      <c r="T590" s="131"/>
    </row>
    <row r="591">
      <c r="A591" s="131"/>
      <c r="B591" s="131"/>
      <c r="C591" s="131"/>
      <c r="D591" s="81"/>
      <c r="E591" s="81"/>
      <c r="F591" s="131"/>
      <c r="G591" s="131"/>
      <c r="H591" s="131"/>
      <c r="I591" s="131"/>
      <c r="J591" s="131"/>
      <c r="K591" s="131"/>
      <c r="L591" s="131"/>
      <c r="M591" s="131"/>
      <c r="N591" s="131"/>
      <c r="O591" s="131"/>
      <c r="P591" s="131"/>
      <c r="Q591" s="131"/>
      <c r="R591" s="131"/>
      <c r="S591" s="131"/>
      <c r="T591" s="131"/>
    </row>
    <row r="592">
      <c r="A592" s="131"/>
      <c r="B592" s="131"/>
      <c r="C592" s="131"/>
      <c r="D592" s="81"/>
      <c r="E592" s="81"/>
      <c r="F592" s="131"/>
      <c r="G592" s="131"/>
      <c r="H592" s="131"/>
      <c r="I592" s="131"/>
      <c r="J592" s="131"/>
      <c r="K592" s="131"/>
      <c r="L592" s="131"/>
      <c r="M592" s="131"/>
      <c r="N592" s="131"/>
      <c r="O592" s="131"/>
      <c r="P592" s="131"/>
      <c r="Q592" s="131"/>
      <c r="R592" s="131"/>
      <c r="S592" s="131"/>
      <c r="T592" s="131"/>
    </row>
    <row r="593">
      <c r="A593" s="131"/>
      <c r="B593" s="131"/>
      <c r="C593" s="131"/>
      <c r="D593" s="81"/>
      <c r="E593" s="81"/>
      <c r="F593" s="131"/>
      <c r="G593" s="131"/>
      <c r="H593" s="131"/>
      <c r="I593" s="131"/>
      <c r="J593" s="131"/>
      <c r="K593" s="131"/>
      <c r="L593" s="131"/>
      <c r="M593" s="131"/>
      <c r="N593" s="131"/>
      <c r="O593" s="131"/>
      <c r="P593" s="131"/>
      <c r="Q593" s="131"/>
      <c r="R593" s="131"/>
      <c r="S593" s="131"/>
      <c r="T593" s="131"/>
    </row>
    <row r="594">
      <c r="A594" s="131"/>
      <c r="B594" s="131"/>
      <c r="C594" s="131"/>
      <c r="D594" s="81"/>
      <c r="E594" s="81"/>
      <c r="F594" s="131"/>
      <c r="G594" s="131"/>
      <c r="H594" s="131"/>
      <c r="I594" s="131"/>
      <c r="J594" s="131"/>
      <c r="K594" s="131"/>
      <c r="L594" s="131"/>
      <c r="M594" s="131"/>
      <c r="N594" s="131"/>
      <c r="O594" s="131"/>
      <c r="P594" s="131"/>
      <c r="Q594" s="131"/>
      <c r="R594" s="131"/>
      <c r="S594" s="131"/>
      <c r="T594" s="131"/>
    </row>
    <row r="595">
      <c r="A595" s="131"/>
      <c r="B595" s="131"/>
      <c r="C595" s="131"/>
      <c r="D595" s="81"/>
      <c r="E595" s="81"/>
      <c r="F595" s="131"/>
      <c r="G595" s="131"/>
      <c r="H595" s="131"/>
      <c r="I595" s="131"/>
      <c r="J595" s="131"/>
      <c r="K595" s="131"/>
      <c r="L595" s="131"/>
      <c r="M595" s="131"/>
      <c r="N595" s="131"/>
      <c r="O595" s="131"/>
      <c r="P595" s="131"/>
      <c r="Q595" s="131"/>
      <c r="R595" s="131"/>
      <c r="S595" s="131"/>
      <c r="T595" s="131"/>
    </row>
    <row r="596">
      <c r="A596" s="131"/>
      <c r="B596" s="131"/>
      <c r="C596" s="131"/>
      <c r="D596" s="81"/>
      <c r="E596" s="81"/>
      <c r="F596" s="131"/>
      <c r="G596" s="131"/>
      <c r="H596" s="131"/>
      <c r="I596" s="131"/>
      <c r="J596" s="131"/>
      <c r="K596" s="131"/>
      <c r="L596" s="131"/>
      <c r="M596" s="131"/>
      <c r="N596" s="131"/>
      <c r="O596" s="131"/>
      <c r="P596" s="131"/>
      <c r="Q596" s="131"/>
      <c r="R596" s="131"/>
      <c r="S596" s="131"/>
      <c r="T596" s="131"/>
    </row>
    <row r="597">
      <c r="A597" s="131"/>
      <c r="B597" s="131"/>
      <c r="C597" s="131"/>
      <c r="D597" s="81"/>
      <c r="E597" s="81"/>
      <c r="F597" s="131"/>
      <c r="G597" s="131"/>
      <c r="H597" s="131"/>
      <c r="I597" s="131"/>
      <c r="J597" s="131"/>
      <c r="K597" s="131"/>
      <c r="L597" s="131"/>
      <c r="M597" s="131"/>
      <c r="N597" s="131"/>
      <c r="O597" s="131"/>
      <c r="P597" s="131"/>
      <c r="Q597" s="131"/>
      <c r="R597" s="131"/>
      <c r="S597" s="131"/>
      <c r="T597" s="131"/>
    </row>
    <row r="598">
      <c r="A598" s="131"/>
      <c r="B598" s="131"/>
      <c r="C598" s="131"/>
      <c r="D598" s="81"/>
      <c r="E598" s="81"/>
      <c r="F598" s="131"/>
      <c r="G598" s="131"/>
      <c r="H598" s="131"/>
      <c r="I598" s="131"/>
      <c r="J598" s="131"/>
      <c r="K598" s="131"/>
      <c r="L598" s="131"/>
      <c r="M598" s="131"/>
      <c r="N598" s="131"/>
      <c r="O598" s="131"/>
      <c r="P598" s="131"/>
      <c r="Q598" s="131"/>
      <c r="R598" s="131"/>
      <c r="S598" s="131"/>
      <c r="T598" s="131"/>
    </row>
    <row r="599">
      <c r="A599" s="131"/>
      <c r="B599" s="131"/>
      <c r="C599" s="131"/>
      <c r="D599" s="81"/>
      <c r="E599" s="81"/>
      <c r="F599" s="131"/>
      <c r="G599" s="131"/>
      <c r="H599" s="131"/>
      <c r="I599" s="131"/>
      <c r="J599" s="131"/>
      <c r="K599" s="131"/>
      <c r="L599" s="131"/>
      <c r="M599" s="131"/>
      <c r="N599" s="131"/>
      <c r="O599" s="131"/>
      <c r="P599" s="131"/>
      <c r="Q599" s="131"/>
      <c r="R599" s="131"/>
      <c r="S599" s="131"/>
      <c r="T599" s="131"/>
    </row>
    <row r="600">
      <c r="A600" s="131"/>
      <c r="B600" s="131"/>
      <c r="C600" s="131"/>
      <c r="D600" s="81"/>
      <c r="E600" s="81"/>
      <c r="F600" s="131"/>
      <c r="G600" s="131"/>
      <c r="H600" s="131"/>
      <c r="I600" s="131"/>
      <c r="J600" s="131"/>
      <c r="K600" s="131"/>
      <c r="L600" s="131"/>
      <c r="M600" s="131"/>
      <c r="N600" s="131"/>
      <c r="O600" s="131"/>
      <c r="P600" s="131"/>
      <c r="Q600" s="131"/>
      <c r="R600" s="131"/>
      <c r="S600" s="131"/>
      <c r="T600" s="131"/>
    </row>
    <row r="601">
      <c r="A601" s="131"/>
      <c r="B601" s="131"/>
      <c r="C601" s="131"/>
      <c r="D601" s="81"/>
      <c r="E601" s="81"/>
      <c r="F601" s="131"/>
      <c r="G601" s="131"/>
      <c r="H601" s="131"/>
      <c r="I601" s="131"/>
      <c r="J601" s="131"/>
      <c r="K601" s="131"/>
      <c r="L601" s="131"/>
      <c r="M601" s="131"/>
      <c r="N601" s="131"/>
      <c r="O601" s="131"/>
      <c r="P601" s="131"/>
      <c r="Q601" s="131"/>
      <c r="R601" s="131"/>
      <c r="S601" s="131"/>
      <c r="T601" s="131"/>
    </row>
    <row r="602">
      <c r="A602" s="131"/>
      <c r="B602" s="131"/>
      <c r="C602" s="131"/>
      <c r="D602" s="81"/>
      <c r="E602" s="81"/>
      <c r="F602" s="131"/>
      <c r="G602" s="131"/>
      <c r="H602" s="131"/>
      <c r="I602" s="131"/>
      <c r="J602" s="131"/>
      <c r="K602" s="131"/>
      <c r="L602" s="131"/>
      <c r="M602" s="131"/>
      <c r="N602" s="131"/>
      <c r="O602" s="131"/>
      <c r="P602" s="131"/>
      <c r="Q602" s="131"/>
      <c r="R602" s="131"/>
      <c r="S602" s="131"/>
      <c r="T602" s="131"/>
    </row>
    <row r="603">
      <c r="A603" s="131"/>
      <c r="B603" s="131"/>
      <c r="C603" s="131"/>
      <c r="D603" s="81"/>
      <c r="E603" s="81"/>
      <c r="F603" s="131"/>
      <c r="G603" s="131"/>
      <c r="H603" s="131"/>
      <c r="I603" s="131"/>
      <c r="J603" s="131"/>
      <c r="K603" s="131"/>
      <c r="L603" s="131"/>
      <c r="M603" s="131"/>
      <c r="N603" s="131"/>
      <c r="O603" s="131"/>
      <c r="P603" s="131"/>
      <c r="Q603" s="131"/>
      <c r="R603" s="131"/>
      <c r="S603" s="131"/>
      <c r="T603" s="131"/>
    </row>
    <row r="604">
      <c r="A604" s="131"/>
      <c r="B604" s="131"/>
      <c r="C604" s="131"/>
      <c r="D604" s="81"/>
      <c r="E604" s="81"/>
      <c r="F604" s="131"/>
      <c r="G604" s="131"/>
      <c r="H604" s="131"/>
      <c r="I604" s="131"/>
      <c r="J604" s="131"/>
      <c r="K604" s="131"/>
      <c r="L604" s="131"/>
      <c r="M604" s="131"/>
      <c r="N604" s="131"/>
      <c r="O604" s="131"/>
      <c r="P604" s="131"/>
      <c r="Q604" s="131"/>
      <c r="R604" s="131"/>
      <c r="S604" s="131"/>
      <c r="T604" s="131"/>
    </row>
    <row r="605">
      <c r="A605" s="131"/>
      <c r="B605" s="131"/>
      <c r="C605" s="131"/>
      <c r="D605" s="81"/>
      <c r="E605" s="81"/>
      <c r="F605" s="131"/>
      <c r="G605" s="131"/>
      <c r="H605" s="131"/>
      <c r="I605" s="131"/>
      <c r="J605" s="131"/>
      <c r="K605" s="131"/>
      <c r="L605" s="131"/>
      <c r="M605" s="131"/>
      <c r="N605" s="131"/>
      <c r="O605" s="131"/>
      <c r="P605" s="131"/>
      <c r="Q605" s="131"/>
      <c r="R605" s="131"/>
      <c r="S605" s="131"/>
      <c r="T605" s="131"/>
    </row>
    <row r="606">
      <c r="A606" s="131"/>
      <c r="B606" s="131"/>
      <c r="C606" s="131"/>
      <c r="D606" s="81"/>
      <c r="E606" s="81"/>
      <c r="F606" s="131"/>
      <c r="G606" s="131"/>
      <c r="H606" s="131"/>
      <c r="I606" s="131"/>
      <c r="J606" s="131"/>
      <c r="K606" s="131"/>
      <c r="L606" s="131"/>
      <c r="M606" s="131"/>
      <c r="N606" s="131"/>
      <c r="O606" s="131"/>
      <c r="P606" s="131"/>
      <c r="Q606" s="131"/>
      <c r="R606" s="131"/>
      <c r="S606" s="131"/>
      <c r="T606" s="131"/>
    </row>
    <row r="607">
      <c r="A607" s="131"/>
      <c r="B607" s="131"/>
      <c r="C607" s="131"/>
      <c r="D607" s="81"/>
      <c r="E607" s="81"/>
      <c r="F607" s="131"/>
      <c r="G607" s="131"/>
      <c r="H607" s="131"/>
      <c r="I607" s="131"/>
      <c r="J607" s="131"/>
      <c r="K607" s="131"/>
      <c r="L607" s="131"/>
      <c r="M607" s="131"/>
      <c r="N607" s="131"/>
      <c r="O607" s="131"/>
      <c r="P607" s="131"/>
      <c r="Q607" s="131"/>
      <c r="R607" s="131"/>
      <c r="S607" s="131"/>
      <c r="T607" s="131"/>
    </row>
    <row r="608">
      <c r="A608" s="131"/>
      <c r="B608" s="131"/>
      <c r="C608" s="131"/>
      <c r="D608" s="81"/>
      <c r="E608" s="81"/>
      <c r="F608" s="131"/>
      <c r="G608" s="131"/>
      <c r="H608" s="131"/>
      <c r="I608" s="131"/>
      <c r="J608" s="131"/>
      <c r="K608" s="131"/>
      <c r="L608" s="131"/>
      <c r="M608" s="131"/>
      <c r="N608" s="131"/>
      <c r="O608" s="131"/>
      <c r="P608" s="131"/>
      <c r="Q608" s="131"/>
      <c r="R608" s="131"/>
      <c r="S608" s="131"/>
      <c r="T608" s="131"/>
    </row>
    <row r="609">
      <c r="A609" s="131"/>
      <c r="B609" s="131"/>
      <c r="C609" s="131"/>
      <c r="D609" s="81"/>
      <c r="E609" s="81"/>
      <c r="F609" s="131"/>
      <c r="G609" s="131"/>
      <c r="H609" s="131"/>
      <c r="I609" s="131"/>
      <c r="J609" s="131"/>
      <c r="K609" s="131"/>
      <c r="L609" s="131"/>
      <c r="M609" s="131"/>
      <c r="N609" s="131"/>
      <c r="O609" s="131"/>
      <c r="P609" s="131"/>
      <c r="Q609" s="131"/>
      <c r="R609" s="131"/>
      <c r="S609" s="131"/>
      <c r="T609" s="131"/>
    </row>
    <row r="610">
      <c r="A610" s="131"/>
      <c r="B610" s="131"/>
      <c r="C610" s="131"/>
      <c r="D610" s="81"/>
      <c r="E610" s="81"/>
      <c r="F610" s="131"/>
      <c r="G610" s="131"/>
      <c r="H610" s="131"/>
      <c r="I610" s="131"/>
      <c r="J610" s="131"/>
      <c r="K610" s="131"/>
      <c r="L610" s="131"/>
      <c r="M610" s="131"/>
      <c r="N610" s="131"/>
      <c r="O610" s="131"/>
      <c r="P610" s="131"/>
      <c r="Q610" s="131"/>
      <c r="R610" s="131"/>
      <c r="S610" s="131"/>
      <c r="T610" s="131"/>
    </row>
    <row r="611">
      <c r="A611" s="131"/>
      <c r="B611" s="131"/>
      <c r="C611" s="131"/>
      <c r="D611" s="81"/>
      <c r="E611" s="81"/>
      <c r="F611" s="131"/>
      <c r="G611" s="131"/>
      <c r="H611" s="131"/>
      <c r="I611" s="131"/>
      <c r="J611" s="131"/>
      <c r="K611" s="131"/>
      <c r="L611" s="131"/>
      <c r="M611" s="131"/>
      <c r="N611" s="131"/>
      <c r="O611" s="131"/>
      <c r="P611" s="131"/>
      <c r="Q611" s="131"/>
      <c r="R611" s="131"/>
      <c r="S611" s="131"/>
      <c r="T611" s="131"/>
    </row>
    <row r="612">
      <c r="A612" s="131"/>
      <c r="B612" s="131"/>
      <c r="C612" s="131"/>
      <c r="D612" s="81"/>
      <c r="E612" s="81"/>
      <c r="F612" s="131"/>
      <c r="G612" s="131"/>
      <c r="H612" s="131"/>
      <c r="I612" s="131"/>
      <c r="J612" s="131"/>
      <c r="K612" s="131"/>
      <c r="L612" s="131"/>
      <c r="M612" s="131"/>
      <c r="N612" s="131"/>
      <c r="O612" s="131"/>
      <c r="P612" s="131"/>
      <c r="Q612" s="131"/>
      <c r="R612" s="131"/>
      <c r="S612" s="131"/>
      <c r="T612" s="131"/>
    </row>
    <row r="613">
      <c r="A613" s="131"/>
      <c r="B613" s="131"/>
      <c r="C613" s="131"/>
      <c r="D613" s="81"/>
      <c r="E613" s="81"/>
      <c r="F613" s="131"/>
      <c r="G613" s="131"/>
      <c r="H613" s="131"/>
      <c r="I613" s="131"/>
      <c r="J613" s="131"/>
      <c r="K613" s="131"/>
      <c r="L613" s="131"/>
      <c r="M613" s="131"/>
      <c r="N613" s="131"/>
      <c r="O613" s="131"/>
      <c r="P613" s="131"/>
      <c r="Q613" s="131"/>
      <c r="R613" s="131"/>
      <c r="S613" s="131"/>
      <c r="T613" s="131"/>
    </row>
    <row r="614">
      <c r="A614" s="131"/>
      <c r="B614" s="131"/>
      <c r="C614" s="131"/>
      <c r="D614" s="81"/>
      <c r="E614" s="81"/>
      <c r="F614" s="131"/>
      <c r="G614" s="131"/>
      <c r="H614" s="131"/>
      <c r="I614" s="131"/>
      <c r="J614" s="131"/>
      <c r="K614" s="131"/>
      <c r="L614" s="131"/>
      <c r="M614" s="131"/>
      <c r="N614" s="131"/>
      <c r="O614" s="131"/>
      <c r="P614" s="131"/>
      <c r="Q614" s="131"/>
      <c r="R614" s="131"/>
      <c r="S614" s="131"/>
      <c r="T614" s="131"/>
    </row>
    <row r="615">
      <c r="A615" s="131"/>
      <c r="B615" s="131"/>
      <c r="C615" s="131"/>
      <c r="D615" s="81"/>
      <c r="E615" s="81"/>
      <c r="F615" s="131"/>
      <c r="G615" s="131"/>
      <c r="H615" s="131"/>
      <c r="I615" s="131"/>
      <c r="J615" s="131"/>
      <c r="K615" s="131"/>
      <c r="L615" s="131"/>
      <c r="M615" s="131"/>
      <c r="N615" s="131"/>
      <c r="O615" s="131"/>
      <c r="P615" s="131"/>
      <c r="Q615" s="131"/>
      <c r="R615" s="131"/>
      <c r="S615" s="131"/>
      <c r="T615" s="131"/>
    </row>
    <row r="616">
      <c r="A616" s="131"/>
      <c r="B616" s="131"/>
      <c r="C616" s="131"/>
      <c r="D616" s="81"/>
      <c r="E616" s="81"/>
      <c r="F616" s="131"/>
      <c r="G616" s="131"/>
      <c r="H616" s="131"/>
      <c r="I616" s="131"/>
      <c r="J616" s="131"/>
      <c r="K616" s="131"/>
      <c r="L616" s="131"/>
      <c r="M616" s="131"/>
      <c r="N616" s="131"/>
      <c r="O616" s="131"/>
      <c r="P616" s="131"/>
      <c r="Q616" s="131"/>
      <c r="R616" s="131"/>
      <c r="S616" s="131"/>
      <c r="T616" s="131"/>
    </row>
    <row r="617">
      <c r="A617" s="131"/>
      <c r="B617" s="131"/>
      <c r="C617" s="131"/>
      <c r="D617" s="81"/>
      <c r="E617" s="81"/>
      <c r="F617" s="131"/>
      <c r="G617" s="131"/>
      <c r="H617" s="131"/>
      <c r="I617" s="131"/>
      <c r="J617" s="131"/>
      <c r="K617" s="131"/>
      <c r="L617" s="131"/>
      <c r="M617" s="131"/>
      <c r="N617" s="131"/>
      <c r="O617" s="131"/>
      <c r="P617" s="131"/>
      <c r="Q617" s="131"/>
      <c r="R617" s="131"/>
      <c r="S617" s="131"/>
      <c r="T617" s="131"/>
    </row>
    <row r="618">
      <c r="A618" s="131"/>
      <c r="B618" s="131"/>
      <c r="C618" s="131"/>
      <c r="D618" s="81"/>
      <c r="E618" s="81"/>
      <c r="F618" s="131"/>
      <c r="G618" s="131"/>
      <c r="H618" s="131"/>
      <c r="I618" s="131"/>
      <c r="J618" s="131"/>
      <c r="K618" s="131"/>
      <c r="L618" s="131"/>
      <c r="M618" s="131"/>
      <c r="N618" s="131"/>
      <c r="O618" s="131"/>
      <c r="P618" s="131"/>
      <c r="Q618" s="131"/>
      <c r="R618" s="131"/>
      <c r="S618" s="131"/>
      <c r="T618" s="131"/>
    </row>
    <row r="619">
      <c r="A619" s="131"/>
      <c r="B619" s="131"/>
      <c r="C619" s="131"/>
      <c r="D619" s="81"/>
      <c r="E619" s="81"/>
      <c r="F619" s="131"/>
      <c r="G619" s="131"/>
      <c r="H619" s="131"/>
      <c r="I619" s="131"/>
      <c r="J619" s="131"/>
      <c r="K619" s="131"/>
      <c r="L619" s="131"/>
      <c r="M619" s="131"/>
      <c r="N619" s="131"/>
      <c r="O619" s="131"/>
      <c r="P619" s="131"/>
      <c r="Q619" s="131"/>
      <c r="R619" s="131"/>
      <c r="S619" s="131"/>
      <c r="T619" s="131"/>
    </row>
    <row r="620">
      <c r="A620" s="131"/>
      <c r="B620" s="131"/>
      <c r="C620" s="131"/>
      <c r="D620" s="81"/>
      <c r="E620" s="81"/>
      <c r="F620" s="131"/>
      <c r="G620" s="131"/>
      <c r="H620" s="131"/>
      <c r="I620" s="131"/>
      <c r="J620" s="131"/>
      <c r="K620" s="131"/>
      <c r="L620" s="131"/>
      <c r="M620" s="131"/>
      <c r="N620" s="131"/>
      <c r="O620" s="131"/>
      <c r="P620" s="131"/>
      <c r="Q620" s="131"/>
      <c r="R620" s="131"/>
      <c r="S620" s="131"/>
      <c r="T620" s="131"/>
    </row>
    <row r="621">
      <c r="A621" s="131"/>
      <c r="B621" s="131"/>
      <c r="C621" s="131"/>
      <c r="D621" s="81"/>
      <c r="E621" s="81"/>
      <c r="F621" s="131"/>
      <c r="G621" s="131"/>
      <c r="H621" s="131"/>
      <c r="I621" s="131"/>
      <c r="J621" s="131"/>
      <c r="K621" s="131"/>
      <c r="L621" s="131"/>
      <c r="M621" s="131"/>
      <c r="N621" s="131"/>
      <c r="O621" s="131"/>
      <c r="P621" s="131"/>
      <c r="Q621" s="131"/>
      <c r="R621" s="131"/>
      <c r="S621" s="131"/>
      <c r="T621" s="131"/>
    </row>
    <row r="622">
      <c r="A622" s="131"/>
      <c r="B622" s="131"/>
      <c r="C622" s="131"/>
      <c r="D622" s="81"/>
      <c r="E622" s="81"/>
      <c r="F622" s="131"/>
      <c r="G622" s="131"/>
      <c r="H622" s="131"/>
      <c r="I622" s="131"/>
      <c r="J622" s="131"/>
      <c r="K622" s="131"/>
      <c r="L622" s="131"/>
      <c r="M622" s="131"/>
      <c r="N622" s="131"/>
      <c r="O622" s="131"/>
      <c r="P622" s="131"/>
      <c r="Q622" s="131"/>
      <c r="R622" s="131"/>
      <c r="S622" s="131"/>
      <c r="T622" s="131"/>
    </row>
    <row r="623">
      <c r="A623" s="131"/>
      <c r="B623" s="131"/>
      <c r="C623" s="131"/>
      <c r="D623" s="81"/>
      <c r="E623" s="81"/>
      <c r="F623" s="131"/>
      <c r="G623" s="131"/>
      <c r="H623" s="131"/>
      <c r="I623" s="131"/>
      <c r="J623" s="131"/>
      <c r="K623" s="131"/>
      <c r="L623" s="131"/>
      <c r="M623" s="131"/>
      <c r="N623" s="131"/>
      <c r="O623" s="131"/>
      <c r="P623" s="131"/>
      <c r="Q623" s="131"/>
      <c r="R623" s="131"/>
      <c r="S623" s="131"/>
      <c r="T623" s="131"/>
    </row>
    <row r="624">
      <c r="A624" s="131"/>
      <c r="B624" s="131"/>
      <c r="C624" s="131"/>
      <c r="D624" s="81"/>
      <c r="E624" s="81"/>
      <c r="F624" s="131"/>
      <c r="G624" s="131"/>
      <c r="H624" s="131"/>
      <c r="I624" s="131"/>
      <c r="J624" s="131"/>
      <c r="K624" s="131"/>
      <c r="L624" s="131"/>
      <c r="M624" s="131"/>
      <c r="N624" s="131"/>
      <c r="O624" s="131"/>
      <c r="P624" s="131"/>
      <c r="Q624" s="131"/>
      <c r="R624" s="131"/>
      <c r="S624" s="131"/>
      <c r="T624" s="131"/>
    </row>
    <row r="625">
      <c r="A625" s="131"/>
      <c r="B625" s="131"/>
      <c r="C625" s="131"/>
      <c r="D625" s="81"/>
      <c r="E625" s="81"/>
      <c r="F625" s="131"/>
      <c r="G625" s="131"/>
      <c r="H625" s="131"/>
      <c r="I625" s="131"/>
      <c r="J625" s="131"/>
      <c r="K625" s="131"/>
      <c r="L625" s="131"/>
      <c r="M625" s="131"/>
      <c r="N625" s="131"/>
      <c r="O625" s="131"/>
      <c r="P625" s="131"/>
      <c r="Q625" s="131"/>
      <c r="R625" s="131"/>
      <c r="S625" s="131"/>
      <c r="T625" s="131"/>
    </row>
    <row r="626">
      <c r="A626" s="131"/>
      <c r="B626" s="131"/>
      <c r="C626" s="131"/>
      <c r="D626" s="81"/>
      <c r="E626" s="81"/>
      <c r="F626" s="131"/>
      <c r="G626" s="131"/>
      <c r="H626" s="131"/>
      <c r="I626" s="131"/>
      <c r="J626" s="131"/>
      <c r="K626" s="131"/>
      <c r="L626" s="131"/>
      <c r="M626" s="131"/>
      <c r="N626" s="131"/>
      <c r="O626" s="131"/>
      <c r="P626" s="131"/>
      <c r="Q626" s="131"/>
      <c r="R626" s="131"/>
      <c r="S626" s="131"/>
      <c r="T626" s="131"/>
    </row>
    <row r="627">
      <c r="A627" s="131"/>
      <c r="B627" s="131"/>
      <c r="C627" s="131"/>
      <c r="D627" s="81"/>
      <c r="E627" s="81"/>
      <c r="F627" s="131"/>
      <c r="G627" s="131"/>
      <c r="H627" s="131"/>
      <c r="I627" s="131"/>
      <c r="J627" s="131"/>
      <c r="K627" s="131"/>
      <c r="L627" s="131"/>
      <c r="M627" s="131"/>
      <c r="N627" s="131"/>
      <c r="O627" s="131"/>
      <c r="P627" s="131"/>
      <c r="Q627" s="131"/>
      <c r="R627" s="131"/>
      <c r="S627" s="131"/>
      <c r="T627" s="131"/>
    </row>
    <row r="628">
      <c r="A628" s="131"/>
      <c r="B628" s="131"/>
      <c r="C628" s="131"/>
      <c r="D628" s="81"/>
      <c r="E628" s="81"/>
      <c r="F628" s="131"/>
      <c r="G628" s="131"/>
      <c r="H628" s="131"/>
      <c r="I628" s="131"/>
      <c r="J628" s="131"/>
      <c r="K628" s="131"/>
      <c r="L628" s="131"/>
      <c r="M628" s="131"/>
      <c r="N628" s="131"/>
      <c r="O628" s="131"/>
      <c r="P628" s="131"/>
      <c r="Q628" s="131"/>
      <c r="R628" s="131"/>
      <c r="S628" s="131"/>
      <c r="T628" s="131"/>
    </row>
    <row r="629">
      <c r="A629" s="131"/>
      <c r="B629" s="131"/>
      <c r="C629" s="131"/>
      <c r="D629" s="81"/>
      <c r="E629" s="81"/>
      <c r="F629" s="131"/>
      <c r="G629" s="131"/>
      <c r="H629" s="131"/>
      <c r="I629" s="131"/>
      <c r="J629" s="131"/>
      <c r="K629" s="131"/>
      <c r="L629" s="131"/>
      <c r="M629" s="131"/>
      <c r="N629" s="131"/>
      <c r="O629" s="131"/>
      <c r="P629" s="131"/>
      <c r="Q629" s="131"/>
      <c r="R629" s="131"/>
      <c r="S629" s="131"/>
      <c r="T629" s="131"/>
    </row>
    <row r="630">
      <c r="A630" s="131"/>
      <c r="B630" s="131"/>
      <c r="C630" s="131"/>
      <c r="D630" s="81"/>
      <c r="E630" s="81"/>
      <c r="F630" s="131"/>
      <c r="G630" s="131"/>
      <c r="H630" s="131"/>
      <c r="I630" s="131"/>
      <c r="J630" s="131"/>
      <c r="K630" s="131"/>
      <c r="L630" s="131"/>
      <c r="M630" s="131"/>
      <c r="N630" s="131"/>
      <c r="O630" s="131"/>
      <c r="P630" s="131"/>
      <c r="Q630" s="131"/>
      <c r="R630" s="131"/>
      <c r="S630" s="131"/>
      <c r="T630" s="131"/>
    </row>
    <row r="631">
      <c r="A631" s="131"/>
      <c r="B631" s="131"/>
      <c r="C631" s="131"/>
      <c r="D631" s="81"/>
      <c r="E631" s="81"/>
      <c r="F631" s="131"/>
      <c r="G631" s="131"/>
      <c r="H631" s="131"/>
      <c r="I631" s="131"/>
      <c r="J631" s="131"/>
      <c r="K631" s="131"/>
      <c r="L631" s="131"/>
      <c r="M631" s="131"/>
      <c r="N631" s="131"/>
      <c r="O631" s="131"/>
      <c r="P631" s="131"/>
      <c r="Q631" s="131"/>
      <c r="R631" s="131"/>
      <c r="S631" s="131"/>
      <c r="T631" s="131"/>
    </row>
    <row r="632">
      <c r="A632" s="131"/>
      <c r="B632" s="131"/>
      <c r="C632" s="131"/>
      <c r="D632" s="81"/>
      <c r="E632" s="81"/>
      <c r="F632" s="131"/>
      <c r="G632" s="131"/>
      <c r="H632" s="131"/>
      <c r="I632" s="131"/>
      <c r="J632" s="131"/>
      <c r="K632" s="131"/>
      <c r="L632" s="131"/>
      <c r="M632" s="131"/>
      <c r="N632" s="131"/>
      <c r="O632" s="131"/>
      <c r="P632" s="131"/>
      <c r="Q632" s="131"/>
      <c r="R632" s="131"/>
      <c r="S632" s="131"/>
      <c r="T632" s="131"/>
    </row>
    <row r="633">
      <c r="A633" s="131"/>
      <c r="B633" s="131"/>
      <c r="C633" s="131"/>
      <c r="D633" s="81"/>
      <c r="E633" s="81"/>
      <c r="F633" s="131"/>
      <c r="G633" s="131"/>
      <c r="H633" s="131"/>
      <c r="I633" s="131"/>
      <c r="J633" s="131"/>
      <c r="K633" s="131"/>
      <c r="L633" s="131"/>
      <c r="M633" s="131"/>
      <c r="N633" s="131"/>
      <c r="O633" s="131"/>
      <c r="P633" s="131"/>
      <c r="Q633" s="131"/>
      <c r="R633" s="131"/>
      <c r="S633" s="131"/>
      <c r="T633" s="131"/>
    </row>
    <row r="634">
      <c r="A634" s="131"/>
      <c r="B634" s="131"/>
      <c r="C634" s="131"/>
      <c r="D634" s="81"/>
      <c r="E634" s="81"/>
      <c r="F634" s="131"/>
      <c r="G634" s="131"/>
      <c r="H634" s="131"/>
      <c r="I634" s="131"/>
      <c r="J634" s="131"/>
      <c r="K634" s="131"/>
      <c r="L634" s="131"/>
      <c r="M634" s="131"/>
      <c r="N634" s="131"/>
      <c r="O634" s="131"/>
      <c r="P634" s="131"/>
      <c r="Q634" s="131"/>
      <c r="R634" s="131"/>
      <c r="S634" s="131"/>
      <c r="T634" s="131"/>
    </row>
    <row r="635">
      <c r="A635" s="131"/>
      <c r="B635" s="131"/>
      <c r="C635" s="131"/>
      <c r="D635" s="81"/>
      <c r="E635" s="81"/>
      <c r="F635" s="131"/>
      <c r="G635" s="131"/>
      <c r="H635" s="131"/>
      <c r="I635" s="131"/>
      <c r="J635" s="131"/>
      <c r="K635" s="131"/>
      <c r="L635" s="131"/>
      <c r="M635" s="131"/>
      <c r="N635" s="131"/>
      <c r="O635" s="131"/>
      <c r="P635" s="131"/>
      <c r="Q635" s="131"/>
      <c r="R635" s="131"/>
      <c r="S635" s="131"/>
      <c r="T635" s="131"/>
    </row>
    <row r="636">
      <c r="A636" s="131"/>
      <c r="B636" s="131"/>
      <c r="C636" s="131"/>
      <c r="D636" s="81"/>
      <c r="E636" s="81"/>
      <c r="F636" s="131"/>
      <c r="G636" s="131"/>
      <c r="H636" s="131"/>
      <c r="I636" s="131"/>
      <c r="J636" s="131"/>
      <c r="K636" s="131"/>
      <c r="L636" s="131"/>
      <c r="M636" s="131"/>
      <c r="N636" s="131"/>
      <c r="O636" s="131"/>
      <c r="P636" s="131"/>
      <c r="Q636" s="131"/>
      <c r="R636" s="131"/>
      <c r="S636" s="131"/>
      <c r="T636" s="131"/>
    </row>
    <row r="637">
      <c r="A637" s="131"/>
      <c r="B637" s="131"/>
      <c r="C637" s="131"/>
      <c r="D637" s="81"/>
      <c r="E637" s="81"/>
      <c r="F637" s="131"/>
      <c r="G637" s="131"/>
      <c r="H637" s="131"/>
      <c r="I637" s="131"/>
      <c r="J637" s="131"/>
      <c r="K637" s="131"/>
      <c r="L637" s="131"/>
      <c r="M637" s="131"/>
      <c r="N637" s="131"/>
      <c r="O637" s="131"/>
      <c r="P637" s="131"/>
      <c r="Q637" s="131"/>
      <c r="R637" s="131"/>
      <c r="S637" s="131"/>
      <c r="T637" s="131"/>
    </row>
    <row r="638">
      <c r="A638" s="131"/>
      <c r="B638" s="131"/>
      <c r="C638" s="131"/>
      <c r="D638" s="81"/>
      <c r="E638" s="81"/>
      <c r="F638" s="131"/>
      <c r="G638" s="131"/>
      <c r="H638" s="131"/>
      <c r="I638" s="131"/>
      <c r="J638" s="131"/>
      <c r="K638" s="131"/>
      <c r="L638" s="131"/>
      <c r="M638" s="131"/>
      <c r="N638" s="131"/>
      <c r="O638" s="131"/>
      <c r="P638" s="131"/>
      <c r="Q638" s="131"/>
      <c r="R638" s="131"/>
      <c r="S638" s="131"/>
      <c r="T638" s="131"/>
    </row>
    <row r="639">
      <c r="A639" s="131"/>
      <c r="B639" s="131"/>
      <c r="C639" s="131"/>
      <c r="D639" s="81"/>
      <c r="E639" s="81"/>
      <c r="F639" s="131"/>
      <c r="G639" s="131"/>
      <c r="H639" s="131"/>
      <c r="I639" s="131"/>
      <c r="J639" s="131"/>
      <c r="K639" s="131"/>
      <c r="L639" s="131"/>
      <c r="M639" s="131"/>
      <c r="N639" s="131"/>
      <c r="O639" s="131"/>
      <c r="P639" s="131"/>
      <c r="Q639" s="131"/>
      <c r="R639" s="131"/>
      <c r="S639" s="131"/>
      <c r="T639" s="131"/>
    </row>
    <row r="640">
      <c r="A640" s="131"/>
      <c r="B640" s="131"/>
      <c r="C640" s="131"/>
      <c r="D640" s="81"/>
      <c r="E640" s="81"/>
      <c r="F640" s="131"/>
      <c r="G640" s="131"/>
      <c r="H640" s="131"/>
      <c r="I640" s="131"/>
      <c r="J640" s="131"/>
      <c r="K640" s="131"/>
      <c r="L640" s="131"/>
      <c r="M640" s="131"/>
      <c r="N640" s="131"/>
      <c r="O640" s="131"/>
      <c r="P640" s="131"/>
      <c r="Q640" s="131"/>
      <c r="R640" s="131"/>
      <c r="S640" s="131"/>
      <c r="T640" s="131"/>
    </row>
    <row r="641">
      <c r="A641" s="131"/>
      <c r="B641" s="131"/>
      <c r="C641" s="131"/>
      <c r="D641" s="81"/>
      <c r="E641" s="81"/>
      <c r="F641" s="131"/>
      <c r="G641" s="131"/>
      <c r="H641" s="131"/>
      <c r="I641" s="131"/>
      <c r="J641" s="131"/>
      <c r="K641" s="131"/>
      <c r="L641" s="131"/>
      <c r="M641" s="131"/>
      <c r="N641" s="131"/>
      <c r="O641" s="131"/>
      <c r="P641" s="131"/>
      <c r="Q641" s="131"/>
      <c r="R641" s="131"/>
      <c r="S641" s="131"/>
      <c r="T641" s="131"/>
    </row>
    <row r="642">
      <c r="A642" s="131"/>
      <c r="B642" s="131"/>
      <c r="C642" s="131"/>
      <c r="D642" s="81"/>
      <c r="E642" s="81"/>
      <c r="F642" s="131"/>
      <c r="G642" s="131"/>
      <c r="H642" s="131"/>
      <c r="I642" s="131"/>
      <c r="J642" s="131"/>
      <c r="K642" s="131"/>
      <c r="L642" s="131"/>
      <c r="M642" s="131"/>
      <c r="N642" s="131"/>
      <c r="O642" s="131"/>
      <c r="P642" s="131"/>
      <c r="Q642" s="131"/>
      <c r="R642" s="131"/>
      <c r="S642" s="131"/>
      <c r="T642" s="131"/>
    </row>
    <row r="643">
      <c r="A643" s="131"/>
      <c r="B643" s="131"/>
      <c r="C643" s="131"/>
      <c r="D643" s="81"/>
      <c r="E643" s="81"/>
      <c r="F643" s="131"/>
      <c r="G643" s="131"/>
      <c r="H643" s="131"/>
      <c r="I643" s="131"/>
      <c r="J643" s="131"/>
      <c r="K643" s="131"/>
      <c r="L643" s="131"/>
      <c r="M643" s="131"/>
      <c r="N643" s="131"/>
      <c r="O643" s="131"/>
      <c r="P643" s="131"/>
      <c r="Q643" s="131"/>
      <c r="R643" s="131"/>
      <c r="S643" s="131"/>
      <c r="T643" s="131"/>
    </row>
    <row r="644">
      <c r="A644" s="131"/>
      <c r="B644" s="131"/>
      <c r="C644" s="131"/>
      <c r="D644" s="81"/>
      <c r="E644" s="81"/>
      <c r="F644" s="131"/>
      <c r="G644" s="131"/>
      <c r="H644" s="131"/>
      <c r="I644" s="131"/>
      <c r="J644" s="131"/>
      <c r="K644" s="131"/>
      <c r="L644" s="131"/>
      <c r="M644" s="131"/>
      <c r="N644" s="131"/>
      <c r="O644" s="131"/>
      <c r="P644" s="131"/>
      <c r="Q644" s="131"/>
      <c r="R644" s="131"/>
      <c r="S644" s="131"/>
      <c r="T644" s="131"/>
    </row>
    <row r="645">
      <c r="A645" s="131"/>
      <c r="B645" s="131"/>
      <c r="C645" s="131"/>
      <c r="D645" s="81"/>
      <c r="E645" s="81"/>
      <c r="F645" s="131"/>
      <c r="G645" s="131"/>
      <c r="H645" s="131"/>
      <c r="I645" s="131"/>
      <c r="J645" s="131"/>
      <c r="K645" s="131"/>
      <c r="L645" s="131"/>
      <c r="M645" s="131"/>
      <c r="N645" s="131"/>
      <c r="O645" s="131"/>
      <c r="P645" s="131"/>
      <c r="Q645" s="131"/>
      <c r="R645" s="131"/>
      <c r="S645" s="131"/>
      <c r="T645" s="131"/>
    </row>
    <row r="646">
      <c r="A646" s="131"/>
      <c r="B646" s="131"/>
      <c r="C646" s="131"/>
      <c r="D646" s="81"/>
      <c r="E646" s="81"/>
      <c r="F646" s="131"/>
      <c r="G646" s="131"/>
      <c r="H646" s="131"/>
      <c r="I646" s="131"/>
      <c r="J646" s="131"/>
      <c r="K646" s="131"/>
      <c r="L646" s="131"/>
      <c r="M646" s="131"/>
      <c r="N646" s="131"/>
      <c r="O646" s="131"/>
      <c r="P646" s="131"/>
      <c r="Q646" s="131"/>
      <c r="R646" s="131"/>
      <c r="S646" s="131"/>
      <c r="T646" s="131"/>
    </row>
    <row r="647">
      <c r="A647" s="131"/>
      <c r="B647" s="131"/>
      <c r="C647" s="131"/>
      <c r="D647" s="81"/>
      <c r="E647" s="81"/>
      <c r="F647" s="131"/>
      <c r="G647" s="131"/>
      <c r="H647" s="131"/>
      <c r="I647" s="131"/>
      <c r="J647" s="131"/>
      <c r="K647" s="131"/>
      <c r="L647" s="131"/>
      <c r="M647" s="131"/>
      <c r="N647" s="131"/>
      <c r="O647" s="131"/>
      <c r="P647" s="131"/>
      <c r="Q647" s="131"/>
      <c r="R647" s="131"/>
      <c r="S647" s="131"/>
      <c r="T647" s="131"/>
    </row>
    <row r="648">
      <c r="A648" s="131"/>
      <c r="B648" s="131"/>
      <c r="C648" s="131"/>
      <c r="D648" s="81"/>
      <c r="E648" s="81"/>
      <c r="F648" s="131"/>
      <c r="G648" s="131"/>
      <c r="H648" s="131"/>
      <c r="I648" s="131"/>
      <c r="J648" s="131"/>
      <c r="K648" s="131"/>
      <c r="L648" s="131"/>
      <c r="M648" s="131"/>
      <c r="N648" s="131"/>
      <c r="O648" s="131"/>
      <c r="P648" s="131"/>
      <c r="Q648" s="131"/>
      <c r="R648" s="131"/>
      <c r="S648" s="131"/>
      <c r="T648" s="131"/>
    </row>
    <row r="649">
      <c r="A649" s="131"/>
      <c r="B649" s="131"/>
      <c r="C649" s="131"/>
      <c r="D649" s="81"/>
      <c r="E649" s="81"/>
      <c r="F649" s="131"/>
      <c r="G649" s="131"/>
      <c r="H649" s="131"/>
      <c r="I649" s="131"/>
      <c r="J649" s="131"/>
      <c r="K649" s="131"/>
      <c r="L649" s="131"/>
      <c r="M649" s="131"/>
      <c r="N649" s="131"/>
      <c r="O649" s="131"/>
      <c r="P649" s="131"/>
      <c r="Q649" s="131"/>
      <c r="R649" s="131"/>
      <c r="S649" s="131"/>
      <c r="T649" s="131"/>
    </row>
    <row r="650">
      <c r="A650" s="131"/>
      <c r="B650" s="131"/>
      <c r="C650" s="131"/>
      <c r="D650" s="81"/>
      <c r="E650" s="81"/>
      <c r="F650" s="131"/>
      <c r="G650" s="131"/>
      <c r="H650" s="131"/>
      <c r="I650" s="131"/>
      <c r="J650" s="131"/>
      <c r="K650" s="131"/>
      <c r="L650" s="131"/>
      <c r="M650" s="131"/>
      <c r="N650" s="131"/>
      <c r="O650" s="131"/>
      <c r="P650" s="131"/>
      <c r="Q650" s="131"/>
      <c r="R650" s="131"/>
      <c r="S650" s="131"/>
      <c r="T650" s="131"/>
    </row>
    <row r="651">
      <c r="A651" s="131"/>
      <c r="B651" s="131"/>
      <c r="C651" s="131"/>
      <c r="D651" s="81"/>
      <c r="E651" s="81"/>
      <c r="F651" s="131"/>
      <c r="G651" s="131"/>
      <c r="H651" s="131"/>
      <c r="I651" s="131"/>
      <c r="J651" s="131"/>
      <c r="K651" s="131"/>
      <c r="L651" s="131"/>
      <c r="M651" s="131"/>
      <c r="N651" s="131"/>
      <c r="O651" s="131"/>
      <c r="P651" s="131"/>
      <c r="Q651" s="131"/>
      <c r="R651" s="131"/>
      <c r="S651" s="131"/>
      <c r="T651" s="131"/>
    </row>
    <row r="652">
      <c r="A652" s="131"/>
      <c r="B652" s="131"/>
      <c r="C652" s="131"/>
      <c r="D652" s="81"/>
      <c r="E652" s="81"/>
      <c r="F652" s="131"/>
      <c r="G652" s="131"/>
      <c r="H652" s="131"/>
      <c r="I652" s="131"/>
      <c r="J652" s="131"/>
      <c r="K652" s="131"/>
      <c r="L652" s="131"/>
      <c r="M652" s="131"/>
      <c r="N652" s="131"/>
      <c r="O652" s="131"/>
      <c r="P652" s="131"/>
      <c r="Q652" s="131"/>
      <c r="R652" s="131"/>
      <c r="S652" s="131"/>
      <c r="T652" s="131"/>
    </row>
    <row r="653">
      <c r="A653" s="131"/>
      <c r="B653" s="131"/>
      <c r="C653" s="131"/>
      <c r="D653" s="81"/>
      <c r="E653" s="81"/>
      <c r="F653" s="131"/>
      <c r="G653" s="131"/>
      <c r="H653" s="131"/>
      <c r="I653" s="131"/>
      <c r="J653" s="131"/>
      <c r="K653" s="131"/>
      <c r="L653" s="131"/>
      <c r="M653" s="131"/>
      <c r="N653" s="131"/>
      <c r="O653" s="131"/>
      <c r="P653" s="131"/>
      <c r="Q653" s="131"/>
      <c r="R653" s="131"/>
      <c r="S653" s="131"/>
      <c r="T653" s="131"/>
    </row>
    <row r="654">
      <c r="A654" s="131"/>
      <c r="B654" s="131"/>
      <c r="C654" s="131"/>
      <c r="D654" s="81"/>
      <c r="E654" s="81"/>
      <c r="F654" s="131"/>
      <c r="G654" s="131"/>
      <c r="H654" s="131"/>
      <c r="I654" s="131"/>
      <c r="J654" s="131"/>
      <c r="K654" s="131"/>
      <c r="L654" s="131"/>
      <c r="M654" s="131"/>
      <c r="N654" s="131"/>
      <c r="O654" s="131"/>
      <c r="P654" s="131"/>
      <c r="Q654" s="131"/>
      <c r="R654" s="131"/>
      <c r="S654" s="131"/>
      <c r="T654" s="131"/>
    </row>
    <row r="655">
      <c r="A655" s="131"/>
      <c r="B655" s="131"/>
      <c r="C655" s="131"/>
      <c r="D655" s="81"/>
      <c r="E655" s="81"/>
      <c r="F655" s="131"/>
      <c r="G655" s="131"/>
      <c r="H655" s="131"/>
      <c r="I655" s="131"/>
      <c r="J655" s="131"/>
      <c r="K655" s="131"/>
      <c r="L655" s="131"/>
      <c r="M655" s="131"/>
      <c r="N655" s="131"/>
      <c r="O655" s="131"/>
      <c r="P655" s="131"/>
      <c r="Q655" s="131"/>
      <c r="R655" s="131"/>
      <c r="S655" s="131"/>
      <c r="T655" s="131"/>
    </row>
    <row r="656">
      <c r="A656" s="131"/>
      <c r="B656" s="131"/>
      <c r="C656" s="131"/>
      <c r="D656" s="81"/>
      <c r="E656" s="81"/>
      <c r="F656" s="131"/>
      <c r="G656" s="131"/>
      <c r="H656" s="131"/>
      <c r="I656" s="131"/>
      <c r="J656" s="131"/>
      <c r="K656" s="131"/>
      <c r="L656" s="131"/>
      <c r="M656" s="131"/>
      <c r="N656" s="131"/>
      <c r="O656" s="131"/>
      <c r="P656" s="131"/>
      <c r="Q656" s="131"/>
      <c r="R656" s="131"/>
      <c r="S656" s="131"/>
      <c r="T656" s="131"/>
    </row>
    <row r="657">
      <c r="A657" s="131"/>
      <c r="B657" s="131"/>
      <c r="C657" s="131"/>
      <c r="D657" s="81"/>
      <c r="E657" s="81"/>
      <c r="F657" s="131"/>
      <c r="G657" s="131"/>
      <c r="H657" s="131"/>
      <c r="I657" s="131"/>
      <c r="J657" s="131"/>
      <c r="K657" s="131"/>
      <c r="L657" s="131"/>
      <c r="M657" s="131"/>
      <c r="N657" s="131"/>
      <c r="O657" s="131"/>
      <c r="P657" s="131"/>
      <c r="Q657" s="131"/>
      <c r="R657" s="131"/>
      <c r="S657" s="131"/>
      <c r="T657" s="131"/>
    </row>
    <row r="658">
      <c r="A658" s="131"/>
      <c r="B658" s="131"/>
      <c r="C658" s="131"/>
      <c r="D658" s="81"/>
      <c r="E658" s="81"/>
      <c r="F658" s="131"/>
      <c r="G658" s="131"/>
      <c r="H658" s="131"/>
      <c r="I658" s="131"/>
      <c r="J658" s="131"/>
      <c r="K658" s="131"/>
      <c r="L658" s="131"/>
      <c r="M658" s="131"/>
      <c r="N658" s="131"/>
      <c r="O658" s="131"/>
      <c r="P658" s="131"/>
      <c r="Q658" s="131"/>
      <c r="R658" s="131"/>
      <c r="S658" s="131"/>
      <c r="T658" s="131"/>
    </row>
    <row r="659">
      <c r="A659" s="131"/>
      <c r="B659" s="131"/>
      <c r="C659" s="131"/>
      <c r="D659" s="81"/>
      <c r="E659" s="81"/>
      <c r="F659" s="131"/>
      <c r="G659" s="131"/>
      <c r="H659" s="131"/>
      <c r="I659" s="131"/>
      <c r="J659" s="131"/>
      <c r="K659" s="131"/>
      <c r="L659" s="131"/>
      <c r="M659" s="131"/>
      <c r="N659" s="131"/>
      <c r="O659" s="131"/>
      <c r="P659" s="131"/>
      <c r="Q659" s="131"/>
      <c r="R659" s="131"/>
      <c r="S659" s="131"/>
      <c r="T659" s="131"/>
    </row>
    <row r="660">
      <c r="A660" s="131"/>
      <c r="B660" s="131"/>
      <c r="C660" s="131"/>
      <c r="D660" s="81"/>
      <c r="E660" s="81"/>
      <c r="F660" s="131"/>
      <c r="G660" s="131"/>
      <c r="H660" s="131"/>
      <c r="I660" s="131"/>
      <c r="J660" s="131"/>
      <c r="K660" s="131"/>
      <c r="L660" s="131"/>
      <c r="M660" s="131"/>
      <c r="N660" s="131"/>
      <c r="O660" s="131"/>
      <c r="P660" s="131"/>
      <c r="Q660" s="131"/>
      <c r="R660" s="131"/>
      <c r="S660" s="131"/>
      <c r="T660" s="131"/>
    </row>
    <row r="661">
      <c r="A661" s="131"/>
      <c r="B661" s="131"/>
      <c r="C661" s="131"/>
      <c r="D661" s="81"/>
      <c r="E661" s="81"/>
      <c r="F661" s="131"/>
      <c r="G661" s="131"/>
      <c r="H661" s="131"/>
      <c r="I661" s="131"/>
      <c r="J661" s="131"/>
      <c r="K661" s="131"/>
      <c r="L661" s="131"/>
      <c r="M661" s="131"/>
      <c r="N661" s="131"/>
      <c r="O661" s="131"/>
      <c r="P661" s="131"/>
      <c r="Q661" s="131"/>
      <c r="R661" s="131"/>
      <c r="S661" s="131"/>
      <c r="T661" s="131"/>
    </row>
    <row r="662">
      <c r="A662" s="131"/>
      <c r="B662" s="131"/>
      <c r="C662" s="131"/>
      <c r="D662" s="81"/>
      <c r="E662" s="81"/>
      <c r="F662" s="131"/>
      <c r="G662" s="131"/>
      <c r="H662" s="131"/>
      <c r="I662" s="131"/>
      <c r="J662" s="131"/>
      <c r="K662" s="131"/>
      <c r="L662" s="131"/>
      <c r="M662" s="131"/>
      <c r="N662" s="131"/>
      <c r="O662" s="131"/>
      <c r="P662" s="131"/>
      <c r="Q662" s="131"/>
      <c r="R662" s="131"/>
      <c r="S662" s="131"/>
      <c r="T662" s="131"/>
    </row>
    <row r="663">
      <c r="A663" s="131"/>
      <c r="B663" s="131"/>
      <c r="C663" s="131"/>
      <c r="D663" s="81"/>
      <c r="E663" s="81"/>
      <c r="F663" s="131"/>
      <c r="G663" s="131"/>
      <c r="H663" s="131"/>
      <c r="I663" s="131"/>
      <c r="J663" s="131"/>
      <c r="K663" s="131"/>
      <c r="L663" s="131"/>
      <c r="M663" s="131"/>
      <c r="N663" s="131"/>
      <c r="O663" s="131"/>
      <c r="P663" s="131"/>
      <c r="Q663" s="131"/>
      <c r="R663" s="131"/>
      <c r="S663" s="131"/>
      <c r="T663" s="131"/>
    </row>
    <row r="664">
      <c r="A664" s="131"/>
      <c r="B664" s="131"/>
      <c r="C664" s="131"/>
      <c r="D664" s="81"/>
      <c r="E664" s="81"/>
      <c r="F664" s="131"/>
      <c r="G664" s="131"/>
      <c r="H664" s="131"/>
      <c r="I664" s="131"/>
      <c r="J664" s="131"/>
      <c r="K664" s="131"/>
      <c r="L664" s="131"/>
      <c r="M664" s="131"/>
      <c r="N664" s="131"/>
      <c r="O664" s="131"/>
      <c r="P664" s="131"/>
      <c r="Q664" s="131"/>
      <c r="R664" s="131"/>
      <c r="S664" s="131"/>
      <c r="T664" s="131"/>
    </row>
    <row r="665">
      <c r="A665" s="131"/>
      <c r="B665" s="131"/>
      <c r="C665" s="131"/>
      <c r="D665" s="81"/>
      <c r="E665" s="81"/>
      <c r="F665" s="131"/>
      <c r="G665" s="131"/>
      <c r="H665" s="131"/>
      <c r="I665" s="131"/>
      <c r="J665" s="131"/>
      <c r="K665" s="131"/>
      <c r="L665" s="131"/>
      <c r="M665" s="131"/>
      <c r="N665" s="131"/>
      <c r="O665" s="131"/>
      <c r="P665" s="131"/>
      <c r="Q665" s="131"/>
      <c r="R665" s="131"/>
      <c r="S665" s="131"/>
      <c r="T665" s="131"/>
    </row>
    <row r="666">
      <c r="A666" s="131"/>
      <c r="B666" s="131"/>
      <c r="C666" s="131"/>
      <c r="D666" s="81"/>
      <c r="E666" s="81"/>
      <c r="F666" s="131"/>
      <c r="G666" s="131"/>
      <c r="H666" s="131"/>
      <c r="I666" s="131"/>
      <c r="J666" s="131"/>
      <c r="K666" s="131"/>
      <c r="L666" s="131"/>
      <c r="M666" s="131"/>
      <c r="N666" s="131"/>
      <c r="O666" s="131"/>
      <c r="P666" s="131"/>
      <c r="Q666" s="131"/>
      <c r="R666" s="131"/>
      <c r="S666" s="131"/>
      <c r="T666" s="131"/>
    </row>
    <row r="667">
      <c r="A667" s="131"/>
      <c r="B667" s="131"/>
      <c r="C667" s="131"/>
      <c r="D667" s="81"/>
      <c r="E667" s="81"/>
      <c r="F667" s="131"/>
      <c r="G667" s="131"/>
      <c r="H667" s="131"/>
      <c r="I667" s="131"/>
      <c r="J667" s="131"/>
      <c r="K667" s="131"/>
      <c r="L667" s="131"/>
      <c r="M667" s="131"/>
      <c r="N667" s="131"/>
      <c r="O667" s="131"/>
      <c r="P667" s="131"/>
      <c r="Q667" s="131"/>
      <c r="R667" s="131"/>
      <c r="S667" s="131"/>
      <c r="T667" s="131"/>
    </row>
    <row r="668">
      <c r="A668" s="131"/>
      <c r="B668" s="131"/>
      <c r="C668" s="131"/>
      <c r="D668" s="81"/>
      <c r="E668" s="81"/>
      <c r="F668" s="131"/>
      <c r="G668" s="131"/>
      <c r="H668" s="131"/>
      <c r="I668" s="131"/>
      <c r="J668" s="131"/>
      <c r="K668" s="131"/>
      <c r="L668" s="131"/>
      <c r="M668" s="131"/>
      <c r="N668" s="131"/>
      <c r="O668" s="131"/>
      <c r="P668" s="131"/>
      <c r="Q668" s="131"/>
      <c r="R668" s="131"/>
      <c r="S668" s="131"/>
      <c r="T668" s="131"/>
    </row>
    <row r="669">
      <c r="A669" s="131"/>
      <c r="B669" s="131"/>
      <c r="C669" s="131"/>
      <c r="D669" s="81"/>
      <c r="E669" s="81"/>
      <c r="F669" s="131"/>
      <c r="G669" s="131"/>
      <c r="H669" s="131"/>
      <c r="I669" s="131"/>
      <c r="J669" s="131"/>
      <c r="K669" s="131"/>
      <c r="L669" s="131"/>
      <c r="M669" s="131"/>
      <c r="N669" s="131"/>
      <c r="O669" s="131"/>
      <c r="P669" s="131"/>
      <c r="Q669" s="131"/>
      <c r="R669" s="131"/>
      <c r="S669" s="131"/>
      <c r="T669" s="131"/>
    </row>
    <row r="670">
      <c r="A670" s="131"/>
      <c r="B670" s="131"/>
      <c r="C670" s="131"/>
      <c r="D670" s="81"/>
      <c r="E670" s="81"/>
      <c r="F670" s="131"/>
      <c r="G670" s="131"/>
      <c r="H670" s="131"/>
      <c r="I670" s="131"/>
      <c r="J670" s="131"/>
      <c r="K670" s="131"/>
      <c r="L670" s="131"/>
      <c r="M670" s="131"/>
      <c r="N670" s="131"/>
      <c r="O670" s="131"/>
      <c r="P670" s="131"/>
      <c r="Q670" s="131"/>
      <c r="R670" s="131"/>
      <c r="S670" s="131"/>
      <c r="T670" s="131"/>
    </row>
    <row r="671">
      <c r="A671" s="131"/>
      <c r="B671" s="131"/>
      <c r="C671" s="131"/>
      <c r="D671" s="81"/>
      <c r="E671" s="81"/>
      <c r="F671" s="131"/>
      <c r="G671" s="131"/>
      <c r="H671" s="131"/>
      <c r="I671" s="131"/>
      <c r="J671" s="131"/>
      <c r="K671" s="131"/>
      <c r="L671" s="131"/>
      <c r="M671" s="131"/>
      <c r="N671" s="131"/>
      <c r="O671" s="131"/>
      <c r="P671" s="131"/>
      <c r="Q671" s="131"/>
      <c r="R671" s="131"/>
      <c r="S671" s="131"/>
      <c r="T671" s="131"/>
    </row>
    <row r="672">
      <c r="A672" s="131"/>
      <c r="B672" s="131"/>
      <c r="C672" s="131"/>
      <c r="D672" s="81"/>
      <c r="E672" s="81"/>
      <c r="F672" s="131"/>
      <c r="G672" s="131"/>
      <c r="H672" s="131"/>
      <c r="I672" s="131"/>
      <c r="J672" s="131"/>
      <c r="K672" s="131"/>
      <c r="L672" s="131"/>
      <c r="M672" s="131"/>
      <c r="N672" s="131"/>
      <c r="O672" s="131"/>
      <c r="P672" s="131"/>
      <c r="Q672" s="131"/>
      <c r="R672" s="131"/>
      <c r="S672" s="131"/>
      <c r="T672" s="131"/>
    </row>
    <row r="673">
      <c r="A673" s="131"/>
      <c r="B673" s="131"/>
      <c r="C673" s="131"/>
      <c r="D673" s="81"/>
      <c r="E673" s="81"/>
      <c r="F673" s="131"/>
      <c r="G673" s="131"/>
      <c r="H673" s="131"/>
      <c r="I673" s="131"/>
      <c r="J673" s="131"/>
      <c r="K673" s="131"/>
      <c r="L673" s="131"/>
      <c r="M673" s="131"/>
      <c r="N673" s="131"/>
      <c r="O673" s="131"/>
      <c r="P673" s="131"/>
      <c r="Q673" s="131"/>
      <c r="R673" s="131"/>
      <c r="S673" s="131"/>
      <c r="T673" s="131"/>
    </row>
    <row r="674">
      <c r="A674" s="131"/>
      <c r="B674" s="131"/>
      <c r="C674" s="131"/>
      <c r="D674" s="81"/>
      <c r="E674" s="81"/>
      <c r="F674" s="131"/>
      <c r="G674" s="131"/>
      <c r="H674" s="131"/>
      <c r="I674" s="131"/>
      <c r="J674" s="131"/>
      <c r="K674" s="131"/>
      <c r="L674" s="131"/>
      <c r="M674" s="131"/>
      <c r="N674" s="131"/>
      <c r="O674" s="131"/>
      <c r="P674" s="131"/>
      <c r="Q674" s="131"/>
      <c r="R674" s="131"/>
      <c r="S674" s="131"/>
      <c r="T674" s="131"/>
    </row>
    <row r="675">
      <c r="A675" s="131"/>
      <c r="B675" s="131"/>
      <c r="C675" s="131"/>
      <c r="D675" s="81"/>
      <c r="E675" s="81"/>
      <c r="F675" s="131"/>
      <c r="G675" s="131"/>
      <c r="H675" s="131"/>
      <c r="I675" s="131"/>
      <c r="J675" s="131"/>
      <c r="K675" s="131"/>
      <c r="L675" s="131"/>
      <c r="M675" s="131"/>
      <c r="N675" s="131"/>
      <c r="O675" s="131"/>
      <c r="P675" s="131"/>
      <c r="Q675" s="131"/>
      <c r="R675" s="131"/>
      <c r="S675" s="131"/>
      <c r="T675" s="131"/>
    </row>
    <row r="676">
      <c r="A676" s="131"/>
      <c r="B676" s="131"/>
      <c r="C676" s="131"/>
      <c r="D676" s="81"/>
      <c r="E676" s="81"/>
      <c r="F676" s="131"/>
      <c r="G676" s="131"/>
      <c r="H676" s="131"/>
      <c r="I676" s="131"/>
      <c r="J676" s="131"/>
      <c r="K676" s="131"/>
      <c r="L676" s="131"/>
      <c r="M676" s="131"/>
      <c r="N676" s="131"/>
      <c r="O676" s="131"/>
      <c r="P676" s="131"/>
      <c r="Q676" s="131"/>
      <c r="R676" s="131"/>
      <c r="S676" s="131"/>
      <c r="T676" s="131"/>
    </row>
    <row r="677">
      <c r="A677" s="131"/>
      <c r="B677" s="131"/>
      <c r="C677" s="131"/>
      <c r="D677" s="81"/>
      <c r="E677" s="81"/>
      <c r="F677" s="131"/>
      <c r="G677" s="131"/>
      <c r="H677" s="131"/>
      <c r="I677" s="131"/>
      <c r="J677" s="131"/>
      <c r="K677" s="131"/>
      <c r="L677" s="131"/>
      <c r="M677" s="131"/>
      <c r="N677" s="131"/>
      <c r="O677" s="131"/>
      <c r="P677" s="131"/>
      <c r="Q677" s="131"/>
      <c r="R677" s="131"/>
      <c r="S677" s="131"/>
      <c r="T677" s="131"/>
    </row>
    <row r="678">
      <c r="A678" s="131"/>
      <c r="B678" s="131"/>
      <c r="C678" s="131"/>
      <c r="D678" s="81"/>
      <c r="E678" s="81"/>
      <c r="F678" s="131"/>
      <c r="G678" s="131"/>
      <c r="H678" s="131"/>
      <c r="I678" s="131"/>
      <c r="J678" s="131"/>
      <c r="K678" s="131"/>
      <c r="L678" s="131"/>
      <c r="M678" s="131"/>
      <c r="N678" s="131"/>
      <c r="O678" s="131"/>
      <c r="P678" s="131"/>
      <c r="Q678" s="131"/>
      <c r="R678" s="131"/>
      <c r="S678" s="131"/>
      <c r="T678" s="131"/>
    </row>
    <row r="679">
      <c r="A679" s="131"/>
      <c r="B679" s="131"/>
      <c r="C679" s="131"/>
      <c r="D679" s="81"/>
      <c r="E679" s="81"/>
      <c r="F679" s="131"/>
      <c r="G679" s="131"/>
      <c r="H679" s="131"/>
      <c r="I679" s="131"/>
      <c r="J679" s="131"/>
      <c r="K679" s="131"/>
      <c r="L679" s="131"/>
      <c r="M679" s="131"/>
      <c r="N679" s="131"/>
      <c r="O679" s="131"/>
      <c r="P679" s="131"/>
      <c r="Q679" s="131"/>
      <c r="R679" s="131"/>
      <c r="S679" s="131"/>
      <c r="T679" s="131"/>
    </row>
    <row r="680">
      <c r="A680" s="131"/>
      <c r="B680" s="131"/>
      <c r="C680" s="131"/>
      <c r="D680" s="81"/>
      <c r="E680" s="81"/>
      <c r="F680" s="131"/>
      <c r="G680" s="131"/>
      <c r="H680" s="131"/>
      <c r="I680" s="131"/>
      <c r="J680" s="131"/>
      <c r="K680" s="131"/>
      <c r="L680" s="131"/>
      <c r="M680" s="131"/>
      <c r="N680" s="131"/>
      <c r="O680" s="131"/>
      <c r="P680" s="131"/>
      <c r="Q680" s="131"/>
      <c r="R680" s="131"/>
      <c r="S680" s="131"/>
      <c r="T680" s="131"/>
    </row>
    <row r="681">
      <c r="A681" s="131"/>
      <c r="B681" s="131"/>
      <c r="C681" s="131"/>
      <c r="D681" s="81"/>
      <c r="E681" s="81"/>
      <c r="F681" s="131"/>
      <c r="G681" s="131"/>
      <c r="H681" s="131"/>
      <c r="I681" s="131"/>
      <c r="J681" s="131"/>
      <c r="K681" s="131"/>
      <c r="L681" s="131"/>
      <c r="M681" s="131"/>
      <c r="N681" s="131"/>
      <c r="O681" s="131"/>
      <c r="P681" s="131"/>
      <c r="Q681" s="131"/>
      <c r="R681" s="131"/>
      <c r="S681" s="131"/>
      <c r="T681" s="131"/>
    </row>
    <row r="682">
      <c r="A682" s="131"/>
      <c r="B682" s="131"/>
      <c r="C682" s="131"/>
      <c r="D682" s="81"/>
      <c r="E682" s="81"/>
      <c r="F682" s="131"/>
      <c r="G682" s="131"/>
      <c r="H682" s="131"/>
      <c r="I682" s="131"/>
      <c r="J682" s="131"/>
      <c r="K682" s="131"/>
      <c r="L682" s="131"/>
      <c r="M682" s="131"/>
      <c r="N682" s="131"/>
      <c r="O682" s="131"/>
      <c r="P682" s="131"/>
      <c r="Q682" s="131"/>
      <c r="R682" s="131"/>
      <c r="S682" s="131"/>
      <c r="T682" s="131"/>
    </row>
    <row r="683">
      <c r="A683" s="131"/>
      <c r="B683" s="131"/>
      <c r="C683" s="131"/>
      <c r="D683" s="81"/>
      <c r="E683" s="81"/>
      <c r="F683" s="131"/>
      <c r="G683" s="131"/>
      <c r="H683" s="131"/>
      <c r="I683" s="131"/>
      <c r="J683" s="131"/>
      <c r="K683" s="131"/>
      <c r="L683" s="131"/>
      <c r="M683" s="131"/>
      <c r="N683" s="131"/>
      <c r="O683" s="131"/>
      <c r="P683" s="131"/>
      <c r="Q683" s="131"/>
      <c r="R683" s="131"/>
      <c r="S683" s="131"/>
      <c r="T683" s="131"/>
    </row>
    <row r="684">
      <c r="A684" s="131"/>
      <c r="B684" s="131"/>
      <c r="C684" s="131"/>
      <c r="D684" s="81"/>
      <c r="E684" s="81"/>
      <c r="F684" s="131"/>
      <c r="G684" s="131"/>
      <c r="H684" s="131"/>
      <c r="I684" s="131"/>
      <c r="J684" s="131"/>
      <c r="K684" s="131"/>
      <c r="L684" s="131"/>
      <c r="M684" s="131"/>
      <c r="N684" s="131"/>
      <c r="O684" s="131"/>
      <c r="P684" s="131"/>
      <c r="Q684" s="131"/>
      <c r="R684" s="131"/>
      <c r="S684" s="131"/>
      <c r="T684" s="131"/>
    </row>
    <row r="685">
      <c r="A685" s="131"/>
      <c r="B685" s="131"/>
      <c r="C685" s="131"/>
      <c r="D685" s="81"/>
      <c r="E685" s="81"/>
      <c r="F685" s="131"/>
      <c r="G685" s="131"/>
      <c r="H685" s="131"/>
      <c r="I685" s="131"/>
      <c r="J685" s="131"/>
      <c r="K685" s="131"/>
      <c r="L685" s="131"/>
      <c r="M685" s="131"/>
      <c r="N685" s="131"/>
      <c r="O685" s="131"/>
      <c r="P685" s="131"/>
      <c r="Q685" s="131"/>
      <c r="R685" s="131"/>
      <c r="S685" s="131"/>
      <c r="T685" s="131"/>
    </row>
    <row r="686">
      <c r="A686" s="131"/>
      <c r="B686" s="131"/>
      <c r="C686" s="131"/>
      <c r="D686" s="81"/>
      <c r="E686" s="81"/>
      <c r="F686" s="131"/>
      <c r="G686" s="131"/>
      <c r="H686" s="131"/>
      <c r="I686" s="131"/>
      <c r="J686" s="131"/>
      <c r="K686" s="131"/>
      <c r="L686" s="131"/>
      <c r="M686" s="131"/>
      <c r="N686" s="131"/>
      <c r="O686" s="131"/>
      <c r="P686" s="131"/>
      <c r="Q686" s="131"/>
      <c r="R686" s="131"/>
      <c r="S686" s="131"/>
      <c r="T686" s="131"/>
    </row>
    <row r="687">
      <c r="A687" s="131"/>
      <c r="B687" s="131"/>
      <c r="C687" s="131"/>
      <c r="D687" s="81"/>
      <c r="E687" s="81"/>
      <c r="F687" s="131"/>
      <c r="G687" s="131"/>
      <c r="H687" s="131"/>
      <c r="I687" s="131"/>
      <c r="J687" s="131"/>
      <c r="K687" s="131"/>
      <c r="L687" s="131"/>
      <c r="M687" s="131"/>
      <c r="N687" s="131"/>
      <c r="O687" s="131"/>
      <c r="P687" s="131"/>
      <c r="Q687" s="131"/>
      <c r="R687" s="131"/>
      <c r="S687" s="131"/>
      <c r="T687" s="131"/>
    </row>
    <row r="688">
      <c r="A688" s="131"/>
      <c r="B688" s="131"/>
      <c r="C688" s="131"/>
      <c r="D688" s="81"/>
      <c r="E688" s="81"/>
      <c r="F688" s="131"/>
      <c r="G688" s="131"/>
      <c r="H688" s="131"/>
      <c r="I688" s="131"/>
      <c r="J688" s="131"/>
      <c r="K688" s="131"/>
      <c r="L688" s="131"/>
      <c r="M688" s="131"/>
      <c r="N688" s="131"/>
      <c r="O688" s="131"/>
      <c r="P688" s="131"/>
      <c r="Q688" s="131"/>
      <c r="R688" s="131"/>
      <c r="S688" s="131"/>
      <c r="T688" s="131"/>
    </row>
    <row r="689">
      <c r="A689" s="131"/>
      <c r="B689" s="131"/>
      <c r="C689" s="131"/>
      <c r="D689" s="81"/>
      <c r="E689" s="81"/>
      <c r="F689" s="131"/>
      <c r="G689" s="131"/>
      <c r="H689" s="131"/>
      <c r="I689" s="131"/>
      <c r="J689" s="131"/>
      <c r="K689" s="131"/>
      <c r="L689" s="131"/>
      <c r="M689" s="131"/>
      <c r="N689" s="131"/>
      <c r="O689" s="131"/>
      <c r="P689" s="131"/>
      <c r="Q689" s="131"/>
      <c r="R689" s="131"/>
      <c r="S689" s="131"/>
      <c r="T689" s="131"/>
    </row>
    <row r="690">
      <c r="A690" s="131"/>
      <c r="B690" s="131"/>
      <c r="C690" s="131"/>
      <c r="D690" s="81"/>
      <c r="E690" s="81"/>
      <c r="F690" s="131"/>
      <c r="G690" s="131"/>
      <c r="H690" s="131"/>
      <c r="I690" s="131"/>
      <c r="J690" s="131"/>
      <c r="K690" s="131"/>
      <c r="L690" s="131"/>
      <c r="M690" s="131"/>
      <c r="N690" s="131"/>
      <c r="O690" s="131"/>
      <c r="P690" s="131"/>
      <c r="Q690" s="131"/>
      <c r="R690" s="131"/>
      <c r="S690" s="131"/>
      <c r="T690" s="131"/>
    </row>
    <row r="691">
      <c r="A691" s="131"/>
      <c r="B691" s="131"/>
      <c r="C691" s="131"/>
      <c r="D691" s="81"/>
      <c r="E691" s="81"/>
      <c r="F691" s="131"/>
      <c r="G691" s="131"/>
      <c r="H691" s="131"/>
      <c r="I691" s="131"/>
      <c r="J691" s="131"/>
      <c r="K691" s="131"/>
      <c r="L691" s="131"/>
      <c r="M691" s="131"/>
      <c r="N691" s="131"/>
      <c r="O691" s="131"/>
      <c r="P691" s="131"/>
      <c r="Q691" s="131"/>
      <c r="R691" s="131"/>
      <c r="S691" s="131"/>
      <c r="T691" s="131"/>
    </row>
    <row r="692">
      <c r="A692" s="131"/>
      <c r="B692" s="131"/>
      <c r="C692" s="131"/>
      <c r="D692" s="81"/>
      <c r="E692" s="81"/>
      <c r="F692" s="131"/>
      <c r="G692" s="131"/>
      <c r="H692" s="131"/>
      <c r="I692" s="131"/>
      <c r="J692" s="131"/>
      <c r="K692" s="131"/>
      <c r="L692" s="131"/>
      <c r="M692" s="131"/>
      <c r="N692" s="131"/>
      <c r="O692" s="131"/>
      <c r="P692" s="131"/>
      <c r="Q692" s="131"/>
      <c r="R692" s="131"/>
      <c r="S692" s="131"/>
      <c r="T692" s="131"/>
    </row>
    <row r="693">
      <c r="A693" s="131"/>
      <c r="B693" s="131"/>
      <c r="C693" s="131"/>
      <c r="D693" s="81"/>
      <c r="E693" s="81"/>
      <c r="F693" s="131"/>
      <c r="G693" s="131"/>
      <c r="H693" s="131"/>
      <c r="I693" s="131"/>
      <c r="J693" s="131"/>
      <c r="K693" s="131"/>
      <c r="L693" s="131"/>
      <c r="M693" s="131"/>
      <c r="N693" s="131"/>
      <c r="O693" s="131"/>
      <c r="P693" s="131"/>
      <c r="Q693" s="131"/>
      <c r="R693" s="131"/>
      <c r="S693" s="131"/>
      <c r="T693" s="131"/>
    </row>
    <row r="694">
      <c r="A694" s="131"/>
      <c r="B694" s="131"/>
      <c r="C694" s="131"/>
      <c r="D694" s="81"/>
      <c r="E694" s="81"/>
      <c r="F694" s="131"/>
      <c r="G694" s="131"/>
      <c r="H694" s="131"/>
      <c r="I694" s="131"/>
      <c r="J694" s="131"/>
      <c r="K694" s="131"/>
      <c r="L694" s="131"/>
      <c r="M694" s="131"/>
      <c r="N694" s="131"/>
      <c r="O694" s="131"/>
      <c r="P694" s="131"/>
      <c r="Q694" s="131"/>
      <c r="R694" s="131"/>
      <c r="S694" s="131"/>
      <c r="T694" s="131"/>
    </row>
    <row r="695">
      <c r="A695" s="131"/>
      <c r="B695" s="131"/>
      <c r="C695" s="131"/>
      <c r="D695" s="81"/>
      <c r="E695" s="81"/>
      <c r="F695" s="131"/>
      <c r="G695" s="131"/>
      <c r="H695" s="131"/>
      <c r="I695" s="131"/>
      <c r="J695" s="131"/>
      <c r="K695" s="131"/>
      <c r="L695" s="131"/>
      <c r="M695" s="131"/>
      <c r="N695" s="131"/>
      <c r="O695" s="131"/>
      <c r="P695" s="131"/>
      <c r="Q695" s="131"/>
      <c r="R695" s="131"/>
      <c r="S695" s="131"/>
      <c r="T695" s="131"/>
    </row>
    <row r="696">
      <c r="A696" s="131"/>
      <c r="B696" s="131"/>
      <c r="C696" s="131"/>
      <c r="D696" s="81"/>
      <c r="E696" s="81"/>
      <c r="F696" s="131"/>
      <c r="G696" s="131"/>
      <c r="H696" s="131"/>
      <c r="I696" s="131"/>
      <c r="J696" s="131"/>
      <c r="K696" s="131"/>
      <c r="L696" s="131"/>
      <c r="M696" s="131"/>
      <c r="N696" s="131"/>
      <c r="O696" s="131"/>
      <c r="P696" s="131"/>
      <c r="Q696" s="131"/>
      <c r="R696" s="131"/>
      <c r="S696" s="131"/>
      <c r="T696" s="131"/>
    </row>
    <row r="697">
      <c r="A697" s="131"/>
      <c r="B697" s="131"/>
      <c r="C697" s="131"/>
      <c r="D697" s="81"/>
      <c r="E697" s="81"/>
      <c r="F697" s="131"/>
      <c r="G697" s="131"/>
      <c r="H697" s="131"/>
      <c r="I697" s="131"/>
      <c r="J697" s="131"/>
      <c r="K697" s="131"/>
      <c r="L697" s="131"/>
      <c r="M697" s="131"/>
      <c r="N697" s="131"/>
      <c r="O697" s="131"/>
      <c r="P697" s="131"/>
      <c r="Q697" s="131"/>
      <c r="R697" s="131"/>
      <c r="S697" s="131"/>
      <c r="T697" s="131"/>
    </row>
    <row r="698">
      <c r="A698" s="131"/>
      <c r="B698" s="131"/>
      <c r="C698" s="131"/>
      <c r="D698" s="81"/>
      <c r="E698" s="81"/>
      <c r="F698" s="131"/>
      <c r="G698" s="131"/>
      <c r="H698" s="131"/>
      <c r="I698" s="131"/>
      <c r="J698" s="131"/>
      <c r="K698" s="131"/>
      <c r="L698" s="131"/>
      <c r="M698" s="131"/>
      <c r="N698" s="131"/>
      <c r="O698" s="131"/>
      <c r="P698" s="131"/>
      <c r="Q698" s="131"/>
      <c r="R698" s="131"/>
      <c r="S698" s="131"/>
      <c r="T698" s="131"/>
    </row>
    <row r="699">
      <c r="A699" s="131"/>
      <c r="B699" s="131"/>
      <c r="C699" s="131"/>
      <c r="D699" s="81"/>
      <c r="E699" s="81"/>
      <c r="F699" s="131"/>
      <c r="G699" s="131"/>
      <c r="H699" s="131"/>
      <c r="I699" s="131"/>
      <c r="J699" s="131"/>
      <c r="K699" s="131"/>
      <c r="L699" s="131"/>
      <c r="M699" s="131"/>
      <c r="N699" s="131"/>
      <c r="O699" s="131"/>
      <c r="P699" s="131"/>
      <c r="Q699" s="131"/>
      <c r="R699" s="131"/>
      <c r="S699" s="131"/>
      <c r="T699" s="131"/>
    </row>
    <row r="700">
      <c r="A700" s="131"/>
      <c r="B700" s="131"/>
      <c r="C700" s="131"/>
      <c r="D700" s="81"/>
      <c r="E700" s="81"/>
      <c r="F700" s="131"/>
      <c r="G700" s="131"/>
      <c r="H700" s="131"/>
      <c r="I700" s="131"/>
      <c r="J700" s="131"/>
      <c r="K700" s="131"/>
      <c r="L700" s="131"/>
      <c r="M700" s="131"/>
      <c r="N700" s="131"/>
      <c r="O700" s="131"/>
      <c r="P700" s="131"/>
      <c r="Q700" s="131"/>
      <c r="R700" s="131"/>
      <c r="S700" s="131"/>
      <c r="T700" s="131"/>
    </row>
    <row r="701">
      <c r="A701" s="131"/>
      <c r="B701" s="131"/>
      <c r="C701" s="131"/>
      <c r="D701" s="81"/>
      <c r="E701" s="81"/>
      <c r="F701" s="131"/>
      <c r="G701" s="131"/>
      <c r="H701" s="131"/>
      <c r="I701" s="131"/>
      <c r="J701" s="131"/>
      <c r="K701" s="131"/>
      <c r="L701" s="131"/>
      <c r="M701" s="131"/>
      <c r="N701" s="131"/>
      <c r="O701" s="131"/>
      <c r="P701" s="131"/>
      <c r="Q701" s="131"/>
      <c r="R701" s="131"/>
      <c r="S701" s="131"/>
      <c r="T701" s="131"/>
    </row>
    <row r="702">
      <c r="A702" s="131"/>
      <c r="B702" s="131"/>
      <c r="C702" s="131"/>
      <c r="D702" s="81"/>
      <c r="E702" s="81"/>
      <c r="F702" s="131"/>
      <c r="G702" s="131"/>
      <c r="H702" s="131"/>
      <c r="I702" s="131"/>
      <c r="J702" s="131"/>
      <c r="K702" s="131"/>
      <c r="L702" s="131"/>
      <c r="M702" s="131"/>
      <c r="N702" s="131"/>
      <c r="O702" s="131"/>
      <c r="P702" s="131"/>
      <c r="Q702" s="131"/>
      <c r="R702" s="131"/>
      <c r="S702" s="131"/>
      <c r="T702" s="131"/>
    </row>
    <row r="703">
      <c r="A703" s="131"/>
      <c r="B703" s="131"/>
      <c r="C703" s="131"/>
      <c r="D703" s="81"/>
      <c r="E703" s="81"/>
      <c r="F703" s="131"/>
      <c r="G703" s="131"/>
      <c r="H703" s="131"/>
      <c r="I703" s="131"/>
      <c r="J703" s="131"/>
      <c r="K703" s="131"/>
      <c r="L703" s="131"/>
      <c r="M703" s="131"/>
      <c r="N703" s="131"/>
      <c r="O703" s="131"/>
      <c r="P703" s="131"/>
      <c r="Q703" s="131"/>
      <c r="R703" s="131"/>
      <c r="S703" s="131"/>
      <c r="T703" s="131"/>
    </row>
    <row r="704">
      <c r="A704" s="131"/>
      <c r="B704" s="131"/>
      <c r="C704" s="131"/>
      <c r="D704" s="81"/>
      <c r="E704" s="81"/>
      <c r="F704" s="131"/>
      <c r="G704" s="131"/>
      <c r="H704" s="131"/>
      <c r="I704" s="131"/>
      <c r="J704" s="131"/>
      <c r="K704" s="131"/>
      <c r="L704" s="131"/>
      <c r="M704" s="131"/>
      <c r="N704" s="131"/>
      <c r="O704" s="131"/>
      <c r="P704" s="131"/>
      <c r="Q704" s="131"/>
      <c r="R704" s="131"/>
      <c r="S704" s="131"/>
      <c r="T704" s="131"/>
    </row>
    <row r="705">
      <c r="A705" s="131"/>
      <c r="B705" s="131"/>
      <c r="C705" s="131"/>
      <c r="D705" s="81"/>
      <c r="E705" s="81"/>
      <c r="F705" s="131"/>
      <c r="G705" s="131"/>
      <c r="H705" s="131"/>
      <c r="I705" s="131"/>
      <c r="J705" s="131"/>
      <c r="K705" s="131"/>
      <c r="L705" s="131"/>
      <c r="M705" s="131"/>
      <c r="N705" s="131"/>
      <c r="O705" s="131"/>
      <c r="P705" s="131"/>
      <c r="Q705" s="131"/>
      <c r="R705" s="131"/>
      <c r="S705" s="131"/>
      <c r="T705" s="131"/>
    </row>
    <row r="706">
      <c r="A706" s="131"/>
      <c r="B706" s="131"/>
      <c r="C706" s="131"/>
      <c r="D706" s="81"/>
      <c r="E706" s="81"/>
      <c r="F706" s="131"/>
      <c r="G706" s="131"/>
      <c r="H706" s="131"/>
      <c r="I706" s="131"/>
      <c r="J706" s="131"/>
      <c r="K706" s="131"/>
      <c r="L706" s="131"/>
      <c r="M706" s="131"/>
      <c r="N706" s="131"/>
      <c r="O706" s="131"/>
      <c r="P706" s="131"/>
      <c r="Q706" s="131"/>
      <c r="R706" s="131"/>
      <c r="S706" s="131"/>
      <c r="T706" s="131"/>
    </row>
    <row r="707">
      <c r="A707" s="131"/>
      <c r="B707" s="131"/>
      <c r="C707" s="131"/>
      <c r="D707" s="81"/>
      <c r="E707" s="81"/>
      <c r="F707" s="131"/>
      <c r="G707" s="131"/>
      <c r="H707" s="131"/>
      <c r="I707" s="131"/>
      <c r="J707" s="131"/>
      <c r="K707" s="131"/>
      <c r="L707" s="131"/>
      <c r="M707" s="131"/>
      <c r="N707" s="131"/>
      <c r="O707" s="131"/>
      <c r="P707" s="131"/>
      <c r="Q707" s="131"/>
      <c r="R707" s="131"/>
      <c r="S707" s="131"/>
      <c r="T707" s="131"/>
    </row>
    <row r="708">
      <c r="A708" s="131"/>
      <c r="B708" s="131"/>
      <c r="C708" s="131"/>
      <c r="D708" s="81"/>
      <c r="E708" s="81"/>
      <c r="F708" s="131"/>
      <c r="G708" s="131"/>
      <c r="H708" s="131"/>
      <c r="I708" s="131"/>
      <c r="J708" s="131"/>
      <c r="K708" s="131"/>
      <c r="L708" s="131"/>
      <c r="M708" s="131"/>
      <c r="N708" s="131"/>
      <c r="O708" s="131"/>
      <c r="P708" s="131"/>
      <c r="Q708" s="131"/>
      <c r="R708" s="131"/>
      <c r="S708" s="131"/>
      <c r="T708" s="131"/>
    </row>
    <row r="709">
      <c r="A709" s="131"/>
      <c r="B709" s="131"/>
      <c r="C709" s="131"/>
      <c r="D709" s="81"/>
      <c r="E709" s="81"/>
      <c r="F709" s="131"/>
      <c r="G709" s="131"/>
      <c r="H709" s="131"/>
      <c r="I709" s="131"/>
      <c r="J709" s="131"/>
      <c r="K709" s="131"/>
      <c r="L709" s="131"/>
      <c r="M709" s="131"/>
      <c r="N709" s="131"/>
      <c r="O709" s="131"/>
      <c r="P709" s="131"/>
      <c r="Q709" s="131"/>
      <c r="R709" s="131"/>
      <c r="S709" s="131"/>
      <c r="T709" s="131"/>
    </row>
    <row r="710">
      <c r="A710" s="131"/>
      <c r="B710" s="131"/>
      <c r="C710" s="131"/>
      <c r="D710" s="81"/>
      <c r="E710" s="81"/>
      <c r="F710" s="131"/>
      <c r="G710" s="131"/>
      <c r="H710" s="131"/>
      <c r="I710" s="131"/>
      <c r="J710" s="131"/>
      <c r="K710" s="131"/>
      <c r="L710" s="131"/>
      <c r="M710" s="131"/>
      <c r="N710" s="131"/>
      <c r="O710" s="131"/>
      <c r="P710" s="131"/>
      <c r="Q710" s="131"/>
      <c r="R710" s="131"/>
      <c r="S710" s="131"/>
      <c r="T710" s="131"/>
    </row>
    <row r="711">
      <c r="A711" s="131"/>
      <c r="B711" s="131"/>
      <c r="C711" s="131"/>
      <c r="D711" s="81"/>
      <c r="E711" s="81"/>
      <c r="F711" s="131"/>
      <c r="G711" s="131"/>
      <c r="H711" s="131"/>
      <c r="I711" s="131"/>
      <c r="J711" s="131"/>
      <c r="K711" s="131"/>
      <c r="L711" s="131"/>
      <c r="M711" s="131"/>
      <c r="N711" s="131"/>
      <c r="O711" s="131"/>
      <c r="P711" s="131"/>
      <c r="Q711" s="131"/>
      <c r="R711" s="131"/>
      <c r="S711" s="131"/>
      <c r="T711" s="131"/>
    </row>
    <row r="712">
      <c r="A712" s="131"/>
      <c r="B712" s="131"/>
      <c r="C712" s="131"/>
      <c r="D712" s="81"/>
      <c r="E712" s="81"/>
      <c r="F712" s="131"/>
      <c r="G712" s="131"/>
      <c r="H712" s="131"/>
      <c r="I712" s="131"/>
      <c r="J712" s="131"/>
      <c r="K712" s="131"/>
      <c r="L712" s="131"/>
      <c r="M712" s="131"/>
      <c r="N712" s="131"/>
      <c r="O712" s="131"/>
      <c r="P712" s="131"/>
      <c r="Q712" s="131"/>
      <c r="R712" s="131"/>
      <c r="S712" s="131"/>
      <c r="T712" s="131"/>
    </row>
    <row r="713">
      <c r="A713" s="131"/>
      <c r="B713" s="131"/>
      <c r="C713" s="131"/>
      <c r="D713" s="81"/>
      <c r="E713" s="81"/>
      <c r="F713" s="131"/>
      <c r="G713" s="131"/>
      <c r="H713" s="131"/>
      <c r="I713" s="131"/>
      <c r="J713" s="131"/>
      <c r="K713" s="131"/>
      <c r="L713" s="131"/>
      <c r="M713" s="131"/>
      <c r="N713" s="131"/>
      <c r="O713" s="131"/>
      <c r="P713" s="131"/>
      <c r="Q713" s="131"/>
      <c r="R713" s="131"/>
      <c r="S713" s="131"/>
      <c r="T713" s="131"/>
    </row>
    <row r="714">
      <c r="A714" s="131"/>
      <c r="B714" s="131"/>
      <c r="C714" s="131"/>
      <c r="D714" s="81"/>
      <c r="E714" s="81"/>
      <c r="F714" s="131"/>
      <c r="G714" s="131"/>
      <c r="H714" s="131"/>
      <c r="I714" s="131"/>
      <c r="J714" s="131"/>
      <c r="K714" s="131"/>
      <c r="L714" s="131"/>
      <c r="M714" s="131"/>
      <c r="N714" s="131"/>
      <c r="O714" s="131"/>
      <c r="P714" s="131"/>
      <c r="Q714" s="131"/>
      <c r="R714" s="131"/>
      <c r="S714" s="131"/>
      <c r="T714" s="131"/>
    </row>
    <row r="715">
      <c r="A715" s="131"/>
      <c r="B715" s="131"/>
      <c r="C715" s="131"/>
      <c r="D715" s="81"/>
      <c r="E715" s="81"/>
      <c r="F715" s="131"/>
      <c r="G715" s="131"/>
      <c r="H715" s="131"/>
      <c r="I715" s="131"/>
      <c r="J715" s="131"/>
      <c r="K715" s="131"/>
      <c r="L715" s="131"/>
      <c r="M715" s="131"/>
      <c r="N715" s="131"/>
      <c r="O715" s="131"/>
      <c r="P715" s="131"/>
      <c r="Q715" s="131"/>
      <c r="R715" s="131"/>
      <c r="S715" s="131"/>
      <c r="T715" s="131"/>
    </row>
    <row r="716">
      <c r="A716" s="131"/>
      <c r="B716" s="131"/>
      <c r="C716" s="131"/>
      <c r="D716" s="81"/>
      <c r="E716" s="81"/>
      <c r="F716" s="131"/>
      <c r="G716" s="131"/>
      <c r="H716" s="131"/>
      <c r="I716" s="131"/>
      <c r="J716" s="131"/>
      <c r="K716" s="131"/>
      <c r="L716" s="131"/>
      <c r="M716" s="131"/>
      <c r="N716" s="131"/>
      <c r="O716" s="131"/>
      <c r="P716" s="131"/>
      <c r="Q716" s="131"/>
      <c r="R716" s="131"/>
      <c r="S716" s="131"/>
      <c r="T716" s="131"/>
    </row>
    <row r="717">
      <c r="A717" s="131"/>
      <c r="B717" s="131"/>
      <c r="C717" s="131"/>
      <c r="D717" s="81"/>
      <c r="E717" s="81"/>
      <c r="F717" s="131"/>
      <c r="G717" s="131"/>
      <c r="H717" s="131"/>
      <c r="I717" s="131"/>
      <c r="J717" s="131"/>
      <c r="K717" s="131"/>
      <c r="L717" s="131"/>
      <c r="M717" s="131"/>
      <c r="N717" s="131"/>
      <c r="O717" s="131"/>
      <c r="P717" s="131"/>
      <c r="Q717" s="131"/>
      <c r="R717" s="131"/>
      <c r="S717" s="131"/>
      <c r="T717" s="131"/>
    </row>
    <row r="718">
      <c r="A718" s="131"/>
      <c r="B718" s="131"/>
      <c r="C718" s="131"/>
      <c r="D718" s="81"/>
      <c r="E718" s="81"/>
      <c r="F718" s="131"/>
      <c r="G718" s="131"/>
      <c r="H718" s="131"/>
      <c r="I718" s="131"/>
      <c r="J718" s="131"/>
      <c r="K718" s="131"/>
      <c r="L718" s="131"/>
      <c r="M718" s="131"/>
      <c r="N718" s="131"/>
      <c r="O718" s="131"/>
      <c r="P718" s="131"/>
      <c r="Q718" s="131"/>
      <c r="R718" s="131"/>
      <c r="S718" s="131"/>
      <c r="T718" s="131"/>
    </row>
    <row r="719">
      <c r="A719" s="131"/>
      <c r="B719" s="131"/>
      <c r="C719" s="131"/>
      <c r="D719" s="81"/>
      <c r="E719" s="81"/>
      <c r="F719" s="131"/>
      <c r="G719" s="131"/>
      <c r="H719" s="131"/>
      <c r="I719" s="131"/>
      <c r="J719" s="131"/>
      <c r="K719" s="131"/>
      <c r="L719" s="131"/>
      <c r="M719" s="131"/>
      <c r="N719" s="131"/>
      <c r="O719" s="131"/>
      <c r="P719" s="131"/>
      <c r="Q719" s="131"/>
      <c r="R719" s="131"/>
      <c r="S719" s="131"/>
      <c r="T719" s="131"/>
    </row>
    <row r="720">
      <c r="A720" s="131"/>
      <c r="B720" s="131"/>
      <c r="C720" s="131"/>
      <c r="D720" s="81"/>
      <c r="E720" s="81"/>
      <c r="F720" s="131"/>
      <c r="G720" s="131"/>
      <c r="H720" s="131"/>
      <c r="I720" s="131"/>
      <c r="J720" s="131"/>
      <c r="K720" s="131"/>
      <c r="L720" s="131"/>
      <c r="M720" s="131"/>
      <c r="N720" s="131"/>
      <c r="O720" s="131"/>
      <c r="P720" s="131"/>
      <c r="Q720" s="131"/>
      <c r="R720" s="131"/>
      <c r="S720" s="131"/>
      <c r="T720" s="131"/>
    </row>
    <row r="721">
      <c r="A721" s="131"/>
      <c r="B721" s="131"/>
      <c r="C721" s="131"/>
      <c r="D721" s="81"/>
      <c r="E721" s="81"/>
      <c r="F721" s="131"/>
      <c r="G721" s="131"/>
      <c r="H721" s="131"/>
      <c r="I721" s="131"/>
      <c r="J721" s="131"/>
      <c r="K721" s="131"/>
      <c r="L721" s="131"/>
      <c r="M721" s="131"/>
      <c r="N721" s="131"/>
      <c r="O721" s="131"/>
      <c r="P721" s="131"/>
      <c r="Q721" s="131"/>
      <c r="R721" s="131"/>
      <c r="S721" s="131"/>
      <c r="T721" s="131"/>
    </row>
    <row r="722">
      <c r="A722" s="131"/>
      <c r="B722" s="131"/>
      <c r="C722" s="131"/>
      <c r="D722" s="81"/>
      <c r="E722" s="81"/>
      <c r="F722" s="131"/>
      <c r="G722" s="131"/>
      <c r="H722" s="131"/>
      <c r="I722" s="131"/>
      <c r="J722" s="131"/>
      <c r="K722" s="131"/>
      <c r="L722" s="131"/>
      <c r="M722" s="131"/>
      <c r="N722" s="131"/>
      <c r="O722" s="131"/>
      <c r="P722" s="131"/>
      <c r="Q722" s="131"/>
      <c r="R722" s="131"/>
      <c r="S722" s="131"/>
      <c r="T722" s="131"/>
    </row>
    <row r="723">
      <c r="A723" s="131"/>
      <c r="B723" s="131"/>
      <c r="C723" s="131"/>
      <c r="D723" s="81"/>
      <c r="E723" s="81"/>
      <c r="F723" s="131"/>
      <c r="G723" s="131"/>
      <c r="H723" s="131"/>
      <c r="I723" s="131"/>
      <c r="J723" s="131"/>
      <c r="K723" s="131"/>
      <c r="L723" s="131"/>
      <c r="M723" s="131"/>
      <c r="N723" s="131"/>
      <c r="O723" s="131"/>
      <c r="P723" s="131"/>
      <c r="Q723" s="131"/>
      <c r="R723" s="131"/>
      <c r="S723" s="131"/>
      <c r="T723" s="131"/>
    </row>
    <row r="724">
      <c r="A724" s="131"/>
      <c r="B724" s="131"/>
      <c r="C724" s="131"/>
      <c r="D724" s="81"/>
      <c r="E724" s="81"/>
      <c r="F724" s="131"/>
      <c r="G724" s="131"/>
      <c r="H724" s="131"/>
      <c r="I724" s="131"/>
      <c r="J724" s="131"/>
      <c r="K724" s="131"/>
      <c r="L724" s="131"/>
      <c r="M724" s="131"/>
      <c r="N724" s="131"/>
      <c r="O724" s="131"/>
      <c r="P724" s="131"/>
      <c r="Q724" s="131"/>
      <c r="R724" s="131"/>
      <c r="S724" s="131"/>
      <c r="T724" s="131"/>
    </row>
    <row r="725">
      <c r="A725" s="131"/>
      <c r="B725" s="131"/>
      <c r="C725" s="131"/>
      <c r="D725" s="81"/>
      <c r="E725" s="81"/>
      <c r="F725" s="131"/>
      <c r="G725" s="131"/>
      <c r="H725" s="131"/>
      <c r="I725" s="131"/>
      <c r="J725" s="131"/>
      <c r="K725" s="131"/>
      <c r="L725" s="131"/>
      <c r="M725" s="131"/>
      <c r="N725" s="131"/>
      <c r="O725" s="131"/>
      <c r="P725" s="131"/>
      <c r="Q725" s="131"/>
      <c r="R725" s="131"/>
      <c r="S725" s="131"/>
      <c r="T725" s="131"/>
    </row>
    <row r="726">
      <c r="A726" s="131"/>
      <c r="B726" s="131"/>
      <c r="C726" s="131"/>
      <c r="D726" s="81"/>
      <c r="E726" s="81"/>
      <c r="F726" s="131"/>
      <c r="G726" s="131"/>
      <c r="H726" s="131"/>
      <c r="I726" s="131"/>
      <c r="J726" s="131"/>
      <c r="K726" s="131"/>
      <c r="L726" s="131"/>
      <c r="M726" s="131"/>
      <c r="N726" s="131"/>
      <c r="O726" s="131"/>
      <c r="P726" s="131"/>
      <c r="Q726" s="131"/>
      <c r="R726" s="131"/>
      <c r="S726" s="131"/>
      <c r="T726" s="131"/>
    </row>
    <row r="727">
      <c r="A727" s="131"/>
      <c r="B727" s="131"/>
      <c r="C727" s="131"/>
      <c r="D727" s="81"/>
      <c r="E727" s="81"/>
      <c r="F727" s="131"/>
      <c r="G727" s="131"/>
      <c r="H727" s="131"/>
      <c r="I727" s="131"/>
      <c r="J727" s="131"/>
      <c r="K727" s="131"/>
      <c r="L727" s="131"/>
      <c r="M727" s="131"/>
      <c r="N727" s="131"/>
      <c r="O727" s="131"/>
      <c r="P727" s="131"/>
      <c r="Q727" s="131"/>
      <c r="R727" s="131"/>
      <c r="S727" s="131"/>
      <c r="T727" s="131"/>
    </row>
    <row r="728">
      <c r="A728" s="131"/>
      <c r="B728" s="131"/>
      <c r="C728" s="131"/>
      <c r="D728" s="81"/>
      <c r="E728" s="81"/>
      <c r="F728" s="131"/>
      <c r="G728" s="131"/>
      <c r="H728" s="131"/>
      <c r="I728" s="131"/>
      <c r="J728" s="131"/>
      <c r="K728" s="131"/>
      <c r="L728" s="131"/>
      <c r="M728" s="131"/>
      <c r="N728" s="131"/>
      <c r="O728" s="131"/>
      <c r="P728" s="131"/>
      <c r="Q728" s="131"/>
      <c r="R728" s="131"/>
      <c r="S728" s="131"/>
      <c r="T728" s="131"/>
    </row>
    <row r="729">
      <c r="A729" s="131"/>
      <c r="B729" s="131"/>
      <c r="C729" s="131"/>
      <c r="D729" s="81"/>
      <c r="E729" s="81"/>
      <c r="F729" s="131"/>
      <c r="G729" s="131"/>
      <c r="H729" s="131"/>
      <c r="I729" s="131"/>
      <c r="J729" s="131"/>
      <c r="K729" s="131"/>
      <c r="L729" s="131"/>
      <c r="M729" s="131"/>
      <c r="N729" s="131"/>
      <c r="O729" s="131"/>
      <c r="P729" s="131"/>
      <c r="Q729" s="131"/>
      <c r="R729" s="131"/>
      <c r="S729" s="131"/>
      <c r="T729" s="131"/>
    </row>
    <row r="730">
      <c r="A730" s="131"/>
      <c r="B730" s="131"/>
      <c r="C730" s="131"/>
      <c r="D730" s="81"/>
      <c r="E730" s="81"/>
      <c r="F730" s="131"/>
      <c r="G730" s="131"/>
      <c r="H730" s="131"/>
      <c r="I730" s="131"/>
      <c r="J730" s="131"/>
      <c r="K730" s="131"/>
      <c r="L730" s="131"/>
      <c r="M730" s="131"/>
      <c r="N730" s="131"/>
      <c r="O730" s="131"/>
      <c r="P730" s="131"/>
      <c r="Q730" s="131"/>
      <c r="R730" s="131"/>
      <c r="S730" s="131"/>
      <c r="T730" s="131"/>
    </row>
    <row r="731">
      <c r="A731" s="131"/>
      <c r="B731" s="131"/>
      <c r="C731" s="131"/>
      <c r="D731" s="81"/>
      <c r="E731" s="81"/>
      <c r="F731" s="131"/>
      <c r="G731" s="131"/>
      <c r="H731" s="131"/>
      <c r="I731" s="131"/>
      <c r="J731" s="131"/>
      <c r="K731" s="131"/>
      <c r="L731" s="131"/>
      <c r="M731" s="131"/>
      <c r="N731" s="131"/>
      <c r="O731" s="131"/>
      <c r="P731" s="131"/>
      <c r="Q731" s="131"/>
      <c r="R731" s="131"/>
      <c r="S731" s="131"/>
      <c r="T731" s="131"/>
    </row>
    <row r="732">
      <c r="A732" s="131"/>
      <c r="B732" s="131"/>
      <c r="C732" s="131"/>
      <c r="D732" s="81"/>
      <c r="E732" s="81"/>
      <c r="F732" s="131"/>
      <c r="G732" s="131"/>
      <c r="H732" s="131"/>
      <c r="I732" s="131"/>
      <c r="J732" s="131"/>
      <c r="K732" s="131"/>
      <c r="L732" s="131"/>
      <c r="M732" s="131"/>
      <c r="N732" s="131"/>
      <c r="O732" s="131"/>
      <c r="P732" s="131"/>
      <c r="Q732" s="131"/>
      <c r="R732" s="131"/>
      <c r="S732" s="131"/>
      <c r="T732" s="131"/>
    </row>
    <row r="733">
      <c r="A733" s="131"/>
      <c r="B733" s="131"/>
      <c r="C733" s="131"/>
      <c r="D733" s="81"/>
      <c r="E733" s="81"/>
      <c r="F733" s="131"/>
      <c r="G733" s="131"/>
      <c r="H733" s="131"/>
      <c r="I733" s="131"/>
      <c r="J733" s="131"/>
      <c r="K733" s="131"/>
      <c r="L733" s="131"/>
      <c r="M733" s="131"/>
      <c r="N733" s="131"/>
      <c r="O733" s="131"/>
      <c r="P733" s="131"/>
      <c r="Q733" s="131"/>
      <c r="R733" s="131"/>
      <c r="S733" s="131"/>
      <c r="T733" s="131"/>
    </row>
    <row r="734">
      <c r="A734" s="131"/>
      <c r="B734" s="131"/>
      <c r="C734" s="131"/>
      <c r="D734" s="81"/>
      <c r="E734" s="81"/>
      <c r="F734" s="131"/>
      <c r="G734" s="131"/>
      <c r="H734" s="131"/>
      <c r="I734" s="131"/>
      <c r="J734" s="131"/>
      <c r="K734" s="131"/>
      <c r="L734" s="131"/>
      <c r="M734" s="131"/>
      <c r="N734" s="131"/>
      <c r="O734" s="131"/>
      <c r="P734" s="131"/>
      <c r="Q734" s="131"/>
      <c r="R734" s="131"/>
      <c r="S734" s="131"/>
      <c r="T734" s="131"/>
    </row>
    <row r="735">
      <c r="A735" s="131"/>
      <c r="B735" s="131"/>
      <c r="C735" s="131"/>
      <c r="D735" s="81"/>
      <c r="E735" s="81"/>
      <c r="F735" s="131"/>
      <c r="G735" s="131"/>
      <c r="H735" s="131"/>
      <c r="I735" s="131"/>
      <c r="J735" s="131"/>
      <c r="K735" s="131"/>
      <c r="L735" s="131"/>
      <c r="M735" s="131"/>
      <c r="N735" s="131"/>
      <c r="O735" s="131"/>
      <c r="P735" s="131"/>
      <c r="Q735" s="131"/>
      <c r="R735" s="131"/>
      <c r="S735" s="131"/>
      <c r="T735" s="131"/>
    </row>
    <row r="736">
      <c r="A736" s="131"/>
      <c r="B736" s="131"/>
      <c r="C736" s="131"/>
      <c r="D736" s="81"/>
      <c r="E736" s="81"/>
      <c r="F736" s="131"/>
      <c r="G736" s="131"/>
      <c r="H736" s="131"/>
      <c r="I736" s="131"/>
      <c r="J736" s="131"/>
      <c r="K736" s="131"/>
      <c r="L736" s="131"/>
      <c r="M736" s="131"/>
      <c r="N736" s="131"/>
      <c r="O736" s="131"/>
      <c r="P736" s="131"/>
      <c r="Q736" s="131"/>
      <c r="R736" s="131"/>
      <c r="S736" s="131"/>
      <c r="T736" s="131"/>
    </row>
    <row r="737">
      <c r="A737" s="131"/>
      <c r="B737" s="131"/>
      <c r="C737" s="131"/>
      <c r="D737" s="81"/>
      <c r="E737" s="81"/>
      <c r="F737" s="131"/>
      <c r="G737" s="131"/>
      <c r="H737" s="131"/>
      <c r="I737" s="131"/>
      <c r="J737" s="131"/>
      <c r="K737" s="131"/>
      <c r="L737" s="131"/>
      <c r="M737" s="131"/>
      <c r="N737" s="131"/>
      <c r="O737" s="131"/>
      <c r="P737" s="131"/>
      <c r="Q737" s="131"/>
      <c r="R737" s="131"/>
      <c r="S737" s="131"/>
      <c r="T737" s="131"/>
    </row>
    <row r="738">
      <c r="A738" s="131"/>
      <c r="B738" s="131"/>
      <c r="C738" s="131"/>
      <c r="D738" s="81"/>
      <c r="E738" s="81"/>
      <c r="F738" s="131"/>
      <c r="G738" s="131"/>
      <c r="H738" s="131"/>
      <c r="I738" s="131"/>
      <c r="J738" s="131"/>
      <c r="K738" s="131"/>
      <c r="L738" s="131"/>
      <c r="M738" s="131"/>
      <c r="N738" s="131"/>
      <c r="O738" s="131"/>
      <c r="P738" s="131"/>
      <c r="Q738" s="131"/>
      <c r="R738" s="131"/>
      <c r="S738" s="131"/>
      <c r="T738" s="131"/>
    </row>
    <row r="739">
      <c r="A739" s="131"/>
      <c r="B739" s="131"/>
      <c r="C739" s="131"/>
      <c r="D739" s="81"/>
      <c r="E739" s="81"/>
      <c r="F739" s="131"/>
      <c r="G739" s="131"/>
      <c r="H739" s="131"/>
      <c r="I739" s="131"/>
      <c r="J739" s="131"/>
      <c r="K739" s="131"/>
      <c r="L739" s="131"/>
      <c r="M739" s="131"/>
      <c r="N739" s="131"/>
      <c r="O739" s="131"/>
      <c r="P739" s="131"/>
      <c r="Q739" s="131"/>
      <c r="R739" s="131"/>
      <c r="S739" s="131"/>
      <c r="T739" s="131"/>
    </row>
    <row r="740">
      <c r="A740" s="131"/>
      <c r="B740" s="131"/>
      <c r="C740" s="131"/>
      <c r="D740" s="81"/>
      <c r="E740" s="81"/>
      <c r="F740" s="131"/>
      <c r="G740" s="131"/>
      <c r="H740" s="131"/>
      <c r="I740" s="131"/>
      <c r="J740" s="131"/>
      <c r="K740" s="131"/>
      <c r="L740" s="131"/>
      <c r="M740" s="131"/>
      <c r="N740" s="131"/>
      <c r="O740" s="131"/>
      <c r="P740" s="131"/>
      <c r="Q740" s="131"/>
      <c r="R740" s="131"/>
      <c r="S740" s="131"/>
      <c r="T740" s="131"/>
    </row>
    <row r="741">
      <c r="A741" s="131"/>
      <c r="B741" s="131"/>
      <c r="C741" s="131"/>
      <c r="D741" s="81"/>
      <c r="E741" s="81"/>
      <c r="F741" s="131"/>
      <c r="G741" s="131"/>
      <c r="H741" s="131"/>
      <c r="I741" s="131"/>
      <c r="J741" s="131"/>
      <c r="K741" s="131"/>
      <c r="L741" s="131"/>
      <c r="M741" s="131"/>
      <c r="N741" s="131"/>
      <c r="O741" s="131"/>
      <c r="P741" s="131"/>
      <c r="Q741" s="131"/>
      <c r="R741" s="131"/>
      <c r="S741" s="131"/>
      <c r="T741" s="131"/>
    </row>
    <row r="742">
      <c r="A742" s="131"/>
      <c r="B742" s="131"/>
      <c r="C742" s="131"/>
      <c r="D742" s="81"/>
      <c r="E742" s="81"/>
      <c r="F742" s="131"/>
      <c r="G742" s="131"/>
      <c r="H742" s="131"/>
      <c r="I742" s="131"/>
      <c r="J742" s="131"/>
      <c r="K742" s="131"/>
      <c r="L742" s="131"/>
      <c r="M742" s="131"/>
      <c r="N742" s="131"/>
      <c r="O742" s="131"/>
      <c r="P742" s="131"/>
      <c r="Q742" s="131"/>
      <c r="R742" s="131"/>
      <c r="S742" s="131"/>
      <c r="T742" s="131"/>
    </row>
    <row r="743">
      <c r="A743" s="131"/>
      <c r="B743" s="131"/>
      <c r="C743" s="131"/>
      <c r="D743" s="81"/>
      <c r="E743" s="81"/>
      <c r="F743" s="131"/>
      <c r="G743" s="131"/>
      <c r="H743" s="131"/>
      <c r="I743" s="131"/>
      <c r="J743" s="131"/>
      <c r="K743" s="131"/>
      <c r="L743" s="131"/>
      <c r="M743" s="131"/>
      <c r="N743" s="131"/>
      <c r="O743" s="131"/>
      <c r="P743" s="131"/>
      <c r="Q743" s="131"/>
      <c r="R743" s="131"/>
      <c r="S743" s="131"/>
      <c r="T743" s="131"/>
    </row>
    <row r="744">
      <c r="A744" s="131"/>
      <c r="B744" s="131"/>
      <c r="C744" s="131"/>
      <c r="D744" s="81"/>
      <c r="E744" s="81"/>
      <c r="F744" s="131"/>
      <c r="G744" s="131"/>
      <c r="H744" s="131"/>
      <c r="I744" s="131"/>
      <c r="J744" s="131"/>
      <c r="K744" s="131"/>
      <c r="L744" s="131"/>
      <c r="M744" s="131"/>
      <c r="N744" s="131"/>
      <c r="O744" s="131"/>
      <c r="P744" s="131"/>
      <c r="Q744" s="131"/>
      <c r="R744" s="131"/>
      <c r="S744" s="131"/>
      <c r="T744" s="131"/>
    </row>
    <row r="745">
      <c r="A745" s="131"/>
      <c r="B745" s="131"/>
      <c r="C745" s="131"/>
      <c r="D745" s="81"/>
      <c r="E745" s="81"/>
      <c r="F745" s="131"/>
      <c r="G745" s="131"/>
      <c r="H745" s="131"/>
      <c r="I745" s="131"/>
      <c r="J745" s="131"/>
      <c r="K745" s="131"/>
      <c r="L745" s="131"/>
      <c r="M745" s="131"/>
      <c r="N745" s="131"/>
      <c r="O745" s="131"/>
      <c r="P745" s="131"/>
      <c r="Q745" s="131"/>
      <c r="R745" s="131"/>
      <c r="S745" s="131"/>
      <c r="T745" s="131"/>
    </row>
    <row r="746">
      <c r="A746" s="131"/>
      <c r="B746" s="131"/>
      <c r="C746" s="131"/>
      <c r="D746" s="81"/>
      <c r="E746" s="81"/>
      <c r="F746" s="131"/>
      <c r="G746" s="131"/>
      <c r="H746" s="131"/>
      <c r="I746" s="131"/>
      <c r="J746" s="131"/>
      <c r="K746" s="131"/>
      <c r="L746" s="131"/>
      <c r="M746" s="131"/>
      <c r="N746" s="131"/>
      <c r="O746" s="131"/>
      <c r="P746" s="131"/>
      <c r="Q746" s="131"/>
      <c r="R746" s="131"/>
      <c r="S746" s="131"/>
      <c r="T746" s="131"/>
    </row>
    <row r="747">
      <c r="A747" s="131"/>
      <c r="B747" s="131"/>
      <c r="C747" s="131"/>
      <c r="D747" s="81"/>
      <c r="E747" s="81"/>
      <c r="F747" s="131"/>
      <c r="G747" s="131"/>
      <c r="H747" s="131"/>
      <c r="I747" s="131"/>
      <c r="J747" s="131"/>
      <c r="K747" s="131"/>
      <c r="L747" s="131"/>
      <c r="M747" s="131"/>
      <c r="N747" s="131"/>
      <c r="O747" s="131"/>
      <c r="P747" s="131"/>
      <c r="Q747" s="131"/>
      <c r="R747" s="131"/>
      <c r="S747" s="131"/>
      <c r="T747" s="131"/>
    </row>
    <row r="748">
      <c r="A748" s="131"/>
      <c r="B748" s="131"/>
      <c r="C748" s="131"/>
      <c r="D748" s="81"/>
      <c r="E748" s="81"/>
      <c r="F748" s="131"/>
      <c r="G748" s="131"/>
      <c r="H748" s="131"/>
      <c r="I748" s="131"/>
      <c r="J748" s="131"/>
      <c r="K748" s="131"/>
      <c r="L748" s="131"/>
      <c r="M748" s="131"/>
      <c r="N748" s="131"/>
      <c r="O748" s="131"/>
      <c r="P748" s="131"/>
      <c r="Q748" s="131"/>
      <c r="R748" s="131"/>
      <c r="S748" s="131"/>
      <c r="T748" s="131"/>
    </row>
    <row r="749">
      <c r="A749" s="131"/>
      <c r="B749" s="131"/>
      <c r="C749" s="131"/>
      <c r="D749" s="81"/>
      <c r="E749" s="81"/>
      <c r="F749" s="131"/>
      <c r="G749" s="131"/>
      <c r="H749" s="131"/>
      <c r="I749" s="131"/>
      <c r="J749" s="131"/>
      <c r="K749" s="131"/>
      <c r="L749" s="131"/>
      <c r="M749" s="131"/>
      <c r="N749" s="131"/>
      <c r="O749" s="131"/>
      <c r="P749" s="131"/>
      <c r="Q749" s="131"/>
      <c r="R749" s="131"/>
      <c r="S749" s="131"/>
      <c r="T749" s="131"/>
    </row>
    <row r="750">
      <c r="A750" s="131"/>
      <c r="B750" s="131"/>
      <c r="C750" s="131"/>
      <c r="D750" s="81"/>
      <c r="E750" s="81"/>
      <c r="F750" s="131"/>
      <c r="G750" s="131"/>
      <c r="H750" s="131"/>
      <c r="I750" s="131"/>
      <c r="J750" s="131"/>
      <c r="K750" s="131"/>
      <c r="L750" s="131"/>
      <c r="M750" s="131"/>
      <c r="N750" s="131"/>
      <c r="O750" s="131"/>
      <c r="P750" s="131"/>
      <c r="Q750" s="131"/>
      <c r="R750" s="131"/>
      <c r="S750" s="131"/>
      <c r="T750" s="131"/>
    </row>
    <row r="751">
      <c r="A751" s="131"/>
      <c r="B751" s="131"/>
      <c r="C751" s="131"/>
      <c r="D751" s="81"/>
      <c r="E751" s="81"/>
      <c r="F751" s="131"/>
      <c r="G751" s="131"/>
      <c r="H751" s="131"/>
      <c r="I751" s="131"/>
      <c r="J751" s="131"/>
      <c r="K751" s="131"/>
      <c r="L751" s="131"/>
      <c r="M751" s="131"/>
      <c r="N751" s="131"/>
      <c r="O751" s="131"/>
      <c r="P751" s="131"/>
      <c r="Q751" s="131"/>
      <c r="R751" s="131"/>
      <c r="S751" s="131"/>
      <c r="T751" s="131"/>
    </row>
    <row r="752">
      <c r="A752" s="131"/>
      <c r="B752" s="131"/>
      <c r="C752" s="131"/>
      <c r="D752" s="81"/>
      <c r="E752" s="81"/>
      <c r="F752" s="131"/>
      <c r="G752" s="131"/>
      <c r="H752" s="131"/>
      <c r="I752" s="131"/>
      <c r="J752" s="131"/>
      <c r="K752" s="131"/>
      <c r="L752" s="131"/>
      <c r="M752" s="131"/>
      <c r="N752" s="131"/>
      <c r="O752" s="131"/>
      <c r="P752" s="131"/>
      <c r="Q752" s="131"/>
      <c r="R752" s="131"/>
      <c r="S752" s="131"/>
      <c r="T752" s="131"/>
    </row>
    <row r="753">
      <c r="A753" s="131"/>
      <c r="B753" s="131"/>
      <c r="C753" s="131"/>
      <c r="D753" s="81"/>
      <c r="E753" s="81"/>
      <c r="F753" s="131"/>
      <c r="G753" s="131"/>
      <c r="H753" s="131"/>
      <c r="I753" s="131"/>
      <c r="J753" s="131"/>
      <c r="K753" s="131"/>
      <c r="L753" s="131"/>
      <c r="M753" s="131"/>
      <c r="N753" s="131"/>
      <c r="O753" s="131"/>
      <c r="P753" s="131"/>
      <c r="Q753" s="131"/>
      <c r="R753" s="131"/>
      <c r="S753" s="131"/>
      <c r="T753" s="131"/>
    </row>
    <row r="754">
      <c r="A754" s="131"/>
      <c r="B754" s="131"/>
      <c r="C754" s="131"/>
      <c r="D754" s="81"/>
      <c r="E754" s="81"/>
      <c r="F754" s="131"/>
      <c r="G754" s="131"/>
      <c r="H754" s="131"/>
      <c r="I754" s="131"/>
      <c r="J754" s="131"/>
      <c r="K754" s="131"/>
      <c r="L754" s="131"/>
      <c r="M754" s="131"/>
      <c r="N754" s="131"/>
      <c r="O754" s="131"/>
      <c r="P754" s="131"/>
      <c r="Q754" s="131"/>
      <c r="R754" s="131"/>
      <c r="S754" s="131"/>
      <c r="T754" s="131"/>
    </row>
    <row r="755">
      <c r="A755" s="131"/>
      <c r="B755" s="131"/>
      <c r="C755" s="131"/>
      <c r="D755" s="81"/>
      <c r="E755" s="81"/>
      <c r="F755" s="131"/>
      <c r="G755" s="131"/>
      <c r="H755" s="131"/>
      <c r="I755" s="131"/>
      <c r="J755" s="131"/>
      <c r="K755" s="131"/>
      <c r="L755" s="131"/>
      <c r="M755" s="131"/>
      <c r="N755" s="131"/>
      <c r="O755" s="131"/>
      <c r="P755" s="131"/>
      <c r="Q755" s="131"/>
      <c r="R755" s="131"/>
      <c r="S755" s="131"/>
      <c r="T755" s="131"/>
    </row>
    <row r="756">
      <c r="A756" s="131"/>
      <c r="B756" s="131"/>
      <c r="C756" s="131"/>
      <c r="D756" s="81"/>
      <c r="E756" s="81"/>
      <c r="F756" s="131"/>
      <c r="G756" s="131"/>
      <c r="H756" s="131"/>
      <c r="I756" s="131"/>
      <c r="J756" s="131"/>
      <c r="K756" s="131"/>
      <c r="L756" s="131"/>
      <c r="M756" s="131"/>
      <c r="N756" s="131"/>
      <c r="O756" s="131"/>
      <c r="P756" s="131"/>
      <c r="Q756" s="131"/>
      <c r="R756" s="131"/>
      <c r="S756" s="131"/>
      <c r="T756" s="131"/>
    </row>
    <row r="757">
      <c r="A757" s="131"/>
      <c r="B757" s="131"/>
      <c r="C757" s="131"/>
      <c r="D757" s="81"/>
      <c r="E757" s="81"/>
      <c r="F757" s="131"/>
      <c r="G757" s="131"/>
      <c r="H757" s="131"/>
      <c r="I757" s="131"/>
      <c r="J757" s="131"/>
      <c r="K757" s="131"/>
      <c r="L757" s="131"/>
      <c r="M757" s="131"/>
      <c r="N757" s="131"/>
      <c r="O757" s="131"/>
      <c r="P757" s="131"/>
      <c r="Q757" s="131"/>
      <c r="R757" s="131"/>
      <c r="S757" s="131"/>
      <c r="T757" s="131"/>
    </row>
    <row r="758">
      <c r="A758" s="131"/>
      <c r="B758" s="131"/>
      <c r="C758" s="131"/>
      <c r="D758" s="81"/>
      <c r="E758" s="81"/>
      <c r="F758" s="131"/>
      <c r="G758" s="131"/>
      <c r="H758" s="131"/>
      <c r="I758" s="131"/>
      <c r="J758" s="131"/>
      <c r="K758" s="131"/>
      <c r="L758" s="131"/>
      <c r="M758" s="131"/>
      <c r="N758" s="131"/>
      <c r="O758" s="131"/>
      <c r="P758" s="131"/>
      <c r="Q758" s="131"/>
      <c r="R758" s="131"/>
      <c r="S758" s="131"/>
      <c r="T758" s="131"/>
    </row>
    <row r="759">
      <c r="A759" s="131"/>
      <c r="B759" s="131"/>
      <c r="C759" s="131"/>
      <c r="D759" s="81"/>
      <c r="E759" s="81"/>
      <c r="F759" s="131"/>
      <c r="G759" s="131"/>
      <c r="H759" s="131"/>
      <c r="I759" s="131"/>
      <c r="J759" s="131"/>
      <c r="K759" s="131"/>
      <c r="L759" s="131"/>
      <c r="M759" s="131"/>
      <c r="N759" s="131"/>
      <c r="O759" s="131"/>
      <c r="P759" s="131"/>
      <c r="Q759" s="131"/>
      <c r="R759" s="131"/>
      <c r="S759" s="131"/>
      <c r="T759" s="131"/>
    </row>
    <row r="760">
      <c r="A760" s="131"/>
      <c r="B760" s="131"/>
      <c r="C760" s="131"/>
      <c r="D760" s="81"/>
      <c r="E760" s="81"/>
      <c r="F760" s="131"/>
      <c r="G760" s="131"/>
      <c r="H760" s="131"/>
      <c r="I760" s="131"/>
      <c r="J760" s="131"/>
      <c r="K760" s="131"/>
      <c r="L760" s="131"/>
      <c r="M760" s="131"/>
      <c r="N760" s="131"/>
      <c r="O760" s="131"/>
      <c r="P760" s="131"/>
      <c r="Q760" s="131"/>
      <c r="R760" s="131"/>
      <c r="S760" s="131"/>
      <c r="T760" s="131"/>
    </row>
    <row r="761">
      <c r="A761" s="131"/>
      <c r="B761" s="131"/>
      <c r="C761" s="131"/>
      <c r="D761" s="81"/>
      <c r="E761" s="81"/>
      <c r="F761" s="131"/>
      <c r="G761" s="131"/>
      <c r="H761" s="131"/>
      <c r="I761" s="131"/>
      <c r="J761" s="131"/>
      <c r="K761" s="131"/>
      <c r="L761" s="131"/>
      <c r="M761" s="131"/>
      <c r="N761" s="131"/>
      <c r="O761" s="131"/>
      <c r="P761" s="131"/>
      <c r="Q761" s="131"/>
      <c r="R761" s="131"/>
      <c r="S761" s="131"/>
      <c r="T761" s="131"/>
    </row>
    <row r="762">
      <c r="A762" s="131"/>
      <c r="B762" s="131"/>
      <c r="C762" s="131"/>
      <c r="D762" s="81"/>
      <c r="E762" s="81"/>
      <c r="F762" s="131"/>
      <c r="G762" s="131"/>
      <c r="H762" s="131"/>
      <c r="I762" s="131"/>
      <c r="J762" s="131"/>
      <c r="K762" s="131"/>
      <c r="L762" s="131"/>
      <c r="M762" s="131"/>
      <c r="N762" s="131"/>
      <c r="O762" s="131"/>
      <c r="P762" s="131"/>
      <c r="Q762" s="131"/>
      <c r="R762" s="131"/>
      <c r="S762" s="131"/>
      <c r="T762" s="131"/>
    </row>
    <row r="763">
      <c r="A763" s="131"/>
      <c r="B763" s="131"/>
      <c r="C763" s="131"/>
      <c r="D763" s="81"/>
      <c r="E763" s="81"/>
      <c r="F763" s="131"/>
      <c r="G763" s="131"/>
      <c r="H763" s="131"/>
      <c r="I763" s="131"/>
      <c r="J763" s="131"/>
      <c r="K763" s="131"/>
      <c r="L763" s="131"/>
      <c r="M763" s="131"/>
      <c r="N763" s="131"/>
      <c r="O763" s="131"/>
      <c r="P763" s="131"/>
      <c r="Q763" s="131"/>
      <c r="R763" s="131"/>
      <c r="S763" s="131"/>
      <c r="T763" s="131"/>
    </row>
    <row r="764">
      <c r="A764" s="131"/>
      <c r="B764" s="131"/>
      <c r="C764" s="131"/>
      <c r="D764" s="81"/>
      <c r="E764" s="81"/>
      <c r="F764" s="131"/>
      <c r="G764" s="131"/>
      <c r="H764" s="131"/>
      <c r="I764" s="131"/>
      <c r="J764" s="131"/>
      <c r="K764" s="131"/>
      <c r="L764" s="131"/>
      <c r="M764" s="131"/>
      <c r="N764" s="131"/>
      <c r="O764" s="131"/>
      <c r="P764" s="131"/>
      <c r="Q764" s="131"/>
      <c r="R764" s="131"/>
      <c r="S764" s="131"/>
      <c r="T764" s="131"/>
    </row>
    <row r="765">
      <c r="A765" s="131"/>
      <c r="B765" s="131"/>
      <c r="C765" s="131"/>
      <c r="D765" s="81"/>
      <c r="E765" s="81"/>
      <c r="F765" s="131"/>
      <c r="G765" s="131"/>
      <c r="H765" s="131"/>
      <c r="I765" s="131"/>
      <c r="J765" s="131"/>
      <c r="K765" s="131"/>
      <c r="L765" s="131"/>
      <c r="M765" s="131"/>
      <c r="N765" s="131"/>
      <c r="O765" s="131"/>
      <c r="P765" s="131"/>
      <c r="Q765" s="131"/>
      <c r="R765" s="131"/>
      <c r="S765" s="131"/>
      <c r="T765" s="131"/>
    </row>
    <row r="766">
      <c r="A766" s="131"/>
      <c r="B766" s="131"/>
      <c r="C766" s="131"/>
      <c r="D766" s="81"/>
      <c r="E766" s="81"/>
      <c r="F766" s="131"/>
      <c r="G766" s="131"/>
      <c r="H766" s="131"/>
      <c r="I766" s="131"/>
      <c r="J766" s="131"/>
      <c r="K766" s="131"/>
      <c r="L766" s="131"/>
      <c r="M766" s="131"/>
      <c r="N766" s="131"/>
      <c r="O766" s="131"/>
      <c r="P766" s="131"/>
      <c r="Q766" s="131"/>
      <c r="R766" s="131"/>
      <c r="S766" s="131"/>
      <c r="T766" s="131"/>
    </row>
    <row r="767">
      <c r="A767" s="131"/>
      <c r="B767" s="131"/>
      <c r="C767" s="131"/>
      <c r="D767" s="81"/>
      <c r="E767" s="81"/>
      <c r="F767" s="131"/>
      <c r="G767" s="131"/>
      <c r="H767" s="131"/>
      <c r="I767" s="131"/>
      <c r="J767" s="131"/>
      <c r="K767" s="131"/>
      <c r="L767" s="131"/>
      <c r="M767" s="131"/>
      <c r="N767" s="131"/>
      <c r="O767" s="131"/>
      <c r="P767" s="131"/>
      <c r="Q767" s="131"/>
      <c r="R767" s="131"/>
      <c r="S767" s="131"/>
      <c r="T767" s="131"/>
    </row>
    <row r="768">
      <c r="A768" s="131"/>
      <c r="B768" s="131"/>
      <c r="C768" s="131"/>
      <c r="D768" s="81"/>
      <c r="E768" s="81"/>
      <c r="F768" s="131"/>
      <c r="G768" s="131"/>
      <c r="H768" s="131"/>
      <c r="I768" s="131"/>
      <c r="J768" s="131"/>
      <c r="K768" s="131"/>
      <c r="L768" s="131"/>
      <c r="M768" s="131"/>
      <c r="N768" s="131"/>
      <c r="O768" s="131"/>
      <c r="P768" s="131"/>
      <c r="Q768" s="131"/>
      <c r="R768" s="131"/>
      <c r="S768" s="131"/>
      <c r="T768" s="131"/>
    </row>
    <row r="769">
      <c r="A769" s="131"/>
      <c r="B769" s="131"/>
      <c r="C769" s="131"/>
      <c r="D769" s="81"/>
      <c r="E769" s="81"/>
      <c r="F769" s="131"/>
      <c r="G769" s="131"/>
      <c r="H769" s="131"/>
      <c r="I769" s="131"/>
      <c r="J769" s="131"/>
      <c r="K769" s="131"/>
      <c r="L769" s="131"/>
      <c r="M769" s="131"/>
      <c r="N769" s="131"/>
      <c r="O769" s="131"/>
      <c r="P769" s="131"/>
      <c r="Q769" s="131"/>
      <c r="R769" s="131"/>
      <c r="S769" s="131"/>
      <c r="T769" s="131"/>
    </row>
    <row r="770">
      <c r="A770" s="131"/>
      <c r="B770" s="131"/>
      <c r="C770" s="131"/>
      <c r="D770" s="81"/>
      <c r="E770" s="81"/>
      <c r="F770" s="131"/>
      <c r="G770" s="131"/>
      <c r="H770" s="131"/>
      <c r="I770" s="131"/>
      <c r="J770" s="131"/>
      <c r="K770" s="131"/>
      <c r="L770" s="131"/>
      <c r="M770" s="131"/>
      <c r="N770" s="131"/>
      <c r="O770" s="131"/>
      <c r="P770" s="131"/>
      <c r="Q770" s="131"/>
      <c r="R770" s="131"/>
      <c r="S770" s="131"/>
      <c r="T770" s="131"/>
    </row>
    <row r="771">
      <c r="A771" s="131"/>
      <c r="B771" s="131"/>
      <c r="C771" s="131"/>
      <c r="D771" s="81"/>
      <c r="E771" s="81"/>
      <c r="F771" s="131"/>
      <c r="G771" s="131"/>
      <c r="H771" s="131"/>
      <c r="I771" s="131"/>
      <c r="J771" s="131"/>
      <c r="K771" s="131"/>
      <c r="L771" s="131"/>
      <c r="M771" s="131"/>
      <c r="N771" s="131"/>
      <c r="O771" s="131"/>
      <c r="P771" s="131"/>
      <c r="Q771" s="131"/>
      <c r="R771" s="131"/>
      <c r="S771" s="131"/>
      <c r="T771" s="131"/>
    </row>
    <row r="772">
      <c r="A772" s="131"/>
      <c r="B772" s="131"/>
      <c r="C772" s="131"/>
      <c r="D772" s="81"/>
      <c r="E772" s="81"/>
      <c r="F772" s="131"/>
      <c r="G772" s="131"/>
      <c r="H772" s="131"/>
      <c r="I772" s="131"/>
      <c r="J772" s="131"/>
      <c r="K772" s="131"/>
      <c r="L772" s="131"/>
      <c r="M772" s="131"/>
      <c r="N772" s="131"/>
      <c r="O772" s="131"/>
      <c r="P772" s="131"/>
      <c r="Q772" s="131"/>
      <c r="R772" s="131"/>
      <c r="S772" s="131"/>
      <c r="T772" s="131"/>
    </row>
    <row r="773">
      <c r="A773" s="131"/>
      <c r="B773" s="131"/>
      <c r="C773" s="131"/>
      <c r="D773" s="81"/>
      <c r="E773" s="81"/>
      <c r="F773" s="131"/>
      <c r="G773" s="131"/>
      <c r="H773" s="131"/>
      <c r="I773" s="131"/>
      <c r="J773" s="131"/>
      <c r="K773" s="131"/>
      <c r="L773" s="131"/>
      <c r="M773" s="131"/>
      <c r="N773" s="131"/>
      <c r="O773" s="131"/>
      <c r="P773" s="131"/>
      <c r="Q773" s="131"/>
      <c r="R773" s="131"/>
      <c r="S773" s="131"/>
      <c r="T773" s="131"/>
    </row>
    <row r="774">
      <c r="A774" s="131"/>
      <c r="B774" s="131"/>
      <c r="C774" s="131"/>
      <c r="D774" s="81"/>
      <c r="E774" s="81"/>
      <c r="F774" s="131"/>
      <c r="G774" s="131"/>
      <c r="H774" s="131"/>
      <c r="I774" s="131"/>
      <c r="J774" s="131"/>
      <c r="K774" s="131"/>
      <c r="L774" s="131"/>
      <c r="M774" s="131"/>
      <c r="N774" s="131"/>
      <c r="O774" s="131"/>
      <c r="P774" s="131"/>
      <c r="Q774" s="131"/>
      <c r="R774" s="131"/>
      <c r="S774" s="131"/>
      <c r="T774" s="131"/>
    </row>
    <row r="775">
      <c r="A775" s="131"/>
      <c r="B775" s="131"/>
      <c r="C775" s="131"/>
      <c r="D775" s="81"/>
      <c r="E775" s="81"/>
      <c r="F775" s="131"/>
      <c r="G775" s="131"/>
      <c r="H775" s="131"/>
      <c r="I775" s="131"/>
      <c r="J775" s="131"/>
      <c r="K775" s="131"/>
      <c r="L775" s="131"/>
      <c r="M775" s="131"/>
      <c r="N775" s="131"/>
      <c r="O775" s="131"/>
      <c r="P775" s="131"/>
      <c r="Q775" s="131"/>
      <c r="R775" s="131"/>
      <c r="S775" s="131"/>
      <c r="T775" s="131"/>
    </row>
    <row r="776">
      <c r="A776" s="131"/>
      <c r="B776" s="131"/>
      <c r="C776" s="131"/>
      <c r="D776" s="81"/>
      <c r="E776" s="81"/>
      <c r="F776" s="131"/>
      <c r="G776" s="131"/>
      <c r="H776" s="131"/>
      <c r="I776" s="131"/>
      <c r="J776" s="131"/>
      <c r="K776" s="131"/>
      <c r="L776" s="131"/>
      <c r="M776" s="131"/>
      <c r="N776" s="131"/>
      <c r="O776" s="131"/>
      <c r="P776" s="131"/>
      <c r="Q776" s="131"/>
      <c r="R776" s="131"/>
      <c r="S776" s="131"/>
      <c r="T776" s="131"/>
    </row>
    <row r="777">
      <c r="A777" s="131"/>
      <c r="B777" s="131"/>
      <c r="C777" s="131"/>
      <c r="D777" s="81"/>
      <c r="E777" s="81"/>
      <c r="F777" s="131"/>
      <c r="G777" s="131"/>
      <c r="H777" s="131"/>
      <c r="I777" s="131"/>
      <c r="J777" s="131"/>
      <c r="K777" s="131"/>
      <c r="L777" s="131"/>
      <c r="M777" s="131"/>
      <c r="N777" s="131"/>
      <c r="O777" s="131"/>
      <c r="P777" s="131"/>
      <c r="Q777" s="131"/>
      <c r="R777" s="131"/>
      <c r="S777" s="131"/>
      <c r="T777" s="131"/>
    </row>
    <row r="778">
      <c r="A778" s="131"/>
      <c r="B778" s="131"/>
      <c r="C778" s="131"/>
      <c r="D778" s="81"/>
      <c r="E778" s="81"/>
      <c r="F778" s="131"/>
      <c r="G778" s="131"/>
      <c r="H778" s="131"/>
      <c r="I778" s="131"/>
      <c r="J778" s="131"/>
      <c r="K778" s="131"/>
      <c r="L778" s="131"/>
      <c r="M778" s="131"/>
      <c r="N778" s="131"/>
      <c r="O778" s="131"/>
      <c r="P778" s="131"/>
      <c r="Q778" s="131"/>
      <c r="R778" s="131"/>
      <c r="S778" s="131"/>
      <c r="T778" s="131"/>
    </row>
    <row r="779">
      <c r="A779" s="131"/>
      <c r="B779" s="131"/>
      <c r="C779" s="131"/>
      <c r="D779" s="81"/>
      <c r="E779" s="81"/>
      <c r="F779" s="131"/>
      <c r="G779" s="131"/>
      <c r="H779" s="131"/>
      <c r="I779" s="131"/>
      <c r="J779" s="131"/>
      <c r="K779" s="131"/>
      <c r="L779" s="131"/>
      <c r="M779" s="131"/>
      <c r="N779" s="131"/>
      <c r="O779" s="131"/>
      <c r="P779" s="131"/>
      <c r="Q779" s="131"/>
      <c r="R779" s="131"/>
      <c r="S779" s="131"/>
      <c r="T779" s="131"/>
    </row>
    <row r="780">
      <c r="A780" s="131"/>
      <c r="B780" s="131"/>
      <c r="C780" s="131"/>
      <c r="D780" s="81"/>
      <c r="E780" s="81"/>
      <c r="F780" s="131"/>
      <c r="G780" s="131"/>
      <c r="H780" s="131"/>
      <c r="I780" s="131"/>
      <c r="J780" s="131"/>
      <c r="K780" s="131"/>
      <c r="L780" s="131"/>
      <c r="M780" s="131"/>
      <c r="N780" s="131"/>
      <c r="O780" s="131"/>
      <c r="P780" s="131"/>
      <c r="Q780" s="131"/>
      <c r="R780" s="131"/>
      <c r="S780" s="131"/>
      <c r="T780" s="131"/>
    </row>
    <row r="781">
      <c r="A781" s="131"/>
      <c r="B781" s="131"/>
      <c r="C781" s="131"/>
      <c r="D781" s="81"/>
      <c r="E781" s="81"/>
      <c r="F781" s="131"/>
      <c r="G781" s="131"/>
      <c r="H781" s="131"/>
      <c r="I781" s="131"/>
      <c r="J781" s="131"/>
      <c r="K781" s="131"/>
      <c r="L781" s="131"/>
      <c r="M781" s="131"/>
      <c r="N781" s="131"/>
      <c r="O781" s="131"/>
      <c r="P781" s="131"/>
      <c r="Q781" s="131"/>
      <c r="R781" s="131"/>
      <c r="S781" s="131"/>
      <c r="T781" s="131"/>
    </row>
    <row r="782">
      <c r="A782" s="131"/>
      <c r="B782" s="131"/>
      <c r="C782" s="131"/>
      <c r="D782" s="81"/>
      <c r="E782" s="81"/>
      <c r="F782" s="131"/>
      <c r="G782" s="131"/>
      <c r="H782" s="131"/>
      <c r="I782" s="131"/>
      <c r="J782" s="131"/>
      <c r="K782" s="131"/>
      <c r="L782" s="131"/>
      <c r="M782" s="131"/>
      <c r="N782" s="131"/>
      <c r="O782" s="131"/>
      <c r="P782" s="131"/>
      <c r="Q782" s="131"/>
      <c r="R782" s="131"/>
      <c r="S782" s="131"/>
      <c r="T782" s="131"/>
    </row>
    <row r="783">
      <c r="A783" s="131"/>
      <c r="B783" s="131"/>
      <c r="C783" s="131"/>
      <c r="D783" s="81"/>
      <c r="E783" s="81"/>
      <c r="F783" s="131"/>
      <c r="G783" s="131"/>
      <c r="H783" s="131"/>
      <c r="I783" s="131"/>
      <c r="J783" s="131"/>
      <c r="K783" s="131"/>
      <c r="L783" s="131"/>
      <c r="M783" s="131"/>
      <c r="N783" s="131"/>
      <c r="O783" s="131"/>
      <c r="P783" s="131"/>
      <c r="Q783" s="131"/>
      <c r="R783" s="131"/>
      <c r="S783" s="131"/>
      <c r="T783" s="131"/>
    </row>
    <row r="784">
      <c r="A784" s="131"/>
      <c r="B784" s="131"/>
      <c r="C784" s="131"/>
      <c r="D784" s="81"/>
      <c r="E784" s="81"/>
      <c r="F784" s="131"/>
      <c r="G784" s="131"/>
      <c r="H784" s="131"/>
      <c r="I784" s="131"/>
      <c r="J784" s="131"/>
      <c r="K784" s="131"/>
      <c r="L784" s="131"/>
      <c r="M784" s="131"/>
      <c r="N784" s="131"/>
      <c r="O784" s="131"/>
      <c r="P784" s="131"/>
      <c r="Q784" s="131"/>
      <c r="R784" s="131"/>
      <c r="S784" s="131"/>
      <c r="T784" s="131"/>
    </row>
    <row r="785">
      <c r="A785" s="131"/>
      <c r="B785" s="131"/>
      <c r="C785" s="131"/>
      <c r="D785" s="81"/>
      <c r="E785" s="81"/>
      <c r="F785" s="131"/>
      <c r="G785" s="131"/>
      <c r="H785" s="131"/>
      <c r="I785" s="131"/>
      <c r="J785" s="131"/>
      <c r="K785" s="131"/>
      <c r="L785" s="131"/>
      <c r="M785" s="131"/>
      <c r="N785" s="131"/>
      <c r="O785" s="131"/>
      <c r="P785" s="131"/>
      <c r="Q785" s="131"/>
      <c r="R785" s="131"/>
      <c r="S785" s="131"/>
      <c r="T785" s="131"/>
    </row>
    <row r="786">
      <c r="A786" s="131"/>
      <c r="B786" s="131"/>
      <c r="C786" s="131"/>
      <c r="D786" s="81"/>
      <c r="E786" s="81"/>
      <c r="F786" s="131"/>
      <c r="G786" s="131"/>
      <c r="H786" s="131"/>
      <c r="I786" s="131"/>
      <c r="J786" s="131"/>
      <c r="K786" s="131"/>
      <c r="L786" s="131"/>
      <c r="M786" s="131"/>
      <c r="N786" s="131"/>
      <c r="O786" s="131"/>
      <c r="P786" s="131"/>
      <c r="Q786" s="131"/>
      <c r="R786" s="131"/>
      <c r="S786" s="131"/>
      <c r="T786" s="131"/>
    </row>
    <row r="787">
      <c r="A787" s="131"/>
      <c r="B787" s="131"/>
      <c r="C787" s="131"/>
      <c r="D787" s="81"/>
      <c r="E787" s="81"/>
      <c r="F787" s="131"/>
      <c r="G787" s="131"/>
      <c r="H787" s="131"/>
      <c r="I787" s="131"/>
      <c r="J787" s="131"/>
      <c r="K787" s="131"/>
      <c r="L787" s="131"/>
      <c r="M787" s="131"/>
      <c r="N787" s="131"/>
      <c r="O787" s="131"/>
      <c r="P787" s="131"/>
      <c r="Q787" s="131"/>
      <c r="R787" s="131"/>
      <c r="S787" s="131"/>
      <c r="T787" s="131"/>
    </row>
    <row r="788">
      <c r="A788" s="131"/>
      <c r="B788" s="131"/>
      <c r="C788" s="131"/>
      <c r="D788" s="81"/>
      <c r="E788" s="81"/>
      <c r="F788" s="131"/>
      <c r="G788" s="131"/>
      <c r="H788" s="131"/>
      <c r="I788" s="131"/>
      <c r="J788" s="131"/>
      <c r="K788" s="131"/>
      <c r="L788" s="131"/>
      <c r="M788" s="131"/>
      <c r="N788" s="131"/>
      <c r="O788" s="131"/>
      <c r="P788" s="131"/>
      <c r="Q788" s="131"/>
      <c r="R788" s="131"/>
      <c r="S788" s="131"/>
      <c r="T788" s="131"/>
    </row>
    <row r="789">
      <c r="A789" s="131"/>
      <c r="B789" s="131"/>
      <c r="C789" s="131"/>
      <c r="D789" s="81"/>
      <c r="E789" s="81"/>
      <c r="F789" s="131"/>
      <c r="G789" s="131"/>
      <c r="H789" s="131"/>
      <c r="I789" s="131"/>
      <c r="J789" s="131"/>
      <c r="K789" s="131"/>
      <c r="L789" s="131"/>
      <c r="M789" s="131"/>
      <c r="N789" s="131"/>
      <c r="O789" s="131"/>
      <c r="P789" s="131"/>
      <c r="Q789" s="131"/>
      <c r="R789" s="131"/>
      <c r="S789" s="131"/>
      <c r="T789" s="131"/>
    </row>
    <row r="790">
      <c r="A790" s="131"/>
      <c r="B790" s="131"/>
      <c r="C790" s="131"/>
      <c r="D790" s="81"/>
      <c r="E790" s="81"/>
      <c r="F790" s="131"/>
      <c r="G790" s="131"/>
      <c r="H790" s="131"/>
      <c r="I790" s="131"/>
      <c r="J790" s="131"/>
      <c r="K790" s="131"/>
      <c r="L790" s="131"/>
      <c r="M790" s="131"/>
      <c r="N790" s="131"/>
      <c r="O790" s="131"/>
      <c r="P790" s="131"/>
      <c r="Q790" s="131"/>
      <c r="R790" s="131"/>
      <c r="S790" s="131"/>
      <c r="T790" s="131"/>
    </row>
    <row r="791">
      <c r="A791" s="131"/>
      <c r="B791" s="131"/>
      <c r="C791" s="131"/>
      <c r="D791" s="81"/>
      <c r="E791" s="81"/>
      <c r="F791" s="131"/>
      <c r="G791" s="131"/>
      <c r="H791" s="131"/>
      <c r="I791" s="131"/>
      <c r="J791" s="131"/>
      <c r="K791" s="131"/>
      <c r="L791" s="131"/>
      <c r="M791" s="131"/>
      <c r="N791" s="131"/>
      <c r="O791" s="131"/>
      <c r="P791" s="131"/>
      <c r="Q791" s="131"/>
      <c r="R791" s="131"/>
      <c r="S791" s="131"/>
      <c r="T791" s="131"/>
    </row>
    <row r="792">
      <c r="A792" s="131"/>
      <c r="B792" s="131"/>
      <c r="C792" s="131"/>
      <c r="D792" s="81"/>
      <c r="E792" s="81"/>
      <c r="F792" s="131"/>
      <c r="G792" s="131"/>
      <c r="H792" s="131"/>
      <c r="I792" s="131"/>
      <c r="J792" s="131"/>
      <c r="K792" s="131"/>
      <c r="L792" s="131"/>
      <c r="M792" s="131"/>
      <c r="N792" s="131"/>
      <c r="O792" s="131"/>
      <c r="P792" s="131"/>
      <c r="Q792" s="131"/>
      <c r="R792" s="131"/>
      <c r="S792" s="131"/>
      <c r="T792" s="131"/>
    </row>
    <row r="793">
      <c r="A793" s="131"/>
      <c r="B793" s="131"/>
      <c r="C793" s="131"/>
      <c r="D793" s="81"/>
      <c r="E793" s="81"/>
      <c r="F793" s="131"/>
      <c r="G793" s="131"/>
      <c r="H793" s="131"/>
      <c r="I793" s="131"/>
      <c r="J793" s="131"/>
      <c r="K793" s="131"/>
      <c r="L793" s="131"/>
      <c r="M793" s="131"/>
      <c r="N793" s="131"/>
      <c r="O793" s="131"/>
      <c r="P793" s="131"/>
      <c r="Q793" s="131"/>
      <c r="R793" s="131"/>
      <c r="S793" s="131"/>
      <c r="T793" s="131"/>
    </row>
    <row r="794">
      <c r="A794" s="131"/>
      <c r="B794" s="131"/>
      <c r="C794" s="131"/>
      <c r="D794" s="81"/>
      <c r="E794" s="81"/>
      <c r="F794" s="131"/>
      <c r="G794" s="131"/>
      <c r="H794" s="131"/>
      <c r="I794" s="131"/>
      <c r="J794" s="131"/>
      <c r="K794" s="131"/>
      <c r="L794" s="131"/>
      <c r="M794" s="131"/>
      <c r="N794" s="131"/>
      <c r="O794" s="131"/>
      <c r="P794" s="131"/>
      <c r="Q794" s="131"/>
      <c r="R794" s="131"/>
      <c r="S794" s="131"/>
      <c r="T794" s="131"/>
    </row>
    <row r="795">
      <c r="A795" s="131"/>
      <c r="B795" s="131"/>
      <c r="C795" s="131"/>
      <c r="D795" s="81"/>
      <c r="E795" s="81"/>
      <c r="F795" s="131"/>
      <c r="G795" s="131"/>
      <c r="H795" s="131"/>
      <c r="I795" s="131"/>
      <c r="J795" s="131"/>
      <c r="K795" s="131"/>
      <c r="L795" s="131"/>
      <c r="M795" s="131"/>
      <c r="N795" s="131"/>
      <c r="O795" s="131"/>
      <c r="P795" s="131"/>
      <c r="Q795" s="131"/>
      <c r="R795" s="131"/>
      <c r="S795" s="131"/>
      <c r="T795" s="131"/>
    </row>
    <row r="796">
      <c r="A796" s="131"/>
      <c r="B796" s="131"/>
      <c r="C796" s="131"/>
      <c r="D796" s="81"/>
      <c r="E796" s="81"/>
      <c r="F796" s="131"/>
      <c r="G796" s="131"/>
      <c r="H796" s="131"/>
      <c r="I796" s="131"/>
      <c r="J796" s="131"/>
      <c r="K796" s="131"/>
      <c r="L796" s="131"/>
      <c r="M796" s="131"/>
      <c r="N796" s="131"/>
      <c r="O796" s="131"/>
      <c r="P796" s="131"/>
      <c r="Q796" s="131"/>
      <c r="R796" s="131"/>
      <c r="S796" s="131"/>
      <c r="T796" s="131"/>
    </row>
    <row r="797">
      <c r="A797" s="131"/>
      <c r="B797" s="131"/>
      <c r="C797" s="131"/>
      <c r="D797" s="81"/>
      <c r="E797" s="81"/>
      <c r="F797" s="131"/>
      <c r="G797" s="131"/>
      <c r="H797" s="131"/>
      <c r="I797" s="131"/>
      <c r="J797" s="131"/>
      <c r="K797" s="131"/>
      <c r="L797" s="131"/>
      <c r="M797" s="131"/>
      <c r="N797" s="131"/>
      <c r="O797" s="131"/>
      <c r="P797" s="131"/>
      <c r="Q797" s="131"/>
      <c r="R797" s="131"/>
      <c r="S797" s="131"/>
      <c r="T797" s="131"/>
    </row>
    <row r="798">
      <c r="A798" s="131"/>
      <c r="B798" s="131"/>
      <c r="C798" s="131"/>
      <c r="D798" s="81"/>
      <c r="E798" s="81"/>
      <c r="F798" s="131"/>
      <c r="G798" s="131"/>
      <c r="H798" s="131"/>
      <c r="I798" s="131"/>
      <c r="J798" s="131"/>
      <c r="K798" s="131"/>
      <c r="L798" s="131"/>
      <c r="M798" s="131"/>
      <c r="N798" s="131"/>
      <c r="O798" s="131"/>
      <c r="P798" s="131"/>
      <c r="Q798" s="131"/>
      <c r="R798" s="131"/>
      <c r="S798" s="131"/>
      <c r="T798" s="131"/>
    </row>
    <row r="799">
      <c r="A799" s="131"/>
      <c r="B799" s="131"/>
      <c r="C799" s="131"/>
      <c r="D799" s="81"/>
      <c r="E799" s="81"/>
      <c r="F799" s="131"/>
      <c r="G799" s="131"/>
      <c r="H799" s="131"/>
      <c r="I799" s="131"/>
      <c r="J799" s="131"/>
      <c r="K799" s="131"/>
      <c r="L799" s="131"/>
      <c r="M799" s="131"/>
      <c r="N799" s="131"/>
      <c r="O799" s="131"/>
      <c r="P799" s="131"/>
      <c r="Q799" s="131"/>
      <c r="R799" s="131"/>
      <c r="S799" s="131"/>
      <c r="T799" s="131"/>
    </row>
    <row r="800">
      <c r="A800" s="131"/>
      <c r="B800" s="131"/>
      <c r="C800" s="131"/>
      <c r="D800" s="81"/>
      <c r="E800" s="81"/>
      <c r="F800" s="131"/>
      <c r="G800" s="131"/>
      <c r="H800" s="131"/>
      <c r="I800" s="131"/>
      <c r="J800" s="131"/>
      <c r="K800" s="131"/>
      <c r="L800" s="131"/>
      <c r="M800" s="131"/>
      <c r="N800" s="131"/>
      <c r="O800" s="131"/>
      <c r="P800" s="131"/>
      <c r="Q800" s="131"/>
      <c r="R800" s="131"/>
      <c r="S800" s="131"/>
      <c r="T800" s="131"/>
    </row>
    <row r="801">
      <c r="A801" s="131"/>
      <c r="B801" s="131"/>
      <c r="C801" s="131"/>
      <c r="D801" s="81"/>
      <c r="E801" s="81"/>
      <c r="F801" s="131"/>
      <c r="G801" s="131"/>
      <c r="H801" s="131"/>
      <c r="I801" s="131"/>
      <c r="J801" s="131"/>
      <c r="K801" s="131"/>
      <c r="L801" s="131"/>
      <c r="M801" s="131"/>
      <c r="N801" s="131"/>
      <c r="O801" s="131"/>
      <c r="P801" s="131"/>
      <c r="Q801" s="131"/>
      <c r="R801" s="131"/>
      <c r="S801" s="131"/>
      <c r="T801" s="131"/>
    </row>
    <row r="802">
      <c r="A802" s="131"/>
      <c r="B802" s="131"/>
      <c r="C802" s="131"/>
      <c r="D802" s="81"/>
      <c r="E802" s="81"/>
      <c r="F802" s="131"/>
      <c r="G802" s="131"/>
      <c r="H802" s="131"/>
      <c r="I802" s="131"/>
      <c r="J802" s="131"/>
      <c r="K802" s="131"/>
      <c r="L802" s="131"/>
      <c r="M802" s="131"/>
      <c r="N802" s="131"/>
      <c r="O802" s="131"/>
      <c r="P802" s="131"/>
      <c r="Q802" s="131"/>
      <c r="R802" s="131"/>
      <c r="S802" s="131"/>
      <c r="T802" s="131"/>
    </row>
    <row r="803">
      <c r="A803" s="131"/>
      <c r="B803" s="131"/>
      <c r="C803" s="131"/>
      <c r="D803" s="81"/>
      <c r="E803" s="81"/>
      <c r="F803" s="131"/>
      <c r="G803" s="131"/>
      <c r="H803" s="131"/>
      <c r="I803" s="131"/>
      <c r="J803" s="131"/>
      <c r="K803" s="131"/>
      <c r="L803" s="131"/>
      <c r="M803" s="131"/>
      <c r="N803" s="131"/>
      <c r="O803" s="131"/>
      <c r="P803" s="131"/>
      <c r="Q803" s="131"/>
      <c r="R803" s="131"/>
      <c r="S803" s="131"/>
      <c r="T803" s="131"/>
    </row>
    <row r="804">
      <c r="A804" s="131"/>
      <c r="B804" s="131"/>
      <c r="C804" s="131"/>
      <c r="D804" s="81"/>
      <c r="E804" s="81"/>
      <c r="F804" s="131"/>
      <c r="G804" s="131"/>
      <c r="H804" s="131"/>
      <c r="I804" s="131"/>
      <c r="J804" s="131"/>
      <c r="K804" s="131"/>
      <c r="L804" s="131"/>
      <c r="M804" s="131"/>
      <c r="N804" s="131"/>
      <c r="O804" s="131"/>
      <c r="P804" s="131"/>
      <c r="Q804" s="131"/>
      <c r="R804" s="131"/>
      <c r="S804" s="131"/>
      <c r="T804" s="131"/>
    </row>
    <row r="805">
      <c r="A805" s="131"/>
      <c r="B805" s="131"/>
      <c r="C805" s="131"/>
      <c r="D805" s="81"/>
      <c r="E805" s="81"/>
      <c r="F805" s="131"/>
      <c r="G805" s="131"/>
      <c r="H805" s="131"/>
      <c r="I805" s="131"/>
      <c r="J805" s="131"/>
      <c r="K805" s="131"/>
      <c r="L805" s="131"/>
      <c r="M805" s="131"/>
      <c r="N805" s="131"/>
      <c r="O805" s="131"/>
      <c r="P805" s="131"/>
      <c r="Q805" s="131"/>
      <c r="R805" s="131"/>
      <c r="S805" s="131"/>
      <c r="T805" s="131"/>
    </row>
    <row r="806">
      <c r="A806" s="131"/>
      <c r="B806" s="131"/>
      <c r="C806" s="131"/>
      <c r="D806" s="81"/>
      <c r="E806" s="81"/>
      <c r="F806" s="131"/>
      <c r="G806" s="131"/>
      <c r="H806" s="131"/>
      <c r="I806" s="131"/>
      <c r="J806" s="131"/>
      <c r="K806" s="131"/>
      <c r="L806" s="131"/>
      <c r="M806" s="131"/>
      <c r="N806" s="131"/>
      <c r="O806" s="131"/>
      <c r="P806" s="131"/>
      <c r="Q806" s="131"/>
      <c r="R806" s="131"/>
      <c r="S806" s="131"/>
      <c r="T806" s="131"/>
    </row>
    <row r="807">
      <c r="A807" s="131"/>
      <c r="B807" s="131"/>
      <c r="C807" s="131"/>
      <c r="D807" s="81"/>
      <c r="E807" s="81"/>
      <c r="F807" s="131"/>
      <c r="G807" s="131"/>
      <c r="H807" s="131"/>
      <c r="I807" s="131"/>
      <c r="J807" s="131"/>
      <c r="K807" s="131"/>
      <c r="L807" s="131"/>
      <c r="M807" s="131"/>
      <c r="N807" s="131"/>
      <c r="O807" s="131"/>
      <c r="P807" s="131"/>
      <c r="Q807" s="131"/>
      <c r="R807" s="131"/>
      <c r="S807" s="131"/>
      <c r="T807" s="131"/>
    </row>
    <row r="808">
      <c r="A808" s="131"/>
      <c r="B808" s="131"/>
      <c r="C808" s="131"/>
      <c r="D808" s="81"/>
      <c r="E808" s="81"/>
      <c r="F808" s="131"/>
      <c r="G808" s="131"/>
      <c r="H808" s="131"/>
      <c r="I808" s="131"/>
      <c r="J808" s="131"/>
      <c r="K808" s="131"/>
      <c r="L808" s="131"/>
      <c r="M808" s="131"/>
      <c r="N808" s="131"/>
      <c r="O808" s="131"/>
      <c r="P808" s="131"/>
      <c r="Q808" s="131"/>
      <c r="R808" s="131"/>
      <c r="S808" s="131"/>
      <c r="T808" s="131"/>
    </row>
    <row r="809">
      <c r="A809" s="131"/>
      <c r="B809" s="131"/>
      <c r="C809" s="131"/>
      <c r="D809" s="81"/>
      <c r="E809" s="81"/>
      <c r="F809" s="131"/>
      <c r="G809" s="131"/>
      <c r="H809" s="131"/>
      <c r="I809" s="131"/>
      <c r="J809" s="131"/>
      <c r="K809" s="131"/>
      <c r="L809" s="131"/>
      <c r="M809" s="131"/>
      <c r="N809" s="131"/>
      <c r="O809" s="131"/>
      <c r="P809" s="131"/>
      <c r="Q809" s="131"/>
      <c r="R809" s="131"/>
      <c r="S809" s="131"/>
      <c r="T809" s="131"/>
    </row>
    <row r="810">
      <c r="A810" s="131"/>
      <c r="B810" s="131"/>
      <c r="C810" s="131"/>
      <c r="D810" s="81"/>
      <c r="E810" s="81"/>
      <c r="F810" s="131"/>
      <c r="G810" s="131"/>
      <c r="H810" s="131"/>
      <c r="I810" s="131"/>
      <c r="J810" s="131"/>
      <c r="K810" s="131"/>
      <c r="L810" s="131"/>
      <c r="M810" s="131"/>
      <c r="N810" s="131"/>
      <c r="O810" s="131"/>
      <c r="P810" s="131"/>
      <c r="Q810" s="131"/>
      <c r="R810" s="131"/>
      <c r="S810" s="131"/>
      <c r="T810" s="131"/>
    </row>
    <row r="811">
      <c r="A811" s="131"/>
      <c r="B811" s="131"/>
      <c r="C811" s="131"/>
      <c r="D811" s="81"/>
      <c r="E811" s="81"/>
      <c r="F811" s="131"/>
      <c r="G811" s="131"/>
      <c r="H811" s="131"/>
      <c r="I811" s="131"/>
      <c r="J811" s="131"/>
      <c r="K811" s="131"/>
      <c r="L811" s="131"/>
      <c r="M811" s="131"/>
      <c r="N811" s="131"/>
      <c r="O811" s="131"/>
      <c r="P811" s="131"/>
      <c r="Q811" s="131"/>
      <c r="R811" s="131"/>
      <c r="S811" s="131"/>
      <c r="T811" s="131"/>
    </row>
    <row r="812">
      <c r="A812" s="131"/>
      <c r="B812" s="131"/>
      <c r="C812" s="131"/>
      <c r="D812" s="81"/>
      <c r="E812" s="81"/>
      <c r="F812" s="131"/>
      <c r="G812" s="131"/>
      <c r="H812" s="131"/>
      <c r="I812" s="131"/>
      <c r="J812" s="131"/>
      <c r="K812" s="131"/>
      <c r="L812" s="131"/>
      <c r="M812" s="131"/>
      <c r="N812" s="131"/>
      <c r="O812" s="131"/>
      <c r="P812" s="131"/>
      <c r="Q812" s="131"/>
      <c r="R812" s="131"/>
      <c r="S812" s="131"/>
      <c r="T812" s="131"/>
    </row>
    <row r="813">
      <c r="A813" s="131"/>
      <c r="B813" s="131"/>
      <c r="C813" s="131"/>
      <c r="D813" s="81"/>
      <c r="E813" s="81"/>
      <c r="F813" s="131"/>
      <c r="G813" s="131"/>
      <c r="H813" s="131"/>
      <c r="I813" s="131"/>
      <c r="J813" s="131"/>
      <c r="K813" s="131"/>
      <c r="L813" s="131"/>
      <c r="M813" s="131"/>
      <c r="N813" s="131"/>
      <c r="O813" s="131"/>
      <c r="P813" s="131"/>
      <c r="Q813" s="131"/>
      <c r="R813" s="131"/>
      <c r="S813" s="131"/>
      <c r="T813" s="131"/>
    </row>
    <row r="814">
      <c r="A814" s="131"/>
      <c r="B814" s="131"/>
      <c r="C814" s="131"/>
      <c r="D814" s="81"/>
      <c r="E814" s="81"/>
      <c r="F814" s="131"/>
      <c r="G814" s="131"/>
      <c r="H814" s="131"/>
      <c r="I814" s="131"/>
      <c r="J814" s="131"/>
      <c r="K814" s="131"/>
      <c r="L814" s="131"/>
      <c r="M814" s="131"/>
      <c r="N814" s="131"/>
      <c r="O814" s="131"/>
      <c r="P814" s="131"/>
      <c r="Q814" s="131"/>
      <c r="R814" s="131"/>
      <c r="S814" s="131"/>
      <c r="T814" s="131"/>
    </row>
    <row r="815">
      <c r="A815" s="131"/>
      <c r="B815" s="131"/>
      <c r="C815" s="131"/>
      <c r="D815" s="81"/>
      <c r="E815" s="81"/>
      <c r="F815" s="131"/>
      <c r="G815" s="131"/>
      <c r="H815" s="131"/>
      <c r="I815" s="131"/>
      <c r="J815" s="131"/>
      <c r="K815" s="131"/>
      <c r="L815" s="131"/>
      <c r="M815" s="131"/>
      <c r="N815" s="131"/>
      <c r="O815" s="131"/>
      <c r="P815" s="131"/>
      <c r="Q815" s="131"/>
      <c r="R815" s="131"/>
      <c r="S815" s="131"/>
      <c r="T815" s="131"/>
    </row>
    <row r="816">
      <c r="A816" s="131"/>
      <c r="B816" s="131"/>
      <c r="C816" s="131"/>
      <c r="D816" s="81"/>
      <c r="E816" s="81"/>
      <c r="F816" s="131"/>
      <c r="G816" s="131"/>
      <c r="H816" s="131"/>
      <c r="I816" s="131"/>
      <c r="J816" s="131"/>
      <c r="K816" s="131"/>
      <c r="L816" s="131"/>
      <c r="M816" s="131"/>
      <c r="N816" s="131"/>
      <c r="O816" s="131"/>
      <c r="P816" s="131"/>
      <c r="Q816" s="131"/>
      <c r="R816" s="131"/>
      <c r="S816" s="131"/>
      <c r="T816" s="131"/>
    </row>
    <row r="817">
      <c r="A817" s="131"/>
      <c r="B817" s="131"/>
      <c r="C817" s="131"/>
      <c r="D817" s="81"/>
      <c r="E817" s="81"/>
      <c r="F817" s="131"/>
      <c r="G817" s="131"/>
      <c r="H817" s="131"/>
      <c r="I817" s="131"/>
      <c r="J817" s="131"/>
      <c r="K817" s="131"/>
      <c r="L817" s="131"/>
      <c r="M817" s="131"/>
      <c r="N817" s="131"/>
      <c r="O817" s="131"/>
      <c r="P817" s="131"/>
      <c r="Q817" s="131"/>
      <c r="R817" s="131"/>
      <c r="S817" s="131"/>
      <c r="T817" s="131"/>
    </row>
    <row r="818">
      <c r="A818" s="131"/>
      <c r="B818" s="131"/>
      <c r="C818" s="131"/>
      <c r="D818" s="81"/>
      <c r="E818" s="81"/>
      <c r="F818" s="131"/>
      <c r="G818" s="131"/>
      <c r="H818" s="131"/>
      <c r="I818" s="131"/>
      <c r="J818" s="131"/>
      <c r="K818" s="131"/>
      <c r="L818" s="131"/>
      <c r="M818" s="131"/>
      <c r="N818" s="131"/>
      <c r="O818" s="131"/>
      <c r="P818" s="131"/>
      <c r="Q818" s="131"/>
      <c r="R818" s="131"/>
      <c r="S818" s="131"/>
      <c r="T818" s="131"/>
    </row>
    <row r="819">
      <c r="A819" s="131"/>
      <c r="B819" s="131"/>
      <c r="C819" s="131"/>
      <c r="D819" s="81"/>
      <c r="E819" s="81"/>
      <c r="F819" s="131"/>
      <c r="G819" s="131"/>
      <c r="H819" s="131"/>
      <c r="I819" s="131"/>
      <c r="J819" s="131"/>
      <c r="K819" s="131"/>
      <c r="L819" s="131"/>
      <c r="M819" s="131"/>
      <c r="N819" s="131"/>
      <c r="O819" s="131"/>
      <c r="P819" s="131"/>
      <c r="Q819" s="131"/>
      <c r="R819" s="131"/>
      <c r="S819" s="131"/>
      <c r="T819" s="131"/>
    </row>
    <row r="820">
      <c r="A820" s="131"/>
      <c r="B820" s="131"/>
      <c r="C820" s="131"/>
      <c r="D820" s="81"/>
      <c r="E820" s="81"/>
      <c r="F820" s="131"/>
      <c r="G820" s="131"/>
      <c r="H820" s="131"/>
      <c r="I820" s="131"/>
      <c r="J820" s="131"/>
      <c r="K820" s="131"/>
      <c r="L820" s="131"/>
      <c r="M820" s="131"/>
      <c r="N820" s="131"/>
      <c r="O820" s="131"/>
      <c r="P820" s="131"/>
      <c r="Q820" s="131"/>
      <c r="R820" s="131"/>
      <c r="S820" s="131"/>
      <c r="T820" s="131"/>
    </row>
    <row r="821">
      <c r="A821" s="131"/>
      <c r="B821" s="131"/>
      <c r="C821" s="131"/>
      <c r="D821" s="81"/>
      <c r="E821" s="81"/>
      <c r="F821" s="131"/>
      <c r="G821" s="131"/>
      <c r="H821" s="131"/>
      <c r="I821" s="131"/>
      <c r="J821" s="131"/>
      <c r="K821" s="131"/>
      <c r="L821" s="131"/>
      <c r="M821" s="131"/>
      <c r="N821" s="131"/>
      <c r="O821" s="131"/>
      <c r="P821" s="131"/>
      <c r="Q821" s="131"/>
      <c r="R821" s="131"/>
      <c r="S821" s="131"/>
      <c r="T821" s="131"/>
    </row>
    <row r="822">
      <c r="A822" s="131"/>
      <c r="B822" s="131"/>
      <c r="C822" s="131"/>
      <c r="D822" s="81"/>
      <c r="E822" s="81"/>
      <c r="F822" s="131"/>
      <c r="G822" s="131"/>
      <c r="H822" s="131"/>
      <c r="I822" s="131"/>
      <c r="J822" s="131"/>
      <c r="K822" s="131"/>
      <c r="L822" s="131"/>
      <c r="M822" s="131"/>
      <c r="N822" s="131"/>
      <c r="O822" s="131"/>
      <c r="P822" s="131"/>
      <c r="Q822" s="131"/>
      <c r="R822" s="131"/>
      <c r="S822" s="131"/>
      <c r="T822" s="131"/>
    </row>
    <row r="823">
      <c r="A823" s="131"/>
      <c r="B823" s="131"/>
      <c r="C823" s="131"/>
      <c r="D823" s="81"/>
      <c r="E823" s="81"/>
      <c r="F823" s="131"/>
      <c r="G823" s="131"/>
      <c r="H823" s="131"/>
      <c r="I823" s="131"/>
      <c r="J823" s="131"/>
      <c r="K823" s="131"/>
      <c r="L823" s="131"/>
      <c r="M823" s="131"/>
      <c r="N823" s="131"/>
      <c r="O823" s="131"/>
      <c r="P823" s="131"/>
      <c r="Q823" s="131"/>
      <c r="R823" s="131"/>
      <c r="S823" s="131"/>
      <c r="T823" s="131"/>
    </row>
    <row r="824">
      <c r="A824" s="131"/>
      <c r="B824" s="131"/>
      <c r="C824" s="131"/>
      <c r="D824" s="81"/>
      <c r="E824" s="81"/>
      <c r="F824" s="131"/>
      <c r="G824" s="131"/>
      <c r="H824" s="131"/>
      <c r="I824" s="131"/>
      <c r="J824" s="131"/>
      <c r="K824" s="131"/>
      <c r="L824" s="131"/>
      <c r="M824" s="131"/>
      <c r="N824" s="131"/>
      <c r="O824" s="131"/>
      <c r="P824" s="131"/>
      <c r="Q824" s="131"/>
      <c r="R824" s="131"/>
      <c r="S824" s="131"/>
      <c r="T824" s="131"/>
    </row>
    <row r="825">
      <c r="A825" s="131"/>
      <c r="B825" s="131"/>
      <c r="C825" s="131"/>
      <c r="D825" s="81"/>
      <c r="E825" s="81"/>
      <c r="F825" s="131"/>
      <c r="G825" s="131"/>
      <c r="H825" s="131"/>
      <c r="I825" s="131"/>
      <c r="J825" s="131"/>
      <c r="K825" s="131"/>
      <c r="L825" s="131"/>
      <c r="M825" s="131"/>
      <c r="N825" s="131"/>
      <c r="O825" s="131"/>
      <c r="P825" s="131"/>
      <c r="Q825" s="131"/>
      <c r="R825" s="131"/>
      <c r="S825" s="131"/>
      <c r="T825" s="131"/>
    </row>
    <row r="826">
      <c r="A826" s="131"/>
      <c r="B826" s="131"/>
      <c r="C826" s="131"/>
      <c r="D826" s="81"/>
      <c r="E826" s="81"/>
      <c r="F826" s="131"/>
      <c r="G826" s="131"/>
      <c r="H826" s="131"/>
      <c r="I826" s="131"/>
      <c r="J826" s="131"/>
      <c r="K826" s="131"/>
      <c r="L826" s="131"/>
      <c r="M826" s="131"/>
      <c r="N826" s="131"/>
      <c r="O826" s="131"/>
      <c r="P826" s="131"/>
      <c r="Q826" s="131"/>
      <c r="R826" s="131"/>
      <c r="S826" s="131"/>
      <c r="T826" s="131"/>
    </row>
    <row r="827">
      <c r="A827" s="131"/>
      <c r="B827" s="131"/>
      <c r="C827" s="131"/>
      <c r="D827" s="81"/>
      <c r="E827" s="81"/>
      <c r="F827" s="131"/>
      <c r="G827" s="131"/>
      <c r="H827" s="131"/>
      <c r="I827" s="131"/>
      <c r="J827" s="131"/>
      <c r="K827" s="131"/>
      <c r="L827" s="131"/>
      <c r="M827" s="131"/>
      <c r="N827" s="131"/>
      <c r="O827" s="131"/>
      <c r="P827" s="131"/>
      <c r="Q827" s="131"/>
      <c r="R827" s="131"/>
      <c r="S827" s="131"/>
      <c r="T827" s="131"/>
    </row>
    <row r="828">
      <c r="A828" s="131"/>
      <c r="B828" s="131"/>
      <c r="C828" s="131"/>
      <c r="D828" s="81"/>
      <c r="E828" s="81"/>
      <c r="F828" s="131"/>
      <c r="G828" s="131"/>
      <c r="H828" s="131"/>
      <c r="I828" s="131"/>
      <c r="J828" s="131"/>
      <c r="K828" s="131"/>
      <c r="L828" s="131"/>
      <c r="M828" s="131"/>
      <c r="N828" s="131"/>
      <c r="O828" s="131"/>
      <c r="P828" s="131"/>
      <c r="Q828" s="131"/>
      <c r="R828" s="131"/>
      <c r="S828" s="131"/>
      <c r="T828" s="131"/>
    </row>
    <row r="829">
      <c r="A829" s="131"/>
      <c r="B829" s="131"/>
      <c r="C829" s="131"/>
      <c r="D829" s="81"/>
      <c r="E829" s="81"/>
      <c r="F829" s="131"/>
      <c r="G829" s="131"/>
      <c r="H829" s="131"/>
      <c r="I829" s="131"/>
      <c r="J829" s="131"/>
      <c r="K829" s="131"/>
      <c r="L829" s="131"/>
      <c r="M829" s="131"/>
      <c r="N829" s="131"/>
      <c r="O829" s="131"/>
      <c r="P829" s="131"/>
      <c r="Q829" s="131"/>
      <c r="R829" s="131"/>
      <c r="S829" s="131"/>
      <c r="T829" s="131"/>
    </row>
    <row r="830">
      <c r="A830" s="131"/>
      <c r="B830" s="131"/>
      <c r="C830" s="131"/>
      <c r="D830" s="81"/>
      <c r="E830" s="81"/>
      <c r="F830" s="131"/>
      <c r="G830" s="131"/>
      <c r="H830" s="131"/>
      <c r="I830" s="131"/>
      <c r="J830" s="131"/>
      <c r="K830" s="131"/>
      <c r="L830" s="131"/>
      <c r="M830" s="131"/>
      <c r="N830" s="131"/>
      <c r="O830" s="131"/>
      <c r="P830" s="131"/>
      <c r="Q830" s="131"/>
      <c r="R830" s="131"/>
      <c r="S830" s="131"/>
      <c r="T830" s="131"/>
    </row>
    <row r="831">
      <c r="A831" s="131"/>
      <c r="B831" s="131"/>
      <c r="C831" s="131"/>
      <c r="D831" s="81"/>
      <c r="E831" s="81"/>
      <c r="F831" s="131"/>
      <c r="G831" s="131"/>
      <c r="H831" s="131"/>
      <c r="I831" s="131"/>
      <c r="J831" s="131"/>
      <c r="K831" s="131"/>
      <c r="L831" s="131"/>
      <c r="M831" s="131"/>
      <c r="N831" s="131"/>
      <c r="O831" s="131"/>
      <c r="P831" s="131"/>
      <c r="Q831" s="131"/>
      <c r="R831" s="131"/>
      <c r="S831" s="131"/>
      <c r="T831" s="131"/>
    </row>
    <row r="832">
      <c r="A832" s="131"/>
      <c r="B832" s="131"/>
      <c r="C832" s="131"/>
      <c r="D832" s="81"/>
      <c r="E832" s="81"/>
      <c r="F832" s="131"/>
      <c r="G832" s="131"/>
      <c r="H832" s="131"/>
      <c r="I832" s="131"/>
      <c r="J832" s="131"/>
      <c r="K832" s="131"/>
      <c r="L832" s="131"/>
      <c r="M832" s="131"/>
      <c r="N832" s="131"/>
      <c r="O832" s="131"/>
      <c r="P832" s="131"/>
      <c r="Q832" s="131"/>
      <c r="R832" s="131"/>
      <c r="S832" s="131"/>
      <c r="T832" s="131"/>
    </row>
    <row r="833">
      <c r="A833" s="131"/>
      <c r="B833" s="131"/>
      <c r="C833" s="131"/>
      <c r="D833" s="81"/>
      <c r="E833" s="81"/>
      <c r="F833" s="131"/>
      <c r="G833" s="131"/>
      <c r="H833" s="131"/>
      <c r="I833" s="131"/>
      <c r="J833" s="131"/>
      <c r="K833" s="131"/>
      <c r="L833" s="131"/>
      <c r="M833" s="131"/>
      <c r="N833" s="131"/>
      <c r="O833" s="131"/>
      <c r="P833" s="131"/>
      <c r="Q833" s="131"/>
      <c r="R833" s="131"/>
      <c r="S833" s="131"/>
      <c r="T833" s="131"/>
    </row>
    <row r="834">
      <c r="A834" s="131"/>
      <c r="B834" s="131"/>
      <c r="C834" s="131"/>
      <c r="D834" s="81"/>
      <c r="E834" s="81"/>
      <c r="F834" s="131"/>
      <c r="G834" s="131"/>
      <c r="H834" s="131"/>
      <c r="I834" s="131"/>
      <c r="J834" s="131"/>
      <c r="K834" s="131"/>
      <c r="L834" s="131"/>
      <c r="M834" s="131"/>
      <c r="N834" s="131"/>
      <c r="O834" s="131"/>
      <c r="P834" s="131"/>
      <c r="Q834" s="131"/>
      <c r="R834" s="131"/>
      <c r="S834" s="131"/>
      <c r="T834" s="131"/>
    </row>
    <row r="835">
      <c r="A835" s="131"/>
      <c r="B835" s="131"/>
      <c r="C835" s="131"/>
      <c r="D835" s="81"/>
      <c r="E835" s="81"/>
      <c r="F835" s="131"/>
      <c r="G835" s="131"/>
      <c r="H835" s="131"/>
      <c r="I835" s="131"/>
      <c r="J835" s="131"/>
      <c r="K835" s="131"/>
      <c r="L835" s="131"/>
      <c r="M835" s="131"/>
      <c r="N835" s="131"/>
      <c r="O835" s="131"/>
      <c r="P835" s="131"/>
      <c r="Q835" s="131"/>
      <c r="R835" s="131"/>
      <c r="S835" s="131"/>
      <c r="T835" s="131"/>
    </row>
    <row r="836">
      <c r="A836" s="131"/>
      <c r="B836" s="131"/>
      <c r="C836" s="131"/>
      <c r="D836" s="81"/>
      <c r="E836" s="81"/>
      <c r="F836" s="131"/>
      <c r="G836" s="131"/>
      <c r="H836" s="131"/>
      <c r="I836" s="131"/>
      <c r="J836" s="131"/>
      <c r="K836" s="131"/>
      <c r="L836" s="131"/>
      <c r="M836" s="131"/>
      <c r="N836" s="131"/>
      <c r="O836" s="131"/>
      <c r="P836" s="131"/>
      <c r="Q836" s="131"/>
      <c r="R836" s="131"/>
      <c r="S836" s="131"/>
      <c r="T836" s="131"/>
    </row>
    <row r="837">
      <c r="A837" s="131"/>
      <c r="B837" s="131"/>
      <c r="C837" s="131"/>
      <c r="D837" s="81"/>
      <c r="E837" s="81"/>
      <c r="F837" s="131"/>
      <c r="G837" s="131"/>
      <c r="H837" s="131"/>
      <c r="I837" s="131"/>
      <c r="J837" s="131"/>
      <c r="K837" s="131"/>
      <c r="L837" s="131"/>
      <c r="M837" s="131"/>
      <c r="N837" s="131"/>
      <c r="O837" s="131"/>
      <c r="P837" s="131"/>
      <c r="Q837" s="131"/>
      <c r="R837" s="131"/>
      <c r="S837" s="131"/>
      <c r="T837" s="131"/>
    </row>
    <row r="838">
      <c r="A838" s="131"/>
      <c r="B838" s="131"/>
      <c r="C838" s="131"/>
      <c r="D838" s="81"/>
      <c r="E838" s="81"/>
      <c r="F838" s="131"/>
      <c r="G838" s="131"/>
      <c r="H838" s="131"/>
      <c r="I838" s="131"/>
      <c r="J838" s="131"/>
      <c r="K838" s="131"/>
      <c r="L838" s="131"/>
      <c r="M838" s="131"/>
      <c r="N838" s="131"/>
      <c r="O838" s="131"/>
      <c r="P838" s="131"/>
      <c r="Q838" s="131"/>
      <c r="R838" s="131"/>
      <c r="S838" s="131"/>
      <c r="T838" s="131"/>
    </row>
    <row r="839">
      <c r="A839" s="131"/>
      <c r="B839" s="131"/>
      <c r="C839" s="131"/>
      <c r="D839" s="81"/>
      <c r="E839" s="81"/>
      <c r="F839" s="131"/>
      <c r="G839" s="131"/>
      <c r="H839" s="131"/>
      <c r="I839" s="131"/>
      <c r="J839" s="131"/>
      <c r="K839" s="131"/>
      <c r="L839" s="131"/>
      <c r="M839" s="131"/>
      <c r="N839" s="131"/>
      <c r="O839" s="131"/>
      <c r="P839" s="131"/>
      <c r="Q839" s="131"/>
      <c r="R839" s="131"/>
      <c r="S839" s="131"/>
      <c r="T839" s="131"/>
    </row>
    <row r="840">
      <c r="A840" s="131"/>
      <c r="B840" s="131"/>
      <c r="C840" s="131"/>
      <c r="D840" s="81"/>
      <c r="E840" s="81"/>
      <c r="F840" s="131"/>
      <c r="G840" s="131"/>
      <c r="H840" s="131"/>
      <c r="I840" s="131"/>
      <c r="J840" s="131"/>
      <c r="K840" s="131"/>
      <c r="L840" s="131"/>
      <c r="M840" s="131"/>
      <c r="N840" s="131"/>
      <c r="O840" s="131"/>
      <c r="P840" s="131"/>
      <c r="Q840" s="131"/>
      <c r="R840" s="131"/>
      <c r="S840" s="131"/>
      <c r="T840" s="131"/>
    </row>
    <row r="841">
      <c r="A841" s="131"/>
      <c r="B841" s="131"/>
      <c r="C841" s="131"/>
      <c r="D841" s="81"/>
      <c r="E841" s="81"/>
      <c r="F841" s="131"/>
      <c r="G841" s="131"/>
      <c r="H841" s="131"/>
      <c r="I841" s="131"/>
      <c r="J841" s="131"/>
      <c r="K841" s="131"/>
      <c r="L841" s="131"/>
      <c r="M841" s="131"/>
      <c r="N841" s="131"/>
      <c r="O841" s="131"/>
      <c r="P841" s="131"/>
      <c r="Q841" s="131"/>
      <c r="R841" s="131"/>
      <c r="S841" s="131"/>
      <c r="T841" s="131"/>
    </row>
    <row r="842">
      <c r="A842" s="131"/>
      <c r="B842" s="131"/>
      <c r="C842" s="131"/>
      <c r="D842" s="81"/>
      <c r="E842" s="81"/>
      <c r="F842" s="131"/>
      <c r="G842" s="131"/>
      <c r="H842" s="131"/>
      <c r="I842" s="131"/>
      <c r="J842" s="131"/>
      <c r="K842" s="131"/>
      <c r="L842" s="131"/>
      <c r="M842" s="131"/>
      <c r="N842" s="131"/>
      <c r="O842" s="131"/>
      <c r="P842" s="131"/>
      <c r="Q842" s="131"/>
      <c r="R842" s="131"/>
      <c r="S842" s="131"/>
      <c r="T842" s="131"/>
    </row>
    <row r="843">
      <c r="A843" s="131"/>
      <c r="B843" s="131"/>
      <c r="C843" s="131"/>
      <c r="D843" s="81"/>
      <c r="E843" s="81"/>
      <c r="F843" s="131"/>
      <c r="G843" s="131"/>
      <c r="H843" s="131"/>
      <c r="I843" s="131"/>
      <c r="J843" s="131"/>
      <c r="K843" s="131"/>
      <c r="L843" s="131"/>
      <c r="M843" s="131"/>
      <c r="N843" s="131"/>
      <c r="O843" s="131"/>
      <c r="P843" s="131"/>
      <c r="Q843" s="131"/>
      <c r="R843" s="131"/>
      <c r="S843" s="131"/>
      <c r="T843" s="131"/>
    </row>
    <row r="844">
      <c r="A844" s="131"/>
      <c r="B844" s="131"/>
      <c r="C844" s="131"/>
      <c r="D844" s="81"/>
      <c r="E844" s="81"/>
      <c r="F844" s="131"/>
      <c r="G844" s="131"/>
      <c r="H844" s="131"/>
      <c r="I844" s="131"/>
      <c r="J844" s="131"/>
      <c r="K844" s="131"/>
      <c r="L844" s="131"/>
      <c r="M844" s="131"/>
      <c r="N844" s="131"/>
      <c r="O844" s="131"/>
      <c r="P844" s="131"/>
      <c r="Q844" s="131"/>
      <c r="R844" s="131"/>
      <c r="S844" s="131"/>
      <c r="T844" s="131"/>
    </row>
    <row r="845">
      <c r="A845" s="131"/>
      <c r="B845" s="131"/>
      <c r="C845" s="131"/>
      <c r="D845" s="81"/>
      <c r="E845" s="81"/>
      <c r="F845" s="131"/>
      <c r="G845" s="131"/>
      <c r="H845" s="131"/>
      <c r="I845" s="131"/>
      <c r="J845" s="131"/>
      <c r="K845" s="131"/>
      <c r="L845" s="131"/>
      <c r="M845" s="131"/>
      <c r="N845" s="131"/>
      <c r="O845" s="131"/>
      <c r="P845" s="131"/>
      <c r="Q845" s="131"/>
      <c r="R845" s="131"/>
      <c r="S845" s="131"/>
      <c r="T845" s="131"/>
    </row>
    <row r="846">
      <c r="A846" s="131"/>
      <c r="B846" s="131"/>
      <c r="C846" s="131"/>
      <c r="D846" s="81"/>
      <c r="E846" s="81"/>
      <c r="F846" s="131"/>
      <c r="G846" s="131"/>
      <c r="H846" s="131"/>
      <c r="I846" s="131"/>
      <c r="J846" s="131"/>
      <c r="K846" s="131"/>
      <c r="L846" s="131"/>
      <c r="M846" s="131"/>
      <c r="N846" s="131"/>
      <c r="O846" s="131"/>
      <c r="P846" s="131"/>
      <c r="Q846" s="131"/>
      <c r="R846" s="131"/>
      <c r="S846" s="131"/>
      <c r="T846" s="131"/>
    </row>
    <row r="847">
      <c r="A847" s="131"/>
      <c r="B847" s="131"/>
      <c r="C847" s="131"/>
      <c r="D847" s="81"/>
      <c r="E847" s="81"/>
      <c r="F847" s="131"/>
      <c r="G847" s="131"/>
      <c r="H847" s="131"/>
      <c r="I847" s="131"/>
      <c r="J847" s="131"/>
      <c r="K847" s="131"/>
      <c r="L847" s="131"/>
      <c r="M847" s="131"/>
      <c r="N847" s="131"/>
      <c r="O847" s="131"/>
      <c r="P847" s="131"/>
      <c r="Q847" s="131"/>
      <c r="R847" s="131"/>
      <c r="S847" s="131"/>
      <c r="T847" s="131"/>
    </row>
    <row r="848">
      <c r="A848" s="131"/>
      <c r="B848" s="131"/>
      <c r="C848" s="131"/>
      <c r="D848" s="81"/>
      <c r="E848" s="81"/>
      <c r="F848" s="131"/>
      <c r="G848" s="131"/>
      <c r="H848" s="131"/>
      <c r="I848" s="131"/>
      <c r="J848" s="131"/>
      <c r="K848" s="131"/>
      <c r="L848" s="131"/>
      <c r="M848" s="131"/>
      <c r="N848" s="131"/>
      <c r="O848" s="131"/>
      <c r="P848" s="131"/>
      <c r="Q848" s="131"/>
      <c r="R848" s="131"/>
      <c r="S848" s="131"/>
      <c r="T848" s="131"/>
    </row>
    <row r="849">
      <c r="A849" s="131"/>
      <c r="B849" s="131"/>
      <c r="C849" s="131"/>
      <c r="D849" s="81"/>
      <c r="E849" s="81"/>
      <c r="F849" s="131"/>
      <c r="G849" s="131"/>
      <c r="H849" s="131"/>
      <c r="I849" s="131"/>
      <c r="J849" s="131"/>
      <c r="K849" s="131"/>
      <c r="L849" s="131"/>
      <c r="M849" s="131"/>
      <c r="N849" s="131"/>
      <c r="O849" s="131"/>
      <c r="P849" s="131"/>
      <c r="Q849" s="131"/>
      <c r="R849" s="131"/>
      <c r="S849" s="131"/>
      <c r="T849" s="131"/>
    </row>
    <row r="850">
      <c r="A850" s="131"/>
      <c r="B850" s="131"/>
      <c r="C850" s="131"/>
      <c r="D850" s="81"/>
      <c r="E850" s="81"/>
      <c r="F850" s="131"/>
      <c r="G850" s="131"/>
      <c r="H850" s="131"/>
      <c r="I850" s="131"/>
      <c r="J850" s="131"/>
      <c r="K850" s="131"/>
      <c r="L850" s="131"/>
      <c r="M850" s="131"/>
      <c r="N850" s="131"/>
      <c r="O850" s="131"/>
      <c r="P850" s="131"/>
      <c r="Q850" s="131"/>
      <c r="R850" s="131"/>
      <c r="S850" s="131"/>
      <c r="T850" s="131"/>
    </row>
    <row r="851">
      <c r="A851" s="131"/>
      <c r="B851" s="131"/>
      <c r="C851" s="131"/>
      <c r="D851" s="81"/>
      <c r="E851" s="81"/>
      <c r="F851" s="131"/>
      <c r="G851" s="131"/>
      <c r="H851" s="131"/>
      <c r="I851" s="131"/>
      <c r="J851" s="131"/>
      <c r="K851" s="131"/>
      <c r="L851" s="131"/>
      <c r="M851" s="131"/>
      <c r="N851" s="131"/>
      <c r="O851" s="131"/>
      <c r="P851" s="131"/>
      <c r="Q851" s="131"/>
      <c r="R851" s="131"/>
      <c r="S851" s="131"/>
      <c r="T851" s="131"/>
    </row>
    <row r="852">
      <c r="A852" s="131"/>
      <c r="B852" s="131"/>
      <c r="C852" s="131"/>
      <c r="D852" s="81"/>
      <c r="E852" s="81"/>
      <c r="F852" s="131"/>
      <c r="G852" s="131"/>
      <c r="H852" s="131"/>
      <c r="I852" s="131"/>
      <c r="J852" s="131"/>
      <c r="K852" s="131"/>
      <c r="L852" s="131"/>
      <c r="M852" s="131"/>
      <c r="N852" s="131"/>
      <c r="O852" s="131"/>
      <c r="P852" s="131"/>
      <c r="Q852" s="131"/>
      <c r="R852" s="131"/>
      <c r="S852" s="131"/>
      <c r="T852" s="131"/>
    </row>
    <row r="853">
      <c r="A853" s="131"/>
      <c r="B853" s="131"/>
      <c r="C853" s="131"/>
      <c r="D853" s="131"/>
      <c r="E853" s="131"/>
      <c r="F853" s="131"/>
      <c r="G853" s="131"/>
      <c r="H853" s="131"/>
      <c r="I853" s="131"/>
      <c r="J853" s="131"/>
      <c r="K853" s="131"/>
      <c r="L853" s="131"/>
      <c r="M853" s="131"/>
      <c r="N853" s="131"/>
      <c r="O853" s="131"/>
      <c r="P853" s="131"/>
      <c r="Q853" s="131"/>
      <c r="R853" s="131"/>
      <c r="S853" s="131"/>
      <c r="T853" s="131"/>
    </row>
    <row r="854">
      <c r="A854" s="131"/>
      <c r="B854" s="131"/>
      <c r="C854" s="131"/>
      <c r="D854" s="131"/>
      <c r="E854" s="131"/>
      <c r="F854" s="131"/>
      <c r="G854" s="131"/>
      <c r="H854" s="131"/>
      <c r="I854" s="131"/>
      <c r="J854" s="131"/>
      <c r="K854" s="131"/>
      <c r="L854" s="131"/>
      <c r="M854" s="131"/>
      <c r="N854" s="131"/>
      <c r="O854" s="131"/>
      <c r="P854" s="131"/>
      <c r="Q854" s="131"/>
      <c r="R854" s="131"/>
      <c r="S854" s="131"/>
      <c r="T854" s="131"/>
    </row>
    <row r="855">
      <c r="A855" s="131"/>
      <c r="B855" s="131"/>
      <c r="C855" s="131"/>
      <c r="D855" s="131"/>
      <c r="E855" s="131"/>
      <c r="F855" s="131"/>
      <c r="G855" s="131"/>
      <c r="H855" s="131"/>
      <c r="I855" s="131"/>
      <c r="J855" s="131"/>
      <c r="K855" s="131"/>
      <c r="L855" s="131"/>
      <c r="M855" s="131"/>
      <c r="N855" s="131"/>
      <c r="O855" s="131"/>
      <c r="P855" s="131"/>
      <c r="Q855" s="131"/>
      <c r="R855" s="131"/>
      <c r="S855" s="131"/>
      <c r="T855" s="131"/>
    </row>
    <row r="856">
      <c r="A856" s="131"/>
      <c r="B856" s="131"/>
      <c r="C856" s="131"/>
      <c r="D856" s="131"/>
      <c r="E856" s="131"/>
      <c r="F856" s="131"/>
      <c r="G856" s="131"/>
      <c r="H856" s="131"/>
      <c r="I856" s="131"/>
      <c r="J856" s="131"/>
      <c r="K856" s="131"/>
      <c r="L856" s="131"/>
      <c r="M856" s="131"/>
      <c r="N856" s="131"/>
      <c r="O856" s="131"/>
      <c r="P856" s="131"/>
      <c r="Q856" s="131"/>
      <c r="R856" s="131"/>
      <c r="S856" s="131"/>
      <c r="T856" s="131"/>
    </row>
    <row r="857">
      <c r="A857" s="131"/>
      <c r="B857" s="131"/>
      <c r="C857" s="131"/>
      <c r="D857" s="131"/>
      <c r="E857" s="131"/>
      <c r="F857" s="131"/>
      <c r="G857" s="131"/>
      <c r="H857" s="131"/>
      <c r="I857" s="131"/>
      <c r="J857" s="131"/>
      <c r="K857" s="131"/>
      <c r="L857" s="131"/>
      <c r="M857" s="131"/>
      <c r="N857" s="131"/>
      <c r="O857" s="131"/>
      <c r="P857" s="131"/>
      <c r="Q857" s="131"/>
      <c r="R857" s="131"/>
      <c r="S857" s="131"/>
      <c r="T857" s="131"/>
    </row>
    <row r="858">
      <c r="A858" s="131"/>
      <c r="B858" s="131"/>
      <c r="C858" s="131"/>
      <c r="D858" s="131"/>
      <c r="E858" s="131"/>
      <c r="F858" s="131"/>
      <c r="G858" s="131"/>
      <c r="H858" s="131"/>
      <c r="I858" s="131"/>
      <c r="J858" s="131"/>
      <c r="K858" s="131"/>
      <c r="L858" s="131"/>
      <c r="M858" s="131"/>
      <c r="N858" s="131"/>
      <c r="O858" s="131"/>
      <c r="P858" s="131"/>
      <c r="Q858" s="131"/>
      <c r="R858" s="131"/>
      <c r="S858" s="131"/>
      <c r="T858" s="131"/>
    </row>
    <row r="859">
      <c r="A859" s="131"/>
      <c r="B859" s="131"/>
      <c r="C859" s="131"/>
      <c r="D859" s="131"/>
      <c r="E859" s="131"/>
      <c r="F859" s="131"/>
      <c r="G859" s="131"/>
      <c r="H859" s="131"/>
      <c r="I859" s="131"/>
      <c r="J859" s="131"/>
      <c r="K859" s="131"/>
      <c r="L859" s="131"/>
      <c r="M859" s="131"/>
      <c r="N859" s="131"/>
      <c r="O859" s="131"/>
      <c r="P859" s="131"/>
      <c r="Q859" s="131"/>
      <c r="R859" s="131"/>
      <c r="S859" s="131"/>
      <c r="T859" s="131"/>
    </row>
    <row r="860">
      <c r="A860" s="131"/>
      <c r="B860" s="131"/>
      <c r="C860" s="131"/>
      <c r="D860" s="131"/>
      <c r="E860" s="131"/>
      <c r="F860" s="131"/>
      <c r="G860" s="131"/>
      <c r="H860" s="131"/>
      <c r="I860" s="131"/>
      <c r="J860" s="131"/>
      <c r="K860" s="131"/>
      <c r="L860" s="131"/>
      <c r="M860" s="131"/>
      <c r="N860" s="131"/>
      <c r="O860" s="131"/>
      <c r="P860" s="131"/>
      <c r="Q860" s="131"/>
      <c r="R860" s="131"/>
      <c r="S860" s="131"/>
      <c r="T860" s="131"/>
    </row>
    <row r="861">
      <c r="A861" s="131"/>
      <c r="B861" s="131"/>
      <c r="C861" s="131"/>
      <c r="D861" s="131"/>
      <c r="E861" s="131"/>
      <c r="F861" s="131"/>
      <c r="G861" s="131"/>
      <c r="H861" s="131"/>
      <c r="I861" s="131"/>
      <c r="J861" s="131"/>
      <c r="K861" s="131"/>
      <c r="L861" s="131"/>
      <c r="M861" s="131"/>
      <c r="N861" s="131"/>
      <c r="O861" s="131"/>
      <c r="P861" s="131"/>
      <c r="Q861" s="131"/>
      <c r="R861" s="131"/>
      <c r="S861" s="131"/>
      <c r="T861" s="131"/>
    </row>
    <row r="862">
      <c r="A862" s="131"/>
      <c r="B862" s="131"/>
      <c r="C862" s="131"/>
      <c r="D862" s="131"/>
      <c r="E862" s="131"/>
      <c r="F862" s="131"/>
      <c r="G862" s="131"/>
      <c r="H862" s="131"/>
      <c r="I862" s="131"/>
      <c r="J862" s="131"/>
      <c r="K862" s="131"/>
      <c r="L862" s="131"/>
      <c r="M862" s="131"/>
      <c r="N862" s="131"/>
      <c r="O862" s="131"/>
      <c r="P862" s="131"/>
      <c r="Q862" s="131"/>
      <c r="R862" s="131"/>
      <c r="S862" s="131"/>
      <c r="T862" s="131"/>
    </row>
    <row r="863">
      <c r="A863" s="131"/>
      <c r="B863" s="131"/>
      <c r="C863" s="131"/>
      <c r="D863" s="131"/>
      <c r="E863" s="131"/>
      <c r="F863" s="131"/>
      <c r="G863" s="131"/>
      <c r="H863" s="131"/>
      <c r="I863" s="131"/>
      <c r="J863" s="131"/>
      <c r="K863" s="131"/>
      <c r="L863" s="131"/>
      <c r="M863" s="131"/>
      <c r="N863" s="131"/>
      <c r="O863" s="131"/>
      <c r="P863" s="131"/>
      <c r="Q863" s="131"/>
      <c r="R863" s="131"/>
      <c r="S863" s="131"/>
      <c r="T863" s="131"/>
    </row>
    <row r="864">
      <c r="A864" s="131"/>
      <c r="B864" s="131"/>
      <c r="C864" s="131"/>
      <c r="D864" s="131"/>
      <c r="E864" s="131"/>
      <c r="F864" s="131"/>
      <c r="G864" s="131"/>
      <c r="H864" s="131"/>
      <c r="I864" s="131"/>
      <c r="J864" s="131"/>
      <c r="K864" s="131"/>
      <c r="L864" s="131"/>
      <c r="M864" s="131"/>
      <c r="N864" s="131"/>
      <c r="O864" s="131"/>
      <c r="P864" s="131"/>
      <c r="Q864" s="131"/>
      <c r="R864" s="131"/>
      <c r="S864" s="131"/>
      <c r="T864" s="131"/>
    </row>
    <row r="865">
      <c r="A865" s="131"/>
      <c r="B865" s="131"/>
      <c r="C865" s="131"/>
      <c r="D865" s="131"/>
      <c r="E865" s="131"/>
      <c r="F865" s="131"/>
      <c r="G865" s="131"/>
      <c r="H865" s="131"/>
      <c r="I865" s="131"/>
      <c r="J865" s="131"/>
      <c r="K865" s="131"/>
      <c r="L865" s="131"/>
      <c r="M865" s="131"/>
      <c r="N865" s="131"/>
      <c r="O865" s="131"/>
      <c r="P865" s="131"/>
      <c r="Q865" s="131"/>
      <c r="R865" s="131"/>
      <c r="S865" s="131"/>
      <c r="T865" s="131"/>
    </row>
    <row r="866">
      <c r="A866" s="131"/>
      <c r="B866" s="131"/>
      <c r="C866" s="131"/>
      <c r="D866" s="131"/>
      <c r="E866" s="131"/>
      <c r="F866" s="131"/>
      <c r="G866" s="131"/>
      <c r="H866" s="131"/>
      <c r="I866" s="131"/>
      <c r="J866" s="131"/>
      <c r="K866" s="131"/>
      <c r="L866" s="131"/>
      <c r="M866" s="131"/>
      <c r="N866" s="131"/>
      <c r="O866" s="131"/>
      <c r="P866" s="131"/>
      <c r="Q866" s="131"/>
      <c r="R866" s="131"/>
      <c r="S866" s="131"/>
      <c r="T866" s="131"/>
    </row>
    <row r="867">
      <c r="A867" s="131"/>
      <c r="B867" s="131"/>
      <c r="C867" s="131"/>
      <c r="D867" s="131"/>
      <c r="E867" s="131"/>
      <c r="F867" s="131"/>
      <c r="G867" s="131"/>
      <c r="H867" s="131"/>
      <c r="I867" s="131"/>
      <c r="J867" s="131"/>
      <c r="K867" s="131"/>
      <c r="L867" s="131"/>
      <c r="M867" s="131"/>
      <c r="N867" s="131"/>
      <c r="O867" s="131"/>
      <c r="P867" s="131"/>
      <c r="Q867" s="131"/>
      <c r="R867" s="131"/>
      <c r="S867" s="131"/>
      <c r="T867" s="131"/>
    </row>
    <row r="868">
      <c r="A868" s="131"/>
      <c r="B868" s="131"/>
      <c r="C868" s="131"/>
      <c r="D868" s="131"/>
      <c r="E868" s="131"/>
      <c r="F868" s="131"/>
      <c r="G868" s="131"/>
      <c r="H868" s="131"/>
      <c r="I868" s="131"/>
      <c r="J868" s="131"/>
      <c r="K868" s="131"/>
      <c r="L868" s="131"/>
      <c r="M868" s="131"/>
      <c r="N868" s="131"/>
      <c r="O868" s="131"/>
      <c r="P868" s="131"/>
      <c r="Q868" s="131"/>
      <c r="R868" s="131"/>
      <c r="S868" s="131"/>
      <c r="T868" s="131"/>
    </row>
    <row r="869">
      <c r="A869" s="131"/>
      <c r="B869" s="131"/>
      <c r="C869" s="131"/>
      <c r="D869" s="131"/>
      <c r="E869" s="131"/>
      <c r="F869" s="131"/>
      <c r="G869" s="131"/>
      <c r="H869" s="131"/>
      <c r="I869" s="131"/>
      <c r="J869" s="131"/>
      <c r="K869" s="131"/>
      <c r="L869" s="131"/>
      <c r="M869" s="131"/>
      <c r="N869" s="131"/>
      <c r="O869" s="131"/>
      <c r="P869" s="131"/>
      <c r="Q869" s="131"/>
      <c r="R869" s="131"/>
      <c r="S869" s="131"/>
      <c r="T869" s="131"/>
    </row>
    <row r="870">
      <c r="A870" s="131"/>
      <c r="B870" s="131"/>
      <c r="C870" s="131"/>
      <c r="D870" s="131"/>
      <c r="E870" s="131"/>
      <c r="F870" s="131"/>
      <c r="G870" s="131"/>
      <c r="H870" s="131"/>
      <c r="I870" s="131"/>
      <c r="J870" s="131"/>
      <c r="K870" s="131"/>
      <c r="L870" s="131"/>
      <c r="M870" s="131"/>
      <c r="N870" s="131"/>
      <c r="O870" s="131"/>
      <c r="P870" s="131"/>
      <c r="Q870" s="131"/>
      <c r="R870" s="131"/>
      <c r="S870" s="131"/>
      <c r="T870" s="131"/>
    </row>
    <row r="871">
      <c r="A871" s="131"/>
      <c r="B871" s="131"/>
      <c r="C871" s="131"/>
      <c r="D871" s="131"/>
      <c r="E871" s="131"/>
      <c r="F871" s="131"/>
      <c r="G871" s="131"/>
      <c r="H871" s="131"/>
      <c r="I871" s="131"/>
      <c r="J871" s="131"/>
      <c r="K871" s="131"/>
      <c r="L871" s="131"/>
      <c r="M871" s="131"/>
      <c r="N871" s="131"/>
      <c r="O871" s="131"/>
      <c r="P871" s="131"/>
      <c r="Q871" s="131"/>
      <c r="R871" s="131"/>
      <c r="S871" s="131"/>
      <c r="T871" s="131"/>
    </row>
    <row r="872">
      <c r="A872" s="131"/>
      <c r="B872" s="131"/>
      <c r="C872" s="131"/>
      <c r="D872" s="131"/>
      <c r="E872" s="131"/>
      <c r="F872" s="131"/>
      <c r="G872" s="131"/>
      <c r="H872" s="131"/>
      <c r="I872" s="131"/>
      <c r="J872" s="131"/>
      <c r="K872" s="131"/>
      <c r="L872" s="131"/>
      <c r="M872" s="131"/>
      <c r="N872" s="131"/>
      <c r="O872" s="131"/>
      <c r="P872" s="131"/>
      <c r="Q872" s="131"/>
      <c r="R872" s="131"/>
      <c r="S872" s="131"/>
      <c r="T872" s="131"/>
    </row>
    <row r="873">
      <c r="A873" s="131"/>
      <c r="B873" s="131"/>
      <c r="C873" s="131"/>
      <c r="D873" s="131"/>
      <c r="E873" s="131"/>
      <c r="F873" s="131"/>
      <c r="G873" s="131"/>
      <c r="H873" s="131"/>
      <c r="I873" s="131"/>
      <c r="J873" s="131"/>
      <c r="K873" s="131"/>
      <c r="L873" s="131"/>
      <c r="M873" s="131"/>
      <c r="N873" s="131"/>
      <c r="O873" s="131"/>
      <c r="P873" s="131"/>
      <c r="Q873" s="131"/>
      <c r="R873" s="131"/>
      <c r="S873" s="131"/>
      <c r="T873" s="131"/>
    </row>
    <row r="874">
      <c r="A874" s="131"/>
      <c r="B874" s="131"/>
      <c r="C874" s="131"/>
      <c r="D874" s="131"/>
      <c r="E874" s="131"/>
      <c r="F874" s="131"/>
      <c r="G874" s="131"/>
      <c r="H874" s="131"/>
      <c r="I874" s="131"/>
      <c r="J874" s="131"/>
      <c r="K874" s="131"/>
      <c r="L874" s="131"/>
      <c r="M874" s="131"/>
      <c r="N874" s="131"/>
      <c r="O874" s="131"/>
      <c r="P874" s="131"/>
      <c r="Q874" s="131"/>
      <c r="R874" s="131"/>
      <c r="S874" s="131"/>
      <c r="T874" s="131"/>
    </row>
    <row r="875">
      <c r="A875" s="131"/>
      <c r="B875" s="131"/>
      <c r="C875" s="131"/>
      <c r="D875" s="131"/>
      <c r="E875" s="131"/>
      <c r="F875" s="131"/>
      <c r="G875" s="131"/>
      <c r="H875" s="131"/>
      <c r="I875" s="131"/>
      <c r="J875" s="131"/>
      <c r="K875" s="131"/>
      <c r="L875" s="131"/>
      <c r="M875" s="131"/>
      <c r="N875" s="131"/>
      <c r="O875" s="131"/>
      <c r="P875" s="131"/>
      <c r="Q875" s="131"/>
      <c r="R875" s="131"/>
      <c r="S875" s="131"/>
      <c r="T875" s="131"/>
    </row>
    <row r="876">
      <c r="A876" s="131"/>
      <c r="B876" s="131"/>
      <c r="C876" s="131"/>
      <c r="D876" s="131"/>
      <c r="E876" s="131"/>
      <c r="F876" s="131"/>
      <c r="G876" s="131"/>
      <c r="H876" s="131"/>
      <c r="I876" s="131"/>
      <c r="J876" s="131"/>
      <c r="K876" s="131"/>
      <c r="L876" s="131"/>
      <c r="M876" s="131"/>
      <c r="N876" s="131"/>
      <c r="O876" s="131"/>
      <c r="P876" s="131"/>
      <c r="Q876" s="131"/>
      <c r="R876" s="131"/>
      <c r="S876" s="131"/>
      <c r="T876" s="131"/>
    </row>
    <row r="877">
      <c r="A877" s="131"/>
      <c r="B877" s="131"/>
      <c r="C877" s="131"/>
      <c r="D877" s="131"/>
      <c r="E877" s="131"/>
      <c r="F877" s="131"/>
      <c r="G877" s="131"/>
      <c r="H877" s="131"/>
      <c r="I877" s="131"/>
      <c r="J877" s="131"/>
      <c r="K877" s="131"/>
      <c r="L877" s="131"/>
      <c r="M877" s="131"/>
      <c r="N877" s="131"/>
      <c r="O877" s="131"/>
      <c r="P877" s="131"/>
      <c r="Q877" s="131"/>
      <c r="R877" s="131"/>
      <c r="S877" s="131"/>
      <c r="T877" s="131"/>
    </row>
    <row r="878">
      <c r="A878" s="131"/>
      <c r="B878" s="131"/>
      <c r="C878" s="131"/>
      <c r="D878" s="131"/>
      <c r="E878" s="131"/>
      <c r="F878" s="131"/>
      <c r="G878" s="131"/>
      <c r="H878" s="131"/>
      <c r="I878" s="131"/>
      <c r="J878" s="131"/>
      <c r="K878" s="131"/>
      <c r="L878" s="131"/>
      <c r="M878" s="131"/>
      <c r="N878" s="131"/>
      <c r="O878" s="131"/>
      <c r="P878" s="131"/>
      <c r="Q878" s="131"/>
      <c r="R878" s="131"/>
      <c r="S878" s="131"/>
      <c r="T878" s="131"/>
    </row>
    <row r="879">
      <c r="A879" s="131"/>
      <c r="B879" s="131"/>
      <c r="C879" s="131"/>
      <c r="D879" s="131"/>
      <c r="E879" s="131"/>
      <c r="F879" s="131"/>
      <c r="G879" s="131"/>
      <c r="H879" s="131"/>
      <c r="I879" s="131"/>
      <c r="J879" s="131"/>
      <c r="K879" s="131"/>
      <c r="L879" s="131"/>
      <c r="M879" s="131"/>
      <c r="N879" s="131"/>
      <c r="O879" s="131"/>
      <c r="P879" s="131"/>
      <c r="Q879" s="131"/>
      <c r="R879" s="131"/>
      <c r="S879" s="131"/>
      <c r="T879" s="131"/>
    </row>
    <row r="880">
      <c r="A880" s="131"/>
      <c r="B880" s="131"/>
      <c r="C880" s="131"/>
      <c r="D880" s="131"/>
      <c r="E880" s="131"/>
      <c r="F880" s="131"/>
      <c r="G880" s="131"/>
      <c r="H880" s="131"/>
      <c r="I880" s="131"/>
      <c r="J880" s="131"/>
      <c r="K880" s="131"/>
      <c r="L880" s="131"/>
      <c r="M880" s="131"/>
      <c r="N880" s="131"/>
      <c r="O880" s="131"/>
      <c r="P880" s="131"/>
      <c r="Q880" s="131"/>
      <c r="R880" s="131"/>
      <c r="S880" s="131"/>
      <c r="T880" s="131"/>
    </row>
    <row r="881">
      <c r="A881" s="131"/>
      <c r="B881" s="131"/>
      <c r="C881" s="131"/>
      <c r="D881" s="131"/>
      <c r="E881" s="131"/>
      <c r="F881" s="131"/>
      <c r="G881" s="131"/>
      <c r="H881" s="131"/>
      <c r="I881" s="131"/>
      <c r="J881" s="131"/>
      <c r="K881" s="131"/>
      <c r="L881" s="131"/>
      <c r="M881" s="131"/>
      <c r="N881" s="131"/>
      <c r="O881" s="131"/>
      <c r="P881" s="131"/>
      <c r="Q881" s="131"/>
      <c r="R881" s="131"/>
      <c r="S881" s="131"/>
      <c r="T881" s="131"/>
    </row>
    <row r="882">
      <c r="A882" s="131"/>
      <c r="B882" s="131"/>
      <c r="C882" s="131"/>
      <c r="D882" s="131"/>
      <c r="E882" s="131"/>
      <c r="F882" s="131"/>
      <c r="G882" s="131"/>
      <c r="H882" s="131"/>
      <c r="I882" s="131"/>
      <c r="J882" s="131"/>
      <c r="K882" s="131"/>
      <c r="L882" s="131"/>
      <c r="M882" s="131"/>
      <c r="N882" s="131"/>
      <c r="O882" s="131"/>
      <c r="P882" s="131"/>
      <c r="Q882" s="131"/>
      <c r="R882" s="131"/>
      <c r="S882" s="131"/>
      <c r="T882" s="131"/>
    </row>
    <row r="883">
      <c r="A883" s="131"/>
      <c r="B883" s="131"/>
      <c r="C883" s="131"/>
      <c r="D883" s="131"/>
      <c r="E883" s="131"/>
      <c r="F883" s="131"/>
      <c r="G883" s="131"/>
      <c r="H883" s="131"/>
      <c r="I883" s="131"/>
      <c r="J883" s="131"/>
      <c r="K883" s="131"/>
      <c r="L883" s="131"/>
      <c r="M883" s="131"/>
      <c r="N883" s="131"/>
      <c r="O883" s="131"/>
      <c r="P883" s="131"/>
      <c r="Q883" s="131"/>
      <c r="R883" s="131"/>
      <c r="S883" s="131"/>
      <c r="T883" s="131"/>
    </row>
    <row r="884">
      <c r="A884" s="131"/>
      <c r="B884" s="131"/>
      <c r="C884" s="131"/>
      <c r="D884" s="131"/>
      <c r="E884" s="131"/>
      <c r="F884" s="131"/>
      <c r="G884" s="131"/>
      <c r="H884" s="131"/>
      <c r="I884" s="131"/>
      <c r="J884" s="131"/>
      <c r="K884" s="131"/>
      <c r="L884" s="131"/>
      <c r="M884" s="131"/>
      <c r="N884" s="131"/>
      <c r="O884" s="131"/>
      <c r="P884" s="131"/>
      <c r="Q884" s="131"/>
      <c r="R884" s="131"/>
      <c r="S884" s="131"/>
      <c r="T884" s="131"/>
    </row>
    <row r="885">
      <c r="A885" s="131"/>
      <c r="B885" s="131"/>
      <c r="C885" s="131"/>
      <c r="D885" s="131"/>
      <c r="E885" s="131"/>
      <c r="F885" s="131"/>
      <c r="G885" s="131"/>
      <c r="H885" s="131"/>
      <c r="I885" s="131"/>
      <c r="J885" s="131"/>
      <c r="K885" s="131"/>
      <c r="L885" s="131"/>
      <c r="M885" s="131"/>
      <c r="N885" s="131"/>
      <c r="O885" s="131"/>
      <c r="P885" s="131"/>
      <c r="Q885" s="131"/>
      <c r="R885" s="131"/>
      <c r="S885" s="131"/>
      <c r="T885" s="131"/>
    </row>
    <row r="886">
      <c r="A886" s="131"/>
      <c r="B886" s="131"/>
      <c r="C886" s="131"/>
      <c r="D886" s="131"/>
      <c r="E886" s="131"/>
      <c r="F886" s="131"/>
      <c r="G886" s="131"/>
      <c r="H886" s="131"/>
      <c r="I886" s="131"/>
      <c r="J886" s="131"/>
      <c r="K886" s="131"/>
      <c r="L886" s="131"/>
      <c r="M886" s="131"/>
      <c r="N886" s="131"/>
      <c r="O886" s="131"/>
      <c r="P886" s="131"/>
      <c r="Q886" s="131"/>
      <c r="R886" s="131"/>
      <c r="S886" s="131"/>
      <c r="T886" s="131"/>
    </row>
    <row r="887">
      <c r="A887" s="131"/>
      <c r="B887" s="131"/>
      <c r="C887" s="131"/>
      <c r="D887" s="131"/>
      <c r="E887" s="131"/>
      <c r="F887" s="131"/>
      <c r="G887" s="131"/>
      <c r="H887" s="131"/>
      <c r="I887" s="131"/>
      <c r="J887" s="131"/>
      <c r="K887" s="131"/>
      <c r="L887" s="131"/>
      <c r="M887" s="131"/>
      <c r="N887" s="131"/>
      <c r="O887" s="131"/>
      <c r="P887" s="131"/>
      <c r="Q887" s="131"/>
      <c r="R887" s="131"/>
      <c r="S887" s="131"/>
      <c r="T887" s="131"/>
    </row>
    <row r="888">
      <c r="A888" s="131"/>
      <c r="B888" s="131"/>
      <c r="C888" s="131"/>
      <c r="D888" s="131"/>
      <c r="E888" s="131"/>
      <c r="F888" s="131"/>
      <c r="G888" s="131"/>
      <c r="H888" s="131"/>
      <c r="I888" s="131"/>
      <c r="J888" s="131"/>
      <c r="K888" s="131"/>
      <c r="L888" s="131"/>
      <c r="M888" s="131"/>
      <c r="N888" s="131"/>
      <c r="O888" s="131"/>
      <c r="P888" s="131"/>
      <c r="Q888" s="131"/>
      <c r="R888" s="131"/>
      <c r="S888" s="131"/>
      <c r="T888" s="131"/>
    </row>
    <row r="889">
      <c r="A889" s="131"/>
      <c r="B889" s="131"/>
      <c r="C889" s="131"/>
      <c r="D889" s="131"/>
      <c r="E889" s="131"/>
      <c r="F889" s="131"/>
      <c r="G889" s="131"/>
      <c r="H889" s="131"/>
      <c r="I889" s="131"/>
      <c r="J889" s="131"/>
      <c r="K889" s="131"/>
      <c r="L889" s="131"/>
      <c r="M889" s="131"/>
      <c r="N889" s="131"/>
      <c r="O889" s="131"/>
      <c r="P889" s="131"/>
      <c r="Q889" s="131"/>
      <c r="R889" s="131"/>
      <c r="S889" s="131"/>
      <c r="T889" s="131"/>
    </row>
    <row r="890">
      <c r="A890" s="131"/>
      <c r="B890" s="131"/>
      <c r="C890" s="131"/>
      <c r="D890" s="131"/>
      <c r="E890" s="131"/>
      <c r="F890" s="131"/>
      <c r="G890" s="131"/>
      <c r="H890" s="131"/>
      <c r="I890" s="131"/>
      <c r="J890" s="131"/>
      <c r="K890" s="131"/>
      <c r="L890" s="131"/>
      <c r="M890" s="131"/>
      <c r="N890" s="131"/>
      <c r="O890" s="131"/>
      <c r="P890" s="131"/>
      <c r="Q890" s="131"/>
      <c r="R890" s="131"/>
      <c r="S890" s="131"/>
      <c r="T890" s="131"/>
    </row>
    <row r="891">
      <c r="A891" s="131"/>
      <c r="B891" s="131"/>
      <c r="C891" s="131"/>
      <c r="D891" s="131"/>
      <c r="E891" s="131"/>
      <c r="F891" s="131"/>
      <c r="G891" s="131"/>
      <c r="H891" s="131"/>
      <c r="I891" s="131"/>
      <c r="J891" s="131"/>
      <c r="K891" s="131"/>
      <c r="L891" s="131"/>
      <c r="M891" s="131"/>
      <c r="N891" s="131"/>
      <c r="O891" s="131"/>
      <c r="P891" s="131"/>
      <c r="Q891" s="131"/>
      <c r="R891" s="131"/>
      <c r="S891" s="131"/>
      <c r="T891" s="131"/>
    </row>
    <row r="892">
      <c r="A892" s="131"/>
      <c r="B892" s="131"/>
      <c r="C892" s="131"/>
      <c r="D892" s="131"/>
      <c r="E892" s="131"/>
      <c r="F892" s="131"/>
      <c r="G892" s="131"/>
      <c r="H892" s="131"/>
      <c r="I892" s="131"/>
      <c r="J892" s="131"/>
      <c r="K892" s="131"/>
      <c r="L892" s="131"/>
      <c r="M892" s="131"/>
      <c r="N892" s="131"/>
      <c r="O892" s="131"/>
      <c r="P892" s="131"/>
      <c r="Q892" s="131"/>
      <c r="R892" s="131"/>
      <c r="S892" s="131"/>
      <c r="T892" s="131"/>
    </row>
    <row r="893">
      <c r="A893" s="131"/>
      <c r="B893" s="131"/>
      <c r="C893" s="131"/>
      <c r="D893" s="131"/>
      <c r="E893" s="131"/>
      <c r="F893" s="131"/>
      <c r="G893" s="131"/>
      <c r="H893" s="131"/>
      <c r="I893" s="131"/>
      <c r="J893" s="131"/>
      <c r="K893" s="131"/>
      <c r="L893" s="131"/>
      <c r="M893" s="131"/>
      <c r="N893" s="131"/>
      <c r="O893" s="131"/>
      <c r="P893" s="131"/>
      <c r="Q893" s="131"/>
      <c r="R893" s="131"/>
      <c r="S893" s="131"/>
      <c r="T893" s="131"/>
    </row>
    <row r="894">
      <c r="A894" s="131"/>
      <c r="B894" s="131"/>
      <c r="C894" s="131"/>
      <c r="D894" s="131"/>
      <c r="E894" s="131"/>
      <c r="F894" s="131"/>
      <c r="G894" s="131"/>
      <c r="H894" s="131"/>
      <c r="I894" s="131"/>
      <c r="J894" s="131"/>
      <c r="K894" s="131"/>
      <c r="L894" s="131"/>
      <c r="M894" s="131"/>
      <c r="N894" s="131"/>
      <c r="O894" s="131"/>
      <c r="P894" s="131"/>
      <c r="Q894" s="131"/>
      <c r="R894" s="131"/>
      <c r="S894" s="131"/>
      <c r="T894" s="131"/>
    </row>
    <row r="895">
      <c r="A895" s="131"/>
      <c r="B895" s="131"/>
      <c r="C895" s="131"/>
      <c r="D895" s="131"/>
      <c r="E895" s="131"/>
      <c r="F895" s="131"/>
      <c r="G895" s="131"/>
      <c r="H895" s="131"/>
      <c r="I895" s="131"/>
      <c r="J895" s="131"/>
      <c r="K895" s="131"/>
      <c r="L895" s="131"/>
      <c r="M895" s="131"/>
      <c r="N895" s="131"/>
      <c r="O895" s="131"/>
      <c r="P895" s="131"/>
      <c r="Q895" s="131"/>
      <c r="R895" s="131"/>
      <c r="S895" s="131"/>
      <c r="T895" s="131"/>
    </row>
    <row r="896">
      <c r="A896" s="131"/>
      <c r="B896" s="131"/>
      <c r="C896" s="131"/>
      <c r="D896" s="131"/>
      <c r="E896" s="131"/>
      <c r="F896" s="131"/>
      <c r="G896" s="131"/>
      <c r="H896" s="131"/>
      <c r="I896" s="131"/>
      <c r="J896" s="131"/>
      <c r="K896" s="131"/>
      <c r="L896" s="131"/>
      <c r="M896" s="131"/>
      <c r="N896" s="131"/>
      <c r="O896" s="131"/>
      <c r="P896" s="131"/>
      <c r="Q896" s="131"/>
      <c r="R896" s="131"/>
      <c r="S896" s="131"/>
      <c r="T896" s="131"/>
    </row>
    <row r="897">
      <c r="A897" s="131"/>
      <c r="B897" s="131"/>
      <c r="C897" s="131"/>
      <c r="D897" s="131"/>
      <c r="E897" s="131"/>
      <c r="F897" s="131"/>
      <c r="G897" s="131"/>
      <c r="H897" s="131"/>
      <c r="I897" s="131"/>
      <c r="J897" s="131"/>
      <c r="K897" s="131"/>
      <c r="L897" s="131"/>
      <c r="M897" s="131"/>
      <c r="N897" s="131"/>
      <c r="O897" s="131"/>
      <c r="P897" s="131"/>
      <c r="Q897" s="131"/>
      <c r="R897" s="131"/>
      <c r="S897" s="131"/>
      <c r="T897" s="131"/>
    </row>
    <row r="898">
      <c r="A898" s="131"/>
      <c r="B898" s="131"/>
      <c r="C898" s="131"/>
      <c r="D898" s="131"/>
      <c r="E898" s="131"/>
      <c r="F898" s="131"/>
      <c r="G898" s="131"/>
      <c r="H898" s="131"/>
      <c r="I898" s="131"/>
      <c r="J898" s="131"/>
      <c r="K898" s="131"/>
      <c r="L898" s="131"/>
      <c r="M898" s="131"/>
      <c r="N898" s="131"/>
      <c r="O898" s="131"/>
      <c r="P898" s="131"/>
      <c r="Q898" s="131"/>
      <c r="R898" s="131"/>
      <c r="S898" s="131"/>
      <c r="T898" s="131"/>
    </row>
    <row r="899">
      <c r="A899" s="131"/>
      <c r="B899" s="131"/>
      <c r="C899" s="131"/>
      <c r="D899" s="131"/>
      <c r="E899" s="131"/>
      <c r="F899" s="131"/>
      <c r="G899" s="131"/>
      <c r="H899" s="131"/>
      <c r="I899" s="131"/>
      <c r="J899" s="131"/>
      <c r="K899" s="131"/>
      <c r="L899" s="131"/>
      <c r="M899" s="131"/>
      <c r="N899" s="131"/>
      <c r="O899" s="131"/>
      <c r="P899" s="131"/>
      <c r="Q899" s="131"/>
      <c r="R899" s="131"/>
      <c r="S899" s="131"/>
      <c r="T899" s="131"/>
    </row>
    <row r="900">
      <c r="A900" s="131"/>
      <c r="B900" s="131"/>
      <c r="C900" s="131"/>
      <c r="D900" s="131"/>
      <c r="E900" s="131"/>
      <c r="F900" s="131"/>
      <c r="G900" s="131"/>
      <c r="H900" s="131"/>
      <c r="I900" s="131"/>
      <c r="J900" s="131"/>
      <c r="K900" s="131"/>
      <c r="L900" s="131"/>
      <c r="M900" s="131"/>
      <c r="N900" s="131"/>
      <c r="O900" s="131"/>
      <c r="P900" s="131"/>
      <c r="Q900" s="131"/>
      <c r="R900" s="131"/>
      <c r="S900" s="131"/>
      <c r="T900" s="131"/>
    </row>
    <row r="901">
      <c r="A901" s="131"/>
      <c r="B901" s="131"/>
      <c r="C901" s="131"/>
      <c r="D901" s="131"/>
      <c r="E901" s="131"/>
      <c r="F901" s="131"/>
      <c r="G901" s="131"/>
      <c r="H901" s="131"/>
      <c r="I901" s="131"/>
      <c r="J901" s="131"/>
      <c r="K901" s="131"/>
      <c r="L901" s="131"/>
      <c r="M901" s="131"/>
      <c r="N901" s="131"/>
      <c r="O901" s="131"/>
      <c r="P901" s="131"/>
      <c r="Q901" s="131"/>
      <c r="R901" s="131"/>
      <c r="S901" s="131"/>
      <c r="T901" s="131"/>
    </row>
    <row r="902">
      <c r="A902" s="131"/>
      <c r="B902" s="131"/>
      <c r="C902" s="131"/>
      <c r="D902" s="131"/>
      <c r="E902" s="131"/>
      <c r="F902" s="131"/>
      <c r="G902" s="131"/>
      <c r="H902" s="131"/>
      <c r="I902" s="131"/>
      <c r="J902" s="131"/>
      <c r="K902" s="131"/>
      <c r="L902" s="131"/>
      <c r="M902" s="131"/>
      <c r="N902" s="131"/>
      <c r="O902" s="131"/>
      <c r="P902" s="131"/>
      <c r="Q902" s="131"/>
      <c r="R902" s="131"/>
      <c r="S902" s="131"/>
      <c r="T902" s="131"/>
    </row>
    <row r="903">
      <c r="A903" s="131"/>
      <c r="B903" s="131"/>
      <c r="C903" s="131"/>
      <c r="D903" s="131"/>
      <c r="E903" s="131"/>
      <c r="F903" s="131"/>
      <c r="G903" s="131"/>
      <c r="H903" s="131"/>
      <c r="I903" s="131"/>
      <c r="J903" s="131"/>
      <c r="K903" s="131"/>
      <c r="L903" s="131"/>
      <c r="M903" s="131"/>
      <c r="N903" s="131"/>
      <c r="O903" s="131"/>
      <c r="P903" s="131"/>
      <c r="Q903" s="131"/>
      <c r="R903" s="131"/>
      <c r="S903" s="131"/>
      <c r="T903" s="131"/>
    </row>
    <row r="904">
      <c r="A904" s="131"/>
      <c r="B904" s="131"/>
      <c r="C904" s="131"/>
      <c r="D904" s="131"/>
      <c r="E904" s="131"/>
      <c r="F904" s="131"/>
      <c r="G904" s="131"/>
      <c r="H904" s="131"/>
      <c r="I904" s="131"/>
      <c r="J904" s="131"/>
      <c r="K904" s="131"/>
      <c r="L904" s="131"/>
      <c r="M904" s="131"/>
      <c r="N904" s="131"/>
      <c r="O904" s="131"/>
      <c r="P904" s="131"/>
      <c r="Q904" s="131"/>
      <c r="R904" s="131"/>
      <c r="S904" s="131"/>
      <c r="T904" s="131"/>
    </row>
    <row r="905">
      <c r="A905" s="131"/>
      <c r="B905" s="131"/>
      <c r="C905" s="131"/>
      <c r="D905" s="131"/>
      <c r="E905" s="131"/>
      <c r="F905" s="131"/>
      <c r="G905" s="131"/>
      <c r="H905" s="131"/>
      <c r="I905" s="131"/>
      <c r="J905" s="131"/>
      <c r="K905" s="131"/>
      <c r="L905" s="131"/>
      <c r="M905" s="131"/>
      <c r="N905" s="131"/>
      <c r="O905" s="131"/>
      <c r="P905" s="131"/>
      <c r="Q905" s="131"/>
      <c r="R905" s="131"/>
      <c r="S905" s="131"/>
      <c r="T905" s="131"/>
    </row>
    <row r="906">
      <c r="A906" s="131"/>
      <c r="B906" s="131"/>
      <c r="C906" s="131"/>
      <c r="D906" s="131"/>
      <c r="E906" s="131"/>
      <c r="F906" s="131"/>
      <c r="G906" s="131"/>
      <c r="H906" s="131"/>
      <c r="I906" s="131"/>
      <c r="J906" s="131"/>
      <c r="K906" s="131"/>
      <c r="L906" s="131"/>
      <c r="M906" s="131"/>
      <c r="N906" s="131"/>
      <c r="O906" s="131"/>
      <c r="P906" s="131"/>
      <c r="Q906" s="131"/>
      <c r="R906" s="131"/>
      <c r="S906" s="131"/>
      <c r="T906" s="131"/>
    </row>
    <row r="907">
      <c r="A907" s="131"/>
      <c r="B907" s="131"/>
      <c r="C907" s="131"/>
      <c r="D907" s="131"/>
      <c r="E907" s="131"/>
      <c r="F907" s="131"/>
      <c r="G907" s="131"/>
      <c r="H907" s="131"/>
      <c r="I907" s="131"/>
      <c r="J907" s="131"/>
      <c r="K907" s="131"/>
      <c r="L907" s="131"/>
      <c r="M907" s="131"/>
      <c r="N907" s="131"/>
      <c r="O907" s="131"/>
      <c r="P907" s="131"/>
      <c r="Q907" s="131"/>
      <c r="R907" s="131"/>
      <c r="S907" s="131"/>
      <c r="T907" s="131"/>
    </row>
    <row r="908">
      <c r="A908" s="131"/>
      <c r="B908" s="131"/>
      <c r="C908" s="131"/>
      <c r="D908" s="131"/>
      <c r="E908" s="131"/>
      <c r="F908" s="131"/>
      <c r="G908" s="131"/>
      <c r="H908" s="131"/>
      <c r="I908" s="131"/>
      <c r="J908" s="131"/>
      <c r="K908" s="131"/>
      <c r="L908" s="131"/>
      <c r="M908" s="131"/>
      <c r="N908" s="131"/>
      <c r="O908" s="131"/>
      <c r="P908" s="131"/>
      <c r="Q908" s="131"/>
      <c r="R908" s="131"/>
      <c r="S908" s="131"/>
      <c r="T908" s="131"/>
    </row>
    <row r="909">
      <c r="A909" s="131"/>
      <c r="B909" s="131"/>
      <c r="C909" s="131"/>
      <c r="D909" s="131"/>
      <c r="E909" s="131"/>
      <c r="F909" s="131"/>
      <c r="G909" s="131"/>
      <c r="H909" s="131"/>
      <c r="I909" s="131"/>
      <c r="J909" s="131"/>
      <c r="K909" s="131"/>
      <c r="L909" s="131"/>
      <c r="M909" s="131"/>
      <c r="N909" s="131"/>
      <c r="O909" s="131"/>
      <c r="P909" s="131"/>
      <c r="Q909" s="131"/>
      <c r="R909" s="131"/>
      <c r="S909" s="131"/>
      <c r="T909" s="131"/>
    </row>
    <row r="910">
      <c r="A910" s="131"/>
      <c r="B910" s="131"/>
      <c r="C910" s="131"/>
      <c r="D910" s="131"/>
      <c r="E910" s="131"/>
      <c r="F910" s="131"/>
      <c r="G910" s="131"/>
      <c r="H910" s="131"/>
      <c r="I910" s="131"/>
      <c r="J910" s="131"/>
      <c r="K910" s="131"/>
      <c r="L910" s="131"/>
      <c r="M910" s="131"/>
      <c r="N910" s="131"/>
      <c r="O910" s="131"/>
      <c r="P910" s="131"/>
      <c r="Q910" s="131"/>
      <c r="R910" s="131"/>
      <c r="S910" s="131"/>
      <c r="T910" s="131"/>
    </row>
    <row r="911">
      <c r="A911" s="131"/>
      <c r="B911" s="131"/>
      <c r="C911" s="131"/>
      <c r="D911" s="131"/>
      <c r="E911" s="131"/>
      <c r="F911" s="131"/>
      <c r="G911" s="131"/>
      <c r="H911" s="131"/>
      <c r="I911" s="131"/>
      <c r="J911" s="131"/>
      <c r="K911" s="131"/>
      <c r="L911" s="131"/>
      <c r="M911" s="131"/>
      <c r="N911" s="131"/>
      <c r="O911" s="131"/>
      <c r="P911" s="131"/>
      <c r="Q911" s="131"/>
      <c r="R911" s="131"/>
      <c r="S911" s="131"/>
      <c r="T911" s="131"/>
    </row>
    <row r="912">
      <c r="A912" s="131"/>
      <c r="B912" s="131"/>
      <c r="C912" s="131"/>
      <c r="D912" s="131"/>
      <c r="E912" s="131"/>
      <c r="F912" s="131"/>
      <c r="G912" s="131"/>
      <c r="H912" s="131"/>
      <c r="I912" s="131"/>
      <c r="J912" s="131"/>
      <c r="K912" s="131"/>
      <c r="L912" s="131"/>
      <c r="M912" s="131"/>
      <c r="N912" s="131"/>
      <c r="O912" s="131"/>
      <c r="P912" s="131"/>
      <c r="Q912" s="131"/>
      <c r="R912" s="131"/>
      <c r="S912" s="131"/>
      <c r="T912" s="131"/>
    </row>
    <row r="913">
      <c r="A913" s="131"/>
      <c r="B913" s="131"/>
      <c r="C913" s="131"/>
      <c r="D913" s="131"/>
      <c r="E913" s="131"/>
      <c r="F913" s="131"/>
      <c r="G913" s="131"/>
      <c r="H913" s="131"/>
      <c r="I913" s="131"/>
      <c r="J913" s="131"/>
      <c r="K913" s="131"/>
      <c r="L913" s="131"/>
      <c r="M913" s="131"/>
      <c r="N913" s="131"/>
      <c r="O913" s="131"/>
      <c r="P913" s="131"/>
      <c r="Q913" s="131"/>
      <c r="R913" s="131"/>
      <c r="S913" s="131"/>
      <c r="T913" s="131"/>
    </row>
    <row r="914">
      <c r="A914" s="131"/>
      <c r="B914" s="131"/>
      <c r="C914" s="131"/>
      <c r="D914" s="131"/>
      <c r="E914" s="131"/>
      <c r="F914" s="131"/>
      <c r="G914" s="131"/>
      <c r="H914" s="131"/>
      <c r="I914" s="131"/>
      <c r="J914" s="131"/>
      <c r="K914" s="131"/>
      <c r="L914" s="131"/>
      <c r="M914" s="131"/>
      <c r="N914" s="131"/>
      <c r="O914" s="131"/>
      <c r="P914" s="131"/>
      <c r="Q914" s="131"/>
      <c r="R914" s="131"/>
      <c r="S914" s="131"/>
      <c r="T914" s="131"/>
    </row>
    <row r="915">
      <c r="A915" s="131"/>
      <c r="B915" s="131"/>
      <c r="C915" s="131"/>
      <c r="D915" s="131"/>
      <c r="E915" s="131"/>
      <c r="F915" s="131"/>
      <c r="G915" s="131"/>
      <c r="H915" s="131"/>
      <c r="I915" s="131"/>
      <c r="J915" s="131"/>
      <c r="K915" s="131"/>
      <c r="L915" s="131"/>
      <c r="M915" s="131"/>
      <c r="N915" s="131"/>
      <c r="O915" s="131"/>
      <c r="P915" s="131"/>
      <c r="Q915" s="131"/>
      <c r="R915" s="131"/>
      <c r="S915" s="131"/>
      <c r="T915" s="131"/>
    </row>
    <row r="916">
      <c r="A916" s="131"/>
      <c r="B916" s="131"/>
      <c r="C916" s="131"/>
      <c r="D916" s="131"/>
      <c r="E916" s="131"/>
      <c r="F916" s="131"/>
      <c r="G916" s="131"/>
      <c r="H916" s="131"/>
      <c r="I916" s="131"/>
      <c r="J916" s="131"/>
      <c r="K916" s="131"/>
      <c r="L916" s="131"/>
      <c r="M916" s="131"/>
      <c r="N916" s="131"/>
      <c r="O916" s="131"/>
      <c r="P916" s="131"/>
      <c r="Q916" s="131"/>
      <c r="R916" s="131"/>
      <c r="S916" s="131"/>
      <c r="T916" s="131"/>
    </row>
    <row r="917">
      <c r="A917" s="131"/>
      <c r="B917" s="131"/>
      <c r="C917" s="131"/>
      <c r="D917" s="131"/>
      <c r="E917" s="131"/>
      <c r="F917" s="131"/>
      <c r="G917" s="131"/>
      <c r="H917" s="131"/>
      <c r="I917" s="131"/>
      <c r="J917" s="131"/>
      <c r="K917" s="131"/>
      <c r="L917" s="131"/>
      <c r="M917" s="131"/>
      <c r="N917" s="131"/>
      <c r="O917" s="131"/>
      <c r="P917" s="131"/>
      <c r="Q917" s="131"/>
      <c r="R917" s="131"/>
      <c r="S917" s="131"/>
      <c r="T917" s="131"/>
    </row>
    <row r="918">
      <c r="A918" s="131"/>
      <c r="B918" s="131"/>
      <c r="C918" s="131"/>
      <c r="D918" s="131"/>
      <c r="E918" s="131"/>
      <c r="F918" s="131"/>
      <c r="G918" s="131"/>
      <c r="H918" s="131"/>
      <c r="I918" s="131"/>
      <c r="J918" s="131"/>
      <c r="K918" s="131"/>
      <c r="L918" s="131"/>
      <c r="M918" s="131"/>
      <c r="N918" s="131"/>
      <c r="O918" s="131"/>
      <c r="P918" s="131"/>
      <c r="Q918" s="131"/>
      <c r="R918" s="131"/>
      <c r="S918" s="131"/>
      <c r="T918" s="131"/>
    </row>
    <row r="919">
      <c r="A919" s="131"/>
      <c r="B919" s="131"/>
      <c r="C919" s="131"/>
      <c r="D919" s="131"/>
      <c r="E919" s="131"/>
      <c r="F919" s="131"/>
      <c r="G919" s="131"/>
      <c r="H919" s="131"/>
      <c r="I919" s="131"/>
      <c r="J919" s="131"/>
      <c r="K919" s="131"/>
      <c r="L919" s="131"/>
      <c r="M919" s="131"/>
      <c r="N919" s="131"/>
      <c r="O919" s="131"/>
      <c r="P919" s="131"/>
      <c r="Q919" s="131"/>
      <c r="R919" s="131"/>
      <c r="S919" s="131"/>
      <c r="T919" s="131"/>
    </row>
    <row r="920">
      <c r="A920" s="131"/>
      <c r="B920" s="131"/>
      <c r="C920" s="131"/>
      <c r="D920" s="131"/>
      <c r="E920" s="131"/>
      <c r="F920" s="131"/>
      <c r="G920" s="131"/>
      <c r="H920" s="131"/>
      <c r="I920" s="131"/>
      <c r="J920" s="131"/>
      <c r="K920" s="131"/>
      <c r="L920" s="131"/>
      <c r="M920" s="131"/>
      <c r="N920" s="131"/>
      <c r="O920" s="131"/>
      <c r="P920" s="131"/>
      <c r="Q920" s="131"/>
      <c r="R920" s="131"/>
      <c r="S920" s="131"/>
      <c r="T920" s="131"/>
    </row>
    <row r="921">
      <c r="A921" s="131"/>
      <c r="B921" s="131"/>
      <c r="C921" s="131"/>
      <c r="D921" s="131"/>
      <c r="E921" s="131"/>
      <c r="F921" s="131"/>
      <c r="G921" s="131"/>
      <c r="H921" s="131"/>
      <c r="I921" s="131"/>
      <c r="J921" s="131"/>
      <c r="K921" s="131"/>
      <c r="L921" s="131"/>
      <c r="M921" s="131"/>
      <c r="N921" s="131"/>
      <c r="O921" s="131"/>
      <c r="P921" s="131"/>
      <c r="Q921" s="131"/>
      <c r="R921" s="131"/>
      <c r="S921" s="131"/>
      <c r="T921" s="131"/>
    </row>
    <row r="922">
      <c r="A922" s="131"/>
      <c r="B922" s="131"/>
      <c r="C922" s="131"/>
      <c r="D922" s="131"/>
      <c r="E922" s="131"/>
      <c r="F922" s="131"/>
      <c r="G922" s="131"/>
      <c r="H922" s="131"/>
      <c r="I922" s="131"/>
      <c r="J922" s="131"/>
      <c r="K922" s="131"/>
      <c r="L922" s="131"/>
      <c r="M922" s="131"/>
      <c r="N922" s="131"/>
      <c r="O922" s="131"/>
      <c r="P922" s="131"/>
      <c r="Q922" s="131"/>
      <c r="R922" s="131"/>
      <c r="S922" s="131"/>
      <c r="T922" s="131"/>
    </row>
    <row r="923">
      <c r="A923" s="131"/>
      <c r="B923" s="131"/>
      <c r="C923" s="131"/>
      <c r="D923" s="131"/>
      <c r="E923" s="131"/>
      <c r="F923" s="131"/>
      <c r="G923" s="131"/>
      <c r="H923" s="131"/>
      <c r="I923" s="131"/>
      <c r="J923" s="131"/>
      <c r="K923" s="131"/>
      <c r="L923" s="131"/>
      <c r="M923" s="131"/>
      <c r="N923" s="131"/>
      <c r="O923" s="131"/>
      <c r="P923" s="131"/>
      <c r="Q923" s="131"/>
      <c r="R923" s="131"/>
      <c r="S923" s="131"/>
      <c r="T923" s="131"/>
    </row>
    <row r="924">
      <c r="A924" s="131"/>
      <c r="B924" s="131"/>
      <c r="C924" s="131"/>
      <c r="D924" s="131"/>
      <c r="E924" s="131"/>
      <c r="F924" s="131"/>
      <c r="G924" s="131"/>
      <c r="H924" s="131"/>
      <c r="I924" s="131"/>
      <c r="J924" s="131"/>
      <c r="K924" s="131"/>
      <c r="L924" s="131"/>
      <c r="M924" s="131"/>
      <c r="N924" s="131"/>
      <c r="O924" s="131"/>
      <c r="P924" s="131"/>
      <c r="Q924" s="131"/>
      <c r="R924" s="131"/>
      <c r="S924" s="131"/>
      <c r="T924" s="131"/>
    </row>
    <row r="925">
      <c r="A925" s="131"/>
      <c r="B925" s="131"/>
      <c r="C925" s="131"/>
      <c r="D925" s="131"/>
      <c r="E925" s="131"/>
      <c r="F925" s="131"/>
      <c r="G925" s="131"/>
      <c r="H925" s="131"/>
      <c r="I925" s="131"/>
      <c r="J925" s="131"/>
      <c r="K925" s="131"/>
      <c r="L925" s="131"/>
      <c r="M925" s="131"/>
      <c r="N925" s="131"/>
      <c r="O925" s="131"/>
      <c r="P925" s="131"/>
      <c r="Q925" s="131"/>
      <c r="R925" s="131"/>
      <c r="S925" s="131"/>
      <c r="T925" s="131"/>
    </row>
    <row r="926">
      <c r="A926" s="131"/>
      <c r="B926" s="131"/>
      <c r="C926" s="131"/>
      <c r="D926" s="131"/>
      <c r="E926" s="131"/>
      <c r="F926" s="131"/>
      <c r="G926" s="131"/>
      <c r="H926" s="131"/>
      <c r="I926" s="131"/>
      <c r="J926" s="131"/>
      <c r="K926" s="131"/>
      <c r="L926" s="131"/>
      <c r="M926" s="131"/>
      <c r="N926" s="131"/>
      <c r="O926" s="131"/>
      <c r="P926" s="131"/>
      <c r="Q926" s="131"/>
      <c r="R926" s="131"/>
      <c r="S926" s="131"/>
      <c r="T926" s="131"/>
    </row>
    <row r="927">
      <c r="A927" s="131"/>
      <c r="B927" s="131"/>
      <c r="C927" s="131"/>
      <c r="D927" s="131"/>
      <c r="E927" s="131"/>
      <c r="F927" s="131"/>
      <c r="G927" s="131"/>
      <c r="H927" s="131"/>
      <c r="I927" s="131"/>
      <c r="J927" s="131"/>
      <c r="K927" s="131"/>
      <c r="L927" s="131"/>
      <c r="M927" s="131"/>
      <c r="N927" s="131"/>
      <c r="O927" s="131"/>
      <c r="P927" s="131"/>
      <c r="Q927" s="131"/>
      <c r="R927" s="131"/>
      <c r="S927" s="131"/>
      <c r="T927" s="131"/>
    </row>
    <row r="928">
      <c r="A928" s="131"/>
      <c r="B928" s="131"/>
      <c r="C928" s="131"/>
      <c r="D928" s="131"/>
      <c r="E928" s="131"/>
      <c r="F928" s="131"/>
      <c r="G928" s="131"/>
      <c r="H928" s="131"/>
      <c r="I928" s="131"/>
      <c r="J928" s="131"/>
      <c r="K928" s="131"/>
      <c r="L928" s="131"/>
      <c r="M928" s="131"/>
      <c r="N928" s="131"/>
      <c r="O928" s="131"/>
      <c r="P928" s="131"/>
      <c r="Q928" s="131"/>
      <c r="R928" s="131"/>
      <c r="S928" s="131"/>
      <c r="T928" s="131"/>
    </row>
    <row r="929">
      <c r="A929" s="131"/>
      <c r="B929" s="131"/>
      <c r="C929" s="131"/>
      <c r="D929" s="131"/>
      <c r="E929" s="131"/>
      <c r="F929" s="131"/>
      <c r="G929" s="131"/>
      <c r="H929" s="131"/>
      <c r="I929" s="131"/>
      <c r="J929" s="131"/>
      <c r="K929" s="131"/>
      <c r="L929" s="131"/>
      <c r="M929" s="131"/>
      <c r="N929" s="131"/>
      <c r="O929" s="131"/>
      <c r="P929" s="131"/>
      <c r="Q929" s="131"/>
      <c r="R929" s="131"/>
      <c r="S929" s="131"/>
      <c r="T929" s="131"/>
    </row>
    <row r="930">
      <c r="A930" s="131"/>
      <c r="B930" s="131"/>
      <c r="C930" s="131"/>
      <c r="D930" s="131"/>
      <c r="E930" s="131"/>
      <c r="F930" s="131"/>
      <c r="G930" s="131"/>
      <c r="H930" s="131"/>
      <c r="I930" s="131"/>
      <c r="J930" s="131"/>
      <c r="K930" s="131"/>
      <c r="L930" s="131"/>
      <c r="M930" s="131"/>
      <c r="N930" s="131"/>
      <c r="O930" s="131"/>
      <c r="P930" s="131"/>
      <c r="Q930" s="131"/>
      <c r="R930" s="131"/>
      <c r="S930" s="131"/>
      <c r="T930" s="131"/>
    </row>
    <row r="931">
      <c r="A931" s="131"/>
      <c r="B931" s="131"/>
      <c r="C931" s="131"/>
      <c r="D931" s="131"/>
      <c r="E931" s="131"/>
      <c r="F931" s="131"/>
      <c r="G931" s="131"/>
      <c r="H931" s="131"/>
      <c r="I931" s="131"/>
      <c r="J931" s="131"/>
      <c r="K931" s="131"/>
      <c r="L931" s="131"/>
      <c r="M931" s="131"/>
      <c r="N931" s="131"/>
      <c r="O931" s="131"/>
      <c r="P931" s="131"/>
      <c r="Q931" s="131"/>
      <c r="R931" s="131"/>
      <c r="S931" s="131"/>
      <c r="T931" s="131"/>
    </row>
    <row r="932">
      <c r="A932" s="131"/>
      <c r="B932" s="131"/>
      <c r="C932" s="131"/>
      <c r="D932" s="131"/>
      <c r="E932" s="131"/>
      <c r="F932" s="131"/>
      <c r="G932" s="131"/>
      <c r="H932" s="131"/>
      <c r="I932" s="131"/>
      <c r="J932" s="131"/>
      <c r="K932" s="131"/>
      <c r="L932" s="131"/>
      <c r="M932" s="131"/>
      <c r="N932" s="131"/>
      <c r="O932" s="131"/>
      <c r="P932" s="131"/>
      <c r="Q932" s="131"/>
      <c r="R932" s="131"/>
      <c r="S932" s="131"/>
      <c r="T932" s="131"/>
    </row>
    <row r="933">
      <c r="A933" s="131"/>
      <c r="B933" s="131"/>
      <c r="C933" s="131"/>
      <c r="D933" s="131"/>
      <c r="E933" s="131"/>
      <c r="F933" s="131"/>
      <c r="G933" s="131"/>
      <c r="H933" s="131"/>
      <c r="I933" s="131"/>
      <c r="J933" s="131"/>
      <c r="K933" s="131"/>
      <c r="L933" s="131"/>
      <c r="M933" s="131"/>
      <c r="N933" s="131"/>
      <c r="O933" s="131"/>
      <c r="P933" s="131"/>
      <c r="Q933" s="131"/>
      <c r="R933" s="131"/>
      <c r="S933" s="131"/>
      <c r="T933" s="131"/>
    </row>
    <row r="934">
      <c r="A934" s="131"/>
      <c r="B934" s="131"/>
      <c r="C934" s="131"/>
      <c r="D934" s="131"/>
      <c r="E934" s="131"/>
      <c r="F934" s="131"/>
      <c r="G934" s="131"/>
      <c r="H934" s="131"/>
      <c r="I934" s="131"/>
      <c r="J934" s="131"/>
      <c r="K934" s="131"/>
      <c r="L934" s="131"/>
      <c r="M934" s="131"/>
      <c r="N934" s="131"/>
      <c r="O934" s="131"/>
      <c r="P934" s="131"/>
      <c r="Q934" s="131"/>
      <c r="R934" s="131"/>
      <c r="S934" s="131"/>
      <c r="T934" s="131"/>
    </row>
    <row r="935">
      <c r="A935" s="131"/>
      <c r="B935" s="131"/>
      <c r="C935" s="131"/>
      <c r="D935" s="131"/>
      <c r="E935" s="131"/>
      <c r="F935" s="131"/>
      <c r="G935" s="131"/>
      <c r="H935" s="131"/>
      <c r="I935" s="131"/>
      <c r="J935" s="131"/>
      <c r="K935" s="131"/>
      <c r="L935" s="131"/>
      <c r="M935" s="131"/>
      <c r="N935" s="131"/>
      <c r="O935" s="131"/>
      <c r="P935" s="131"/>
      <c r="Q935" s="131"/>
      <c r="R935" s="131"/>
      <c r="S935" s="131"/>
      <c r="T935" s="131"/>
    </row>
    <row r="936">
      <c r="A936" s="131"/>
      <c r="B936" s="131"/>
      <c r="C936" s="131"/>
      <c r="D936" s="131"/>
      <c r="E936" s="131"/>
      <c r="F936" s="131"/>
      <c r="G936" s="131"/>
      <c r="H936" s="131"/>
      <c r="I936" s="131"/>
      <c r="J936" s="131"/>
      <c r="K936" s="131"/>
      <c r="L936" s="131"/>
      <c r="M936" s="131"/>
      <c r="N936" s="131"/>
      <c r="O936" s="131"/>
      <c r="P936" s="131"/>
      <c r="Q936" s="131"/>
      <c r="R936" s="131"/>
      <c r="S936" s="131"/>
      <c r="T936" s="131"/>
    </row>
    <row r="937">
      <c r="A937" s="131"/>
      <c r="B937" s="131"/>
      <c r="C937" s="131"/>
      <c r="D937" s="131"/>
      <c r="E937" s="131"/>
      <c r="F937" s="131"/>
      <c r="G937" s="131"/>
      <c r="H937" s="131"/>
      <c r="I937" s="131"/>
      <c r="J937" s="131"/>
      <c r="K937" s="131"/>
      <c r="L937" s="131"/>
      <c r="M937" s="131"/>
      <c r="N937" s="131"/>
      <c r="O937" s="131"/>
      <c r="P937" s="131"/>
      <c r="Q937" s="131"/>
      <c r="R937" s="131"/>
      <c r="S937" s="131"/>
      <c r="T937" s="131"/>
    </row>
    <row r="938">
      <c r="A938" s="131"/>
      <c r="B938" s="131"/>
      <c r="C938" s="131"/>
      <c r="D938" s="131"/>
      <c r="E938" s="131"/>
      <c r="F938" s="131"/>
      <c r="G938" s="131"/>
      <c r="H938" s="131"/>
      <c r="I938" s="131"/>
      <c r="J938" s="131"/>
      <c r="K938" s="131"/>
      <c r="L938" s="131"/>
      <c r="M938" s="131"/>
      <c r="N938" s="131"/>
      <c r="O938" s="131"/>
      <c r="P938" s="131"/>
      <c r="Q938" s="131"/>
      <c r="R938" s="131"/>
      <c r="S938" s="131"/>
      <c r="T938" s="131"/>
    </row>
    <row r="939">
      <c r="A939" s="131"/>
      <c r="B939" s="131"/>
      <c r="C939" s="131"/>
      <c r="D939" s="131"/>
      <c r="E939" s="131"/>
      <c r="F939" s="131"/>
      <c r="G939" s="131"/>
      <c r="H939" s="131"/>
      <c r="I939" s="131"/>
      <c r="J939" s="131"/>
      <c r="K939" s="131"/>
      <c r="L939" s="131"/>
      <c r="M939" s="131"/>
      <c r="N939" s="131"/>
      <c r="O939" s="131"/>
      <c r="P939" s="131"/>
      <c r="Q939" s="131"/>
      <c r="R939" s="131"/>
      <c r="S939" s="131"/>
      <c r="T939" s="131"/>
    </row>
    <row r="940">
      <c r="A940" s="131"/>
      <c r="B940" s="131"/>
      <c r="C940" s="131"/>
      <c r="D940" s="131"/>
      <c r="E940" s="131"/>
      <c r="F940" s="131"/>
      <c r="G940" s="131"/>
      <c r="H940" s="131"/>
      <c r="I940" s="131"/>
      <c r="J940" s="131"/>
      <c r="K940" s="131"/>
      <c r="L940" s="131"/>
      <c r="M940" s="131"/>
      <c r="N940" s="131"/>
      <c r="O940" s="131"/>
      <c r="P940" s="131"/>
      <c r="Q940" s="131"/>
      <c r="R940" s="131"/>
      <c r="S940" s="131"/>
      <c r="T940" s="131"/>
    </row>
    <row r="941">
      <c r="A941" s="131"/>
      <c r="B941" s="131"/>
      <c r="C941" s="131"/>
      <c r="D941" s="131"/>
      <c r="E941" s="131"/>
      <c r="F941" s="131"/>
      <c r="G941" s="131"/>
      <c r="H941" s="131"/>
      <c r="I941" s="131"/>
      <c r="J941" s="131"/>
      <c r="K941" s="131"/>
      <c r="L941" s="131"/>
      <c r="M941" s="131"/>
      <c r="N941" s="131"/>
      <c r="O941" s="131"/>
      <c r="P941" s="131"/>
      <c r="Q941" s="131"/>
      <c r="R941" s="131"/>
      <c r="S941" s="131"/>
      <c r="T941" s="131"/>
    </row>
    <row r="942">
      <c r="A942" s="131"/>
      <c r="B942" s="131"/>
      <c r="C942" s="131"/>
      <c r="D942" s="131"/>
      <c r="E942" s="131"/>
      <c r="F942" s="131"/>
      <c r="G942" s="131"/>
      <c r="H942" s="131"/>
      <c r="I942" s="131"/>
      <c r="J942" s="131"/>
      <c r="K942" s="131"/>
      <c r="L942" s="131"/>
      <c r="M942" s="131"/>
      <c r="N942" s="131"/>
      <c r="O942" s="131"/>
      <c r="P942" s="131"/>
      <c r="Q942" s="131"/>
      <c r="R942" s="131"/>
      <c r="S942" s="131"/>
      <c r="T942" s="131"/>
    </row>
    <row r="943">
      <c r="A943" s="131"/>
      <c r="B943" s="131"/>
      <c r="C943" s="131"/>
      <c r="D943" s="131"/>
      <c r="E943" s="131"/>
      <c r="F943" s="131"/>
      <c r="G943" s="131"/>
      <c r="H943" s="131"/>
      <c r="I943" s="131"/>
      <c r="J943" s="131"/>
      <c r="K943" s="131"/>
      <c r="L943" s="131"/>
      <c r="M943" s="131"/>
      <c r="N943" s="131"/>
      <c r="O943" s="131"/>
      <c r="P943" s="131"/>
      <c r="Q943" s="131"/>
      <c r="R943" s="131"/>
      <c r="S943" s="131"/>
      <c r="T943" s="131"/>
    </row>
    <row r="944">
      <c r="A944" s="131"/>
      <c r="B944" s="131"/>
      <c r="C944" s="131"/>
      <c r="D944" s="131"/>
      <c r="E944" s="131"/>
      <c r="F944" s="131"/>
      <c r="G944" s="131"/>
      <c r="H944" s="131"/>
      <c r="I944" s="131"/>
      <c r="J944" s="131"/>
      <c r="K944" s="131"/>
      <c r="L944" s="131"/>
      <c r="M944" s="131"/>
      <c r="N944" s="131"/>
      <c r="O944" s="131"/>
      <c r="P944" s="131"/>
      <c r="Q944" s="131"/>
      <c r="R944" s="131"/>
      <c r="S944" s="131"/>
      <c r="T944" s="131"/>
    </row>
    <row r="945">
      <c r="A945" s="131"/>
      <c r="B945" s="131"/>
      <c r="C945" s="131"/>
      <c r="D945" s="131"/>
      <c r="E945" s="131"/>
      <c r="F945" s="131"/>
      <c r="G945" s="131"/>
      <c r="H945" s="131"/>
      <c r="I945" s="131"/>
      <c r="J945" s="131"/>
      <c r="K945" s="131"/>
      <c r="L945" s="131"/>
      <c r="M945" s="131"/>
      <c r="N945" s="131"/>
      <c r="O945" s="131"/>
      <c r="P945" s="131"/>
      <c r="Q945" s="131"/>
      <c r="R945" s="131"/>
      <c r="S945" s="131"/>
      <c r="T945" s="131"/>
    </row>
    <row r="946">
      <c r="A946" s="131"/>
      <c r="B946" s="131"/>
      <c r="C946" s="131"/>
      <c r="D946" s="131"/>
      <c r="E946" s="131"/>
      <c r="F946" s="131"/>
      <c r="G946" s="131"/>
      <c r="H946" s="131"/>
      <c r="I946" s="131"/>
      <c r="J946" s="131"/>
      <c r="K946" s="131"/>
      <c r="L946" s="131"/>
      <c r="M946" s="131"/>
      <c r="N946" s="131"/>
      <c r="O946" s="131"/>
      <c r="P946" s="131"/>
      <c r="Q946" s="131"/>
      <c r="R946" s="131"/>
      <c r="S946" s="131"/>
      <c r="T946" s="131"/>
    </row>
    <row r="947">
      <c r="A947" s="131"/>
      <c r="B947" s="131"/>
      <c r="C947" s="131"/>
      <c r="D947" s="131"/>
      <c r="E947" s="131"/>
      <c r="F947" s="131"/>
      <c r="G947" s="131"/>
      <c r="H947" s="131"/>
      <c r="I947" s="131"/>
      <c r="J947" s="131"/>
      <c r="K947" s="131"/>
      <c r="L947" s="131"/>
      <c r="M947" s="131"/>
      <c r="N947" s="131"/>
      <c r="O947" s="131"/>
      <c r="P947" s="131"/>
      <c r="Q947" s="131"/>
      <c r="R947" s="131"/>
      <c r="S947" s="131"/>
      <c r="T947" s="131"/>
    </row>
    <row r="948">
      <c r="A948" s="131"/>
      <c r="B948" s="131"/>
      <c r="C948" s="131"/>
      <c r="D948" s="131"/>
      <c r="E948" s="131"/>
      <c r="F948" s="131"/>
      <c r="G948" s="131"/>
      <c r="H948" s="131"/>
      <c r="I948" s="131"/>
      <c r="J948" s="131"/>
      <c r="K948" s="131"/>
      <c r="L948" s="131"/>
      <c r="M948" s="131"/>
      <c r="N948" s="131"/>
      <c r="O948" s="131"/>
      <c r="P948" s="131"/>
      <c r="Q948" s="131"/>
      <c r="R948" s="131"/>
      <c r="S948" s="131"/>
      <c r="T948" s="131"/>
    </row>
    <row r="949">
      <c r="A949" s="131"/>
      <c r="B949" s="131"/>
      <c r="C949" s="131"/>
      <c r="D949" s="131"/>
      <c r="E949" s="131"/>
      <c r="F949" s="131"/>
      <c r="G949" s="131"/>
      <c r="H949" s="131"/>
      <c r="I949" s="131"/>
      <c r="J949" s="131"/>
      <c r="K949" s="131"/>
      <c r="L949" s="131"/>
      <c r="M949" s="131"/>
      <c r="N949" s="131"/>
      <c r="O949" s="131"/>
      <c r="P949" s="131"/>
      <c r="Q949" s="131"/>
      <c r="R949" s="131"/>
      <c r="S949" s="131"/>
      <c r="T949" s="131"/>
    </row>
    <row r="950">
      <c r="A950" s="131"/>
      <c r="B950" s="131"/>
      <c r="C950" s="131"/>
      <c r="D950" s="131"/>
      <c r="E950" s="131"/>
      <c r="F950" s="131"/>
      <c r="G950" s="131"/>
      <c r="H950" s="131"/>
      <c r="I950" s="131"/>
      <c r="J950" s="131"/>
      <c r="K950" s="131"/>
      <c r="L950" s="131"/>
      <c r="M950" s="131"/>
      <c r="N950" s="131"/>
      <c r="O950" s="131"/>
      <c r="P950" s="131"/>
      <c r="Q950" s="131"/>
      <c r="R950" s="131"/>
      <c r="S950" s="131"/>
      <c r="T950" s="131"/>
    </row>
    <row r="951">
      <c r="A951" s="131"/>
      <c r="B951" s="131"/>
      <c r="C951" s="131"/>
      <c r="D951" s="131"/>
      <c r="E951" s="131"/>
      <c r="F951" s="131"/>
      <c r="G951" s="131"/>
      <c r="H951" s="131"/>
      <c r="I951" s="131"/>
      <c r="J951" s="131"/>
      <c r="K951" s="131"/>
      <c r="L951" s="131"/>
      <c r="M951" s="131"/>
      <c r="N951" s="131"/>
      <c r="O951" s="131"/>
      <c r="P951" s="131"/>
      <c r="Q951" s="131"/>
      <c r="R951" s="131"/>
      <c r="S951" s="131"/>
      <c r="T951" s="131"/>
    </row>
    <row r="952">
      <c r="A952" s="131"/>
      <c r="B952" s="131"/>
      <c r="C952" s="131"/>
      <c r="D952" s="131"/>
      <c r="E952" s="131"/>
      <c r="F952" s="131"/>
      <c r="G952" s="131"/>
      <c r="H952" s="131"/>
      <c r="I952" s="131"/>
      <c r="J952" s="131"/>
      <c r="K952" s="131"/>
      <c r="L952" s="131"/>
      <c r="M952" s="131"/>
      <c r="N952" s="131"/>
      <c r="O952" s="131"/>
      <c r="P952" s="131"/>
      <c r="Q952" s="131"/>
      <c r="R952" s="131"/>
      <c r="S952" s="131"/>
      <c r="T952" s="131"/>
    </row>
    <row r="953">
      <c r="A953" s="131"/>
      <c r="B953" s="131"/>
      <c r="C953" s="131"/>
      <c r="D953" s="131"/>
      <c r="E953" s="131"/>
      <c r="F953" s="131"/>
      <c r="G953" s="131"/>
      <c r="H953" s="131"/>
      <c r="I953" s="131"/>
      <c r="J953" s="131"/>
      <c r="K953" s="131"/>
      <c r="L953" s="131"/>
      <c r="M953" s="131"/>
      <c r="N953" s="131"/>
      <c r="O953" s="131"/>
      <c r="P953" s="131"/>
      <c r="Q953" s="131"/>
      <c r="R953" s="131"/>
      <c r="S953" s="131"/>
      <c r="T953" s="131"/>
    </row>
    <row r="954">
      <c r="A954" s="131"/>
      <c r="B954" s="131"/>
      <c r="C954" s="131"/>
      <c r="D954" s="131"/>
      <c r="E954" s="131"/>
      <c r="F954" s="131"/>
      <c r="G954" s="131"/>
      <c r="H954" s="131"/>
      <c r="I954" s="131"/>
      <c r="J954" s="131"/>
      <c r="K954" s="131"/>
      <c r="L954" s="131"/>
      <c r="M954" s="131"/>
      <c r="N954" s="131"/>
      <c r="O954" s="131"/>
      <c r="P954" s="131"/>
      <c r="Q954" s="131"/>
      <c r="R954" s="131"/>
      <c r="S954" s="131"/>
      <c r="T954" s="131"/>
    </row>
    <row r="955">
      <c r="A955" s="131"/>
      <c r="B955" s="131"/>
      <c r="C955" s="131"/>
      <c r="D955" s="131"/>
      <c r="E955" s="131"/>
      <c r="F955" s="131"/>
      <c r="G955" s="131"/>
      <c r="H955" s="131"/>
      <c r="I955" s="131"/>
      <c r="J955" s="131"/>
      <c r="K955" s="131"/>
      <c r="L955" s="131"/>
      <c r="M955" s="131"/>
      <c r="N955" s="131"/>
      <c r="O955" s="131"/>
      <c r="P955" s="131"/>
      <c r="Q955" s="131"/>
      <c r="R955" s="131"/>
      <c r="S955" s="131"/>
      <c r="T955" s="131"/>
    </row>
    <row r="956">
      <c r="A956" s="131"/>
      <c r="B956" s="131"/>
      <c r="C956" s="131"/>
      <c r="D956" s="131"/>
      <c r="E956" s="131"/>
      <c r="F956" s="131"/>
      <c r="G956" s="131"/>
      <c r="H956" s="131"/>
      <c r="I956" s="131"/>
      <c r="J956" s="131"/>
      <c r="K956" s="131"/>
      <c r="L956" s="131"/>
      <c r="M956" s="131"/>
      <c r="N956" s="131"/>
      <c r="O956" s="131"/>
      <c r="P956" s="131"/>
      <c r="Q956" s="131"/>
      <c r="R956" s="131"/>
      <c r="S956" s="131"/>
      <c r="T956" s="131"/>
    </row>
    <row r="957">
      <c r="A957" s="131"/>
      <c r="B957" s="131"/>
      <c r="C957" s="131"/>
      <c r="D957" s="131"/>
      <c r="E957" s="131"/>
      <c r="F957" s="131"/>
      <c r="G957" s="131"/>
      <c r="H957" s="131"/>
      <c r="I957" s="131"/>
      <c r="J957" s="131"/>
      <c r="K957" s="131"/>
      <c r="L957" s="131"/>
      <c r="M957" s="131"/>
      <c r="N957" s="131"/>
      <c r="O957" s="131"/>
      <c r="P957" s="131"/>
      <c r="Q957" s="131"/>
      <c r="R957" s="131"/>
      <c r="S957" s="131"/>
      <c r="T957" s="131"/>
    </row>
    <row r="958">
      <c r="A958" s="131"/>
      <c r="B958" s="131"/>
      <c r="C958" s="131"/>
      <c r="D958" s="131"/>
      <c r="E958" s="131"/>
      <c r="F958" s="131"/>
      <c r="G958" s="131"/>
      <c r="H958" s="131"/>
      <c r="I958" s="131"/>
      <c r="J958" s="131"/>
      <c r="K958" s="131"/>
      <c r="L958" s="131"/>
      <c r="M958" s="131"/>
      <c r="N958" s="131"/>
      <c r="O958" s="131"/>
      <c r="P958" s="131"/>
      <c r="Q958" s="131"/>
      <c r="R958" s="131"/>
      <c r="S958" s="131"/>
      <c r="T958" s="131"/>
    </row>
    <row r="959">
      <c r="A959" s="131"/>
      <c r="B959" s="131"/>
      <c r="C959" s="131"/>
      <c r="D959" s="131"/>
      <c r="E959" s="131"/>
      <c r="F959" s="131"/>
      <c r="G959" s="131"/>
      <c r="H959" s="131"/>
      <c r="I959" s="131"/>
      <c r="J959" s="131"/>
      <c r="K959" s="131"/>
      <c r="L959" s="131"/>
      <c r="M959" s="131"/>
      <c r="N959" s="131"/>
      <c r="O959" s="131"/>
      <c r="P959" s="131"/>
      <c r="Q959" s="131"/>
      <c r="R959" s="131"/>
      <c r="S959" s="131"/>
      <c r="T959" s="131"/>
    </row>
    <row r="960">
      <c r="A960" s="131"/>
      <c r="B960" s="131"/>
      <c r="C960" s="131"/>
      <c r="D960" s="131"/>
      <c r="E960" s="131"/>
      <c r="F960" s="131"/>
      <c r="G960" s="131"/>
      <c r="H960" s="131"/>
      <c r="I960" s="131"/>
      <c r="J960" s="131"/>
      <c r="K960" s="131"/>
      <c r="L960" s="131"/>
      <c r="M960" s="131"/>
      <c r="N960" s="131"/>
      <c r="O960" s="131"/>
      <c r="P960" s="131"/>
      <c r="Q960" s="131"/>
      <c r="R960" s="131"/>
      <c r="S960" s="131"/>
      <c r="T960" s="131"/>
    </row>
    <row r="961">
      <c r="A961" s="131"/>
      <c r="B961" s="131"/>
      <c r="C961" s="131"/>
      <c r="D961" s="131"/>
      <c r="E961" s="131"/>
      <c r="F961" s="131"/>
      <c r="G961" s="131"/>
      <c r="H961" s="131"/>
      <c r="I961" s="131"/>
      <c r="J961" s="131"/>
      <c r="K961" s="131"/>
      <c r="L961" s="131"/>
      <c r="M961" s="131"/>
      <c r="N961" s="131"/>
      <c r="O961" s="131"/>
      <c r="P961" s="131"/>
      <c r="Q961" s="131"/>
      <c r="R961" s="131"/>
      <c r="S961" s="131"/>
      <c r="T961" s="131"/>
    </row>
    <row r="962">
      <c r="A962" s="131"/>
      <c r="B962" s="131"/>
      <c r="C962" s="131"/>
      <c r="D962" s="131"/>
      <c r="E962" s="131"/>
      <c r="F962" s="131"/>
      <c r="G962" s="131"/>
      <c r="H962" s="131"/>
      <c r="I962" s="131"/>
      <c r="J962" s="131"/>
      <c r="K962" s="131"/>
      <c r="L962" s="131"/>
      <c r="M962" s="131"/>
      <c r="N962" s="131"/>
      <c r="O962" s="131"/>
      <c r="P962" s="131"/>
      <c r="Q962" s="131"/>
      <c r="R962" s="131"/>
      <c r="S962" s="131"/>
      <c r="T962" s="131"/>
    </row>
    <row r="963">
      <c r="A963" s="131"/>
      <c r="B963" s="131"/>
      <c r="C963" s="131"/>
      <c r="D963" s="131"/>
      <c r="E963" s="131"/>
      <c r="F963" s="131"/>
      <c r="G963" s="131"/>
      <c r="H963" s="131"/>
      <c r="I963" s="131"/>
      <c r="J963" s="131"/>
      <c r="K963" s="131"/>
      <c r="L963" s="131"/>
      <c r="M963" s="131"/>
      <c r="N963" s="131"/>
      <c r="O963" s="131"/>
      <c r="P963" s="131"/>
      <c r="Q963" s="131"/>
      <c r="R963" s="131"/>
      <c r="S963" s="131"/>
      <c r="T963" s="131"/>
    </row>
    <row r="964">
      <c r="A964" s="131"/>
      <c r="B964" s="131"/>
      <c r="C964" s="131"/>
      <c r="D964" s="131"/>
      <c r="E964" s="131"/>
      <c r="F964" s="131"/>
      <c r="G964" s="131"/>
      <c r="H964" s="131"/>
      <c r="I964" s="131"/>
      <c r="J964" s="131"/>
      <c r="K964" s="131"/>
      <c r="L964" s="131"/>
      <c r="M964" s="131"/>
      <c r="N964" s="131"/>
      <c r="O964" s="131"/>
      <c r="P964" s="131"/>
      <c r="Q964" s="131"/>
      <c r="R964" s="131"/>
      <c r="S964" s="131"/>
      <c r="T964" s="131"/>
    </row>
    <row r="965">
      <c r="A965" s="131"/>
      <c r="B965" s="131"/>
      <c r="C965" s="131"/>
      <c r="D965" s="131"/>
      <c r="E965" s="131"/>
      <c r="F965" s="131"/>
      <c r="G965" s="131"/>
      <c r="H965" s="131"/>
      <c r="I965" s="131"/>
      <c r="J965" s="131"/>
      <c r="K965" s="131"/>
      <c r="L965" s="131"/>
      <c r="M965" s="131"/>
      <c r="N965" s="131"/>
      <c r="O965" s="131"/>
      <c r="P965" s="131"/>
      <c r="Q965" s="131"/>
      <c r="R965" s="131"/>
      <c r="S965" s="131"/>
      <c r="T965" s="131"/>
    </row>
    <row r="966">
      <c r="A966" s="131"/>
      <c r="B966" s="131"/>
      <c r="C966" s="131"/>
      <c r="D966" s="131"/>
      <c r="E966" s="131"/>
      <c r="F966" s="131"/>
      <c r="G966" s="131"/>
      <c r="H966" s="131"/>
      <c r="I966" s="131"/>
      <c r="J966" s="131"/>
      <c r="K966" s="131"/>
      <c r="L966" s="131"/>
      <c r="M966" s="131"/>
      <c r="N966" s="131"/>
      <c r="O966" s="131"/>
      <c r="P966" s="131"/>
      <c r="Q966" s="131"/>
      <c r="R966" s="131"/>
      <c r="S966" s="131"/>
      <c r="T966" s="131"/>
    </row>
    <row r="967">
      <c r="A967" s="131"/>
      <c r="B967" s="131"/>
      <c r="C967" s="131"/>
      <c r="D967" s="131"/>
      <c r="E967" s="131"/>
      <c r="F967" s="131"/>
      <c r="G967" s="131"/>
      <c r="H967" s="131"/>
      <c r="I967" s="131"/>
      <c r="J967" s="131"/>
      <c r="K967" s="131"/>
      <c r="L967" s="131"/>
      <c r="M967" s="131"/>
      <c r="N967" s="131"/>
      <c r="O967" s="131"/>
      <c r="P967" s="131"/>
      <c r="Q967" s="131"/>
      <c r="R967" s="131"/>
      <c r="S967" s="131"/>
      <c r="T967" s="131"/>
    </row>
    <row r="968">
      <c r="A968" s="131"/>
      <c r="B968" s="131"/>
      <c r="C968" s="131"/>
      <c r="D968" s="131"/>
      <c r="E968" s="131"/>
      <c r="F968" s="131"/>
      <c r="G968" s="131"/>
      <c r="H968" s="131"/>
      <c r="I968" s="131"/>
      <c r="J968" s="131"/>
      <c r="K968" s="131"/>
      <c r="L968" s="131"/>
      <c r="M968" s="131"/>
      <c r="N968" s="131"/>
      <c r="O968" s="131"/>
      <c r="P968" s="131"/>
      <c r="Q968" s="131"/>
      <c r="R968" s="131"/>
      <c r="S968" s="131"/>
      <c r="T968" s="131"/>
    </row>
    <row r="969">
      <c r="A969" s="131"/>
      <c r="B969" s="131"/>
      <c r="C969" s="131"/>
      <c r="D969" s="131"/>
      <c r="E969" s="131"/>
      <c r="F969" s="131"/>
      <c r="G969" s="131"/>
      <c r="H969" s="131"/>
      <c r="I969" s="131"/>
      <c r="J969" s="131"/>
      <c r="K969" s="131"/>
      <c r="L969" s="131"/>
      <c r="M969" s="131"/>
      <c r="N969" s="131"/>
      <c r="O969" s="131"/>
      <c r="P969" s="131"/>
      <c r="Q969" s="131"/>
      <c r="R969" s="131"/>
      <c r="S969" s="131"/>
      <c r="T969" s="131"/>
    </row>
    <row r="970">
      <c r="A970" s="131"/>
      <c r="B970" s="131"/>
      <c r="C970" s="131"/>
      <c r="D970" s="131"/>
      <c r="E970" s="131"/>
      <c r="F970" s="131"/>
      <c r="G970" s="131"/>
      <c r="H970" s="131"/>
      <c r="I970" s="131"/>
      <c r="J970" s="131"/>
      <c r="K970" s="131"/>
      <c r="L970" s="131"/>
      <c r="M970" s="131"/>
      <c r="N970" s="131"/>
      <c r="O970" s="131"/>
      <c r="P970" s="131"/>
      <c r="Q970" s="131"/>
      <c r="R970" s="131"/>
      <c r="S970" s="131"/>
      <c r="T970" s="131"/>
    </row>
    <row r="971">
      <c r="A971" s="131"/>
      <c r="B971" s="131"/>
      <c r="C971" s="131"/>
      <c r="D971" s="131"/>
      <c r="E971" s="131"/>
      <c r="F971" s="131"/>
      <c r="G971" s="131"/>
      <c r="H971" s="131"/>
      <c r="I971" s="131"/>
      <c r="J971" s="131"/>
      <c r="K971" s="131"/>
      <c r="L971" s="131"/>
      <c r="M971" s="131"/>
      <c r="N971" s="131"/>
      <c r="O971" s="131"/>
      <c r="P971" s="131"/>
      <c r="Q971" s="131"/>
      <c r="R971" s="131"/>
      <c r="S971" s="131"/>
      <c r="T971" s="131"/>
    </row>
    <row r="972">
      <c r="A972" s="131"/>
      <c r="B972" s="131"/>
      <c r="C972" s="131"/>
      <c r="D972" s="131"/>
      <c r="E972" s="131"/>
      <c r="F972" s="131"/>
      <c r="G972" s="131"/>
      <c r="H972" s="131"/>
      <c r="I972" s="131"/>
      <c r="J972" s="131"/>
      <c r="K972" s="131"/>
      <c r="L972" s="131"/>
      <c r="M972" s="131"/>
      <c r="N972" s="131"/>
      <c r="O972" s="131"/>
      <c r="P972" s="131"/>
      <c r="Q972" s="131"/>
      <c r="R972" s="131"/>
      <c r="S972" s="131"/>
      <c r="T972" s="131"/>
    </row>
    <row r="973">
      <c r="A973" s="131"/>
      <c r="B973" s="131"/>
      <c r="C973" s="131"/>
      <c r="D973" s="131"/>
      <c r="E973" s="131"/>
      <c r="F973" s="131"/>
      <c r="G973" s="131"/>
      <c r="H973" s="131"/>
      <c r="I973" s="131"/>
      <c r="J973" s="131"/>
      <c r="K973" s="131"/>
      <c r="L973" s="131"/>
      <c r="M973" s="131"/>
      <c r="N973" s="131"/>
      <c r="O973" s="131"/>
      <c r="P973" s="131"/>
      <c r="Q973" s="131"/>
      <c r="R973" s="131"/>
      <c r="S973" s="131"/>
      <c r="T973" s="131"/>
    </row>
    <row r="974">
      <c r="A974" s="131"/>
      <c r="B974" s="131"/>
      <c r="C974" s="131"/>
      <c r="D974" s="131"/>
      <c r="E974" s="131"/>
      <c r="F974" s="131"/>
      <c r="G974" s="131"/>
      <c r="H974" s="131"/>
      <c r="I974" s="131"/>
      <c r="J974" s="131"/>
      <c r="K974" s="131"/>
      <c r="L974" s="131"/>
      <c r="M974" s="131"/>
      <c r="N974" s="131"/>
      <c r="O974" s="131"/>
      <c r="P974" s="131"/>
      <c r="Q974" s="131"/>
      <c r="R974" s="131"/>
      <c r="S974" s="131"/>
      <c r="T974" s="131"/>
    </row>
    <row r="975">
      <c r="A975" s="131"/>
      <c r="B975" s="131"/>
      <c r="C975" s="131"/>
      <c r="D975" s="131"/>
      <c r="E975" s="131"/>
      <c r="F975" s="131"/>
      <c r="G975" s="131"/>
      <c r="H975" s="131"/>
      <c r="I975" s="131"/>
      <c r="J975" s="131"/>
      <c r="K975" s="131"/>
      <c r="L975" s="131"/>
      <c r="M975" s="131"/>
      <c r="N975" s="131"/>
      <c r="O975" s="131"/>
      <c r="P975" s="131"/>
      <c r="Q975" s="131"/>
      <c r="R975" s="131"/>
      <c r="S975" s="131"/>
      <c r="T975" s="131"/>
    </row>
    <row r="976">
      <c r="A976" s="131"/>
      <c r="B976" s="131"/>
      <c r="C976" s="131"/>
      <c r="D976" s="131"/>
      <c r="E976" s="131"/>
      <c r="F976" s="131"/>
      <c r="G976" s="131"/>
      <c r="H976" s="131"/>
      <c r="I976" s="131"/>
      <c r="J976" s="131"/>
      <c r="K976" s="131"/>
      <c r="L976" s="131"/>
      <c r="M976" s="131"/>
      <c r="N976" s="131"/>
      <c r="O976" s="131"/>
      <c r="P976" s="131"/>
      <c r="Q976" s="131"/>
      <c r="R976" s="131"/>
      <c r="S976" s="131"/>
      <c r="T976" s="131"/>
    </row>
    <row r="977">
      <c r="A977" s="131"/>
      <c r="B977" s="131"/>
      <c r="C977" s="131"/>
      <c r="D977" s="131"/>
      <c r="E977" s="131"/>
      <c r="F977" s="131"/>
      <c r="G977" s="131"/>
      <c r="H977" s="131"/>
      <c r="I977" s="131"/>
      <c r="J977" s="131"/>
      <c r="K977" s="131"/>
      <c r="L977" s="131"/>
      <c r="M977" s="131"/>
      <c r="N977" s="131"/>
      <c r="O977" s="131"/>
      <c r="P977" s="131"/>
      <c r="Q977" s="131"/>
      <c r="R977" s="131"/>
      <c r="S977" s="131"/>
      <c r="T977" s="131"/>
    </row>
    <row r="978">
      <c r="A978" s="131"/>
      <c r="B978" s="131"/>
      <c r="C978" s="131"/>
      <c r="D978" s="131"/>
      <c r="E978" s="131"/>
      <c r="F978" s="131"/>
      <c r="G978" s="131"/>
      <c r="H978" s="131"/>
      <c r="I978" s="131"/>
      <c r="J978" s="131"/>
      <c r="K978" s="131"/>
      <c r="L978" s="131"/>
      <c r="M978" s="131"/>
      <c r="N978" s="131"/>
      <c r="O978" s="131"/>
      <c r="P978" s="131"/>
      <c r="Q978" s="131"/>
      <c r="R978" s="131"/>
      <c r="S978" s="131"/>
      <c r="T978" s="131"/>
    </row>
    <row r="979">
      <c r="A979" s="131"/>
      <c r="B979" s="131"/>
      <c r="C979" s="131"/>
      <c r="D979" s="131"/>
      <c r="E979" s="131"/>
      <c r="F979" s="131"/>
      <c r="G979" s="131"/>
      <c r="H979" s="131"/>
      <c r="I979" s="131"/>
      <c r="J979" s="131"/>
      <c r="K979" s="131"/>
      <c r="L979" s="131"/>
      <c r="M979" s="131"/>
      <c r="N979" s="131"/>
      <c r="O979" s="131"/>
      <c r="P979" s="131"/>
      <c r="Q979" s="131"/>
      <c r="R979" s="131"/>
      <c r="S979" s="131"/>
      <c r="T979" s="131"/>
    </row>
    <row r="980">
      <c r="A980" s="131"/>
      <c r="B980" s="131"/>
      <c r="C980" s="131"/>
      <c r="D980" s="131"/>
      <c r="E980" s="131"/>
      <c r="F980" s="131"/>
      <c r="G980" s="131"/>
      <c r="H980" s="131"/>
      <c r="I980" s="131"/>
      <c r="J980" s="131"/>
      <c r="K980" s="131"/>
      <c r="L980" s="131"/>
      <c r="M980" s="131"/>
      <c r="N980" s="131"/>
      <c r="O980" s="131"/>
      <c r="P980" s="131"/>
      <c r="Q980" s="131"/>
      <c r="R980" s="131"/>
      <c r="S980" s="131"/>
      <c r="T980" s="131"/>
    </row>
    <row r="981">
      <c r="A981" s="131"/>
      <c r="B981" s="131"/>
      <c r="C981" s="131"/>
      <c r="D981" s="131"/>
      <c r="E981" s="131"/>
      <c r="F981" s="131"/>
      <c r="G981" s="131"/>
      <c r="H981" s="131"/>
      <c r="I981" s="131"/>
      <c r="J981" s="131"/>
      <c r="K981" s="131"/>
      <c r="L981" s="131"/>
      <c r="M981" s="131"/>
      <c r="N981" s="131"/>
      <c r="O981" s="131"/>
      <c r="P981" s="131"/>
      <c r="Q981" s="131"/>
      <c r="R981" s="131"/>
      <c r="S981" s="131"/>
      <c r="T981" s="131"/>
    </row>
    <row r="982">
      <c r="A982" s="131"/>
      <c r="B982" s="131"/>
      <c r="C982" s="131"/>
      <c r="D982" s="131"/>
      <c r="E982" s="131"/>
      <c r="F982" s="131"/>
      <c r="G982" s="131"/>
      <c r="H982" s="131"/>
      <c r="I982" s="131"/>
      <c r="J982" s="131"/>
      <c r="K982" s="131"/>
      <c r="L982" s="131"/>
      <c r="M982" s="131"/>
      <c r="N982" s="131"/>
      <c r="O982" s="131"/>
      <c r="P982" s="131"/>
      <c r="Q982" s="131"/>
      <c r="R982" s="131"/>
      <c r="S982" s="131"/>
      <c r="T982" s="131"/>
    </row>
    <row r="983">
      <c r="A983" s="131"/>
      <c r="B983" s="131"/>
      <c r="C983" s="131"/>
      <c r="D983" s="131"/>
      <c r="E983" s="131"/>
      <c r="F983" s="131"/>
      <c r="G983" s="131"/>
      <c r="H983" s="131"/>
      <c r="I983" s="131"/>
      <c r="J983" s="131"/>
      <c r="K983" s="131"/>
      <c r="L983" s="131"/>
      <c r="M983" s="131"/>
      <c r="N983" s="131"/>
      <c r="O983" s="131"/>
      <c r="P983" s="131"/>
      <c r="Q983" s="131"/>
      <c r="R983" s="131"/>
      <c r="S983" s="131"/>
      <c r="T983" s="131"/>
    </row>
    <row r="984">
      <c r="A984" s="131"/>
      <c r="B984" s="131"/>
      <c r="C984" s="131"/>
      <c r="D984" s="131"/>
      <c r="E984" s="131"/>
      <c r="F984" s="131"/>
      <c r="G984" s="131"/>
      <c r="H984" s="131"/>
      <c r="I984" s="131"/>
      <c r="J984" s="131"/>
      <c r="K984" s="131"/>
      <c r="L984" s="131"/>
      <c r="M984" s="131"/>
      <c r="N984" s="131"/>
      <c r="O984" s="131"/>
      <c r="P984" s="131"/>
      <c r="Q984" s="131"/>
      <c r="R984" s="131"/>
      <c r="S984" s="131"/>
      <c r="T984" s="131"/>
    </row>
    <row r="985">
      <c r="A985" s="131"/>
      <c r="B985" s="131"/>
      <c r="C985" s="131"/>
      <c r="D985" s="131"/>
      <c r="E985" s="131"/>
      <c r="F985" s="131"/>
      <c r="G985" s="131"/>
      <c r="H985" s="131"/>
      <c r="I985" s="131"/>
      <c r="J985" s="131"/>
      <c r="K985" s="131"/>
      <c r="L985" s="131"/>
      <c r="M985" s="131"/>
      <c r="N985" s="131"/>
      <c r="O985" s="131"/>
      <c r="P985" s="131"/>
      <c r="Q985" s="131"/>
      <c r="R985" s="131"/>
      <c r="S985" s="131"/>
      <c r="T985" s="131"/>
    </row>
    <row r="986">
      <c r="A986" s="131"/>
      <c r="B986" s="131"/>
      <c r="C986" s="131"/>
      <c r="D986" s="131"/>
      <c r="E986" s="131"/>
      <c r="F986" s="131"/>
      <c r="G986" s="131"/>
      <c r="H986" s="131"/>
      <c r="I986" s="131"/>
      <c r="J986" s="131"/>
      <c r="K986" s="131"/>
      <c r="L986" s="131"/>
      <c r="M986" s="131"/>
      <c r="N986" s="131"/>
      <c r="O986" s="131"/>
      <c r="P986" s="131"/>
      <c r="Q986" s="131"/>
      <c r="R986" s="131"/>
      <c r="S986" s="131"/>
      <c r="T986" s="131"/>
    </row>
    <row r="987">
      <c r="A987" s="131"/>
      <c r="B987" s="131"/>
      <c r="C987" s="131"/>
      <c r="D987" s="131"/>
      <c r="E987" s="131"/>
      <c r="F987" s="131"/>
      <c r="G987" s="131"/>
      <c r="H987" s="131"/>
      <c r="I987" s="131"/>
      <c r="J987" s="131"/>
      <c r="K987" s="131"/>
      <c r="L987" s="131"/>
      <c r="M987" s="131"/>
      <c r="N987" s="131"/>
      <c r="O987" s="131"/>
      <c r="P987" s="131"/>
      <c r="Q987" s="131"/>
      <c r="R987" s="131"/>
      <c r="S987" s="131"/>
      <c r="T987" s="131"/>
    </row>
    <row r="988">
      <c r="A988" s="131"/>
      <c r="B988" s="131"/>
      <c r="C988" s="131"/>
      <c r="D988" s="131"/>
      <c r="E988" s="131"/>
      <c r="F988" s="131"/>
      <c r="G988" s="131"/>
      <c r="H988" s="131"/>
      <c r="I988" s="131"/>
      <c r="J988" s="131"/>
      <c r="K988" s="131"/>
      <c r="L988" s="131"/>
      <c r="M988" s="131"/>
      <c r="N988" s="131"/>
      <c r="O988" s="131"/>
      <c r="P988" s="131"/>
      <c r="Q988" s="131"/>
      <c r="R988" s="131"/>
      <c r="S988" s="131"/>
      <c r="T988" s="131"/>
    </row>
    <row r="989">
      <c r="A989" s="131"/>
      <c r="B989" s="131"/>
      <c r="C989" s="131"/>
      <c r="D989" s="131"/>
      <c r="E989" s="131"/>
      <c r="F989" s="131"/>
      <c r="G989" s="131"/>
      <c r="H989" s="131"/>
      <c r="I989" s="131"/>
      <c r="J989" s="131"/>
      <c r="K989" s="131"/>
      <c r="L989" s="131"/>
      <c r="M989" s="131"/>
      <c r="N989" s="131"/>
      <c r="O989" s="131"/>
      <c r="P989" s="131"/>
      <c r="Q989" s="131"/>
      <c r="R989" s="131"/>
      <c r="S989" s="131"/>
      <c r="T989" s="131"/>
    </row>
    <row r="990">
      <c r="A990" s="131"/>
      <c r="B990" s="131"/>
      <c r="C990" s="131"/>
      <c r="D990" s="131"/>
      <c r="E990" s="131"/>
      <c r="F990" s="131"/>
      <c r="G990" s="131"/>
      <c r="H990" s="131"/>
      <c r="I990" s="131"/>
      <c r="J990" s="131"/>
      <c r="K990" s="131"/>
      <c r="L990" s="131"/>
      <c r="M990" s="131"/>
      <c r="N990" s="131"/>
      <c r="O990" s="131"/>
      <c r="P990" s="131"/>
      <c r="Q990" s="131"/>
      <c r="R990" s="131"/>
      <c r="S990" s="131"/>
      <c r="T990" s="131"/>
    </row>
    <row r="991">
      <c r="A991" s="131"/>
      <c r="B991" s="131"/>
      <c r="C991" s="131"/>
      <c r="D991" s="131"/>
      <c r="E991" s="131"/>
      <c r="F991" s="131"/>
      <c r="G991" s="131"/>
      <c r="H991" s="131"/>
      <c r="I991" s="131"/>
      <c r="J991" s="131"/>
      <c r="K991" s="131"/>
      <c r="L991" s="131"/>
      <c r="M991" s="131"/>
      <c r="N991" s="131"/>
      <c r="O991" s="131"/>
      <c r="P991" s="131"/>
      <c r="Q991" s="131"/>
      <c r="R991" s="131"/>
      <c r="S991" s="131"/>
      <c r="T991" s="131"/>
    </row>
    <row r="992">
      <c r="A992" s="131"/>
      <c r="B992" s="131"/>
      <c r="C992" s="131"/>
      <c r="D992" s="131"/>
      <c r="E992" s="131"/>
      <c r="F992" s="131"/>
      <c r="G992" s="131"/>
      <c r="H992" s="131"/>
      <c r="I992" s="131"/>
      <c r="J992" s="131"/>
      <c r="K992" s="131"/>
      <c r="L992" s="131"/>
      <c r="M992" s="131"/>
      <c r="N992" s="131"/>
      <c r="O992" s="131"/>
      <c r="P992" s="131"/>
      <c r="Q992" s="131"/>
      <c r="R992" s="131"/>
      <c r="S992" s="131"/>
      <c r="T992" s="131"/>
    </row>
    <row r="993">
      <c r="A993" s="131"/>
      <c r="B993" s="131"/>
      <c r="C993" s="131"/>
      <c r="D993" s="131"/>
      <c r="E993" s="131"/>
      <c r="F993" s="131"/>
      <c r="G993" s="131"/>
      <c r="H993" s="131"/>
      <c r="I993" s="131"/>
      <c r="J993" s="131"/>
      <c r="K993" s="131"/>
      <c r="L993" s="131"/>
      <c r="M993" s="131"/>
      <c r="N993" s="131"/>
      <c r="O993" s="131"/>
      <c r="P993" s="131"/>
      <c r="Q993" s="131"/>
      <c r="R993" s="131"/>
      <c r="S993" s="131"/>
      <c r="T993" s="131"/>
    </row>
    <row r="994">
      <c r="A994" s="131"/>
      <c r="B994" s="131"/>
      <c r="C994" s="131"/>
      <c r="D994" s="131"/>
      <c r="E994" s="131"/>
      <c r="F994" s="131"/>
      <c r="G994" s="131"/>
      <c r="H994" s="131"/>
      <c r="I994" s="131"/>
      <c r="J994" s="131"/>
      <c r="K994" s="131"/>
      <c r="L994" s="131"/>
      <c r="M994" s="131"/>
      <c r="N994" s="131"/>
      <c r="O994" s="131"/>
      <c r="P994" s="131"/>
      <c r="Q994" s="131"/>
      <c r="R994" s="131"/>
      <c r="S994" s="131"/>
      <c r="T994" s="131"/>
    </row>
    <row r="995">
      <c r="A995" s="131"/>
      <c r="B995" s="131"/>
      <c r="C995" s="131"/>
      <c r="D995" s="131"/>
      <c r="E995" s="131"/>
      <c r="F995" s="131"/>
      <c r="G995" s="131"/>
      <c r="H995" s="131"/>
      <c r="I995" s="131"/>
      <c r="J995" s="131"/>
      <c r="K995" s="131"/>
      <c r="L995" s="131"/>
      <c r="M995" s="131"/>
      <c r="N995" s="131"/>
      <c r="O995" s="131"/>
      <c r="P995" s="131"/>
      <c r="Q995" s="131"/>
      <c r="R995" s="131"/>
      <c r="S995" s="131"/>
      <c r="T995" s="131"/>
    </row>
    <row r="996">
      <c r="A996" s="131"/>
      <c r="B996" s="131"/>
      <c r="C996" s="131"/>
      <c r="D996" s="131"/>
      <c r="E996" s="131"/>
      <c r="F996" s="131"/>
      <c r="G996" s="131"/>
      <c r="H996" s="131"/>
      <c r="I996" s="131"/>
      <c r="J996" s="131"/>
      <c r="K996" s="131"/>
      <c r="L996" s="131"/>
      <c r="M996" s="131"/>
      <c r="N996" s="131"/>
      <c r="O996" s="131"/>
      <c r="P996" s="131"/>
      <c r="Q996" s="131"/>
      <c r="R996" s="131"/>
      <c r="S996" s="131"/>
      <c r="T996" s="131"/>
    </row>
    <row r="997">
      <c r="A997" s="131"/>
      <c r="B997" s="131"/>
      <c r="C997" s="131"/>
      <c r="D997" s="131"/>
      <c r="E997" s="131"/>
      <c r="F997" s="131"/>
      <c r="G997" s="131"/>
      <c r="H997" s="131"/>
      <c r="I997" s="131"/>
      <c r="J997" s="131"/>
      <c r="K997" s="131"/>
      <c r="L997" s="131"/>
      <c r="M997" s="131"/>
      <c r="N997" s="131"/>
      <c r="O997" s="131"/>
      <c r="P997" s="131"/>
      <c r="Q997" s="131"/>
      <c r="R997" s="131"/>
      <c r="S997" s="131"/>
      <c r="T997" s="131"/>
    </row>
    <row r="998">
      <c r="A998" s="131"/>
      <c r="B998" s="131"/>
      <c r="C998" s="131"/>
      <c r="D998" s="131"/>
      <c r="E998" s="131"/>
      <c r="F998" s="131"/>
      <c r="G998" s="131"/>
      <c r="H998" s="131"/>
      <c r="I998" s="131"/>
      <c r="J998" s="131"/>
      <c r="K998" s="131"/>
      <c r="L998" s="131"/>
      <c r="M998" s="131"/>
      <c r="N998" s="131"/>
      <c r="O998" s="131"/>
      <c r="P998" s="131"/>
      <c r="Q998" s="131"/>
      <c r="R998" s="131"/>
      <c r="S998" s="131"/>
      <c r="T998" s="131"/>
    </row>
    <row r="999">
      <c r="A999" s="131"/>
      <c r="B999" s="131"/>
      <c r="C999" s="131"/>
      <c r="D999" s="131"/>
      <c r="E999" s="131"/>
      <c r="F999" s="131"/>
      <c r="G999" s="131"/>
      <c r="H999" s="131"/>
      <c r="I999" s="131"/>
      <c r="J999" s="131"/>
      <c r="K999" s="131"/>
      <c r="L999" s="131"/>
      <c r="M999" s="131"/>
      <c r="N999" s="131"/>
      <c r="O999" s="131"/>
      <c r="P999" s="131"/>
      <c r="Q999" s="131"/>
      <c r="R999" s="131"/>
      <c r="S999" s="131"/>
      <c r="T999" s="131"/>
    </row>
    <row r="1000">
      <c r="A1000" s="131"/>
      <c r="B1000" s="131"/>
      <c r="C1000" s="131"/>
      <c r="D1000" s="131"/>
      <c r="E1000" s="131"/>
      <c r="F1000" s="131"/>
      <c r="G1000" s="131"/>
      <c r="H1000" s="131"/>
      <c r="I1000" s="131"/>
      <c r="J1000" s="131"/>
      <c r="K1000" s="131"/>
      <c r="L1000" s="131"/>
      <c r="M1000" s="131"/>
      <c r="N1000" s="131"/>
      <c r="O1000" s="131"/>
      <c r="P1000" s="131"/>
      <c r="Q1000" s="131"/>
      <c r="R1000" s="131"/>
      <c r="S1000" s="131"/>
      <c r="T1000" s="131"/>
    </row>
  </sheetData>
  <mergeCells count="6">
    <mergeCell ref="A2:B2"/>
    <mergeCell ref="A5:B5"/>
    <mergeCell ref="A15:B15"/>
    <mergeCell ref="A17:B17"/>
    <mergeCell ref="A22:B22"/>
    <mergeCell ref="A25:B2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0"/>
  <cols>
    <col customWidth="1" min="3" max="3" width="72.88"/>
    <col customWidth="1" min="4" max="4" width="14.38"/>
    <col customWidth="1" min="5" max="5" width="14.5"/>
    <col customWidth="1" min="6" max="6" width="7.38"/>
    <col customWidth="1" min="7" max="7" width="15.88"/>
  </cols>
  <sheetData>
    <row r="1">
      <c r="A1" s="72" t="s">
        <v>23</v>
      </c>
      <c r="B1" s="72" t="s">
        <v>24</v>
      </c>
      <c r="C1" s="72" t="s">
        <v>25</v>
      </c>
      <c r="D1" s="26" t="s">
        <v>26</v>
      </c>
      <c r="E1" s="26" t="s">
        <v>27</v>
      </c>
      <c r="F1" s="72" t="s">
        <v>28</v>
      </c>
      <c r="G1" s="72" t="s">
        <v>29</v>
      </c>
    </row>
    <row r="2">
      <c r="A2" s="74" t="s">
        <v>2668</v>
      </c>
      <c r="B2" s="75"/>
      <c r="C2" s="75"/>
      <c r="D2" s="30"/>
      <c r="E2" s="75"/>
      <c r="F2" s="75"/>
      <c r="G2" s="75"/>
    </row>
    <row r="3">
      <c r="A3" s="139" t="s">
        <v>2669</v>
      </c>
      <c r="B3" s="140" t="s">
        <v>2670</v>
      </c>
      <c r="C3" s="141" t="s">
        <v>2671</v>
      </c>
      <c r="D3" s="96" t="s">
        <v>2672</v>
      </c>
      <c r="E3" s="96" t="s">
        <v>2673</v>
      </c>
      <c r="F3" s="142">
        <v>0.21</v>
      </c>
      <c r="G3" s="78" t="str">
        <f>IFERROR(VLOOKUP("SOLARO QR1-UC",STOCK!I4:X3676,3,FALSE),"SIN STOCK")</f>
        <v>SIN STOCK</v>
      </c>
    </row>
    <row r="4">
      <c r="A4" s="143" t="s">
        <v>2669</v>
      </c>
      <c r="B4" s="144" t="s">
        <v>2674</v>
      </c>
      <c r="C4" s="145" t="s">
        <v>2675</v>
      </c>
      <c r="D4" s="101" t="s">
        <v>2676</v>
      </c>
      <c r="E4" s="101" t="s">
        <v>2677</v>
      </c>
      <c r="F4" s="102">
        <v>0.21</v>
      </c>
      <c r="G4" s="78" t="str">
        <f>IFERROR(VLOOKUP("SOLARO QR1",#REF!,3,FALSE),"SIN STOCK")</f>
        <v>SIN STOCK</v>
      </c>
    </row>
    <row r="5">
      <c r="A5" s="74" t="s">
        <v>2678</v>
      </c>
      <c r="B5" s="75"/>
      <c r="C5" s="75"/>
      <c r="D5" s="30"/>
      <c r="E5" s="75"/>
      <c r="F5" s="75"/>
      <c r="G5" s="75"/>
    </row>
    <row r="6">
      <c r="A6" s="139" t="s">
        <v>2669</v>
      </c>
      <c r="B6" s="140" t="s">
        <v>2679</v>
      </c>
      <c r="C6" s="141" t="s">
        <v>2680</v>
      </c>
      <c r="D6" s="96" t="s">
        <v>2681</v>
      </c>
      <c r="E6" s="96" t="s">
        <v>2682</v>
      </c>
      <c r="F6" s="142">
        <v>0.21</v>
      </c>
      <c r="G6" s="78" t="str">
        <f>IFERROR(VLOOKUP("XC-SML",#REF!,3,FALSE),"SIN STOCK")</f>
        <v>SIN STOCK</v>
      </c>
    </row>
    <row r="7">
      <c r="A7" s="143" t="s">
        <v>2669</v>
      </c>
      <c r="B7" s="144" t="s">
        <v>2683</v>
      </c>
      <c r="C7" s="145" t="s">
        <v>2684</v>
      </c>
      <c r="D7" s="101" t="s">
        <v>2685</v>
      </c>
      <c r="E7" s="101" t="s">
        <v>2686</v>
      </c>
      <c r="F7" s="102">
        <v>0.21</v>
      </c>
      <c r="G7" s="78" t="str">
        <f>IFERROR(VLOOKUP("XC-SLO",#REF!,3,FALSE),"SIN STOCK")</f>
        <v>SIN STOCK</v>
      </c>
    </row>
    <row r="8">
      <c r="A8" s="139" t="s">
        <v>2669</v>
      </c>
      <c r="B8" s="140" t="s">
        <v>2687</v>
      </c>
      <c r="C8" s="141" t="s">
        <v>2688</v>
      </c>
      <c r="D8" s="96" t="s">
        <v>2689</v>
      </c>
      <c r="E8" s="96" t="s">
        <v>2690</v>
      </c>
      <c r="F8" s="142">
        <v>0.21</v>
      </c>
      <c r="G8" s="78" t="str">
        <f>IFERROR(VLOOKUP("XC-SGP",#REF!,3,FALSE),"SIN STOCK")</f>
        <v>SIN STOCK</v>
      </c>
    </row>
    <row r="9">
      <c r="A9" s="74" t="s">
        <v>2691</v>
      </c>
      <c r="B9" s="75"/>
      <c r="C9" s="75"/>
      <c r="D9" s="30"/>
      <c r="E9" s="75"/>
      <c r="F9" s="75"/>
      <c r="G9" s="75"/>
    </row>
    <row r="10">
      <c r="A10" s="139" t="s">
        <v>2669</v>
      </c>
      <c r="B10" s="140" t="s">
        <v>2692</v>
      </c>
      <c r="C10" s="141" t="s">
        <v>2693</v>
      </c>
      <c r="D10" s="96" t="s">
        <v>2694</v>
      </c>
      <c r="E10" s="96" t="s">
        <v>2695</v>
      </c>
      <c r="F10" s="142">
        <v>0.21</v>
      </c>
      <c r="G10" s="78" t="str">
        <f>IFERROR(VLOOKUP("GIOUSB",#REF!,3,FALSE),"SIN STOCK")</f>
        <v>SIN STOCK</v>
      </c>
    </row>
    <row r="11">
      <c r="A11" s="143" t="s">
        <v>2669</v>
      </c>
      <c r="B11" s="144" t="s">
        <v>2696</v>
      </c>
      <c r="C11" s="145" t="s">
        <v>2697</v>
      </c>
      <c r="D11" s="101" t="s">
        <v>2698</v>
      </c>
      <c r="E11" s="101" t="s">
        <v>2699</v>
      </c>
      <c r="F11" s="102">
        <v>0.21</v>
      </c>
      <c r="G11" s="78" t="str">
        <f>IFERROR(VLOOKUP("SOLARO QR1-UC",#REF!,3,FALSE),"SIN STOCK")</f>
        <v>SIN STOCK</v>
      </c>
    </row>
    <row r="12">
      <c r="A12" s="139" t="s">
        <v>2669</v>
      </c>
      <c r="B12" s="140" t="s">
        <v>2700</v>
      </c>
      <c r="C12" s="141" t="s">
        <v>2701</v>
      </c>
      <c r="D12" s="96" t="s">
        <v>2702</v>
      </c>
      <c r="E12" s="96" t="s">
        <v>2703</v>
      </c>
      <c r="F12" s="142">
        <v>0.21</v>
      </c>
      <c r="G12" s="78" t="str">
        <f>IFERROR(VLOOKUP("SGIOXLR",#REF!,3,FALSE),"SIN STOCK")</f>
        <v>SIN STOCK</v>
      </c>
    </row>
    <row r="13">
      <c r="A13" s="74" t="s">
        <v>2704</v>
      </c>
      <c r="B13" s="75"/>
      <c r="C13" s="75"/>
      <c r="D13" s="30"/>
      <c r="E13" s="75"/>
      <c r="F13" s="75"/>
      <c r="G13" s="75"/>
    </row>
    <row r="14">
      <c r="A14" s="139" t="s">
        <v>2669</v>
      </c>
      <c r="B14" s="140" t="s">
        <v>2705</v>
      </c>
      <c r="C14" s="141" t="s">
        <v>2706</v>
      </c>
      <c r="D14" s="96" t="s">
        <v>2707</v>
      </c>
      <c r="E14" s="96" t="s">
        <v>2708</v>
      </c>
      <c r="F14" s="142">
        <v>0.21</v>
      </c>
      <c r="G14" s="78" t="str">
        <f>IFERROR(VLOOKUP("SONIA C5",#REF!,3,FALSE),"SIN STOCK")</f>
        <v>SIN STOCK</v>
      </c>
    </row>
    <row r="15">
      <c r="A15" s="74" t="s">
        <v>2709</v>
      </c>
      <c r="B15" s="75"/>
      <c r="C15" s="75"/>
      <c r="D15" s="30"/>
      <c r="E15" s="75"/>
      <c r="F15" s="75"/>
      <c r="G15" s="75"/>
    </row>
    <row r="16">
      <c r="A16" s="139" t="s">
        <v>2669</v>
      </c>
      <c r="B16" s="140" t="s">
        <v>2710</v>
      </c>
      <c r="C16" s="141" t="s">
        <v>2711</v>
      </c>
      <c r="D16" s="96" t="s">
        <v>2712</v>
      </c>
      <c r="E16" s="96" t="s">
        <v>2713</v>
      </c>
      <c r="F16" s="142">
        <v>0.21</v>
      </c>
      <c r="G16" s="78" t="str">
        <f>IFERROR(VLOOKUP("SONIA AMP",#REF!,3,FALSE),"SIN STOCK")</f>
        <v>SIN STOCK</v>
      </c>
    </row>
    <row r="17">
      <c r="D17" s="81"/>
      <c r="E17" s="81"/>
    </row>
    <row r="18">
      <c r="D18" s="81"/>
      <c r="E18" s="81"/>
    </row>
    <row r="19">
      <c r="D19" s="81"/>
      <c r="E19" s="81"/>
    </row>
    <row r="20">
      <c r="D20" s="81"/>
      <c r="E20" s="81"/>
    </row>
    <row r="21">
      <c r="D21" s="81"/>
      <c r="E21" s="81"/>
    </row>
    <row r="22">
      <c r="D22" s="81"/>
      <c r="E22" s="81"/>
    </row>
    <row r="23">
      <c r="D23" s="81"/>
      <c r="E23" s="81"/>
    </row>
    <row r="24">
      <c r="D24" s="81"/>
      <c r="E24" s="81"/>
    </row>
    <row r="25">
      <c r="D25" s="81"/>
      <c r="E25" s="81"/>
    </row>
    <row r="26">
      <c r="D26" s="81"/>
      <c r="E26" s="81"/>
    </row>
    <row r="27">
      <c r="D27" s="81"/>
      <c r="E27" s="81"/>
    </row>
    <row r="28">
      <c r="D28" s="81"/>
      <c r="E28" s="81"/>
    </row>
    <row r="29">
      <c r="D29" s="81"/>
      <c r="E29" s="81"/>
    </row>
    <row r="30">
      <c r="D30" s="81"/>
      <c r="E30" s="81"/>
    </row>
    <row r="31">
      <c r="D31" s="81"/>
      <c r="E31" s="81"/>
    </row>
    <row r="32">
      <c r="D32" s="81"/>
      <c r="E32" s="81"/>
      <c r="H32" s="146" t="s">
        <v>2714</v>
      </c>
    </row>
    <row r="33">
      <c r="D33" s="81"/>
      <c r="E33" s="81"/>
    </row>
    <row r="34">
      <c r="D34" s="81"/>
      <c r="E34" s="81"/>
    </row>
    <row r="35">
      <c r="D35" s="81"/>
      <c r="E35" s="81"/>
    </row>
    <row r="36">
      <c r="D36" s="81"/>
      <c r="E36" s="81"/>
    </row>
    <row r="37">
      <c r="D37" s="81"/>
      <c r="E37" s="81"/>
    </row>
    <row r="38">
      <c r="D38" s="81"/>
      <c r="E38" s="81"/>
    </row>
    <row r="39">
      <c r="D39" s="81"/>
      <c r="E39" s="81"/>
    </row>
    <row r="40">
      <c r="D40" s="81"/>
      <c r="E40" s="81"/>
    </row>
    <row r="41">
      <c r="D41" s="81"/>
      <c r="E41" s="81"/>
    </row>
    <row r="42">
      <c r="D42" s="81"/>
      <c r="E42" s="81"/>
    </row>
    <row r="43">
      <c r="D43" s="81"/>
      <c r="E43" s="81"/>
    </row>
    <row r="44">
      <c r="D44" s="81"/>
      <c r="E44" s="81"/>
    </row>
    <row r="45">
      <c r="D45" s="81"/>
      <c r="E45" s="81"/>
    </row>
    <row r="46">
      <c r="D46" s="81"/>
      <c r="E46" s="81"/>
    </row>
    <row r="47">
      <c r="D47" s="81"/>
      <c r="E47" s="81"/>
    </row>
    <row r="48">
      <c r="D48" s="81"/>
      <c r="E48" s="81"/>
    </row>
    <row r="49">
      <c r="D49" s="81"/>
      <c r="E49" s="81"/>
    </row>
    <row r="50">
      <c r="D50" s="81"/>
      <c r="E50" s="81"/>
    </row>
    <row r="51">
      <c r="D51" s="81"/>
      <c r="E51" s="81"/>
    </row>
    <row r="52">
      <c r="D52" s="81"/>
      <c r="E52" s="81"/>
    </row>
    <row r="53">
      <c r="D53" s="81"/>
      <c r="E53" s="81"/>
    </row>
    <row r="54">
      <c r="D54" s="81"/>
      <c r="E54" s="81"/>
    </row>
    <row r="55">
      <c r="D55" s="81"/>
      <c r="E55" s="81"/>
    </row>
    <row r="56">
      <c r="D56" s="81"/>
      <c r="E56" s="81"/>
    </row>
    <row r="57">
      <c r="D57" s="81"/>
      <c r="E57" s="81"/>
    </row>
    <row r="58">
      <c r="D58" s="81"/>
      <c r="E58" s="81"/>
    </row>
    <row r="59">
      <c r="D59" s="81"/>
      <c r="E59" s="81"/>
    </row>
    <row r="60">
      <c r="D60" s="81"/>
      <c r="E60" s="81"/>
    </row>
    <row r="61">
      <c r="D61" s="81"/>
      <c r="E61" s="81"/>
    </row>
    <row r="62">
      <c r="D62" s="81"/>
      <c r="E62" s="81"/>
    </row>
    <row r="63">
      <c r="D63" s="81"/>
      <c r="E63" s="81"/>
    </row>
    <row r="64">
      <c r="D64" s="81"/>
      <c r="E64" s="81"/>
    </row>
    <row r="65">
      <c r="D65" s="81"/>
      <c r="E65" s="81"/>
    </row>
    <row r="66">
      <c r="D66" s="81"/>
      <c r="E66" s="81"/>
    </row>
    <row r="67">
      <c r="D67" s="81"/>
      <c r="E67" s="81"/>
    </row>
    <row r="68">
      <c r="D68" s="81"/>
      <c r="E68" s="81"/>
    </row>
    <row r="69">
      <c r="D69" s="81"/>
      <c r="E69" s="81"/>
    </row>
    <row r="70">
      <c r="D70" s="81"/>
      <c r="E70" s="81"/>
    </row>
    <row r="71">
      <c r="D71" s="81"/>
      <c r="E71" s="81"/>
    </row>
    <row r="72">
      <c r="D72" s="81"/>
      <c r="E72" s="81"/>
    </row>
    <row r="73">
      <c r="D73" s="81"/>
      <c r="E73" s="81"/>
    </row>
    <row r="74">
      <c r="D74" s="81"/>
      <c r="E74" s="81"/>
    </row>
    <row r="75">
      <c r="D75" s="81"/>
      <c r="E75" s="81"/>
    </row>
    <row r="76">
      <c r="D76" s="81"/>
      <c r="E76" s="81"/>
    </row>
    <row r="77">
      <c r="D77" s="81"/>
      <c r="E77" s="81"/>
    </row>
    <row r="78">
      <c r="D78" s="81"/>
      <c r="E78" s="81"/>
    </row>
    <row r="79">
      <c r="D79" s="81"/>
      <c r="E79" s="81"/>
    </row>
    <row r="80">
      <c r="D80" s="81"/>
      <c r="E80" s="81"/>
    </row>
    <row r="81">
      <c r="D81" s="81"/>
      <c r="E81" s="81"/>
    </row>
    <row r="82">
      <c r="D82" s="81"/>
      <c r="E82" s="81"/>
    </row>
    <row r="83">
      <c r="D83" s="81"/>
      <c r="E83" s="81"/>
    </row>
    <row r="84">
      <c r="D84" s="81"/>
      <c r="E84" s="81"/>
    </row>
    <row r="85">
      <c r="D85" s="81"/>
      <c r="E85" s="81"/>
    </row>
    <row r="86">
      <c r="D86" s="81"/>
      <c r="E86" s="81"/>
    </row>
    <row r="87">
      <c r="D87" s="81"/>
      <c r="E87" s="81"/>
    </row>
    <row r="88">
      <c r="D88" s="81"/>
      <c r="E88" s="81"/>
    </row>
    <row r="89">
      <c r="D89" s="81"/>
      <c r="E89" s="81"/>
    </row>
    <row r="90">
      <c r="D90" s="81"/>
      <c r="E90" s="81"/>
    </row>
    <row r="91">
      <c r="D91" s="81"/>
      <c r="E91" s="81"/>
    </row>
    <row r="92">
      <c r="D92" s="81"/>
      <c r="E92" s="81"/>
    </row>
    <row r="93">
      <c r="D93" s="81"/>
      <c r="E93" s="81"/>
    </row>
    <row r="94">
      <c r="D94" s="81"/>
      <c r="E94" s="81"/>
    </row>
    <row r="95">
      <c r="D95" s="81"/>
      <c r="E95" s="81"/>
    </row>
    <row r="96">
      <c r="D96" s="81"/>
      <c r="E96" s="81"/>
    </row>
    <row r="97">
      <c r="D97" s="81"/>
      <c r="E97" s="81"/>
    </row>
    <row r="98">
      <c r="D98" s="81"/>
      <c r="E98" s="81"/>
    </row>
    <row r="99">
      <c r="D99" s="81"/>
      <c r="E99" s="81"/>
    </row>
    <row r="100">
      <c r="D100" s="81"/>
      <c r="E100" s="81"/>
    </row>
    <row r="101">
      <c r="D101" s="81"/>
      <c r="E101" s="81"/>
    </row>
    <row r="102">
      <c r="D102" s="81"/>
      <c r="E102" s="81"/>
    </row>
    <row r="103">
      <c r="D103" s="81"/>
      <c r="E103" s="81"/>
    </row>
    <row r="104">
      <c r="D104" s="81"/>
      <c r="E104" s="81"/>
    </row>
    <row r="105">
      <c r="D105" s="81"/>
      <c r="E105" s="81"/>
    </row>
    <row r="106">
      <c r="D106" s="81"/>
      <c r="E106" s="81"/>
    </row>
    <row r="107">
      <c r="D107" s="81"/>
      <c r="E107" s="81"/>
    </row>
    <row r="108">
      <c r="D108" s="81"/>
      <c r="E108" s="81"/>
    </row>
    <row r="109">
      <c r="D109" s="81"/>
      <c r="E109" s="81"/>
    </row>
    <row r="110">
      <c r="D110" s="81"/>
      <c r="E110" s="81"/>
    </row>
    <row r="111">
      <c r="D111" s="81"/>
      <c r="E111" s="81"/>
    </row>
    <row r="112">
      <c r="D112" s="81"/>
      <c r="E112" s="81"/>
    </row>
    <row r="113">
      <c r="D113" s="81"/>
      <c r="E113" s="81"/>
    </row>
    <row r="114">
      <c r="D114" s="81"/>
      <c r="E114" s="81"/>
    </row>
    <row r="115">
      <c r="D115" s="81"/>
      <c r="E115" s="81"/>
    </row>
    <row r="116">
      <c r="D116" s="81"/>
      <c r="E116" s="81"/>
    </row>
    <row r="117">
      <c r="D117" s="81"/>
      <c r="E117" s="81"/>
    </row>
    <row r="118">
      <c r="D118" s="81"/>
      <c r="E118" s="81"/>
    </row>
    <row r="119">
      <c r="D119" s="81"/>
      <c r="E119" s="81"/>
    </row>
    <row r="120">
      <c r="D120" s="81"/>
      <c r="E120" s="81"/>
    </row>
    <row r="121">
      <c r="D121" s="81"/>
      <c r="E121" s="81"/>
    </row>
    <row r="122">
      <c r="D122" s="81"/>
      <c r="E122" s="81"/>
    </row>
    <row r="123">
      <c r="D123" s="81"/>
      <c r="E123" s="81"/>
    </row>
    <row r="124">
      <c r="D124" s="81"/>
      <c r="E124" s="81"/>
    </row>
    <row r="125">
      <c r="D125" s="81"/>
      <c r="E125" s="81"/>
    </row>
    <row r="126">
      <c r="D126" s="81"/>
      <c r="E126" s="81"/>
    </row>
    <row r="127">
      <c r="D127" s="81"/>
      <c r="E127" s="81"/>
    </row>
    <row r="128">
      <c r="D128" s="81"/>
      <c r="E128" s="81"/>
    </row>
    <row r="129">
      <c r="D129" s="81"/>
      <c r="E129" s="81"/>
    </row>
    <row r="130">
      <c r="D130" s="81"/>
      <c r="E130" s="81"/>
    </row>
    <row r="131">
      <c r="D131" s="81"/>
      <c r="E131" s="81"/>
    </row>
    <row r="132">
      <c r="D132" s="81"/>
      <c r="E132" s="81"/>
    </row>
    <row r="133">
      <c r="D133" s="81"/>
      <c r="E133" s="81"/>
    </row>
    <row r="134">
      <c r="D134" s="81"/>
      <c r="E134" s="81"/>
    </row>
    <row r="135">
      <c r="D135" s="81"/>
      <c r="E135" s="81"/>
    </row>
    <row r="136">
      <c r="D136" s="81"/>
      <c r="E136" s="81"/>
    </row>
    <row r="137">
      <c r="D137" s="81"/>
      <c r="E137" s="81"/>
    </row>
    <row r="138">
      <c r="D138" s="81"/>
      <c r="E138" s="81"/>
    </row>
    <row r="139">
      <c r="D139" s="81"/>
      <c r="E139" s="81"/>
    </row>
    <row r="140">
      <c r="D140" s="81"/>
      <c r="E140" s="81"/>
    </row>
    <row r="141">
      <c r="D141" s="81"/>
      <c r="E141" s="81"/>
    </row>
    <row r="142">
      <c r="D142" s="81"/>
      <c r="E142" s="81"/>
    </row>
    <row r="143">
      <c r="D143" s="81"/>
      <c r="E143" s="81"/>
    </row>
    <row r="144">
      <c r="D144" s="81"/>
      <c r="E144" s="81"/>
    </row>
    <row r="145">
      <c r="D145" s="81"/>
      <c r="E145" s="81"/>
    </row>
    <row r="146">
      <c r="D146" s="81"/>
      <c r="E146" s="81"/>
    </row>
    <row r="147">
      <c r="D147" s="81"/>
      <c r="E147" s="81"/>
    </row>
    <row r="148">
      <c r="D148" s="81"/>
      <c r="E148" s="81"/>
    </row>
    <row r="149">
      <c r="D149" s="81"/>
      <c r="E149" s="81"/>
    </row>
    <row r="150">
      <c r="D150" s="81"/>
      <c r="E150" s="81"/>
    </row>
    <row r="151">
      <c r="D151" s="81"/>
      <c r="E151" s="81"/>
    </row>
    <row r="152">
      <c r="D152" s="81"/>
      <c r="E152" s="81"/>
    </row>
    <row r="153">
      <c r="D153" s="81"/>
      <c r="E153" s="81"/>
    </row>
    <row r="154">
      <c r="D154" s="81"/>
      <c r="E154" s="81"/>
    </row>
    <row r="155">
      <c r="D155" s="81"/>
      <c r="E155" s="81"/>
    </row>
    <row r="156">
      <c r="D156" s="81"/>
      <c r="E156" s="81"/>
    </row>
    <row r="157">
      <c r="D157" s="81"/>
      <c r="E157" s="81"/>
    </row>
    <row r="158">
      <c r="D158" s="81"/>
      <c r="E158" s="81"/>
    </row>
    <row r="159">
      <c r="D159" s="81"/>
      <c r="E159" s="81"/>
    </row>
    <row r="160">
      <c r="D160" s="81"/>
      <c r="E160" s="81"/>
    </row>
    <row r="161">
      <c r="D161" s="81"/>
      <c r="E161" s="81"/>
    </row>
    <row r="162">
      <c r="D162" s="81"/>
      <c r="E162" s="81"/>
    </row>
    <row r="163">
      <c r="D163" s="81"/>
      <c r="E163" s="81"/>
    </row>
    <row r="164">
      <c r="D164" s="81"/>
      <c r="E164" s="81"/>
    </row>
    <row r="165">
      <c r="D165" s="81"/>
      <c r="E165" s="81"/>
    </row>
    <row r="166">
      <c r="D166" s="81"/>
      <c r="E166" s="81"/>
    </row>
    <row r="167">
      <c r="D167" s="81"/>
      <c r="E167" s="81"/>
    </row>
    <row r="168">
      <c r="D168" s="81"/>
      <c r="E168" s="81"/>
    </row>
    <row r="169">
      <c r="D169" s="81"/>
      <c r="E169" s="81"/>
    </row>
    <row r="170">
      <c r="D170" s="81"/>
      <c r="E170" s="81"/>
    </row>
    <row r="171">
      <c r="D171" s="81"/>
      <c r="E171" s="81"/>
    </row>
    <row r="172">
      <c r="D172" s="81"/>
      <c r="E172" s="81"/>
    </row>
    <row r="173">
      <c r="D173" s="81"/>
      <c r="E173" s="81"/>
    </row>
    <row r="174">
      <c r="D174" s="81"/>
      <c r="E174" s="81"/>
    </row>
    <row r="175">
      <c r="D175" s="81"/>
      <c r="E175" s="81"/>
    </row>
    <row r="176">
      <c r="D176" s="81"/>
      <c r="E176" s="81"/>
    </row>
    <row r="177">
      <c r="D177" s="81"/>
      <c r="E177" s="81"/>
    </row>
    <row r="178">
      <c r="D178" s="81"/>
      <c r="E178" s="81"/>
    </row>
    <row r="179">
      <c r="D179" s="81"/>
      <c r="E179" s="81"/>
    </row>
    <row r="180">
      <c r="D180" s="81"/>
      <c r="E180" s="81"/>
    </row>
    <row r="181">
      <c r="D181" s="81"/>
      <c r="E181" s="81"/>
    </row>
    <row r="182">
      <c r="D182" s="81"/>
      <c r="E182" s="81"/>
    </row>
    <row r="183">
      <c r="D183" s="81"/>
      <c r="E183" s="81"/>
    </row>
    <row r="184">
      <c r="D184" s="81"/>
      <c r="E184" s="81"/>
    </row>
    <row r="185">
      <c r="D185" s="81"/>
      <c r="E185" s="81"/>
    </row>
    <row r="186">
      <c r="D186" s="81"/>
      <c r="E186" s="81"/>
    </row>
    <row r="187">
      <c r="D187" s="81"/>
      <c r="E187" s="81"/>
    </row>
    <row r="188">
      <c r="D188" s="81"/>
      <c r="E188" s="81"/>
    </row>
    <row r="189">
      <c r="D189" s="81"/>
      <c r="E189" s="81"/>
    </row>
    <row r="190">
      <c r="D190" s="81"/>
      <c r="E190" s="81"/>
    </row>
    <row r="191">
      <c r="D191" s="81"/>
      <c r="E191" s="81"/>
    </row>
    <row r="192">
      <c r="D192" s="81"/>
      <c r="E192" s="81"/>
    </row>
    <row r="193">
      <c r="D193" s="81"/>
      <c r="E193" s="81"/>
    </row>
    <row r="194">
      <c r="D194" s="81"/>
      <c r="E194" s="81"/>
    </row>
    <row r="195">
      <c r="D195" s="81"/>
      <c r="E195" s="81"/>
    </row>
    <row r="196">
      <c r="D196" s="81"/>
      <c r="E196" s="81"/>
    </row>
    <row r="197">
      <c r="D197" s="81"/>
      <c r="E197" s="81"/>
    </row>
    <row r="198">
      <c r="D198" s="81"/>
      <c r="E198" s="81"/>
    </row>
    <row r="199">
      <c r="D199" s="81"/>
      <c r="E199" s="81"/>
    </row>
    <row r="200">
      <c r="D200" s="81"/>
      <c r="E200" s="81"/>
    </row>
    <row r="201">
      <c r="D201" s="81"/>
      <c r="E201" s="81"/>
    </row>
    <row r="202">
      <c r="D202" s="81"/>
      <c r="E202" s="81"/>
    </row>
    <row r="203">
      <c r="D203" s="81"/>
      <c r="E203" s="81"/>
    </row>
    <row r="204">
      <c r="D204" s="81"/>
      <c r="E204" s="81"/>
    </row>
    <row r="205">
      <c r="D205" s="81"/>
      <c r="E205" s="81"/>
    </row>
    <row r="206">
      <c r="D206" s="81"/>
      <c r="E206" s="81"/>
    </row>
    <row r="207">
      <c r="D207" s="81"/>
      <c r="E207" s="81"/>
    </row>
    <row r="208">
      <c r="D208" s="81"/>
      <c r="E208" s="81"/>
    </row>
    <row r="209">
      <c r="D209" s="81"/>
      <c r="E209" s="81"/>
    </row>
    <row r="210">
      <c r="D210" s="81"/>
      <c r="E210" s="81"/>
    </row>
    <row r="211">
      <c r="D211" s="81"/>
      <c r="E211" s="81"/>
    </row>
    <row r="212">
      <c r="D212" s="81"/>
      <c r="E212" s="81"/>
    </row>
    <row r="213">
      <c r="D213" s="81"/>
      <c r="E213" s="81"/>
    </row>
    <row r="214">
      <c r="D214" s="81"/>
      <c r="E214" s="81"/>
    </row>
    <row r="215">
      <c r="D215" s="81"/>
      <c r="E215" s="81"/>
    </row>
    <row r="216">
      <c r="D216" s="81"/>
      <c r="E216" s="81"/>
    </row>
    <row r="217">
      <c r="D217" s="81"/>
      <c r="E217" s="81"/>
    </row>
    <row r="218">
      <c r="D218" s="81"/>
      <c r="E218" s="81"/>
    </row>
    <row r="219">
      <c r="D219" s="81"/>
      <c r="E219" s="81"/>
    </row>
    <row r="220">
      <c r="D220" s="81"/>
      <c r="E220" s="81"/>
    </row>
    <row r="221">
      <c r="D221" s="81"/>
      <c r="E221" s="81"/>
    </row>
    <row r="222">
      <c r="D222" s="81"/>
      <c r="E222" s="81"/>
    </row>
    <row r="223">
      <c r="D223" s="81"/>
      <c r="E223" s="81"/>
    </row>
    <row r="224">
      <c r="D224" s="81"/>
      <c r="E224" s="81"/>
    </row>
    <row r="225">
      <c r="D225" s="81"/>
      <c r="E225" s="81"/>
    </row>
    <row r="226">
      <c r="D226" s="81"/>
      <c r="E226" s="81"/>
    </row>
    <row r="227">
      <c r="D227" s="81"/>
      <c r="E227" s="81"/>
    </row>
    <row r="228">
      <c r="D228" s="81"/>
      <c r="E228" s="81"/>
    </row>
    <row r="229">
      <c r="D229" s="81"/>
      <c r="E229" s="81"/>
    </row>
    <row r="230">
      <c r="D230" s="81"/>
      <c r="E230" s="81"/>
    </row>
    <row r="231">
      <c r="D231" s="81"/>
      <c r="E231" s="81"/>
    </row>
    <row r="232">
      <c r="D232" s="81"/>
      <c r="E232" s="81"/>
    </row>
    <row r="233">
      <c r="D233" s="81"/>
      <c r="E233" s="81"/>
    </row>
    <row r="234">
      <c r="D234" s="81"/>
      <c r="E234" s="81"/>
    </row>
    <row r="235">
      <c r="D235" s="81"/>
      <c r="E235" s="81"/>
    </row>
    <row r="236">
      <c r="D236" s="81"/>
      <c r="E236" s="81"/>
    </row>
    <row r="237">
      <c r="D237" s="81"/>
      <c r="E237" s="81"/>
    </row>
    <row r="238">
      <c r="D238" s="81"/>
      <c r="E238" s="81"/>
    </row>
    <row r="239">
      <c r="D239" s="81"/>
      <c r="E239" s="81"/>
    </row>
    <row r="240">
      <c r="D240" s="81"/>
      <c r="E240" s="81"/>
    </row>
    <row r="241">
      <c r="D241" s="81"/>
      <c r="E241" s="81"/>
    </row>
    <row r="242">
      <c r="D242" s="81"/>
      <c r="E242" s="81"/>
    </row>
    <row r="243">
      <c r="D243" s="81"/>
      <c r="E243" s="81"/>
    </row>
    <row r="244">
      <c r="D244" s="81"/>
      <c r="E244" s="81"/>
    </row>
    <row r="245">
      <c r="D245" s="81"/>
      <c r="E245" s="81"/>
    </row>
    <row r="246">
      <c r="D246" s="81"/>
      <c r="E246" s="81"/>
    </row>
    <row r="247">
      <c r="D247" s="81"/>
      <c r="E247" s="81"/>
    </row>
    <row r="248">
      <c r="D248" s="81"/>
      <c r="E248" s="81"/>
    </row>
    <row r="249">
      <c r="D249" s="81"/>
      <c r="E249" s="81"/>
    </row>
    <row r="250">
      <c r="D250" s="81"/>
      <c r="E250" s="81"/>
    </row>
    <row r="251">
      <c r="D251" s="81"/>
      <c r="E251" s="81"/>
    </row>
    <row r="252">
      <c r="D252" s="81"/>
      <c r="E252" s="81"/>
    </row>
    <row r="253">
      <c r="D253" s="81"/>
      <c r="E253" s="81"/>
    </row>
    <row r="254">
      <c r="D254" s="81"/>
      <c r="E254" s="81"/>
    </row>
    <row r="255">
      <c r="D255" s="81"/>
      <c r="E255" s="81"/>
    </row>
    <row r="256">
      <c r="D256" s="81"/>
      <c r="E256" s="81"/>
    </row>
    <row r="257">
      <c r="D257" s="81"/>
      <c r="E257" s="81"/>
    </row>
    <row r="258">
      <c r="D258" s="81"/>
      <c r="E258" s="81"/>
    </row>
    <row r="259">
      <c r="D259" s="81"/>
      <c r="E259" s="81"/>
    </row>
    <row r="260">
      <c r="D260" s="81"/>
      <c r="E260" s="81"/>
    </row>
    <row r="261">
      <c r="D261" s="81"/>
      <c r="E261" s="81"/>
    </row>
    <row r="262">
      <c r="D262" s="81"/>
      <c r="E262" s="81"/>
    </row>
    <row r="263">
      <c r="D263" s="81"/>
      <c r="E263" s="81"/>
    </row>
    <row r="264">
      <c r="D264" s="81"/>
      <c r="E264" s="81"/>
    </row>
    <row r="265">
      <c r="D265" s="81"/>
      <c r="E265" s="81"/>
    </row>
    <row r="266">
      <c r="D266" s="81"/>
      <c r="E266" s="81"/>
    </row>
    <row r="267">
      <c r="D267" s="81"/>
      <c r="E267" s="81"/>
    </row>
    <row r="268">
      <c r="D268" s="81"/>
      <c r="E268" s="81"/>
    </row>
    <row r="269">
      <c r="D269" s="81"/>
      <c r="E269" s="81"/>
    </row>
    <row r="270">
      <c r="D270" s="81"/>
      <c r="E270" s="81"/>
    </row>
    <row r="271">
      <c r="D271" s="81"/>
      <c r="E271" s="81"/>
    </row>
    <row r="272">
      <c r="D272" s="81"/>
      <c r="E272" s="81"/>
    </row>
    <row r="273">
      <c r="D273" s="81"/>
      <c r="E273" s="81"/>
    </row>
    <row r="274">
      <c r="D274" s="81"/>
      <c r="E274" s="81"/>
    </row>
    <row r="275">
      <c r="D275" s="81"/>
      <c r="E275" s="81"/>
    </row>
    <row r="276">
      <c r="D276" s="81"/>
      <c r="E276" s="81"/>
    </row>
    <row r="277">
      <c r="D277" s="81"/>
      <c r="E277" s="81"/>
    </row>
    <row r="278">
      <c r="D278" s="81"/>
      <c r="E278" s="81"/>
    </row>
    <row r="279">
      <c r="D279" s="81"/>
      <c r="E279" s="81"/>
    </row>
    <row r="280">
      <c r="D280" s="81"/>
      <c r="E280" s="81"/>
    </row>
    <row r="281">
      <c r="D281" s="81"/>
      <c r="E281" s="81"/>
    </row>
    <row r="282">
      <c r="D282" s="81"/>
      <c r="E282" s="81"/>
    </row>
    <row r="283">
      <c r="D283" s="81"/>
      <c r="E283" s="81"/>
    </row>
    <row r="284">
      <c r="D284" s="81"/>
      <c r="E284" s="81"/>
    </row>
    <row r="285">
      <c r="D285" s="81"/>
      <c r="E285" s="81"/>
    </row>
    <row r="286">
      <c r="D286" s="81"/>
      <c r="E286" s="81"/>
    </row>
    <row r="287">
      <c r="D287" s="81"/>
      <c r="E287" s="81"/>
    </row>
    <row r="288">
      <c r="D288" s="81"/>
      <c r="E288" s="81"/>
    </row>
    <row r="289">
      <c r="D289" s="81"/>
      <c r="E289" s="81"/>
    </row>
    <row r="290">
      <c r="D290" s="81"/>
      <c r="E290" s="81"/>
    </row>
    <row r="291">
      <c r="D291" s="81"/>
      <c r="E291" s="81"/>
    </row>
    <row r="292">
      <c r="D292" s="81"/>
      <c r="E292" s="81"/>
    </row>
    <row r="293">
      <c r="D293" s="81"/>
      <c r="E293" s="81"/>
    </row>
    <row r="294">
      <c r="D294" s="81"/>
      <c r="E294" s="81"/>
    </row>
    <row r="295">
      <c r="D295" s="81"/>
      <c r="E295" s="81"/>
    </row>
    <row r="296">
      <c r="D296" s="81"/>
      <c r="E296" s="81"/>
    </row>
    <row r="297">
      <c r="D297" s="81"/>
      <c r="E297" s="81"/>
    </row>
    <row r="298">
      <c r="D298" s="81"/>
      <c r="E298" s="81"/>
    </row>
    <row r="299">
      <c r="D299" s="81"/>
      <c r="E299" s="81"/>
    </row>
    <row r="300">
      <c r="D300" s="81"/>
      <c r="E300" s="81"/>
    </row>
    <row r="301">
      <c r="D301" s="81"/>
      <c r="E301" s="81"/>
    </row>
    <row r="302">
      <c r="D302" s="81"/>
      <c r="E302" s="81"/>
    </row>
    <row r="303">
      <c r="D303" s="81"/>
      <c r="E303" s="81"/>
    </row>
    <row r="304">
      <c r="D304" s="81"/>
      <c r="E304" s="81"/>
    </row>
    <row r="305">
      <c r="D305" s="81"/>
      <c r="E305" s="81"/>
    </row>
    <row r="306">
      <c r="D306" s="81"/>
      <c r="E306" s="81"/>
    </row>
    <row r="307">
      <c r="D307" s="81"/>
      <c r="E307" s="81"/>
    </row>
    <row r="308">
      <c r="D308" s="81"/>
      <c r="E308" s="81"/>
    </row>
    <row r="309">
      <c r="D309" s="81"/>
      <c r="E309" s="81"/>
    </row>
    <row r="310">
      <c r="D310" s="81"/>
      <c r="E310" s="81"/>
    </row>
    <row r="311">
      <c r="D311" s="81"/>
      <c r="E311" s="81"/>
    </row>
    <row r="312">
      <c r="D312" s="81"/>
      <c r="E312" s="81"/>
    </row>
    <row r="313">
      <c r="D313" s="81"/>
      <c r="E313" s="81"/>
    </row>
    <row r="314">
      <c r="D314" s="81"/>
      <c r="E314" s="81"/>
    </row>
    <row r="315">
      <c r="D315" s="81"/>
      <c r="E315" s="81"/>
    </row>
    <row r="316">
      <c r="D316" s="81"/>
      <c r="E316" s="81"/>
    </row>
    <row r="317">
      <c r="D317" s="81"/>
      <c r="E317" s="81"/>
    </row>
    <row r="318">
      <c r="D318" s="81"/>
      <c r="E318" s="81"/>
    </row>
    <row r="319">
      <c r="D319" s="81"/>
      <c r="E319" s="81"/>
    </row>
    <row r="320">
      <c r="D320" s="81"/>
      <c r="E320" s="81"/>
    </row>
    <row r="321">
      <c r="D321" s="81"/>
      <c r="E321" s="81"/>
    </row>
    <row r="322">
      <c r="D322" s="81"/>
      <c r="E322" s="81"/>
    </row>
    <row r="323">
      <c r="D323" s="81"/>
      <c r="E323" s="81"/>
    </row>
    <row r="324">
      <c r="D324" s="81"/>
      <c r="E324" s="81"/>
    </row>
    <row r="325">
      <c r="D325" s="81"/>
      <c r="E325" s="81"/>
    </row>
    <row r="326">
      <c r="D326" s="81"/>
      <c r="E326" s="81"/>
    </row>
    <row r="327">
      <c r="D327" s="81"/>
      <c r="E327" s="81"/>
    </row>
    <row r="328">
      <c r="D328" s="81"/>
      <c r="E328" s="81"/>
    </row>
    <row r="329">
      <c r="D329" s="81"/>
      <c r="E329" s="81"/>
    </row>
    <row r="330">
      <c r="D330" s="81"/>
      <c r="E330" s="81"/>
    </row>
    <row r="331">
      <c r="D331" s="81"/>
      <c r="E331" s="81"/>
    </row>
    <row r="332">
      <c r="D332" s="81"/>
      <c r="E332" s="81"/>
    </row>
    <row r="333">
      <c r="D333" s="81"/>
      <c r="E333" s="81"/>
    </row>
    <row r="334">
      <c r="D334" s="81"/>
      <c r="E334" s="81"/>
    </row>
    <row r="335">
      <c r="D335" s="81"/>
      <c r="E335" s="81"/>
    </row>
    <row r="336">
      <c r="D336" s="81"/>
      <c r="E336" s="81"/>
    </row>
    <row r="337">
      <c r="D337" s="81"/>
      <c r="E337" s="81"/>
    </row>
    <row r="338">
      <c r="D338" s="81"/>
      <c r="E338" s="81"/>
    </row>
    <row r="339">
      <c r="D339" s="81"/>
      <c r="E339" s="81"/>
    </row>
    <row r="340">
      <c r="D340" s="81"/>
      <c r="E340" s="81"/>
    </row>
    <row r="341">
      <c r="D341" s="81"/>
      <c r="E341" s="81"/>
    </row>
    <row r="342">
      <c r="D342" s="81"/>
      <c r="E342" s="81"/>
    </row>
    <row r="343">
      <c r="D343" s="81"/>
      <c r="E343" s="81"/>
    </row>
    <row r="344">
      <c r="D344" s="81"/>
      <c r="E344" s="81"/>
    </row>
    <row r="345">
      <c r="D345" s="81"/>
      <c r="E345" s="81"/>
    </row>
    <row r="346">
      <c r="D346" s="81"/>
      <c r="E346" s="81"/>
    </row>
    <row r="347">
      <c r="D347" s="81"/>
      <c r="E347" s="81"/>
    </row>
    <row r="348">
      <c r="D348" s="81"/>
      <c r="E348" s="81"/>
    </row>
    <row r="349">
      <c r="D349" s="81"/>
      <c r="E349" s="81"/>
    </row>
    <row r="350">
      <c r="D350" s="81"/>
      <c r="E350" s="81"/>
    </row>
    <row r="351">
      <c r="D351" s="81"/>
      <c r="E351" s="81"/>
    </row>
    <row r="352">
      <c r="D352" s="81"/>
      <c r="E352" s="81"/>
    </row>
    <row r="353">
      <c r="D353" s="81"/>
      <c r="E353" s="81"/>
    </row>
    <row r="354">
      <c r="D354" s="81"/>
      <c r="E354" s="81"/>
    </row>
    <row r="355">
      <c r="D355" s="81"/>
      <c r="E355" s="81"/>
    </row>
    <row r="356">
      <c r="D356" s="81"/>
      <c r="E356" s="81"/>
    </row>
    <row r="357">
      <c r="D357" s="81"/>
      <c r="E357" s="81"/>
    </row>
    <row r="358">
      <c r="D358" s="81"/>
      <c r="E358" s="81"/>
    </row>
    <row r="359">
      <c r="D359" s="81"/>
      <c r="E359" s="81"/>
    </row>
    <row r="360">
      <c r="D360" s="81"/>
      <c r="E360" s="81"/>
    </row>
    <row r="361">
      <c r="D361" s="81"/>
      <c r="E361" s="81"/>
    </row>
    <row r="362">
      <c r="D362" s="81"/>
      <c r="E362" s="81"/>
    </row>
    <row r="363">
      <c r="D363" s="81"/>
      <c r="E363" s="81"/>
    </row>
    <row r="364">
      <c r="D364" s="81"/>
      <c r="E364" s="81"/>
    </row>
    <row r="365">
      <c r="D365" s="81"/>
      <c r="E365" s="81"/>
    </row>
    <row r="366">
      <c r="D366" s="81"/>
      <c r="E366" s="81"/>
    </row>
    <row r="367">
      <c r="D367" s="81"/>
      <c r="E367" s="81"/>
    </row>
    <row r="368">
      <c r="D368" s="81"/>
      <c r="E368" s="81"/>
    </row>
    <row r="369">
      <c r="D369" s="81"/>
      <c r="E369" s="81"/>
    </row>
    <row r="370">
      <c r="D370" s="81"/>
      <c r="E370" s="81"/>
    </row>
    <row r="371">
      <c r="D371" s="81"/>
      <c r="E371" s="81"/>
    </row>
    <row r="372">
      <c r="D372" s="81"/>
      <c r="E372" s="81"/>
    </row>
    <row r="373">
      <c r="D373" s="81"/>
      <c r="E373" s="81"/>
    </row>
    <row r="374">
      <c r="D374" s="81"/>
      <c r="E374" s="81"/>
    </row>
    <row r="375">
      <c r="D375" s="81"/>
      <c r="E375" s="81"/>
    </row>
    <row r="376">
      <c r="D376" s="81"/>
      <c r="E376" s="81"/>
    </row>
    <row r="377">
      <c r="D377" s="81"/>
      <c r="E377" s="81"/>
    </row>
    <row r="378">
      <c r="D378" s="81"/>
      <c r="E378" s="81"/>
    </row>
    <row r="379">
      <c r="D379" s="81"/>
      <c r="E379" s="81"/>
    </row>
    <row r="380">
      <c r="D380" s="81"/>
      <c r="E380" s="81"/>
    </row>
    <row r="381">
      <c r="D381" s="81"/>
      <c r="E381" s="81"/>
    </row>
    <row r="382">
      <c r="D382" s="81"/>
      <c r="E382" s="81"/>
    </row>
    <row r="383">
      <c r="D383" s="81"/>
      <c r="E383" s="81"/>
    </row>
    <row r="384">
      <c r="D384" s="81"/>
      <c r="E384" s="81"/>
    </row>
    <row r="385">
      <c r="D385" s="81"/>
      <c r="E385" s="81"/>
    </row>
    <row r="386">
      <c r="D386" s="81"/>
      <c r="E386" s="81"/>
    </row>
    <row r="387">
      <c r="D387" s="81"/>
      <c r="E387" s="81"/>
    </row>
    <row r="388">
      <c r="D388" s="81"/>
      <c r="E388" s="81"/>
    </row>
    <row r="389">
      <c r="D389" s="81"/>
      <c r="E389" s="81"/>
    </row>
    <row r="390">
      <c r="D390" s="81"/>
      <c r="E390" s="81"/>
    </row>
    <row r="391">
      <c r="D391" s="81"/>
      <c r="E391" s="81"/>
    </row>
    <row r="392">
      <c r="D392" s="81"/>
      <c r="E392" s="81"/>
    </row>
    <row r="393">
      <c r="D393" s="81"/>
      <c r="E393" s="81"/>
    </row>
    <row r="394">
      <c r="D394" s="81"/>
      <c r="E394" s="81"/>
    </row>
    <row r="395">
      <c r="D395" s="81"/>
      <c r="E395" s="81"/>
    </row>
    <row r="396">
      <c r="D396" s="81"/>
      <c r="E396" s="81"/>
    </row>
    <row r="397">
      <c r="D397" s="81"/>
      <c r="E397" s="81"/>
    </row>
    <row r="398">
      <c r="D398" s="81"/>
      <c r="E398" s="81"/>
    </row>
    <row r="399">
      <c r="D399" s="81"/>
      <c r="E399" s="81"/>
    </row>
    <row r="400">
      <c r="D400" s="81"/>
      <c r="E400" s="81"/>
    </row>
    <row r="401">
      <c r="D401" s="81"/>
      <c r="E401" s="81"/>
    </row>
    <row r="402">
      <c r="D402" s="81"/>
      <c r="E402" s="81"/>
    </row>
    <row r="403">
      <c r="D403" s="81"/>
      <c r="E403" s="81"/>
    </row>
    <row r="404">
      <c r="D404" s="81"/>
      <c r="E404" s="81"/>
    </row>
    <row r="405">
      <c r="D405" s="81"/>
      <c r="E405" s="81"/>
    </row>
    <row r="406">
      <c r="D406" s="81"/>
      <c r="E406" s="81"/>
    </row>
    <row r="407">
      <c r="D407" s="81"/>
      <c r="E407" s="81"/>
    </row>
    <row r="408">
      <c r="D408" s="81"/>
      <c r="E408" s="81"/>
    </row>
    <row r="409">
      <c r="D409" s="81"/>
      <c r="E409" s="81"/>
    </row>
    <row r="410">
      <c r="D410" s="81"/>
      <c r="E410" s="81"/>
    </row>
    <row r="411">
      <c r="D411" s="81"/>
      <c r="E411" s="81"/>
    </row>
    <row r="412">
      <c r="D412" s="81"/>
      <c r="E412" s="81"/>
    </row>
    <row r="413">
      <c r="D413" s="81"/>
      <c r="E413" s="81"/>
    </row>
    <row r="414">
      <c r="D414" s="81"/>
      <c r="E414" s="81"/>
    </row>
    <row r="415">
      <c r="D415" s="81"/>
      <c r="E415" s="81"/>
    </row>
    <row r="416">
      <c r="D416" s="81"/>
      <c r="E416" s="81"/>
    </row>
    <row r="417">
      <c r="D417" s="81"/>
      <c r="E417" s="81"/>
    </row>
    <row r="418">
      <c r="D418" s="81"/>
      <c r="E418" s="81"/>
    </row>
    <row r="419">
      <c r="D419" s="81"/>
      <c r="E419" s="81"/>
    </row>
    <row r="420">
      <c r="D420" s="81"/>
      <c r="E420" s="81"/>
    </row>
    <row r="421">
      <c r="D421" s="81"/>
      <c r="E421" s="81"/>
    </row>
    <row r="422">
      <c r="D422" s="81"/>
      <c r="E422" s="81"/>
    </row>
    <row r="423">
      <c r="D423" s="81"/>
      <c r="E423" s="81"/>
    </row>
    <row r="424">
      <c r="D424" s="81"/>
      <c r="E424" s="81"/>
    </row>
    <row r="425">
      <c r="D425" s="81"/>
      <c r="E425" s="81"/>
    </row>
    <row r="426">
      <c r="D426" s="81"/>
      <c r="E426" s="81"/>
    </row>
    <row r="427">
      <c r="D427" s="81"/>
      <c r="E427" s="81"/>
    </row>
    <row r="428">
      <c r="D428" s="81"/>
      <c r="E428" s="81"/>
    </row>
    <row r="429">
      <c r="D429" s="81"/>
      <c r="E429" s="81"/>
    </row>
    <row r="430">
      <c r="D430" s="81"/>
      <c r="E430" s="81"/>
    </row>
    <row r="431">
      <c r="D431" s="81"/>
      <c r="E431" s="81"/>
    </row>
    <row r="432">
      <c r="D432" s="81"/>
      <c r="E432" s="81"/>
    </row>
    <row r="433">
      <c r="D433" s="81"/>
      <c r="E433" s="81"/>
    </row>
    <row r="434">
      <c r="D434" s="81"/>
      <c r="E434" s="81"/>
    </row>
    <row r="435">
      <c r="D435" s="81"/>
      <c r="E435" s="81"/>
    </row>
    <row r="436">
      <c r="D436" s="81"/>
      <c r="E436" s="81"/>
    </row>
    <row r="437">
      <c r="D437" s="81"/>
      <c r="E437" s="81"/>
    </row>
    <row r="438">
      <c r="D438" s="81"/>
      <c r="E438" s="81"/>
    </row>
    <row r="439">
      <c r="D439" s="81"/>
      <c r="E439" s="81"/>
    </row>
    <row r="440">
      <c r="D440" s="81"/>
      <c r="E440" s="81"/>
    </row>
    <row r="441">
      <c r="D441" s="81"/>
      <c r="E441" s="81"/>
    </row>
    <row r="442">
      <c r="D442" s="81"/>
      <c r="E442" s="81"/>
    </row>
    <row r="443">
      <c r="D443" s="81"/>
      <c r="E443" s="81"/>
    </row>
    <row r="444">
      <c r="D444" s="81"/>
      <c r="E444" s="81"/>
    </row>
    <row r="445">
      <c r="D445" s="81"/>
      <c r="E445" s="81"/>
    </row>
    <row r="446">
      <c r="D446" s="81"/>
      <c r="E446" s="81"/>
    </row>
    <row r="447">
      <c r="D447" s="81"/>
      <c r="E447" s="81"/>
    </row>
    <row r="448">
      <c r="D448" s="81"/>
      <c r="E448" s="81"/>
    </row>
    <row r="449">
      <c r="D449" s="81"/>
      <c r="E449" s="81"/>
    </row>
    <row r="450">
      <c r="D450" s="81"/>
      <c r="E450" s="81"/>
    </row>
    <row r="451">
      <c r="D451" s="81"/>
      <c r="E451" s="81"/>
    </row>
    <row r="452">
      <c r="D452" s="81"/>
      <c r="E452" s="81"/>
    </row>
    <row r="453">
      <c r="D453" s="81"/>
      <c r="E453" s="81"/>
    </row>
    <row r="454">
      <c r="D454" s="81"/>
      <c r="E454" s="81"/>
    </row>
    <row r="455">
      <c r="D455" s="81"/>
      <c r="E455" s="81"/>
    </row>
    <row r="456">
      <c r="D456" s="81"/>
      <c r="E456" s="81"/>
    </row>
    <row r="457">
      <c r="D457" s="81"/>
      <c r="E457" s="81"/>
    </row>
    <row r="458">
      <c r="D458" s="81"/>
      <c r="E458" s="81"/>
    </row>
    <row r="459">
      <c r="D459" s="81"/>
      <c r="E459" s="81"/>
    </row>
    <row r="460">
      <c r="D460" s="81"/>
      <c r="E460" s="81"/>
    </row>
    <row r="461">
      <c r="D461" s="81"/>
      <c r="E461" s="81"/>
    </row>
    <row r="462">
      <c r="D462" s="81"/>
      <c r="E462" s="81"/>
    </row>
    <row r="463">
      <c r="D463" s="81"/>
      <c r="E463" s="81"/>
    </row>
    <row r="464">
      <c r="D464" s="81"/>
      <c r="E464" s="81"/>
    </row>
    <row r="465">
      <c r="D465" s="81"/>
      <c r="E465" s="81"/>
    </row>
    <row r="466">
      <c r="D466" s="81"/>
      <c r="E466" s="81"/>
    </row>
    <row r="467">
      <c r="D467" s="81"/>
      <c r="E467" s="81"/>
    </row>
    <row r="468">
      <c r="D468" s="81"/>
      <c r="E468" s="81"/>
    </row>
    <row r="469">
      <c r="D469" s="81"/>
      <c r="E469" s="81"/>
    </row>
    <row r="470">
      <c r="D470" s="81"/>
      <c r="E470" s="81"/>
    </row>
    <row r="471">
      <c r="D471" s="81"/>
      <c r="E471" s="81"/>
    </row>
    <row r="472">
      <c r="D472" s="81"/>
      <c r="E472" s="81"/>
    </row>
    <row r="473">
      <c r="D473" s="81"/>
      <c r="E473" s="81"/>
    </row>
    <row r="474">
      <c r="D474" s="81"/>
      <c r="E474" s="81"/>
    </row>
    <row r="475">
      <c r="D475" s="81"/>
      <c r="E475" s="81"/>
    </row>
    <row r="476">
      <c r="D476" s="81"/>
      <c r="E476" s="81"/>
    </row>
    <row r="477">
      <c r="D477" s="81"/>
      <c r="E477" s="81"/>
    </row>
    <row r="478">
      <c r="D478" s="81"/>
      <c r="E478" s="81"/>
    </row>
    <row r="479">
      <c r="D479" s="81"/>
      <c r="E479" s="81"/>
    </row>
    <row r="480">
      <c r="D480" s="81"/>
      <c r="E480" s="81"/>
    </row>
    <row r="481">
      <c r="D481" s="81"/>
      <c r="E481" s="81"/>
    </row>
    <row r="482">
      <c r="D482" s="81"/>
      <c r="E482" s="81"/>
    </row>
    <row r="483">
      <c r="D483" s="81"/>
      <c r="E483" s="81"/>
    </row>
    <row r="484">
      <c r="D484" s="81"/>
      <c r="E484" s="81"/>
    </row>
    <row r="485">
      <c r="D485" s="81"/>
      <c r="E485" s="81"/>
    </row>
    <row r="486">
      <c r="D486" s="81"/>
      <c r="E486" s="81"/>
    </row>
    <row r="487">
      <c r="D487" s="81"/>
      <c r="E487" s="81"/>
    </row>
    <row r="488">
      <c r="D488" s="81"/>
      <c r="E488" s="81"/>
    </row>
    <row r="489">
      <c r="D489" s="81"/>
      <c r="E489" s="81"/>
    </row>
    <row r="490">
      <c r="D490" s="81"/>
      <c r="E490" s="81"/>
    </row>
    <row r="491">
      <c r="D491" s="81"/>
      <c r="E491" s="81"/>
    </row>
    <row r="492">
      <c r="D492" s="81"/>
      <c r="E492" s="81"/>
    </row>
    <row r="493">
      <c r="D493" s="81"/>
      <c r="E493" s="81"/>
    </row>
    <row r="494">
      <c r="D494" s="81"/>
      <c r="E494" s="81"/>
    </row>
    <row r="495">
      <c r="D495" s="81"/>
      <c r="E495" s="81"/>
    </row>
    <row r="496">
      <c r="D496" s="81"/>
      <c r="E496" s="81"/>
    </row>
    <row r="497">
      <c r="D497" s="81"/>
      <c r="E497" s="81"/>
    </row>
    <row r="498">
      <c r="D498" s="81"/>
      <c r="E498" s="81"/>
    </row>
    <row r="499">
      <c r="D499" s="81"/>
      <c r="E499" s="81"/>
    </row>
    <row r="500">
      <c r="D500" s="81"/>
      <c r="E500" s="81"/>
    </row>
    <row r="501">
      <c r="D501" s="81"/>
      <c r="E501" s="81"/>
    </row>
    <row r="502">
      <c r="D502" s="81"/>
      <c r="E502" s="81"/>
    </row>
    <row r="503">
      <c r="D503" s="81"/>
      <c r="E503" s="81"/>
    </row>
    <row r="504">
      <c r="D504" s="81"/>
      <c r="E504" s="81"/>
    </row>
    <row r="505">
      <c r="D505" s="81"/>
      <c r="E505" s="81"/>
    </row>
    <row r="506">
      <c r="D506" s="81"/>
      <c r="E506" s="81"/>
    </row>
    <row r="507">
      <c r="D507" s="81"/>
      <c r="E507" s="81"/>
    </row>
    <row r="508">
      <c r="D508" s="81"/>
      <c r="E508" s="81"/>
    </row>
    <row r="509">
      <c r="D509" s="81"/>
      <c r="E509" s="81"/>
    </row>
    <row r="510">
      <c r="D510" s="81"/>
      <c r="E510" s="81"/>
    </row>
    <row r="511">
      <c r="D511" s="81"/>
      <c r="E511" s="81"/>
    </row>
    <row r="512">
      <c r="D512" s="81"/>
      <c r="E512" s="81"/>
    </row>
    <row r="513">
      <c r="D513" s="81"/>
      <c r="E513" s="81"/>
    </row>
    <row r="514">
      <c r="D514" s="81"/>
      <c r="E514" s="81"/>
    </row>
    <row r="515">
      <c r="D515" s="81"/>
      <c r="E515" s="81"/>
    </row>
    <row r="516">
      <c r="D516" s="81"/>
      <c r="E516" s="81"/>
    </row>
    <row r="517">
      <c r="D517" s="81"/>
      <c r="E517" s="81"/>
    </row>
    <row r="518">
      <c r="D518" s="81"/>
      <c r="E518" s="81"/>
    </row>
    <row r="519">
      <c r="D519" s="81"/>
      <c r="E519" s="81"/>
    </row>
    <row r="520">
      <c r="D520" s="81"/>
      <c r="E520" s="81"/>
    </row>
    <row r="521">
      <c r="D521" s="81"/>
      <c r="E521" s="81"/>
    </row>
    <row r="522">
      <c r="D522" s="81"/>
      <c r="E522" s="81"/>
    </row>
    <row r="523">
      <c r="D523" s="81"/>
      <c r="E523" s="81"/>
    </row>
    <row r="524">
      <c r="D524" s="81"/>
      <c r="E524" s="81"/>
    </row>
    <row r="525">
      <c r="D525" s="81"/>
      <c r="E525" s="81"/>
    </row>
    <row r="526">
      <c r="D526" s="81"/>
      <c r="E526" s="81"/>
    </row>
    <row r="527">
      <c r="D527" s="81"/>
      <c r="E527" s="81"/>
    </row>
    <row r="528">
      <c r="D528" s="81"/>
      <c r="E528" s="81"/>
    </row>
    <row r="529">
      <c r="D529" s="81"/>
      <c r="E529" s="81"/>
    </row>
    <row r="530">
      <c r="D530" s="81"/>
      <c r="E530" s="81"/>
    </row>
    <row r="531">
      <c r="D531" s="81"/>
      <c r="E531" s="81"/>
    </row>
    <row r="532">
      <c r="D532" s="81"/>
      <c r="E532" s="81"/>
    </row>
    <row r="533">
      <c r="D533" s="81"/>
      <c r="E533" s="81"/>
    </row>
    <row r="534">
      <c r="D534" s="81"/>
      <c r="E534" s="81"/>
    </row>
    <row r="535">
      <c r="D535" s="81"/>
      <c r="E535" s="81"/>
    </row>
    <row r="536">
      <c r="D536" s="81"/>
      <c r="E536" s="81"/>
    </row>
    <row r="537">
      <c r="D537" s="81"/>
      <c r="E537" s="81"/>
    </row>
    <row r="538">
      <c r="D538" s="81"/>
      <c r="E538" s="81"/>
    </row>
    <row r="539">
      <c r="D539" s="81"/>
      <c r="E539" s="81"/>
    </row>
    <row r="540">
      <c r="D540" s="81"/>
      <c r="E540" s="81"/>
    </row>
    <row r="541">
      <c r="D541" s="81"/>
      <c r="E541" s="81"/>
    </row>
    <row r="542">
      <c r="D542" s="81"/>
      <c r="E542" s="81"/>
    </row>
    <row r="543">
      <c r="D543" s="81"/>
      <c r="E543" s="81"/>
    </row>
    <row r="544">
      <c r="D544" s="81"/>
      <c r="E544" s="81"/>
    </row>
    <row r="545">
      <c r="D545" s="81"/>
      <c r="E545" s="81"/>
    </row>
    <row r="546">
      <c r="D546" s="81"/>
      <c r="E546" s="81"/>
    </row>
    <row r="547">
      <c r="D547" s="81"/>
      <c r="E547" s="81"/>
    </row>
    <row r="548">
      <c r="D548" s="81"/>
      <c r="E548" s="81"/>
    </row>
    <row r="549">
      <c r="D549" s="81"/>
      <c r="E549" s="81"/>
    </row>
    <row r="550">
      <c r="D550" s="81"/>
      <c r="E550" s="81"/>
    </row>
    <row r="551">
      <c r="D551" s="81"/>
      <c r="E551" s="81"/>
    </row>
    <row r="552">
      <c r="D552" s="81"/>
      <c r="E552" s="81"/>
    </row>
    <row r="553">
      <c r="D553" s="81"/>
      <c r="E553" s="81"/>
    </row>
    <row r="554">
      <c r="D554" s="81"/>
      <c r="E554" s="81"/>
    </row>
    <row r="555">
      <c r="D555" s="81"/>
      <c r="E555" s="81"/>
    </row>
    <row r="556">
      <c r="D556" s="81"/>
      <c r="E556" s="81"/>
    </row>
    <row r="557">
      <c r="D557" s="81"/>
      <c r="E557" s="81"/>
    </row>
    <row r="558">
      <c r="D558" s="81"/>
      <c r="E558" s="81"/>
    </row>
    <row r="559">
      <c r="D559" s="81"/>
      <c r="E559" s="81"/>
    </row>
    <row r="560">
      <c r="D560" s="81"/>
      <c r="E560" s="81"/>
    </row>
    <row r="561">
      <c r="D561" s="81"/>
      <c r="E561" s="81"/>
    </row>
    <row r="562">
      <c r="D562" s="81"/>
      <c r="E562" s="81"/>
    </row>
    <row r="563">
      <c r="D563" s="81"/>
      <c r="E563" s="81"/>
    </row>
    <row r="564">
      <c r="D564" s="81"/>
      <c r="E564" s="81"/>
    </row>
    <row r="565">
      <c r="D565" s="81"/>
      <c r="E565" s="81"/>
    </row>
    <row r="566">
      <c r="D566" s="81"/>
      <c r="E566" s="81"/>
    </row>
    <row r="567">
      <c r="D567" s="81"/>
      <c r="E567" s="81"/>
    </row>
    <row r="568">
      <c r="D568" s="81"/>
      <c r="E568" s="81"/>
    </row>
    <row r="569">
      <c r="D569" s="81"/>
      <c r="E569" s="81"/>
    </row>
    <row r="570">
      <c r="D570" s="81"/>
      <c r="E570" s="81"/>
    </row>
    <row r="571">
      <c r="D571" s="81"/>
      <c r="E571" s="81"/>
    </row>
    <row r="572">
      <c r="D572" s="81"/>
      <c r="E572" s="81"/>
    </row>
    <row r="573">
      <c r="D573" s="81"/>
      <c r="E573" s="81"/>
    </row>
    <row r="574">
      <c r="D574" s="81"/>
      <c r="E574" s="81"/>
    </row>
    <row r="575">
      <c r="D575" s="81"/>
      <c r="E575" s="81"/>
    </row>
    <row r="576">
      <c r="D576" s="81"/>
      <c r="E576" s="81"/>
    </row>
    <row r="577">
      <c r="D577" s="81"/>
      <c r="E577" s="81"/>
    </row>
    <row r="578">
      <c r="D578" s="81"/>
      <c r="E578" s="81"/>
    </row>
    <row r="579">
      <c r="D579" s="81"/>
      <c r="E579" s="81"/>
    </row>
    <row r="580">
      <c r="D580" s="81"/>
      <c r="E580" s="81"/>
    </row>
    <row r="581">
      <c r="D581" s="81"/>
      <c r="E581" s="81"/>
    </row>
    <row r="582">
      <c r="D582" s="81"/>
      <c r="E582" s="81"/>
    </row>
    <row r="583">
      <c r="D583" s="81"/>
      <c r="E583" s="81"/>
    </row>
    <row r="584">
      <c r="D584" s="81"/>
      <c r="E584" s="81"/>
    </row>
    <row r="585">
      <c r="D585" s="81"/>
      <c r="E585" s="81"/>
    </row>
    <row r="586">
      <c r="D586" s="81"/>
      <c r="E586" s="81"/>
    </row>
    <row r="587">
      <c r="D587" s="81"/>
      <c r="E587" s="81"/>
    </row>
    <row r="588">
      <c r="D588" s="81"/>
      <c r="E588" s="81"/>
    </row>
    <row r="589">
      <c r="D589" s="81"/>
      <c r="E589" s="81"/>
    </row>
    <row r="590">
      <c r="D590" s="81"/>
      <c r="E590" s="81"/>
    </row>
    <row r="591">
      <c r="D591" s="81"/>
      <c r="E591" s="81"/>
    </row>
    <row r="592">
      <c r="D592" s="81"/>
      <c r="E592" s="81"/>
    </row>
    <row r="593">
      <c r="D593" s="81"/>
      <c r="E593" s="81"/>
    </row>
    <row r="594">
      <c r="D594" s="81"/>
      <c r="E594" s="81"/>
    </row>
    <row r="595">
      <c r="D595" s="81"/>
      <c r="E595" s="81"/>
    </row>
    <row r="596">
      <c r="D596" s="81"/>
      <c r="E596" s="81"/>
    </row>
    <row r="597">
      <c r="D597" s="81"/>
      <c r="E597" s="81"/>
    </row>
    <row r="598">
      <c r="D598" s="81"/>
      <c r="E598" s="81"/>
    </row>
    <row r="599">
      <c r="D599" s="81"/>
      <c r="E599" s="81"/>
    </row>
    <row r="600">
      <c r="D600" s="81"/>
      <c r="E600" s="81"/>
    </row>
    <row r="601">
      <c r="D601" s="81"/>
      <c r="E601" s="81"/>
    </row>
    <row r="602">
      <c r="D602" s="81"/>
      <c r="E602" s="81"/>
    </row>
    <row r="603">
      <c r="D603" s="81"/>
      <c r="E603" s="81"/>
    </row>
    <row r="604">
      <c r="D604" s="81"/>
      <c r="E604" s="81"/>
    </row>
    <row r="605">
      <c r="D605" s="81"/>
      <c r="E605" s="81"/>
    </row>
    <row r="606">
      <c r="D606" s="81"/>
      <c r="E606" s="81"/>
    </row>
    <row r="607">
      <c r="D607" s="81"/>
      <c r="E607" s="81"/>
    </row>
    <row r="608">
      <c r="D608" s="81"/>
      <c r="E608" s="81"/>
    </row>
    <row r="609">
      <c r="D609" s="81"/>
      <c r="E609" s="81"/>
    </row>
    <row r="610">
      <c r="D610" s="81"/>
      <c r="E610" s="81"/>
    </row>
    <row r="611">
      <c r="D611" s="81"/>
      <c r="E611" s="81"/>
    </row>
    <row r="612">
      <c r="D612" s="81"/>
      <c r="E612" s="81"/>
    </row>
    <row r="613">
      <c r="D613" s="81"/>
      <c r="E613" s="81"/>
    </row>
    <row r="614">
      <c r="D614" s="81"/>
      <c r="E614" s="81"/>
    </row>
    <row r="615">
      <c r="D615" s="81"/>
      <c r="E615" s="81"/>
    </row>
    <row r="616">
      <c r="D616" s="81"/>
      <c r="E616" s="81"/>
    </row>
    <row r="617">
      <c r="D617" s="81"/>
      <c r="E617" s="81"/>
    </row>
    <row r="618">
      <c r="D618" s="81"/>
      <c r="E618" s="81"/>
    </row>
    <row r="619">
      <c r="D619" s="81"/>
      <c r="E619" s="81"/>
    </row>
    <row r="620">
      <c r="D620" s="81"/>
      <c r="E620" s="81"/>
    </row>
    <row r="621">
      <c r="D621" s="81"/>
      <c r="E621" s="81"/>
    </row>
    <row r="622">
      <c r="D622" s="81"/>
      <c r="E622" s="81"/>
    </row>
    <row r="623">
      <c r="D623" s="81"/>
      <c r="E623" s="81"/>
    </row>
    <row r="624">
      <c r="D624" s="81"/>
      <c r="E624" s="81"/>
    </row>
    <row r="625">
      <c r="D625" s="81"/>
      <c r="E625" s="81"/>
    </row>
    <row r="626">
      <c r="D626" s="81"/>
      <c r="E626" s="81"/>
    </row>
    <row r="627">
      <c r="D627" s="81"/>
      <c r="E627" s="81"/>
    </row>
    <row r="628">
      <c r="D628" s="81"/>
      <c r="E628" s="81"/>
    </row>
    <row r="629">
      <c r="D629" s="81"/>
      <c r="E629" s="81"/>
    </row>
    <row r="630">
      <c r="D630" s="81"/>
      <c r="E630" s="81"/>
    </row>
    <row r="631">
      <c r="D631" s="81"/>
      <c r="E631" s="81"/>
    </row>
    <row r="632">
      <c r="D632" s="81"/>
      <c r="E632" s="81"/>
    </row>
    <row r="633">
      <c r="D633" s="81"/>
      <c r="E633" s="81"/>
    </row>
    <row r="634">
      <c r="D634" s="81"/>
      <c r="E634" s="81"/>
    </row>
    <row r="635">
      <c r="D635" s="81"/>
      <c r="E635" s="81"/>
    </row>
    <row r="636">
      <c r="D636" s="81"/>
      <c r="E636" s="81"/>
    </row>
    <row r="637">
      <c r="D637" s="81"/>
      <c r="E637" s="81"/>
    </row>
    <row r="638">
      <c r="D638" s="81"/>
      <c r="E638" s="81"/>
    </row>
    <row r="639">
      <c r="D639" s="81"/>
      <c r="E639" s="81"/>
    </row>
    <row r="640">
      <c r="D640" s="81"/>
      <c r="E640" s="81"/>
    </row>
    <row r="641">
      <c r="D641" s="81"/>
      <c r="E641" s="81"/>
    </row>
    <row r="642">
      <c r="D642" s="81"/>
      <c r="E642" s="81"/>
    </row>
    <row r="643">
      <c r="D643" s="81"/>
      <c r="E643" s="81"/>
    </row>
    <row r="644">
      <c r="D644" s="81"/>
      <c r="E644" s="81"/>
    </row>
    <row r="645">
      <c r="D645" s="81"/>
      <c r="E645" s="81"/>
    </row>
    <row r="646">
      <c r="D646" s="81"/>
      <c r="E646" s="81"/>
    </row>
    <row r="647">
      <c r="D647" s="81"/>
      <c r="E647" s="81"/>
    </row>
    <row r="648">
      <c r="D648" s="81"/>
      <c r="E648" s="81"/>
    </row>
    <row r="649">
      <c r="D649" s="81"/>
      <c r="E649" s="81"/>
    </row>
    <row r="650">
      <c r="D650" s="81"/>
      <c r="E650" s="81"/>
    </row>
    <row r="651">
      <c r="D651" s="81"/>
      <c r="E651" s="81"/>
    </row>
    <row r="652">
      <c r="D652" s="81"/>
      <c r="E652" s="81"/>
    </row>
    <row r="653">
      <c r="D653" s="81"/>
      <c r="E653" s="81"/>
    </row>
    <row r="654">
      <c r="D654" s="81"/>
      <c r="E654" s="81"/>
    </row>
    <row r="655">
      <c r="D655" s="81"/>
      <c r="E655" s="81"/>
    </row>
    <row r="656">
      <c r="D656" s="81"/>
      <c r="E656" s="81"/>
    </row>
    <row r="657">
      <c r="D657" s="81"/>
      <c r="E657" s="81"/>
    </row>
    <row r="658">
      <c r="D658" s="81"/>
      <c r="E658" s="81"/>
    </row>
    <row r="659">
      <c r="D659" s="81"/>
      <c r="E659" s="81"/>
    </row>
    <row r="660">
      <c r="D660" s="81"/>
      <c r="E660" s="81"/>
    </row>
    <row r="661">
      <c r="D661" s="81"/>
      <c r="E661" s="81"/>
    </row>
    <row r="662">
      <c r="D662" s="81"/>
      <c r="E662" s="81"/>
    </row>
    <row r="663">
      <c r="D663" s="81"/>
      <c r="E663" s="81"/>
    </row>
    <row r="664">
      <c r="D664" s="81"/>
      <c r="E664" s="81"/>
    </row>
    <row r="665">
      <c r="D665" s="81"/>
      <c r="E665" s="81"/>
    </row>
    <row r="666">
      <c r="D666" s="81"/>
      <c r="E666" s="81"/>
    </row>
    <row r="667">
      <c r="D667" s="81"/>
      <c r="E667" s="81"/>
    </row>
    <row r="668">
      <c r="D668" s="81"/>
      <c r="E668" s="81"/>
    </row>
    <row r="669">
      <c r="D669" s="81"/>
      <c r="E669" s="81"/>
    </row>
    <row r="670">
      <c r="D670" s="81"/>
      <c r="E670" s="81"/>
    </row>
    <row r="671">
      <c r="D671" s="81"/>
      <c r="E671" s="81"/>
    </row>
    <row r="672">
      <c r="D672" s="81"/>
      <c r="E672" s="81"/>
    </row>
    <row r="673">
      <c r="D673" s="81"/>
      <c r="E673" s="81"/>
    </row>
    <row r="674">
      <c r="D674" s="81"/>
      <c r="E674" s="81"/>
    </row>
    <row r="675">
      <c r="D675" s="81"/>
      <c r="E675" s="81"/>
    </row>
    <row r="676">
      <c r="D676" s="81"/>
      <c r="E676" s="81"/>
    </row>
    <row r="677">
      <c r="D677" s="81"/>
      <c r="E677" s="81"/>
    </row>
    <row r="678">
      <c r="D678" s="81"/>
      <c r="E678" s="81"/>
    </row>
    <row r="679">
      <c r="D679" s="81"/>
      <c r="E679" s="81"/>
    </row>
    <row r="680">
      <c r="D680" s="81"/>
      <c r="E680" s="81"/>
    </row>
    <row r="681">
      <c r="D681" s="81"/>
      <c r="E681" s="81"/>
    </row>
    <row r="682">
      <c r="D682" s="81"/>
      <c r="E682" s="81"/>
    </row>
    <row r="683">
      <c r="D683" s="81"/>
      <c r="E683" s="81"/>
    </row>
    <row r="684">
      <c r="D684" s="81"/>
      <c r="E684" s="81"/>
    </row>
    <row r="685">
      <c r="D685" s="81"/>
      <c r="E685" s="81"/>
    </row>
    <row r="686">
      <c r="D686" s="81"/>
      <c r="E686" s="81"/>
    </row>
    <row r="687">
      <c r="D687" s="81"/>
      <c r="E687" s="81"/>
    </row>
    <row r="688">
      <c r="D688" s="81"/>
      <c r="E688" s="81"/>
    </row>
    <row r="689">
      <c r="D689" s="81"/>
      <c r="E689" s="81"/>
    </row>
    <row r="690">
      <c r="D690" s="81"/>
      <c r="E690" s="81"/>
    </row>
    <row r="691">
      <c r="D691" s="81"/>
      <c r="E691" s="81"/>
    </row>
    <row r="692">
      <c r="D692" s="81"/>
      <c r="E692" s="81"/>
    </row>
    <row r="693">
      <c r="D693" s="81"/>
      <c r="E693" s="81"/>
    </row>
    <row r="694">
      <c r="D694" s="81"/>
      <c r="E694" s="81"/>
    </row>
    <row r="695">
      <c r="D695" s="81"/>
      <c r="E695" s="81"/>
    </row>
    <row r="696">
      <c r="D696" s="81"/>
      <c r="E696" s="81"/>
    </row>
    <row r="697">
      <c r="D697" s="81"/>
      <c r="E697" s="81"/>
    </row>
    <row r="698">
      <c r="D698" s="81"/>
      <c r="E698" s="81"/>
    </row>
    <row r="699">
      <c r="D699" s="81"/>
      <c r="E699" s="81"/>
    </row>
    <row r="700">
      <c r="D700" s="81"/>
      <c r="E700" s="81"/>
    </row>
    <row r="701">
      <c r="D701" s="81"/>
      <c r="E701" s="81"/>
    </row>
    <row r="702">
      <c r="D702" s="81"/>
      <c r="E702" s="81"/>
    </row>
    <row r="703">
      <c r="D703" s="81"/>
      <c r="E703" s="81"/>
    </row>
    <row r="704">
      <c r="D704" s="81"/>
      <c r="E704" s="81"/>
    </row>
    <row r="705">
      <c r="D705" s="81"/>
      <c r="E705" s="81"/>
    </row>
    <row r="706">
      <c r="D706" s="81"/>
      <c r="E706" s="81"/>
    </row>
    <row r="707">
      <c r="D707" s="81"/>
      <c r="E707" s="81"/>
    </row>
    <row r="708">
      <c r="D708" s="81"/>
      <c r="E708" s="81"/>
    </row>
    <row r="709">
      <c r="D709" s="81"/>
      <c r="E709" s="81"/>
    </row>
    <row r="710">
      <c r="D710" s="81"/>
      <c r="E710" s="81"/>
    </row>
    <row r="711">
      <c r="D711" s="81"/>
      <c r="E711" s="81"/>
    </row>
    <row r="712">
      <c r="D712" s="81"/>
      <c r="E712" s="81"/>
    </row>
    <row r="713">
      <c r="D713" s="81"/>
      <c r="E713" s="81"/>
    </row>
    <row r="714">
      <c r="D714" s="81"/>
      <c r="E714" s="81"/>
    </row>
    <row r="715">
      <c r="D715" s="81"/>
      <c r="E715" s="81"/>
    </row>
    <row r="716">
      <c r="D716" s="81"/>
      <c r="E716" s="81"/>
    </row>
    <row r="717">
      <c r="D717" s="81"/>
      <c r="E717" s="81"/>
    </row>
    <row r="718">
      <c r="D718" s="81"/>
      <c r="E718" s="81"/>
    </row>
    <row r="719">
      <c r="D719" s="81"/>
      <c r="E719" s="81"/>
    </row>
    <row r="720">
      <c r="D720" s="81"/>
      <c r="E720" s="81"/>
    </row>
    <row r="721">
      <c r="D721" s="81"/>
      <c r="E721" s="81"/>
    </row>
    <row r="722">
      <c r="D722" s="81"/>
      <c r="E722" s="81"/>
    </row>
    <row r="723">
      <c r="D723" s="81"/>
      <c r="E723" s="81"/>
    </row>
    <row r="724">
      <c r="D724" s="81"/>
      <c r="E724" s="81"/>
    </row>
    <row r="725">
      <c r="D725" s="81"/>
      <c r="E725" s="81"/>
    </row>
    <row r="726">
      <c r="D726" s="81"/>
      <c r="E726" s="81"/>
    </row>
    <row r="727">
      <c r="D727" s="81"/>
      <c r="E727" s="81"/>
    </row>
    <row r="728">
      <c r="D728" s="81"/>
      <c r="E728" s="81"/>
    </row>
    <row r="729">
      <c r="D729" s="81"/>
      <c r="E729" s="81"/>
    </row>
    <row r="730">
      <c r="D730" s="81"/>
      <c r="E730" s="81"/>
    </row>
    <row r="731">
      <c r="D731" s="81"/>
      <c r="E731" s="81"/>
    </row>
    <row r="732">
      <c r="D732" s="81"/>
      <c r="E732" s="81"/>
    </row>
    <row r="733">
      <c r="D733" s="81"/>
      <c r="E733" s="81"/>
    </row>
    <row r="734">
      <c r="D734" s="81"/>
      <c r="E734" s="81"/>
    </row>
    <row r="735">
      <c r="D735" s="81"/>
      <c r="E735" s="81"/>
    </row>
    <row r="736">
      <c r="D736" s="81"/>
      <c r="E736" s="81"/>
    </row>
    <row r="737">
      <c r="D737" s="81"/>
      <c r="E737" s="81"/>
    </row>
    <row r="738">
      <c r="D738" s="81"/>
      <c r="E738" s="81"/>
    </row>
    <row r="739">
      <c r="D739" s="81"/>
      <c r="E739" s="81"/>
    </row>
    <row r="740">
      <c r="D740" s="81"/>
      <c r="E740" s="81"/>
    </row>
    <row r="741">
      <c r="D741" s="81"/>
      <c r="E741" s="81"/>
    </row>
    <row r="742">
      <c r="D742" s="81"/>
      <c r="E742" s="81"/>
    </row>
    <row r="743">
      <c r="D743" s="81"/>
      <c r="E743" s="81"/>
    </row>
    <row r="744">
      <c r="D744" s="81"/>
      <c r="E744" s="81"/>
    </row>
    <row r="745">
      <c r="D745" s="81"/>
      <c r="E745" s="81"/>
    </row>
    <row r="746">
      <c r="D746" s="81"/>
      <c r="E746" s="81"/>
    </row>
    <row r="747">
      <c r="D747" s="81"/>
      <c r="E747" s="81"/>
    </row>
    <row r="748">
      <c r="D748" s="81"/>
      <c r="E748" s="81"/>
    </row>
    <row r="749">
      <c r="D749" s="81"/>
      <c r="E749" s="81"/>
    </row>
    <row r="750">
      <c r="D750" s="81"/>
      <c r="E750" s="81"/>
    </row>
    <row r="751">
      <c r="D751" s="81"/>
      <c r="E751" s="81"/>
    </row>
    <row r="752">
      <c r="D752" s="81"/>
      <c r="E752" s="81"/>
    </row>
    <row r="753">
      <c r="D753" s="81"/>
      <c r="E753" s="81"/>
    </row>
    <row r="754">
      <c r="D754" s="81"/>
      <c r="E754" s="81"/>
    </row>
    <row r="755">
      <c r="D755" s="81"/>
      <c r="E755" s="81"/>
    </row>
    <row r="756">
      <c r="D756" s="81"/>
      <c r="E756" s="81"/>
    </row>
    <row r="757">
      <c r="D757" s="81"/>
      <c r="E757" s="81"/>
    </row>
    <row r="758">
      <c r="D758" s="81"/>
      <c r="E758" s="81"/>
    </row>
    <row r="759">
      <c r="D759" s="81"/>
      <c r="E759" s="81"/>
    </row>
    <row r="760">
      <c r="D760" s="81"/>
      <c r="E760" s="81"/>
    </row>
    <row r="761">
      <c r="D761" s="81"/>
      <c r="E761" s="81"/>
    </row>
    <row r="762">
      <c r="D762" s="81"/>
      <c r="E762" s="81"/>
    </row>
    <row r="763">
      <c r="D763" s="81"/>
      <c r="E763" s="81"/>
    </row>
    <row r="764">
      <c r="D764" s="81"/>
      <c r="E764" s="81"/>
    </row>
    <row r="765">
      <c r="D765" s="81"/>
      <c r="E765" s="81"/>
    </row>
    <row r="766">
      <c r="D766" s="81"/>
      <c r="E766" s="81"/>
    </row>
    <row r="767">
      <c r="D767" s="81"/>
      <c r="E767" s="81"/>
    </row>
    <row r="768">
      <c r="D768" s="81"/>
      <c r="E768" s="81"/>
    </row>
    <row r="769">
      <c r="D769" s="81"/>
      <c r="E769" s="81"/>
    </row>
    <row r="770">
      <c r="D770" s="81"/>
      <c r="E770" s="81"/>
    </row>
    <row r="771">
      <c r="D771" s="81"/>
      <c r="E771" s="81"/>
    </row>
    <row r="772">
      <c r="D772" s="81"/>
      <c r="E772" s="81"/>
    </row>
    <row r="773">
      <c r="D773" s="81"/>
      <c r="E773" s="81"/>
    </row>
    <row r="774">
      <c r="D774" s="81"/>
      <c r="E774" s="81"/>
    </row>
    <row r="775">
      <c r="D775" s="81"/>
      <c r="E775" s="81"/>
    </row>
    <row r="776">
      <c r="D776" s="81"/>
      <c r="E776" s="81"/>
    </row>
    <row r="777">
      <c r="D777" s="81"/>
      <c r="E777" s="81"/>
    </row>
    <row r="778">
      <c r="D778" s="81"/>
      <c r="E778" s="81"/>
    </row>
    <row r="779">
      <c r="D779" s="81"/>
      <c r="E779" s="81"/>
    </row>
    <row r="780">
      <c r="D780" s="81"/>
      <c r="E780" s="81"/>
    </row>
    <row r="781">
      <c r="D781" s="81"/>
      <c r="E781" s="81"/>
    </row>
    <row r="782">
      <c r="D782" s="81"/>
      <c r="E782" s="81"/>
    </row>
    <row r="783">
      <c r="D783" s="81"/>
      <c r="E783" s="81"/>
    </row>
    <row r="784">
      <c r="D784" s="81"/>
      <c r="E784" s="81"/>
    </row>
    <row r="785">
      <c r="D785" s="81"/>
      <c r="E785" s="81"/>
    </row>
    <row r="786">
      <c r="D786" s="81"/>
      <c r="E786" s="81"/>
    </row>
    <row r="787">
      <c r="D787" s="81"/>
      <c r="E787" s="81"/>
    </row>
    <row r="788">
      <c r="D788" s="81"/>
      <c r="E788" s="81"/>
    </row>
    <row r="789">
      <c r="D789" s="81"/>
      <c r="E789" s="81"/>
    </row>
    <row r="790">
      <c r="D790" s="81"/>
      <c r="E790" s="81"/>
    </row>
    <row r="791">
      <c r="D791" s="81"/>
      <c r="E791" s="81"/>
    </row>
    <row r="792">
      <c r="D792" s="81"/>
      <c r="E792" s="81"/>
    </row>
    <row r="793">
      <c r="D793" s="81"/>
      <c r="E793" s="81"/>
    </row>
    <row r="794">
      <c r="D794" s="81"/>
      <c r="E794" s="81"/>
    </row>
    <row r="795">
      <c r="D795" s="81"/>
      <c r="E795" s="81"/>
    </row>
    <row r="796">
      <c r="D796" s="81"/>
      <c r="E796" s="81"/>
    </row>
    <row r="797">
      <c r="D797" s="81"/>
      <c r="E797" s="81"/>
    </row>
    <row r="798">
      <c r="D798" s="81"/>
      <c r="E798" s="81"/>
    </row>
    <row r="799">
      <c r="D799" s="81"/>
      <c r="E799" s="81"/>
    </row>
    <row r="800">
      <c r="D800" s="81"/>
      <c r="E800" s="81"/>
    </row>
    <row r="801">
      <c r="D801" s="81"/>
      <c r="E801" s="81"/>
    </row>
    <row r="802">
      <c r="D802" s="81"/>
      <c r="E802" s="81"/>
    </row>
    <row r="803">
      <c r="D803" s="81"/>
      <c r="E803" s="81"/>
    </row>
    <row r="804">
      <c r="D804" s="81"/>
      <c r="E804" s="81"/>
    </row>
    <row r="805">
      <c r="D805" s="81"/>
      <c r="E805" s="81"/>
    </row>
    <row r="806">
      <c r="D806" s="81"/>
      <c r="E806" s="81"/>
    </row>
    <row r="807">
      <c r="D807" s="81"/>
      <c r="E807" s="81"/>
    </row>
    <row r="808">
      <c r="D808" s="81"/>
      <c r="E808" s="81"/>
    </row>
    <row r="809">
      <c r="D809" s="81"/>
      <c r="E809" s="81"/>
    </row>
    <row r="810">
      <c r="D810" s="81"/>
      <c r="E810" s="81"/>
    </row>
    <row r="811">
      <c r="D811" s="81"/>
      <c r="E811" s="81"/>
    </row>
    <row r="812">
      <c r="D812" s="81"/>
      <c r="E812" s="81"/>
    </row>
    <row r="813">
      <c r="D813" s="81"/>
      <c r="E813" s="81"/>
    </row>
    <row r="814">
      <c r="D814" s="81"/>
      <c r="E814" s="81"/>
    </row>
    <row r="815">
      <c r="D815" s="81"/>
      <c r="E815" s="81"/>
    </row>
    <row r="816">
      <c r="D816" s="81"/>
      <c r="E816" s="81"/>
    </row>
    <row r="817">
      <c r="D817" s="81"/>
      <c r="E817" s="81"/>
    </row>
    <row r="818">
      <c r="D818" s="81"/>
      <c r="E818" s="81"/>
    </row>
    <row r="819">
      <c r="D819" s="81"/>
      <c r="E819" s="81"/>
    </row>
    <row r="820">
      <c r="D820" s="81"/>
      <c r="E820" s="81"/>
    </row>
    <row r="821">
      <c r="D821" s="81"/>
      <c r="E821" s="81"/>
    </row>
    <row r="822">
      <c r="D822" s="81"/>
      <c r="E822" s="81"/>
    </row>
    <row r="823">
      <c r="D823" s="81"/>
      <c r="E823" s="81"/>
    </row>
    <row r="824">
      <c r="D824" s="81"/>
      <c r="E824" s="81"/>
    </row>
    <row r="825">
      <c r="D825" s="81"/>
      <c r="E825" s="81"/>
    </row>
    <row r="826">
      <c r="D826" s="81"/>
      <c r="E826" s="81"/>
    </row>
    <row r="827">
      <c r="D827" s="81"/>
      <c r="E827" s="81"/>
    </row>
    <row r="828">
      <c r="D828" s="81"/>
      <c r="E828" s="81"/>
    </row>
    <row r="829">
      <c r="D829" s="81"/>
      <c r="E829" s="81"/>
    </row>
    <row r="830">
      <c r="D830" s="81"/>
      <c r="E830" s="81"/>
    </row>
    <row r="831">
      <c r="D831" s="81"/>
      <c r="E831" s="81"/>
    </row>
    <row r="832">
      <c r="D832" s="81"/>
      <c r="E832" s="81"/>
    </row>
    <row r="833">
      <c r="D833" s="81"/>
      <c r="E833" s="81"/>
    </row>
    <row r="834">
      <c r="D834" s="81"/>
      <c r="E834" s="81"/>
    </row>
    <row r="835">
      <c r="D835" s="81"/>
      <c r="E835" s="81"/>
    </row>
    <row r="836">
      <c r="D836" s="81"/>
      <c r="E836" s="81"/>
    </row>
    <row r="837">
      <c r="D837" s="81"/>
      <c r="E837" s="81"/>
    </row>
    <row r="838">
      <c r="D838" s="81"/>
      <c r="E838" s="81"/>
    </row>
    <row r="839">
      <c r="D839" s="81"/>
      <c r="E839" s="81"/>
    </row>
    <row r="840">
      <c r="D840" s="81"/>
      <c r="E840" s="81"/>
    </row>
    <row r="841">
      <c r="D841" s="81"/>
      <c r="E841" s="81"/>
    </row>
    <row r="842">
      <c r="D842" s="81"/>
      <c r="E842" s="81"/>
    </row>
    <row r="843">
      <c r="D843" s="81"/>
      <c r="E843" s="81"/>
    </row>
    <row r="844">
      <c r="D844" s="81"/>
      <c r="E844" s="81"/>
    </row>
    <row r="845">
      <c r="D845" s="81"/>
      <c r="E845" s="81"/>
    </row>
    <row r="846">
      <c r="D846" s="81"/>
      <c r="E846" s="81"/>
    </row>
    <row r="847">
      <c r="D847" s="81"/>
      <c r="E847" s="81"/>
    </row>
    <row r="848">
      <c r="D848" s="81"/>
      <c r="E848" s="81"/>
    </row>
    <row r="849">
      <c r="D849" s="81"/>
      <c r="E849" s="81"/>
    </row>
    <row r="850">
      <c r="D850" s="81"/>
      <c r="E850" s="81"/>
    </row>
    <row r="851">
      <c r="D851" s="81"/>
      <c r="E851" s="81"/>
    </row>
    <row r="852">
      <c r="D852" s="81"/>
      <c r="E852" s="81"/>
    </row>
    <row r="853">
      <c r="D853" s="81"/>
      <c r="E853" s="81"/>
    </row>
    <row r="854">
      <c r="D854" s="81"/>
      <c r="E854" s="81"/>
    </row>
    <row r="855">
      <c r="D855" s="81"/>
      <c r="E855" s="81"/>
    </row>
    <row r="856">
      <c r="D856" s="81"/>
      <c r="E856" s="81"/>
    </row>
    <row r="857">
      <c r="D857" s="81"/>
      <c r="E857" s="81"/>
    </row>
    <row r="858">
      <c r="D858" s="81"/>
      <c r="E858" s="81"/>
    </row>
    <row r="859">
      <c r="D859" s="81"/>
      <c r="E859" s="81"/>
    </row>
    <row r="860">
      <c r="D860" s="81"/>
      <c r="E860" s="81"/>
    </row>
    <row r="861">
      <c r="D861" s="81"/>
      <c r="E861" s="81"/>
    </row>
    <row r="862">
      <c r="D862" s="81"/>
      <c r="E862" s="81"/>
    </row>
    <row r="863">
      <c r="D863" s="81"/>
      <c r="E863" s="81"/>
    </row>
    <row r="864">
      <c r="D864" s="81"/>
      <c r="E864" s="81"/>
    </row>
    <row r="865">
      <c r="D865" s="81"/>
      <c r="E865" s="81"/>
    </row>
    <row r="866">
      <c r="D866" s="81"/>
      <c r="E866" s="81"/>
    </row>
    <row r="867">
      <c r="D867" s="81"/>
      <c r="E867" s="81"/>
    </row>
    <row r="868">
      <c r="D868" s="81"/>
      <c r="E868" s="81"/>
    </row>
    <row r="869">
      <c r="D869" s="81"/>
      <c r="E869" s="81"/>
    </row>
    <row r="870">
      <c r="D870" s="81"/>
      <c r="E870" s="81"/>
    </row>
    <row r="871">
      <c r="D871" s="81"/>
      <c r="E871" s="81"/>
    </row>
    <row r="872">
      <c r="D872" s="81"/>
      <c r="E872" s="81"/>
    </row>
    <row r="873">
      <c r="D873" s="81"/>
      <c r="E873" s="81"/>
    </row>
    <row r="874">
      <c r="D874" s="81"/>
      <c r="E874" s="81"/>
    </row>
    <row r="875">
      <c r="D875" s="81"/>
      <c r="E875" s="81"/>
    </row>
    <row r="876">
      <c r="D876" s="81"/>
      <c r="E876" s="81"/>
    </row>
    <row r="877">
      <c r="D877" s="81"/>
      <c r="E877" s="81"/>
    </row>
    <row r="878">
      <c r="D878" s="81"/>
      <c r="E878" s="81"/>
    </row>
    <row r="879">
      <c r="D879" s="81"/>
      <c r="E879" s="81"/>
    </row>
    <row r="880">
      <c r="D880" s="81"/>
      <c r="E880" s="81"/>
    </row>
    <row r="881">
      <c r="D881" s="81"/>
      <c r="E881" s="81"/>
    </row>
    <row r="882">
      <c r="D882" s="81"/>
      <c r="E882" s="81"/>
    </row>
    <row r="883">
      <c r="D883" s="81"/>
      <c r="E883" s="81"/>
    </row>
    <row r="884">
      <c r="D884" s="81"/>
      <c r="E884" s="81"/>
    </row>
    <row r="885">
      <c r="D885" s="81"/>
      <c r="E885" s="81"/>
    </row>
    <row r="886">
      <c r="D886" s="81"/>
      <c r="E886" s="81"/>
    </row>
    <row r="887">
      <c r="D887" s="81"/>
      <c r="E887" s="81"/>
    </row>
    <row r="888">
      <c r="D888" s="81"/>
      <c r="E888" s="81"/>
    </row>
    <row r="889">
      <c r="D889" s="81"/>
      <c r="E889" s="81"/>
    </row>
    <row r="890">
      <c r="D890" s="81"/>
      <c r="E890" s="81"/>
    </row>
    <row r="891">
      <c r="D891" s="81"/>
      <c r="E891" s="81"/>
    </row>
    <row r="892">
      <c r="D892" s="81"/>
      <c r="E892" s="81"/>
    </row>
    <row r="893">
      <c r="D893" s="81"/>
      <c r="E893" s="81"/>
    </row>
    <row r="894">
      <c r="D894" s="81"/>
      <c r="E894" s="81"/>
    </row>
    <row r="895">
      <c r="D895" s="81"/>
      <c r="E895" s="81"/>
    </row>
    <row r="896">
      <c r="D896" s="81"/>
      <c r="E896" s="81"/>
    </row>
    <row r="897">
      <c r="D897" s="81"/>
      <c r="E897" s="81"/>
    </row>
    <row r="898">
      <c r="D898" s="81"/>
      <c r="E898" s="81"/>
    </row>
    <row r="899">
      <c r="D899" s="81"/>
      <c r="E899" s="81"/>
    </row>
    <row r="900">
      <c r="D900" s="81"/>
      <c r="E900" s="81"/>
    </row>
    <row r="901">
      <c r="D901" s="81"/>
      <c r="E901" s="81"/>
    </row>
    <row r="902">
      <c r="D902" s="81"/>
      <c r="E902" s="81"/>
    </row>
    <row r="903">
      <c r="D903" s="81"/>
      <c r="E903" s="81"/>
    </row>
    <row r="904">
      <c r="D904" s="81"/>
      <c r="E904" s="81"/>
    </row>
    <row r="905">
      <c r="D905" s="81"/>
      <c r="E905" s="81"/>
    </row>
    <row r="906">
      <c r="D906" s="81"/>
      <c r="E906" s="81"/>
    </row>
    <row r="907">
      <c r="D907" s="81"/>
      <c r="E907" s="81"/>
    </row>
    <row r="908">
      <c r="D908" s="81"/>
      <c r="E908" s="81"/>
    </row>
    <row r="909">
      <c r="D909" s="81"/>
      <c r="E909" s="81"/>
    </row>
    <row r="910">
      <c r="D910" s="81"/>
      <c r="E910" s="81"/>
    </row>
    <row r="911">
      <c r="D911" s="81"/>
      <c r="E911" s="81"/>
    </row>
    <row r="912">
      <c r="D912" s="81"/>
      <c r="E912" s="81"/>
    </row>
    <row r="913">
      <c r="D913" s="81"/>
      <c r="E913" s="81"/>
    </row>
    <row r="914">
      <c r="D914" s="81"/>
      <c r="E914" s="81"/>
    </row>
    <row r="915">
      <c r="D915" s="81"/>
      <c r="E915" s="81"/>
    </row>
    <row r="916">
      <c r="D916" s="81"/>
      <c r="E916" s="81"/>
    </row>
    <row r="917">
      <c r="D917" s="81"/>
      <c r="E917" s="81"/>
    </row>
    <row r="918">
      <c r="D918" s="81"/>
      <c r="E918" s="81"/>
    </row>
    <row r="919">
      <c r="D919" s="81"/>
      <c r="E919" s="81"/>
    </row>
    <row r="920">
      <c r="D920" s="81"/>
      <c r="E920" s="81"/>
    </row>
    <row r="921">
      <c r="D921" s="81"/>
      <c r="E921" s="81"/>
    </row>
    <row r="922">
      <c r="D922" s="81"/>
      <c r="E922" s="81"/>
    </row>
    <row r="923">
      <c r="D923" s="81"/>
      <c r="E923" s="81"/>
    </row>
    <row r="924">
      <c r="D924" s="81"/>
      <c r="E924" s="81"/>
    </row>
    <row r="925">
      <c r="D925" s="81"/>
      <c r="E925" s="81"/>
    </row>
    <row r="926">
      <c r="D926" s="81"/>
      <c r="E926" s="81"/>
    </row>
    <row r="927">
      <c r="D927" s="81"/>
      <c r="E927" s="81"/>
    </row>
    <row r="928">
      <c r="D928" s="81"/>
      <c r="E928" s="81"/>
    </row>
    <row r="929">
      <c r="D929" s="81"/>
      <c r="E929" s="81"/>
    </row>
    <row r="930">
      <c r="D930" s="81"/>
      <c r="E930" s="81"/>
    </row>
    <row r="931">
      <c r="D931" s="81"/>
      <c r="E931" s="81"/>
    </row>
    <row r="932">
      <c r="D932" s="81"/>
      <c r="E932" s="81"/>
    </row>
    <row r="933">
      <c r="D933" s="81"/>
      <c r="E933" s="81"/>
    </row>
    <row r="934">
      <c r="D934" s="81"/>
      <c r="E934" s="81"/>
    </row>
    <row r="935">
      <c r="D935" s="81"/>
      <c r="E935" s="81"/>
    </row>
    <row r="936">
      <c r="D936" s="81"/>
      <c r="E936" s="81"/>
    </row>
    <row r="937">
      <c r="D937" s="81"/>
      <c r="E937" s="81"/>
    </row>
    <row r="938">
      <c r="D938" s="81"/>
      <c r="E938" s="81"/>
    </row>
    <row r="939">
      <c r="D939" s="81"/>
      <c r="E939" s="81"/>
    </row>
    <row r="940">
      <c r="D940" s="81"/>
      <c r="E940" s="81"/>
    </row>
    <row r="941">
      <c r="D941" s="81"/>
      <c r="E941" s="81"/>
    </row>
    <row r="942">
      <c r="D942" s="81"/>
      <c r="E942" s="81"/>
    </row>
    <row r="943">
      <c r="D943" s="81"/>
      <c r="E943" s="81"/>
    </row>
    <row r="944">
      <c r="D944" s="81"/>
      <c r="E944" s="81"/>
    </row>
    <row r="945">
      <c r="D945" s="81"/>
      <c r="E945" s="81"/>
    </row>
    <row r="946">
      <c r="D946" s="81"/>
      <c r="E946" s="81"/>
    </row>
    <row r="947">
      <c r="D947" s="81"/>
      <c r="E947" s="81"/>
    </row>
    <row r="948">
      <c r="D948" s="81"/>
      <c r="E948" s="81"/>
    </row>
    <row r="949">
      <c r="D949" s="81"/>
      <c r="E949" s="81"/>
    </row>
    <row r="950">
      <c r="D950" s="81"/>
      <c r="E950" s="81"/>
    </row>
    <row r="951">
      <c r="D951" s="81"/>
      <c r="E951" s="81"/>
    </row>
    <row r="952">
      <c r="D952" s="81"/>
      <c r="E952" s="81"/>
    </row>
    <row r="953">
      <c r="D953" s="81"/>
      <c r="E953" s="81"/>
    </row>
    <row r="954">
      <c r="D954" s="81"/>
      <c r="E954" s="81"/>
    </row>
    <row r="955">
      <c r="D955" s="81"/>
      <c r="E955" s="81"/>
    </row>
    <row r="956">
      <c r="D956" s="81"/>
      <c r="E956" s="81"/>
    </row>
    <row r="957">
      <c r="D957" s="81"/>
      <c r="E957" s="81"/>
    </row>
    <row r="958">
      <c r="D958" s="81"/>
      <c r="E958" s="81"/>
    </row>
    <row r="959">
      <c r="D959" s="81"/>
      <c r="E959" s="81"/>
    </row>
    <row r="960">
      <c r="D960" s="81"/>
      <c r="E960" s="81"/>
    </row>
    <row r="961">
      <c r="D961" s="81"/>
      <c r="E961" s="81"/>
    </row>
    <row r="962">
      <c r="D962" s="81"/>
      <c r="E962" s="81"/>
    </row>
    <row r="963">
      <c r="D963" s="81"/>
      <c r="E963" s="81"/>
    </row>
    <row r="964">
      <c r="D964" s="81"/>
      <c r="E964" s="81"/>
    </row>
    <row r="965">
      <c r="D965" s="81"/>
      <c r="E965" s="81"/>
    </row>
    <row r="966">
      <c r="D966" s="81"/>
      <c r="E966" s="81"/>
    </row>
    <row r="967">
      <c r="D967" s="81"/>
      <c r="E967" s="81"/>
    </row>
    <row r="968">
      <c r="D968" s="81"/>
      <c r="E968" s="81"/>
    </row>
    <row r="969">
      <c r="D969" s="81"/>
      <c r="E969" s="81"/>
    </row>
    <row r="970">
      <c r="D970" s="81"/>
      <c r="E970" s="81"/>
    </row>
    <row r="971">
      <c r="D971" s="81"/>
      <c r="E971" s="81"/>
    </row>
    <row r="972">
      <c r="D972" s="81"/>
      <c r="E972" s="81"/>
    </row>
    <row r="973">
      <c r="D973" s="81"/>
      <c r="E973" s="81"/>
    </row>
    <row r="974">
      <c r="D974" s="81"/>
      <c r="E974" s="81"/>
    </row>
    <row r="975">
      <c r="D975" s="81"/>
      <c r="E975" s="81"/>
    </row>
    <row r="976">
      <c r="D976" s="81"/>
      <c r="E976" s="81"/>
    </row>
    <row r="977">
      <c r="D977" s="81"/>
      <c r="E977" s="81"/>
    </row>
    <row r="978">
      <c r="D978" s="81"/>
      <c r="E978" s="81"/>
    </row>
    <row r="979">
      <c r="D979" s="81"/>
      <c r="E979" s="81"/>
    </row>
    <row r="980">
      <c r="D980" s="81"/>
      <c r="E980" s="81"/>
    </row>
    <row r="981">
      <c r="D981" s="81"/>
      <c r="E981" s="81"/>
    </row>
    <row r="982">
      <c r="D982" s="81"/>
      <c r="E982" s="81"/>
    </row>
    <row r="983">
      <c r="D983" s="81"/>
      <c r="E983" s="81"/>
    </row>
    <row r="984">
      <c r="D984" s="81"/>
      <c r="E984" s="81"/>
    </row>
    <row r="985">
      <c r="D985" s="81"/>
      <c r="E985" s="81"/>
    </row>
    <row r="986">
      <c r="D986" s="81"/>
      <c r="E986" s="81"/>
    </row>
    <row r="987">
      <c r="D987" s="81"/>
      <c r="E987" s="81"/>
    </row>
    <row r="988">
      <c r="D988" s="81"/>
      <c r="E988" s="81"/>
    </row>
    <row r="989">
      <c r="D989" s="81"/>
      <c r="E989" s="81"/>
    </row>
    <row r="990">
      <c r="D990" s="81"/>
      <c r="E990" s="81"/>
    </row>
    <row r="991">
      <c r="D991" s="81"/>
      <c r="E991" s="81"/>
    </row>
    <row r="992">
      <c r="D992" s="81"/>
      <c r="E992" s="81"/>
    </row>
    <row r="993">
      <c r="D993" s="81"/>
      <c r="E993" s="81"/>
    </row>
    <row r="994">
      <c r="D994" s="81"/>
      <c r="E994" s="81"/>
    </row>
    <row r="995">
      <c r="D995" s="81"/>
      <c r="E995" s="81"/>
    </row>
    <row r="996">
      <c r="D996" s="81"/>
      <c r="E996" s="81"/>
    </row>
    <row r="997">
      <c r="D997" s="81"/>
      <c r="E997" s="81"/>
    </row>
    <row r="998">
      <c r="D998" s="81"/>
      <c r="E998" s="81"/>
    </row>
  </sheetData>
  <hyperlinks>
    <hyperlink r:id="rId1" ref="B3"/>
    <hyperlink r:id="rId2" ref="B4"/>
    <hyperlink r:id="rId3" ref="B6"/>
    <hyperlink r:id="rId4" ref="B7"/>
    <hyperlink r:id="rId5" ref="B8"/>
    <hyperlink r:id="rId6" ref="B10"/>
    <hyperlink r:id="rId7" ref="B11"/>
    <hyperlink r:id="rId8" ref="B12"/>
    <hyperlink r:id="rId9" ref="B14"/>
    <hyperlink r:id="rId10" ref="B16"/>
  </hyperlinks>
  <drawing r:id="rId1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E1E35"/>
    <outlinePr summaryBelow="0" summaryRight="0"/>
    <pageSetUpPr/>
  </sheetPr>
  <sheetViews>
    <sheetView workbookViewId="0"/>
  </sheetViews>
  <sheetFormatPr customHeight="1" defaultColWidth="12.63" defaultRowHeight="15.0"/>
  <cols>
    <col customWidth="1" min="1" max="1" width="13.25"/>
    <col customWidth="1" min="2" max="2" width="21.5"/>
    <col customWidth="1" min="3" max="3" width="81.63"/>
    <col customWidth="1" min="4" max="5" width="11.88"/>
    <col customWidth="1" min="6" max="7" width="9.25"/>
  </cols>
  <sheetData>
    <row r="1">
      <c r="A1" s="8" t="s">
        <v>23</v>
      </c>
      <c r="B1" s="8" t="s">
        <v>24</v>
      </c>
      <c r="C1" s="8" t="s">
        <v>25</v>
      </c>
      <c r="D1" s="119" t="s">
        <v>26</v>
      </c>
      <c r="E1" s="26" t="s">
        <v>27</v>
      </c>
      <c r="F1" s="83" t="s">
        <v>28</v>
      </c>
      <c r="G1" s="147" t="s">
        <v>29</v>
      </c>
    </row>
    <row r="2" ht="15.75" customHeight="1">
      <c r="A2" s="28" t="s">
        <v>2715</v>
      </c>
      <c r="C2" s="31"/>
      <c r="D2" s="51"/>
      <c r="E2" s="51"/>
      <c r="F2" s="121"/>
      <c r="G2" s="31"/>
    </row>
    <row r="3" ht="15.75" customHeight="1">
      <c r="A3" s="40" t="s">
        <v>2716</v>
      </c>
      <c r="B3" s="148" t="s">
        <v>2717</v>
      </c>
      <c r="C3" s="42" t="s">
        <v>2718</v>
      </c>
      <c r="D3" s="43" t="s">
        <v>2719</v>
      </c>
      <c r="E3" s="43" t="s">
        <v>2720</v>
      </c>
      <c r="F3" s="44">
        <v>0.105</v>
      </c>
      <c r="G3" s="46" t="str">
        <f>VLOOKUP("QU-16C",STOCK!B2:Q3641,3,FALSE)</f>
        <v>Menor a 5</v>
      </c>
    </row>
    <row r="4" ht="15.75" customHeight="1">
      <c r="A4" s="33" t="s">
        <v>2716</v>
      </c>
      <c r="B4" s="45" t="s">
        <v>2721</v>
      </c>
      <c r="C4" s="34" t="s">
        <v>2722</v>
      </c>
      <c r="D4" s="36" t="s">
        <v>2723</v>
      </c>
      <c r="E4" s="36" t="s">
        <v>2724</v>
      </c>
      <c r="F4" s="129">
        <v>0.105</v>
      </c>
      <c r="G4" s="49" t="str">
        <f>VLOOKUP("QU-24C",STOCK!B2:Q3641,3,FALSE)</f>
        <v>Menor a 5</v>
      </c>
    </row>
    <row r="5" ht="15.75" customHeight="1">
      <c r="A5" s="40" t="s">
        <v>2716</v>
      </c>
      <c r="B5" s="41" t="s">
        <v>2725</v>
      </c>
      <c r="C5" s="42" t="s">
        <v>2726</v>
      </c>
      <c r="D5" s="43" t="s">
        <v>2727</v>
      </c>
      <c r="E5" s="43" t="s">
        <v>2728</v>
      </c>
      <c r="F5" s="44">
        <v>0.105</v>
      </c>
      <c r="G5" s="46" t="str">
        <f>VLOOKUP("QU-32C",STOCK!B2:Q3641,3,FALSE)</f>
        <v>Menor a 5</v>
      </c>
    </row>
    <row r="6" ht="15.75" customHeight="1">
      <c r="A6" s="33" t="s">
        <v>2716</v>
      </c>
      <c r="B6" s="45" t="s">
        <v>2729</v>
      </c>
      <c r="C6" s="34" t="s">
        <v>2730</v>
      </c>
      <c r="D6" s="36" t="s">
        <v>2731</v>
      </c>
      <c r="E6" s="36" t="s">
        <v>2732</v>
      </c>
      <c r="F6" s="129">
        <v>0.105</v>
      </c>
      <c r="G6" s="46" t="str">
        <f>VLOOKUP("QU-PAC",STOCK!B2:Q3641,3,FALSE)</f>
        <v>Menor a 5</v>
      </c>
    </row>
    <row r="7" ht="15.75" customHeight="1">
      <c r="A7" s="40" t="s">
        <v>2716</v>
      </c>
      <c r="B7" s="41" t="s">
        <v>2733</v>
      </c>
      <c r="C7" s="42" t="s">
        <v>2734</v>
      </c>
      <c r="D7" s="43" t="s">
        <v>2735</v>
      </c>
      <c r="E7" s="43" t="s">
        <v>2736</v>
      </c>
      <c r="F7" s="44">
        <v>0.105</v>
      </c>
      <c r="G7" s="46" t="str">
        <f>VLOOKUP("QU-SB",STOCK!B2:Q3641,3,FALSE)</f>
        <v>Menor a 5</v>
      </c>
    </row>
    <row r="8" ht="15.75" customHeight="1">
      <c r="A8" s="33" t="s">
        <v>2716</v>
      </c>
      <c r="B8" s="53" t="s">
        <v>2737</v>
      </c>
      <c r="C8" s="34" t="s">
        <v>2738</v>
      </c>
      <c r="D8" s="36" t="s">
        <v>2739</v>
      </c>
      <c r="E8" s="36" t="s">
        <v>2740</v>
      </c>
      <c r="F8" s="129">
        <v>0.105</v>
      </c>
      <c r="G8" s="46" t="str">
        <f>IFERROR(VLOOKUP("QU-5",STOCK!B5:Q3644,3,FALSE),"SIN STOCK")</f>
        <v>Menor a 5</v>
      </c>
    </row>
    <row r="9" ht="15.75" customHeight="1">
      <c r="A9" s="40" t="s">
        <v>2716</v>
      </c>
      <c r="B9" s="52" t="s">
        <v>2741</v>
      </c>
      <c r="C9" s="42" t="s">
        <v>2742</v>
      </c>
      <c r="D9" s="43" t="s">
        <v>2743</v>
      </c>
      <c r="E9" s="43" t="s">
        <v>2744</v>
      </c>
      <c r="F9" s="44">
        <v>0.105</v>
      </c>
      <c r="G9" s="46" t="str">
        <f>VLOOKUP("QU-5D",STOCK!B2:Q3641,3,FALSE)</f>
        <v>Menor a 5</v>
      </c>
    </row>
    <row r="10" ht="15.75" customHeight="1">
      <c r="A10" s="33" t="s">
        <v>2716</v>
      </c>
      <c r="B10" s="53" t="s">
        <v>2745</v>
      </c>
      <c r="C10" s="34" t="s">
        <v>2746</v>
      </c>
      <c r="D10" s="36" t="s">
        <v>2747</v>
      </c>
      <c r="E10" s="36" t="s">
        <v>2748</v>
      </c>
      <c r="F10" s="129">
        <v>0.105</v>
      </c>
      <c r="G10" s="46" t="str">
        <f>IFERROR(VLOOKUP("QU-6",STOCK!B5:Q3644,3,FALSE),"SIN STOCK")</f>
        <v>Menor a 5</v>
      </c>
    </row>
    <row r="11" ht="15.75" customHeight="1">
      <c r="A11" s="40" t="s">
        <v>2716</v>
      </c>
      <c r="B11" s="52" t="s">
        <v>2749</v>
      </c>
      <c r="C11" s="42" t="s">
        <v>2750</v>
      </c>
      <c r="D11" s="43" t="s">
        <v>2751</v>
      </c>
      <c r="E11" s="43" t="s">
        <v>2752</v>
      </c>
      <c r="F11" s="44">
        <v>0.105</v>
      </c>
      <c r="G11" s="46" t="str">
        <f>VLOOKUP("QU-6D",STOCK!B2:Q3641,3,FALSE)</f>
        <v>Menor a 5</v>
      </c>
    </row>
    <row r="12" ht="15.75" customHeight="1">
      <c r="A12" s="33" t="s">
        <v>2716</v>
      </c>
      <c r="B12" s="53" t="s">
        <v>2753</v>
      </c>
      <c r="C12" s="34" t="s">
        <v>2754</v>
      </c>
      <c r="D12" s="36" t="s">
        <v>2755</v>
      </c>
      <c r="E12" s="36" t="s">
        <v>2756</v>
      </c>
      <c r="F12" s="129">
        <v>0.105</v>
      </c>
      <c r="G12" s="46" t="str">
        <f>IFERROR(VLOOKUP("QU-7",STOCK!B5:Q3644,3,FALSE),"SIN STOCK")</f>
        <v>Menor a 5</v>
      </c>
    </row>
    <row r="13" ht="15.75" customHeight="1">
      <c r="A13" s="40" t="s">
        <v>2716</v>
      </c>
      <c r="B13" s="41" t="s">
        <v>2757</v>
      </c>
      <c r="C13" s="42" t="s">
        <v>2758</v>
      </c>
      <c r="D13" s="43" t="s">
        <v>2759</v>
      </c>
      <c r="E13" s="43" t="s">
        <v>2760</v>
      </c>
      <c r="F13" s="44">
        <v>0.105</v>
      </c>
      <c r="G13" s="46" t="str">
        <f>VLOOKUP("QU-7D",STOCK!B2:Q3641,3,FALSE)</f>
        <v>Menor a 5</v>
      </c>
    </row>
    <row r="14" ht="15.75" customHeight="1">
      <c r="A14" s="28" t="s">
        <v>2761</v>
      </c>
      <c r="C14" s="31"/>
      <c r="D14" s="51"/>
      <c r="E14" s="149"/>
      <c r="F14" s="31"/>
      <c r="G14" s="31"/>
    </row>
    <row r="15" ht="15.75" customHeight="1">
      <c r="A15" s="40" t="s">
        <v>2716</v>
      </c>
      <c r="B15" s="41" t="s">
        <v>2762</v>
      </c>
      <c r="C15" s="42" t="s">
        <v>2763</v>
      </c>
      <c r="D15" s="43" t="s">
        <v>2764</v>
      </c>
      <c r="E15" s="43" t="s">
        <v>2765</v>
      </c>
      <c r="F15" s="44">
        <v>0.105</v>
      </c>
      <c r="G15" s="49" t="str">
        <f>VLOOKUP("SQ-5",STOCK!B2:Q3641,3,FALSE)</f>
        <v>Menor a 5</v>
      </c>
    </row>
    <row r="16" ht="15.75" customHeight="1">
      <c r="A16" s="33" t="s">
        <v>2716</v>
      </c>
      <c r="B16" s="45" t="s">
        <v>2766</v>
      </c>
      <c r="C16" s="34" t="s">
        <v>2767</v>
      </c>
      <c r="D16" s="36" t="s">
        <v>2768</v>
      </c>
      <c r="E16" s="36" t="s">
        <v>2769</v>
      </c>
      <c r="F16" s="129">
        <v>0.105</v>
      </c>
      <c r="G16" s="38" t="str">
        <f>VLOOKUP("SQ-6",STOCK!B2:Q3641,3,FALSE)</f>
        <v>Menor a 5</v>
      </c>
    </row>
    <row r="17" ht="15.75" customHeight="1">
      <c r="A17" s="40" t="s">
        <v>2716</v>
      </c>
      <c r="B17" s="41" t="s">
        <v>2770</v>
      </c>
      <c r="C17" s="42" t="s">
        <v>2771</v>
      </c>
      <c r="D17" s="43" t="s">
        <v>2772</v>
      </c>
      <c r="E17" s="43" t="s">
        <v>2773</v>
      </c>
      <c r="F17" s="44">
        <v>0.105</v>
      </c>
      <c r="G17" s="49" t="str">
        <f>VLOOKUP("SQ-7",STOCK!B2:Q3641,3,FALSE)</f>
        <v>Menor a 5</v>
      </c>
    </row>
    <row r="18" ht="15.75" customHeight="1">
      <c r="A18" s="33" t="s">
        <v>2716</v>
      </c>
      <c r="B18" s="45" t="s">
        <v>2774</v>
      </c>
      <c r="C18" s="34" t="s">
        <v>2775</v>
      </c>
      <c r="D18" s="36" t="s">
        <v>2776</v>
      </c>
      <c r="E18" s="36" t="s">
        <v>2777</v>
      </c>
      <c r="F18" s="129">
        <v>0.105</v>
      </c>
      <c r="G18" s="49" t="str">
        <f>VLOOKUP("SQ-RACK",STOCK!B3:Q3642,3,FALSE)</f>
        <v>Menor a 5</v>
      </c>
    </row>
    <row r="19" ht="15.75" customHeight="1">
      <c r="A19" s="40" t="s">
        <v>2716</v>
      </c>
      <c r="B19" s="41" t="s">
        <v>2778</v>
      </c>
      <c r="C19" s="42" t="s">
        <v>2779</v>
      </c>
      <c r="D19" s="43" t="s">
        <v>2780</v>
      </c>
      <c r="E19" s="43" t="s">
        <v>2781</v>
      </c>
      <c r="F19" s="44">
        <v>0.21</v>
      </c>
      <c r="G19" s="38" t="str">
        <f>VLOOKUP("M-SQ-DANT64-AX",STOCK!B2:Q3641,3,FALSE)</f>
        <v>Mayor a 5</v>
      </c>
    </row>
    <row r="20" ht="15.75" customHeight="1">
      <c r="A20" s="33" t="s">
        <v>2716</v>
      </c>
      <c r="B20" s="45" t="s">
        <v>2782</v>
      </c>
      <c r="C20" s="34" t="s">
        <v>2783</v>
      </c>
      <c r="D20" s="36" t="s">
        <v>2784</v>
      </c>
      <c r="E20" s="36" t="s">
        <v>2785</v>
      </c>
      <c r="F20" s="129">
        <v>0.105</v>
      </c>
      <c r="G20" s="46" t="str">
        <f>VLOOKUP("M-SQ-DANT32",STOCK!B3:Q3642,3,FALSE)</f>
        <v>Mayor a 5</v>
      </c>
    </row>
    <row r="21" ht="15.75" customHeight="1">
      <c r="A21" s="40" t="s">
        <v>2716</v>
      </c>
      <c r="B21" s="41" t="s">
        <v>2786</v>
      </c>
      <c r="C21" s="42" t="s">
        <v>2787</v>
      </c>
      <c r="D21" s="43" t="s">
        <v>2788</v>
      </c>
      <c r="E21" s="43" t="s">
        <v>2789</v>
      </c>
      <c r="F21" s="150">
        <v>0.21</v>
      </c>
      <c r="G21" s="38" t="str">
        <f>VLOOKUP("M-SQ-WAVES3-AX",STOCK!B2:Q3641,3,FALSE)</f>
        <v>Mayor a 5</v>
      </c>
    </row>
    <row r="22" ht="15.75" customHeight="1">
      <c r="A22" s="33" t="s">
        <v>2716</v>
      </c>
      <c r="B22" s="45" t="s">
        <v>2790</v>
      </c>
      <c r="C22" s="34" t="s">
        <v>2791</v>
      </c>
      <c r="D22" s="36" t="s">
        <v>2792</v>
      </c>
      <c r="E22" s="36" t="s">
        <v>2793</v>
      </c>
      <c r="F22" s="151">
        <v>0.21</v>
      </c>
      <c r="G22" s="38" t="str">
        <f>VLOOKUP("M-SQ-SLINK-AX",STOCK!B2:Q3641,3,FALSE)</f>
        <v>Mayor a 5</v>
      </c>
    </row>
    <row r="23" ht="15.75" customHeight="1">
      <c r="A23" s="40" t="s">
        <v>2716</v>
      </c>
      <c r="B23" s="41" t="s">
        <v>2794</v>
      </c>
      <c r="C23" s="42" t="s">
        <v>2795</v>
      </c>
      <c r="D23" s="43" t="s">
        <v>2796</v>
      </c>
      <c r="E23" s="43" t="s">
        <v>2797</v>
      </c>
      <c r="F23" s="150">
        <v>0.21</v>
      </c>
      <c r="G23" s="38" t="str">
        <f>VLOOKUP("M-SQ-MADI-AX",STOCK!B2:Q3641,3,FALSE)</f>
        <v>Mayor a 5</v>
      </c>
    </row>
    <row r="24" ht="15.75" customHeight="1">
      <c r="A24" s="28" t="s">
        <v>2798</v>
      </c>
      <c r="C24" s="31"/>
      <c r="D24" s="51"/>
      <c r="E24" s="149"/>
      <c r="F24" s="31"/>
      <c r="G24" s="31"/>
    </row>
    <row r="25" ht="15.75" customHeight="1">
      <c r="A25" s="40" t="s">
        <v>2716</v>
      </c>
      <c r="B25" s="41" t="s">
        <v>2799</v>
      </c>
      <c r="C25" s="42" t="s">
        <v>2800</v>
      </c>
      <c r="D25" s="43" t="s">
        <v>2801</v>
      </c>
      <c r="E25" s="43" t="s">
        <v>2802</v>
      </c>
      <c r="F25" s="44">
        <v>0.105</v>
      </c>
      <c r="G25" s="49" t="str">
        <f>VLOOKUP("AVANTIS/ARX",STOCK!B2:Q3641,3,FALSE)</f>
        <v>Menor a 5</v>
      </c>
    </row>
    <row r="26" ht="15.75" customHeight="1">
      <c r="A26" s="33" t="s">
        <v>2716</v>
      </c>
      <c r="B26" s="45" t="s">
        <v>2803</v>
      </c>
      <c r="C26" s="34" t="s">
        <v>2804</v>
      </c>
      <c r="D26" s="36" t="s">
        <v>2805</v>
      </c>
      <c r="E26" s="36" t="s">
        <v>2806</v>
      </c>
      <c r="F26" s="129">
        <v>0.105</v>
      </c>
      <c r="G26" s="46" t="str">
        <f>VLOOKUP("AVANTIS-S/ARX",STOCK!B2:Q3641,3,FALSE)</f>
        <v>Menor a 5</v>
      </c>
    </row>
    <row r="27" ht="15.75" customHeight="1">
      <c r="A27" s="28" t="s">
        <v>2807</v>
      </c>
      <c r="C27" s="31"/>
      <c r="D27" s="51"/>
      <c r="E27" s="149"/>
      <c r="F27" s="31"/>
      <c r="G27" s="31"/>
    </row>
    <row r="28" ht="15.75" customHeight="1">
      <c r="A28" s="40" t="s">
        <v>2716</v>
      </c>
      <c r="B28" s="41" t="s">
        <v>2808</v>
      </c>
      <c r="C28" s="40" t="s">
        <v>2809</v>
      </c>
      <c r="D28" s="43" t="s">
        <v>2810</v>
      </c>
      <c r="E28" s="43" t="s">
        <v>2811</v>
      </c>
      <c r="F28" s="44">
        <v>0.105</v>
      </c>
      <c r="G28" s="38" t="str">
        <f>IFERROR(VLOOKUP("CQ12T",STOCK!B2:Q3641,3,FALSE),"SIN STOCK")</f>
        <v>Mayor a 5</v>
      </c>
    </row>
    <row r="29" ht="15.75" customHeight="1">
      <c r="A29" s="33" t="s">
        <v>2716</v>
      </c>
      <c r="B29" s="45" t="s">
        <v>2812</v>
      </c>
      <c r="C29" s="33" t="s">
        <v>2813</v>
      </c>
      <c r="D29" s="36" t="s">
        <v>2814</v>
      </c>
      <c r="E29" s="36" t="s">
        <v>2815</v>
      </c>
      <c r="F29" s="129">
        <v>0.105</v>
      </c>
      <c r="G29" s="38" t="str">
        <f>IFERROR(VLOOKUP("CQ18T",STOCK!B3:Q3642,3,FALSE),"SIN STOCK")</f>
        <v>Menor a 5</v>
      </c>
    </row>
    <row r="30" ht="15.75" customHeight="1">
      <c r="A30" s="40" t="s">
        <v>2716</v>
      </c>
      <c r="B30" s="41" t="s">
        <v>2816</v>
      </c>
      <c r="C30" s="40" t="s">
        <v>2817</v>
      </c>
      <c r="D30" s="43" t="s">
        <v>2818</v>
      </c>
      <c r="E30" s="43" t="s">
        <v>2819</v>
      </c>
      <c r="F30" s="44">
        <v>0.105</v>
      </c>
      <c r="G30" s="38" t="str">
        <f>IFERROR(VLOOKUP("CQ20B",STOCK!B4:Q3643,3,FALSE),"SIN STOCK")</f>
        <v>Mayor a 5</v>
      </c>
    </row>
    <row r="31" ht="15.75" customHeight="1">
      <c r="A31" s="33" t="s">
        <v>2716</v>
      </c>
      <c r="B31" s="45" t="s">
        <v>2820</v>
      </c>
      <c r="C31" s="34" t="s">
        <v>2821</v>
      </c>
      <c r="D31" s="36" t="s">
        <v>2822</v>
      </c>
      <c r="E31" s="36" t="s">
        <v>2823</v>
      </c>
      <c r="F31" s="129">
        <v>0.105</v>
      </c>
      <c r="G31" s="46" t="str">
        <f>IFERROR(VLOOKUP("CQ12T-CASE",STOCK!B5:Q3644,3,FALSE),"SIN STOCK")</f>
        <v>SIN STOCK</v>
      </c>
    </row>
    <row r="32" ht="15.75" customHeight="1">
      <c r="A32" s="40" t="s">
        <v>2716</v>
      </c>
      <c r="B32" s="41" t="s">
        <v>2824</v>
      </c>
      <c r="C32" s="42" t="s">
        <v>2825</v>
      </c>
      <c r="D32" s="43" t="s">
        <v>2822</v>
      </c>
      <c r="E32" s="43" t="s">
        <v>2823</v>
      </c>
      <c r="F32" s="44">
        <v>0.105</v>
      </c>
      <c r="G32" s="46" t="str">
        <f>IFERROR(VLOOKUP("CQ18T-CASE",STOCK!B6:Q3645,3,FALSE),"SIN STOCK")</f>
        <v>SIN STOCK</v>
      </c>
    </row>
    <row r="33" ht="15.75" customHeight="1">
      <c r="A33" s="33" t="s">
        <v>2716</v>
      </c>
      <c r="B33" s="45" t="s">
        <v>2826</v>
      </c>
      <c r="C33" s="34" t="s">
        <v>2827</v>
      </c>
      <c r="D33" s="36" t="s">
        <v>2828</v>
      </c>
      <c r="E33" s="36" t="s">
        <v>2829</v>
      </c>
      <c r="F33" s="129">
        <v>0.105</v>
      </c>
      <c r="G33" s="46" t="str">
        <f>IFERROR(VLOOKUP("CQ20B-CASE",STOCK!B7:Q3646,3,FALSE),"SIN STOCK")</f>
        <v>SIN STOCK</v>
      </c>
    </row>
    <row r="34" ht="15.75" customHeight="1">
      <c r="A34" s="40" t="s">
        <v>2716</v>
      </c>
      <c r="B34" s="41" t="s">
        <v>2830</v>
      </c>
      <c r="C34" s="42" t="s">
        <v>2831</v>
      </c>
      <c r="D34" s="43" t="s">
        <v>2832</v>
      </c>
      <c r="E34" s="43" t="s">
        <v>2833</v>
      </c>
      <c r="F34" s="44">
        <v>0.21</v>
      </c>
      <c r="G34" s="46" t="str">
        <f>IFERROR(VLOOKUP("CQ12T-RK19",STOCK!B8:Q3647,3,FALSE),"SIN STOCK")</f>
        <v>SIN STOCK</v>
      </c>
    </row>
    <row r="35" ht="15.75" customHeight="1">
      <c r="A35" s="33" t="s">
        <v>2716</v>
      </c>
      <c r="B35" s="45" t="s">
        <v>2834</v>
      </c>
      <c r="C35" s="34" t="s">
        <v>2835</v>
      </c>
      <c r="D35" s="36" t="s">
        <v>2832</v>
      </c>
      <c r="E35" s="36" t="s">
        <v>2833</v>
      </c>
      <c r="F35" s="129">
        <v>0.21</v>
      </c>
      <c r="G35" s="46" t="str">
        <f>IFERROR(VLOOKUP("CQ18T-RK19",STOCK!B9:Q3648,3,FALSE),"SIN STOCK")</f>
        <v>SIN STOCK</v>
      </c>
    </row>
    <row r="36" ht="15.75" customHeight="1">
      <c r="A36" s="40" t="s">
        <v>2716</v>
      </c>
      <c r="B36" s="148" t="s">
        <v>2836</v>
      </c>
      <c r="C36" s="42" t="s">
        <v>2837</v>
      </c>
      <c r="D36" s="43" t="s">
        <v>2838</v>
      </c>
      <c r="E36" s="43" t="s">
        <v>2839</v>
      </c>
      <c r="F36" s="44">
        <v>0.21</v>
      </c>
      <c r="G36" s="46" t="str">
        <f>IFERROR(VLOOKUP("CQ20B-RK19",STOCK!B10:Q3649,3,FALSE),"SIN STOCK")</f>
        <v>SIN STOCK</v>
      </c>
    </row>
    <row r="37" ht="15.75" customHeight="1">
      <c r="A37" s="28" t="s">
        <v>2840</v>
      </c>
      <c r="C37" s="31"/>
      <c r="D37" s="51"/>
      <c r="E37" s="149"/>
      <c r="F37" s="31"/>
      <c r="G37" s="31"/>
    </row>
    <row r="38" ht="15.75" customHeight="1">
      <c r="A38" s="40" t="s">
        <v>2716</v>
      </c>
      <c r="B38" s="148" t="s">
        <v>2841</v>
      </c>
      <c r="C38" s="42" t="s">
        <v>2842</v>
      </c>
      <c r="D38" s="43" t="s">
        <v>2843</v>
      </c>
      <c r="E38" s="43" t="s">
        <v>2844</v>
      </c>
      <c r="F38" s="44">
        <v>0.105</v>
      </c>
      <c r="G38" s="46" t="str">
        <f>IFERROR(VLOOKUP("DLIVE-CTI15",STOCK!B2:Q3641,3,FALSE),"SIN STOCK")</f>
        <v>Menor a 5</v>
      </c>
    </row>
    <row r="39" ht="15.75" customHeight="1">
      <c r="A39" s="33" t="s">
        <v>2716</v>
      </c>
      <c r="B39" s="45" t="s">
        <v>2845</v>
      </c>
      <c r="C39" s="34" t="s">
        <v>2846</v>
      </c>
      <c r="D39" s="36" t="s">
        <v>2847</v>
      </c>
      <c r="E39" s="36" t="s">
        <v>2848</v>
      </c>
      <c r="F39" s="129">
        <v>0.105</v>
      </c>
      <c r="G39" s="46" t="str">
        <f>IFERROR(VLOOKUP("DLIVE-DLC15",STOCK!B2:Q3641,3,FALSE),"SIN STOCK")</f>
        <v>Menor a 5</v>
      </c>
    </row>
    <row r="40" ht="15.75" customHeight="1">
      <c r="A40" s="40" t="s">
        <v>2716</v>
      </c>
      <c r="B40" s="41" t="s">
        <v>2849</v>
      </c>
      <c r="C40" s="42" t="s">
        <v>2850</v>
      </c>
      <c r="D40" s="43" t="s">
        <v>2851</v>
      </c>
      <c r="E40" s="43" t="s">
        <v>2852</v>
      </c>
      <c r="F40" s="44">
        <v>0.105</v>
      </c>
      <c r="G40" s="49" t="str">
        <f>IFERROR(VLOOKUP("DLIVE-DLC25",STOCK!B2:Q3641,3,FALSE),"SIN STOCK")</f>
        <v>Menor a 5</v>
      </c>
    </row>
    <row r="41" ht="15.75" customHeight="1">
      <c r="A41" s="33" t="s">
        <v>2716</v>
      </c>
      <c r="B41" s="45" t="s">
        <v>2853</v>
      </c>
      <c r="C41" s="34" t="s">
        <v>2854</v>
      </c>
      <c r="D41" s="36" t="s">
        <v>2855</v>
      </c>
      <c r="E41" s="36" t="s">
        <v>2856</v>
      </c>
      <c r="F41" s="129">
        <v>0.105</v>
      </c>
      <c r="G41" s="46" t="str">
        <f>IFERROR(VLOOKUP("DLIVE-DLC35",STOCK!B2:Q3641,3,FALSE),"SIN STOCK")</f>
        <v>Menor a 5</v>
      </c>
    </row>
    <row r="42" ht="15.75" customHeight="1">
      <c r="A42" s="40" t="s">
        <v>2716</v>
      </c>
      <c r="B42" s="41" t="s">
        <v>2857</v>
      </c>
      <c r="C42" s="42" t="s">
        <v>2858</v>
      </c>
      <c r="D42" s="43" t="s">
        <v>2859</v>
      </c>
      <c r="E42" s="43" t="s">
        <v>2860</v>
      </c>
      <c r="F42" s="44">
        <v>0.105</v>
      </c>
      <c r="G42" s="46" t="str">
        <f>IFERROR(VLOOKUP("DLIVE-CDM32",STOCK!B2:Q3641,3,FALSE),"SIN STOCK")</f>
        <v>Menor a 5</v>
      </c>
    </row>
    <row r="43" ht="15.75" customHeight="1">
      <c r="A43" s="33" t="s">
        <v>2716</v>
      </c>
      <c r="B43" s="45" t="s">
        <v>2861</v>
      </c>
      <c r="C43" s="34" t="s">
        <v>2862</v>
      </c>
      <c r="D43" s="36" t="s">
        <v>2863</v>
      </c>
      <c r="E43" s="36" t="s">
        <v>2864</v>
      </c>
      <c r="F43" s="129">
        <v>0.105</v>
      </c>
      <c r="G43" s="46" t="str">
        <f>IFERROR(VLOOKUP("DLIVE-CDM48",STOCK!B2:Q3641,3,FALSE),"SIN STOCK")</f>
        <v>Menor a 5</v>
      </c>
    </row>
    <row r="44" ht="15.75" customHeight="1">
      <c r="A44" s="40" t="s">
        <v>2716</v>
      </c>
      <c r="B44" s="148" t="s">
        <v>2865</v>
      </c>
      <c r="C44" s="42" t="s">
        <v>2866</v>
      </c>
      <c r="D44" s="43" t="s">
        <v>2867</v>
      </c>
      <c r="E44" s="43" t="s">
        <v>2868</v>
      </c>
      <c r="F44" s="44">
        <v>0.105</v>
      </c>
      <c r="G44" s="46" t="str">
        <f>IFERROR(VLOOKUP("DLIVE-CDM64",STOCK!B2:Q3641,3,FALSE),"SIN STOCK")</f>
        <v>Menor a 5</v>
      </c>
    </row>
    <row r="45" ht="15.75" customHeight="1">
      <c r="A45" s="28" t="s">
        <v>2869</v>
      </c>
      <c r="C45" s="31"/>
      <c r="D45" s="51"/>
      <c r="E45" s="149"/>
      <c r="F45" s="31"/>
      <c r="G45" s="31"/>
    </row>
    <row r="46" ht="15.75" customHeight="1">
      <c r="A46" s="40" t="s">
        <v>2716</v>
      </c>
      <c r="B46" s="148" t="s">
        <v>2870</v>
      </c>
      <c r="C46" s="42" t="s">
        <v>2871</v>
      </c>
      <c r="D46" s="43" t="s">
        <v>2872</v>
      </c>
      <c r="E46" s="43" t="s">
        <v>2873</v>
      </c>
      <c r="F46" s="44">
        <v>0.105</v>
      </c>
      <c r="G46" s="46" t="str">
        <f>IFERROR(VLOOKUP("DLIVE-S3",STOCK!B2:Q3641,3,FALSE),"SIN STOCK")</f>
        <v>SIN STOCK</v>
      </c>
    </row>
    <row r="47" ht="15.75" customHeight="1">
      <c r="A47" s="33" t="s">
        <v>2716</v>
      </c>
      <c r="B47" s="45" t="s">
        <v>2874</v>
      </c>
      <c r="C47" s="34" t="s">
        <v>2875</v>
      </c>
      <c r="D47" s="36" t="s">
        <v>2876</v>
      </c>
      <c r="E47" s="36" t="s">
        <v>2877</v>
      </c>
      <c r="F47" s="129">
        <v>0.105</v>
      </c>
      <c r="G47" s="49" t="str">
        <f>IFERROR(VLOOKUP("DLIVE-S5",STOCK!B2:Q3641,3,FALSE),"SIN STOCK")</f>
        <v>Menor a 5</v>
      </c>
    </row>
    <row r="48" ht="15.75" customHeight="1">
      <c r="A48" s="40" t="s">
        <v>2716</v>
      </c>
      <c r="B48" s="41" t="s">
        <v>2878</v>
      </c>
      <c r="C48" s="42" t="s">
        <v>2879</v>
      </c>
      <c r="D48" s="43" t="s">
        <v>2880</v>
      </c>
      <c r="E48" s="43" t="s">
        <v>2881</v>
      </c>
      <c r="F48" s="44">
        <v>0.105</v>
      </c>
      <c r="G48" s="46" t="str">
        <f>IFERROR(VLOOKUP("DLIVE-S7",STOCK!B2:Q3641,3,FALSE),"SIN STOCK")</f>
        <v>SIN STOCK</v>
      </c>
    </row>
    <row r="49" ht="15.75" customHeight="1">
      <c r="A49" s="33" t="s">
        <v>2716</v>
      </c>
      <c r="B49" s="45" t="s">
        <v>2882</v>
      </c>
      <c r="C49" s="34" t="s">
        <v>2883</v>
      </c>
      <c r="D49" s="36" t="s">
        <v>2884</v>
      </c>
      <c r="E49" s="36" t="s">
        <v>2885</v>
      </c>
      <c r="F49" s="129">
        <v>0.105</v>
      </c>
      <c r="G49" s="49" t="str">
        <f>IFERROR(VLOOKUP("DLIVE-DM32",STOCK!B2:Q3641,3,FALSE),"SIN STOCK")</f>
        <v>Menor a 5</v>
      </c>
    </row>
    <row r="50" ht="15.75" customHeight="1">
      <c r="A50" s="40" t="s">
        <v>2716</v>
      </c>
      <c r="B50" s="41" t="s">
        <v>2886</v>
      </c>
      <c r="C50" s="42" t="s">
        <v>2887</v>
      </c>
      <c r="D50" s="43" t="s">
        <v>2888</v>
      </c>
      <c r="E50" s="43" t="s">
        <v>2889</v>
      </c>
      <c r="F50" s="44">
        <v>0.105</v>
      </c>
      <c r="G50" s="46" t="str">
        <f>IFERROR(VLOOKUP("DLIVE-DM48",STOCK!B2:Q3641,3,FALSE),"SIN STOCK")</f>
        <v>Menor a 5</v>
      </c>
    </row>
    <row r="51" ht="15.75" customHeight="1">
      <c r="A51" s="33" t="s">
        <v>2716</v>
      </c>
      <c r="B51" s="45" t="s">
        <v>2890</v>
      </c>
      <c r="C51" s="34" t="s">
        <v>2891</v>
      </c>
      <c r="D51" s="36" t="s">
        <v>2892</v>
      </c>
      <c r="E51" s="36" t="s">
        <v>2893</v>
      </c>
      <c r="F51" s="129">
        <v>0.105</v>
      </c>
      <c r="G51" s="46" t="str">
        <f>IFERROR(VLOOKUP("DLIVE-DM64",STOCK!B2:Q3641,3,FALSE),"SIN STOCK")</f>
        <v>SIN STOCK</v>
      </c>
    </row>
    <row r="52" ht="15.75" customHeight="1">
      <c r="A52" s="40" t="s">
        <v>2716</v>
      </c>
      <c r="B52" s="41" t="s">
        <v>2894</v>
      </c>
      <c r="C52" s="42" t="s">
        <v>2895</v>
      </c>
      <c r="D52" s="43" t="s">
        <v>2896</v>
      </c>
      <c r="E52" s="43" t="s">
        <v>2897</v>
      </c>
      <c r="F52" s="44">
        <v>0.105</v>
      </c>
      <c r="G52" s="46" t="str">
        <f>IFERROR(VLOOKUP("DLIVE-DM0",STOCK!B2:Q3641,3,FALSE),"SIN STOCK")</f>
        <v>Menor a 5</v>
      </c>
    </row>
    <row r="53" ht="15.75" customHeight="1">
      <c r="A53" s="33" t="s">
        <v>2716</v>
      </c>
      <c r="B53" s="45" t="s">
        <v>2898</v>
      </c>
      <c r="C53" s="34" t="s">
        <v>2899</v>
      </c>
      <c r="D53" s="36" t="s">
        <v>2900</v>
      </c>
      <c r="E53" s="36" t="s">
        <v>2901</v>
      </c>
      <c r="F53" s="129">
        <v>0.105</v>
      </c>
      <c r="G53" s="49" t="str">
        <f>IFERROR(VLOOKUP("DLIVE-DX32",STOCK!B2:Q3641,3,FALSE),"SIN STOCK")</f>
        <v>Menor a 5</v>
      </c>
    </row>
    <row r="54" ht="15.75" customHeight="1">
      <c r="A54" s="28" t="s">
        <v>2902</v>
      </c>
      <c r="C54" s="31"/>
      <c r="D54" s="51"/>
      <c r="E54" s="149"/>
      <c r="F54" s="31"/>
      <c r="G54" s="31"/>
    </row>
    <row r="55" ht="15.75" customHeight="1">
      <c r="A55" s="40" t="s">
        <v>2716</v>
      </c>
      <c r="B55" s="40" t="s">
        <v>2903</v>
      </c>
      <c r="C55" s="42" t="s">
        <v>2904</v>
      </c>
      <c r="D55" s="43" t="s">
        <v>2905</v>
      </c>
      <c r="E55" s="43" t="s">
        <v>2906</v>
      </c>
      <c r="F55" s="150">
        <v>0.21</v>
      </c>
      <c r="G55" s="49" t="str">
        <f>IFERROR(VLOOKUP("MPS16",STOCK!B2:Q3641,3,FALSE),"SIN STOCK")</f>
        <v>Menor a 5</v>
      </c>
    </row>
    <row r="56" ht="15.75" customHeight="1">
      <c r="A56" s="33" t="s">
        <v>2716</v>
      </c>
      <c r="B56" s="45" t="s">
        <v>2907</v>
      </c>
      <c r="C56" s="34" t="s">
        <v>2908</v>
      </c>
      <c r="D56" s="36" t="s">
        <v>2909</v>
      </c>
      <c r="E56" s="36" t="s">
        <v>2910</v>
      </c>
      <c r="F56" s="151">
        <v>0.21</v>
      </c>
      <c r="G56" s="46" t="str">
        <f>IFERROR(VLOOKUP("IP1-BK-EU",STOCK!B2:Q3641,3,FALSE),"SIN STOCK")</f>
        <v>SIN STOCK</v>
      </c>
    </row>
    <row r="57" ht="15.75" customHeight="1">
      <c r="A57" s="40" t="s">
        <v>2716</v>
      </c>
      <c r="B57" s="41" t="s">
        <v>2911</v>
      </c>
      <c r="C57" s="42" t="s">
        <v>2912</v>
      </c>
      <c r="D57" s="43" t="s">
        <v>2909</v>
      </c>
      <c r="E57" s="43" t="s">
        <v>2910</v>
      </c>
      <c r="F57" s="150">
        <v>0.21</v>
      </c>
      <c r="G57" s="46" t="str">
        <f>IFERROR(VLOOKUP("IP1-WH-EU",STOCK!B2:Q3641,3,FALSE),"SIN STOCK")</f>
        <v>SIN STOCK</v>
      </c>
    </row>
    <row r="58" ht="15.75" customHeight="1">
      <c r="A58" s="33" t="s">
        <v>2716</v>
      </c>
      <c r="B58" s="33" t="s">
        <v>2913</v>
      </c>
      <c r="C58" s="34" t="s">
        <v>2914</v>
      </c>
      <c r="D58" s="36" t="s">
        <v>2915</v>
      </c>
      <c r="E58" s="36" t="s">
        <v>2916</v>
      </c>
      <c r="F58" s="129">
        <v>0.105</v>
      </c>
      <c r="G58" s="49" t="str">
        <f>IFERROR(VLOOKUP("IP4-BK",STOCK!B2:Q3641,3,FALSE),"SIN STOCK")</f>
        <v>Menor a 5</v>
      </c>
    </row>
    <row r="59" ht="15.75" customHeight="1">
      <c r="A59" s="40" t="s">
        <v>2716</v>
      </c>
      <c r="B59" s="41" t="s">
        <v>2917</v>
      </c>
      <c r="C59" s="42" t="s">
        <v>2918</v>
      </c>
      <c r="D59" s="43" t="s">
        <v>2919</v>
      </c>
      <c r="E59" s="43" t="s">
        <v>2920</v>
      </c>
      <c r="F59" s="44">
        <v>0.105</v>
      </c>
      <c r="G59" s="49" t="str">
        <f>IFERROR(VLOOKUP("IP6",STOCK!B2:Q3641,3,FALSE),"SIN STOCK")</f>
        <v>Menor a 5</v>
      </c>
    </row>
    <row r="60" ht="15.75" customHeight="1">
      <c r="A60" s="33" t="s">
        <v>2716</v>
      </c>
      <c r="B60" s="45" t="s">
        <v>2921</v>
      </c>
      <c r="C60" s="34" t="s">
        <v>2922</v>
      </c>
      <c r="D60" s="36" t="s">
        <v>2923</v>
      </c>
      <c r="E60" s="36" t="s">
        <v>2924</v>
      </c>
      <c r="F60" s="129">
        <v>0.21</v>
      </c>
      <c r="G60" s="49" t="str">
        <f>IFERROR(VLOOKUP("IP8",STOCK!B2:Q3641,3,FALSE),"SIN STOCK")</f>
        <v>Mayor a 5</v>
      </c>
    </row>
    <row r="61" ht="15.75" customHeight="1">
      <c r="A61" s="40" t="s">
        <v>2716</v>
      </c>
      <c r="B61" s="41" t="s">
        <v>2925</v>
      </c>
      <c r="C61" s="42" t="s">
        <v>2926</v>
      </c>
      <c r="D61" s="43" t="s">
        <v>2927</v>
      </c>
      <c r="E61" s="43" t="s">
        <v>2928</v>
      </c>
      <c r="F61" s="44">
        <v>0.105</v>
      </c>
      <c r="G61" s="49" t="str">
        <f>IFERROR(VLOOKUP("DX-HUB",STOCK!B2:Q3641,3,FALSE),"SIN STOCK")</f>
        <v>Menor a 5</v>
      </c>
    </row>
    <row r="62" ht="15.75" customHeight="1">
      <c r="A62" s="33" t="s">
        <v>2716</v>
      </c>
      <c r="B62" s="45" t="s">
        <v>2929</v>
      </c>
      <c r="C62" s="34" t="s">
        <v>2930</v>
      </c>
      <c r="D62" s="36" t="s">
        <v>2931</v>
      </c>
      <c r="E62" s="36" t="s">
        <v>2932</v>
      </c>
      <c r="F62" s="129">
        <v>0.105</v>
      </c>
      <c r="G62" s="49" t="str">
        <f>IFERROR(VLOOKUP("GPIO/X",STOCK!B2:Q3641,3,FALSE),"SIN STOCK")</f>
        <v>Menor a 5</v>
      </c>
    </row>
    <row r="63" ht="15.75" customHeight="1">
      <c r="A63" s="40" t="s">
        <v>2716</v>
      </c>
      <c r="B63" s="64" t="s">
        <v>2933</v>
      </c>
      <c r="C63" s="42" t="s">
        <v>2934</v>
      </c>
      <c r="D63" s="43" t="s">
        <v>2935</v>
      </c>
      <c r="E63" s="43" t="s">
        <v>2936</v>
      </c>
      <c r="F63" s="44">
        <v>0.21</v>
      </c>
      <c r="G63" s="46" t="str">
        <f>IFERROR(VLOOKUP("M-DX32-INPR-AX",STOCK!B2:Q3641,3,FALSE),"SIN STOCK")</f>
        <v>SIN STOCK</v>
      </c>
    </row>
    <row r="64" ht="15.75" customHeight="1">
      <c r="A64" s="33" t="s">
        <v>2716</v>
      </c>
      <c r="B64" s="65" t="s">
        <v>2937</v>
      </c>
      <c r="C64" s="34" t="s">
        <v>2938</v>
      </c>
      <c r="D64" s="36" t="s">
        <v>2939</v>
      </c>
      <c r="E64" s="36" t="s">
        <v>2940</v>
      </c>
      <c r="F64" s="129">
        <v>0.21</v>
      </c>
      <c r="G64" s="46" t="str">
        <f>IFERROR(VLOOKUP("M-DX32-OUTPR-AX",STOCK!B2:Q3641,3,FALSE),"SIN STOCK")</f>
        <v>SIN STOCK</v>
      </c>
    </row>
    <row r="65" ht="15.75" customHeight="1">
      <c r="A65" s="40" t="s">
        <v>2716</v>
      </c>
      <c r="B65" s="41" t="s">
        <v>2941</v>
      </c>
      <c r="C65" s="42" t="s">
        <v>2942</v>
      </c>
      <c r="D65" s="43" t="s">
        <v>2943</v>
      </c>
      <c r="E65" s="43" t="s">
        <v>2944</v>
      </c>
      <c r="F65" s="44">
        <v>0.105</v>
      </c>
      <c r="G65" s="46" t="str">
        <f>IFERROR(VLOOKUP("M-DL-DANT64-AX",STOCK!B2:Q3641,3,FALSE),"SIN STOCK")</f>
        <v>Menor a 5</v>
      </c>
    </row>
    <row r="66" ht="15.75" customHeight="1">
      <c r="A66" s="33" t="s">
        <v>2716</v>
      </c>
      <c r="B66" s="45" t="s">
        <v>2945</v>
      </c>
      <c r="C66" s="34" t="s">
        <v>2946</v>
      </c>
      <c r="D66" s="36" t="s">
        <v>2947</v>
      </c>
      <c r="E66" s="36" t="s">
        <v>2948</v>
      </c>
      <c r="F66" s="129">
        <v>0.105</v>
      </c>
      <c r="G66" s="49" t="str">
        <f>IFERROR(VLOOKUP("M-DL-DANT128-AX",STOCK!B2:Q3641,3,FALSE),"SIN STOCK")</f>
        <v>Mayor a 5</v>
      </c>
    </row>
    <row r="67" ht="15.75" customHeight="1">
      <c r="A67" s="40" t="s">
        <v>2716</v>
      </c>
      <c r="B67" s="41" t="s">
        <v>2949</v>
      </c>
      <c r="C67" s="42" t="s">
        <v>2950</v>
      </c>
      <c r="D67" s="43" t="s">
        <v>2951</v>
      </c>
      <c r="E67" s="43" t="s">
        <v>2952</v>
      </c>
      <c r="F67" s="44">
        <v>0.105</v>
      </c>
      <c r="G67" s="49" t="str">
        <f>IFERROR(VLOOKUP("M-DL-GOPT-AX",STOCK!B2:Q3641,3,FALSE),"SIN STOCK")</f>
        <v>Menor a 5</v>
      </c>
    </row>
    <row r="68" ht="15.75" customHeight="1">
      <c r="A68" s="33" t="s">
        <v>2716</v>
      </c>
      <c r="B68" s="45" t="s">
        <v>2953</v>
      </c>
      <c r="C68" s="34" t="s">
        <v>2954</v>
      </c>
      <c r="D68" s="36" t="s">
        <v>2955</v>
      </c>
      <c r="E68" s="36" t="s">
        <v>2956</v>
      </c>
      <c r="F68" s="129">
        <v>0.105</v>
      </c>
      <c r="G68" s="49" t="str">
        <f>IFERROR(VLOOKUP("M-DL-SMADI-AX",STOCK!B2:Q3641,3,FALSE),"SIN STOCK")</f>
        <v>Menor a 5</v>
      </c>
    </row>
    <row r="69" ht="15.75" customHeight="1">
      <c r="A69" s="40" t="s">
        <v>2716</v>
      </c>
      <c r="B69" s="41" t="s">
        <v>2957</v>
      </c>
      <c r="C69" s="42" t="s">
        <v>2958</v>
      </c>
      <c r="D69" s="43" t="s">
        <v>2959</v>
      </c>
      <c r="E69" s="43" t="s">
        <v>2960</v>
      </c>
      <c r="F69" s="44">
        <v>0.105</v>
      </c>
      <c r="G69" s="38" t="str">
        <f>IFERROR(VLOOKUP("M-DL-DXLINK-A",STOCK!B2:Q3641,3,FALSE),"SIN STOCK")</f>
        <v>Mayor a 5</v>
      </c>
    </row>
    <row r="70" ht="15.75" customHeight="1">
      <c r="A70" s="33" t="s">
        <v>2716</v>
      </c>
      <c r="B70" s="45" t="s">
        <v>2961</v>
      </c>
      <c r="C70" s="34" t="s">
        <v>2962</v>
      </c>
      <c r="D70" s="36" t="s">
        <v>2963</v>
      </c>
      <c r="E70" s="36" t="s">
        <v>2964</v>
      </c>
      <c r="F70" s="129">
        <v>0.105</v>
      </c>
      <c r="G70" s="38" t="str">
        <f>IFERROR(VLOOKUP("M-DL-ADAPT-AX",STOCK!B2:Q3641,3,FALSE),"SIN STOCK")</f>
        <v>Mayor a 5</v>
      </c>
    </row>
    <row r="71" ht="15.75" customHeight="1">
      <c r="A71" s="40" t="s">
        <v>2716</v>
      </c>
      <c r="B71" s="40" t="s">
        <v>2965</v>
      </c>
      <c r="C71" s="42" t="s">
        <v>2966</v>
      </c>
      <c r="D71" s="43" t="s">
        <v>2967</v>
      </c>
      <c r="E71" s="43" t="s">
        <v>2968</v>
      </c>
      <c r="F71" s="44">
        <v>0.105</v>
      </c>
      <c r="G71" s="46" t="str">
        <f>IFERROR(VLOOKUP("M-DL-AIN-AX",STOCK!B2:Q3641,3,FALSE),"SIN STOCK")</f>
        <v>SIN STOCK</v>
      </c>
    </row>
    <row r="72" ht="15.75" customHeight="1">
      <c r="A72" s="33" t="s">
        <v>2716</v>
      </c>
      <c r="B72" s="33" t="s">
        <v>2969</v>
      </c>
      <c r="C72" s="34" t="s">
        <v>2970</v>
      </c>
      <c r="D72" s="36" t="s">
        <v>2971</v>
      </c>
      <c r="E72" s="36" t="s">
        <v>2972</v>
      </c>
      <c r="F72" s="129">
        <v>0.105</v>
      </c>
      <c r="G72" s="46" t="str">
        <f>IFERROR(VLOOKUP("M-DL-AOUT-AX",STOCK!B2:Q3641,3,FALSE),"SIN STOCK")</f>
        <v>SIN STOCK</v>
      </c>
    </row>
    <row r="73" ht="15.75" customHeight="1">
      <c r="A73" s="40" t="s">
        <v>2716</v>
      </c>
      <c r="B73" s="40" t="s">
        <v>2973</v>
      </c>
      <c r="C73" s="42" t="s">
        <v>2974</v>
      </c>
      <c r="D73" s="43" t="s">
        <v>2975</v>
      </c>
      <c r="E73" s="43" t="s">
        <v>2068</v>
      </c>
      <c r="F73" s="44">
        <v>0.105</v>
      </c>
      <c r="G73" s="46" t="str">
        <f>IFERROR(VLOOKUP("M-DL-DIN-AX",STOCK!B2:Q3641,3,FALSE),"SIN STOCK")</f>
        <v>SIN STOCK</v>
      </c>
    </row>
    <row r="74" ht="15.75" customHeight="1">
      <c r="A74" s="33" t="s">
        <v>2716</v>
      </c>
      <c r="B74" s="65" t="s">
        <v>2976</v>
      </c>
      <c r="C74" s="34" t="s">
        <v>2977</v>
      </c>
      <c r="D74" s="36" t="s">
        <v>2975</v>
      </c>
      <c r="E74" s="36" t="s">
        <v>2068</v>
      </c>
      <c r="F74" s="129">
        <v>0.105</v>
      </c>
      <c r="G74" s="46" t="str">
        <f>IFERROR(VLOOKUP("M-DL-DOUT-AX",STOCK!B2:Q3641,3,FALSE),"SIN STOCK")</f>
        <v>SIN STOCK</v>
      </c>
    </row>
    <row r="75" ht="15.75" customHeight="1">
      <c r="A75" s="40" t="s">
        <v>2716</v>
      </c>
      <c r="B75" s="41" t="s">
        <v>2978</v>
      </c>
      <c r="C75" s="42" t="s">
        <v>2979</v>
      </c>
      <c r="D75" s="43" t="s">
        <v>2980</v>
      </c>
      <c r="E75" s="43" t="s">
        <v>2981</v>
      </c>
      <c r="F75" s="44">
        <v>0.105</v>
      </c>
      <c r="G75" s="49" t="str">
        <f>IFERROR(VLOOKUP("M-DL-GACE-AX",STOCK!B2:Q3641,3,FALSE),"SIN STOCK")</f>
        <v>Menor a 5</v>
      </c>
    </row>
    <row r="76" ht="15.75" customHeight="1">
      <c r="A76" s="33" t="s">
        <v>2716</v>
      </c>
      <c r="B76" s="45" t="s">
        <v>2982</v>
      </c>
      <c r="C76" s="34" t="s">
        <v>2983</v>
      </c>
      <c r="D76" s="36" t="s">
        <v>2984</v>
      </c>
      <c r="E76" s="36" t="s">
        <v>2985</v>
      </c>
      <c r="F76" s="129">
        <v>0.105</v>
      </c>
      <c r="G76" s="46" t="str">
        <f>IFERROR(VLOOKUP("M-DL-WAVES3-AX",STOCK!B2:Q3641,3,FALSE),"SIN STOCK")</f>
        <v>SIN STOCK</v>
      </c>
    </row>
    <row r="77" ht="15.75" customHeight="1">
      <c r="A77" s="40" t="s">
        <v>2716</v>
      </c>
      <c r="B77" s="64" t="s">
        <v>2986</v>
      </c>
      <c r="C77" s="42" t="s">
        <v>2987</v>
      </c>
      <c r="D77" s="43" t="s">
        <v>2068</v>
      </c>
      <c r="E77" s="43" t="s">
        <v>2068</v>
      </c>
      <c r="F77" s="44">
        <v>0.105</v>
      </c>
      <c r="G77" s="46" t="str">
        <f>IFERROR(VLOOKUP("FULLU-RK19X",STOCK!B2:Q3641,3,FALSE),"SIN STOCK")</f>
        <v>SIN STOCK</v>
      </c>
    </row>
    <row r="78" ht="15.75" customHeight="1">
      <c r="A78" s="33" t="s">
        <v>2716</v>
      </c>
      <c r="B78" s="65" t="s">
        <v>2988</v>
      </c>
      <c r="C78" s="34" t="s">
        <v>2989</v>
      </c>
      <c r="D78" s="36" t="s">
        <v>2068</v>
      </c>
      <c r="E78" s="36" t="s">
        <v>2068</v>
      </c>
      <c r="F78" s="129">
        <v>0.105</v>
      </c>
      <c r="G78" s="46" t="str">
        <f>IFERROR(VLOOKUP("DL-DLC15-RK19X",STOCK!B2:Q3641,3,FALSE),"SIN STOCK")</f>
        <v>SIN STOCK</v>
      </c>
    </row>
    <row r="79" ht="15.75" customHeight="1">
      <c r="A79" s="40" t="s">
        <v>2716</v>
      </c>
      <c r="B79" s="40" t="s">
        <v>2990</v>
      </c>
      <c r="C79" s="42" t="s">
        <v>2991</v>
      </c>
      <c r="D79" s="43" t="s">
        <v>2992</v>
      </c>
      <c r="E79" s="43" t="s">
        <v>2993</v>
      </c>
      <c r="F79" s="44">
        <v>0.105</v>
      </c>
      <c r="G79" s="38" t="str">
        <f>IFERROR(VLOOKUP("M-DL-ULTRAFX-AX",STOCK!B3:Q3642,3,FALSE),"SIN STOCK")</f>
        <v>Mayor a 5</v>
      </c>
    </row>
    <row r="80" ht="15.75" customHeight="1">
      <c r="A80" s="28" t="s">
        <v>2994</v>
      </c>
      <c r="C80" s="31"/>
      <c r="D80" s="51"/>
      <c r="E80" s="149"/>
      <c r="F80" s="31"/>
      <c r="G80" s="31"/>
    </row>
    <row r="81" ht="15.75" customHeight="1">
      <c r="A81" s="40" t="s">
        <v>2716</v>
      </c>
      <c r="B81" s="41" t="s">
        <v>2995</v>
      </c>
      <c r="C81" s="42" t="s">
        <v>2996</v>
      </c>
      <c r="D81" s="43" t="s">
        <v>2997</v>
      </c>
      <c r="E81" s="43" t="s">
        <v>2998</v>
      </c>
      <c r="F81" s="44">
        <v>0.105</v>
      </c>
      <c r="G81" s="38" t="str">
        <f>IFERROR(VLOOKUP("AHM-16",STOCK!B2:Q3641,3,FALSE),"SIN STOCK")</f>
        <v>Menor a 5</v>
      </c>
    </row>
    <row r="82" ht="15.75" customHeight="1">
      <c r="A82" s="33" t="s">
        <v>2716</v>
      </c>
      <c r="B82" s="45" t="s">
        <v>2999</v>
      </c>
      <c r="C82" s="34" t="s">
        <v>3000</v>
      </c>
      <c r="D82" s="36" t="s">
        <v>3001</v>
      </c>
      <c r="E82" s="36" t="s">
        <v>3002</v>
      </c>
      <c r="F82" s="129">
        <v>0.105</v>
      </c>
      <c r="G82" s="49" t="str">
        <f>IFERROR(VLOOKUP("AHM-32",STOCK!B2:Q3641,3,FALSE),"SIN STOCK")</f>
        <v>Menor a 5</v>
      </c>
    </row>
    <row r="83" ht="15.75" customHeight="1">
      <c r="A83" s="40" t="s">
        <v>2716</v>
      </c>
      <c r="B83" s="41" t="s">
        <v>3003</v>
      </c>
      <c r="C83" s="42" t="s">
        <v>3004</v>
      </c>
      <c r="D83" s="43" t="s">
        <v>3005</v>
      </c>
      <c r="E83" s="43" t="s">
        <v>3006</v>
      </c>
      <c r="F83" s="44">
        <v>0.105</v>
      </c>
      <c r="G83" s="49" t="str">
        <f>IFERROR(VLOOKUP("AHM-64",STOCK!B2:Q3641,3,FALSE),"SIN STOCK")</f>
        <v>Mayor a 5</v>
      </c>
    </row>
    <row r="84" ht="15.75" customHeight="1">
      <c r="A84" s="33" t="s">
        <v>2716</v>
      </c>
      <c r="B84" s="45" t="s">
        <v>3007</v>
      </c>
      <c r="C84" s="34" t="s">
        <v>3008</v>
      </c>
      <c r="D84" s="36" t="s">
        <v>3009</v>
      </c>
      <c r="E84" s="36" t="s">
        <v>3010</v>
      </c>
      <c r="F84" s="129">
        <v>0.105</v>
      </c>
      <c r="G84" s="46" t="str">
        <f>IFERROR(VLOOKUP("M-AHM-32-AX",STOCK!B2:Q3641,3,FALSE),"SIN STOCK")</f>
        <v>SIN STOCK</v>
      </c>
    </row>
    <row r="85" ht="15.75" customHeight="1">
      <c r="A85" s="40" t="s">
        <v>2716</v>
      </c>
      <c r="B85" s="41" t="s">
        <v>3011</v>
      </c>
      <c r="C85" s="42" t="s">
        <v>3012</v>
      </c>
      <c r="D85" s="43" t="s">
        <v>3009</v>
      </c>
      <c r="E85" s="43" t="s">
        <v>3010</v>
      </c>
      <c r="F85" s="44">
        <v>0.105</v>
      </c>
      <c r="G85" s="49" t="str">
        <f>IFERROR(VLOOKUP("M-AHM-64-AX",STOCK!B2:Q3641,3,FALSE),"SIN STOCK")</f>
        <v>Menor a 5</v>
      </c>
    </row>
    <row r="86" ht="15.75" customHeight="1">
      <c r="A86" s="33" t="s">
        <v>2716</v>
      </c>
      <c r="B86" s="65" t="s">
        <v>3013</v>
      </c>
      <c r="C86" s="34" t="s">
        <v>3014</v>
      </c>
      <c r="D86" s="36" t="s">
        <v>3015</v>
      </c>
      <c r="E86" s="36" t="s">
        <v>3016</v>
      </c>
      <c r="F86" s="129">
        <v>0.105</v>
      </c>
      <c r="G86" s="46" t="str">
        <f>IFERROR(VLOOKUP("AHM-64-RK/X",STOCK!B2:Q3641,3,FALSE),"SIN STOCK")</f>
        <v>SIN STOCK</v>
      </c>
    </row>
    <row r="87" ht="15.75" customHeight="1">
      <c r="A87" s="28" t="s">
        <v>3017</v>
      </c>
      <c r="C87" s="31"/>
      <c r="D87" s="149"/>
      <c r="E87" s="149"/>
      <c r="F87" s="149"/>
      <c r="G87" s="31"/>
    </row>
    <row r="88" ht="15.75" customHeight="1">
      <c r="A88" s="40" t="s">
        <v>2716</v>
      </c>
      <c r="B88" s="41" t="s">
        <v>3018</v>
      </c>
      <c r="C88" s="42" t="s">
        <v>3019</v>
      </c>
      <c r="D88" s="43" t="s">
        <v>3020</v>
      </c>
      <c r="E88" s="43" t="s">
        <v>3021</v>
      </c>
      <c r="F88" s="150">
        <v>0.21</v>
      </c>
      <c r="G88" s="49" t="str">
        <f>IFERROR(VLOOKUP("CC-7",STOCK!B2:Q3641,3,FALSE),"SIN STOCK")</f>
        <v>Menor a 5</v>
      </c>
    </row>
    <row r="89" ht="15.75" customHeight="1">
      <c r="A89" s="33" t="s">
        <v>2716</v>
      </c>
      <c r="B89" s="45" t="s">
        <v>3022</v>
      </c>
      <c r="C89" s="34" t="s">
        <v>3023</v>
      </c>
      <c r="D89" s="36" t="s">
        <v>3024</v>
      </c>
      <c r="E89" s="36" t="s">
        <v>3025</v>
      </c>
      <c r="F89" s="151">
        <v>0.21</v>
      </c>
      <c r="G89" s="49" t="str">
        <f>IFERROR(VLOOKUP("CC-10",STOCK!B2:Q3641,3,FALSE),"SIN STOCK")</f>
        <v>Menor a 5</v>
      </c>
    </row>
    <row r="90" ht="15.75" customHeight="1">
      <c r="A90" s="40" t="s">
        <v>2716</v>
      </c>
      <c r="B90" s="41" t="s">
        <v>3026</v>
      </c>
      <c r="C90" s="42" t="s">
        <v>3027</v>
      </c>
      <c r="D90" s="43" t="s">
        <v>3028</v>
      </c>
      <c r="E90" s="43" t="s">
        <v>3029</v>
      </c>
      <c r="F90" s="150">
        <v>0.21</v>
      </c>
      <c r="G90" s="49" t="str">
        <f>IFERROR(VLOOKUP("CC-STN",STOCK!B2:Q3641,3,FALSE),"SIN STOCK")</f>
        <v>Menor a 5</v>
      </c>
    </row>
    <row r="91" ht="15.75" customHeight="1">
      <c r="A91" s="33" t="s">
        <v>2716</v>
      </c>
      <c r="B91" s="45" t="s">
        <v>3030</v>
      </c>
      <c r="C91" s="34" t="s">
        <v>3031</v>
      </c>
      <c r="D91" s="36" t="s">
        <v>3032</v>
      </c>
      <c r="E91" s="36" t="s">
        <v>3033</v>
      </c>
      <c r="F91" s="151">
        <v>0.21</v>
      </c>
      <c r="G91" s="49" t="str">
        <f>IFERROR(VLOOKUP("CC-BRK",STOCK!B2:Q3641,3,FALSE),"SIN STOCK")</f>
        <v>Menor a 5</v>
      </c>
    </row>
    <row r="92" ht="15.75" customHeight="1">
      <c r="A92" s="28" t="s">
        <v>3034</v>
      </c>
      <c r="C92" s="31"/>
      <c r="D92" s="51"/>
      <c r="E92" s="149"/>
      <c r="F92" s="31"/>
      <c r="G92" s="31"/>
    </row>
    <row r="93" ht="15.75" customHeight="1">
      <c r="A93" s="40" t="s">
        <v>2716</v>
      </c>
      <c r="B93" s="41" t="s">
        <v>3035</v>
      </c>
      <c r="C93" s="42" t="s">
        <v>3036</v>
      </c>
      <c r="D93" s="43" t="s">
        <v>3037</v>
      </c>
      <c r="E93" s="43" t="s">
        <v>3038</v>
      </c>
      <c r="F93" s="44">
        <v>0.105</v>
      </c>
      <c r="G93" s="49" t="str">
        <f>IFERROR(VLOOKUP("GX4816",STOCK!B2:Q3641,3,FALSE),"SIN STOCK")</f>
        <v>Menor a 5</v>
      </c>
    </row>
    <row r="94" ht="15.75" customHeight="1">
      <c r="A94" s="33" t="s">
        <v>2716</v>
      </c>
      <c r="B94" s="45" t="s">
        <v>3039</v>
      </c>
      <c r="C94" s="34" t="s">
        <v>3040</v>
      </c>
      <c r="D94" s="36" t="s">
        <v>3041</v>
      </c>
      <c r="E94" s="36" t="s">
        <v>3042</v>
      </c>
      <c r="F94" s="129">
        <v>0.105</v>
      </c>
      <c r="G94" s="49" t="str">
        <f>IFERROR(VLOOKUP("DX012",STOCK!B2:Q3641,3,FALSE),"SIN STOCK")</f>
        <v>Menor a 5</v>
      </c>
    </row>
    <row r="95" ht="15.75" customHeight="1">
      <c r="A95" s="40" t="s">
        <v>2716</v>
      </c>
      <c r="B95" s="41" t="s">
        <v>3043</v>
      </c>
      <c r="C95" s="42" t="s">
        <v>3044</v>
      </c>
      <c r="D95" s="43" t="s">
        <v>3045</v>
      </c>
      <c r="E95" s="43" t="s">
        <v>3046</v>
      </c>
      <c r="F95" s="44">
        <v>0.105</v>
      </c>
      <c r="G95" s="38" t="str">
        <f>IFERROR(VLOOKUP("DX168",STOCK!B2:Q3641,3,FALSE),"SIN STOCK")</f>
        <v>Menor a 5</v>
      </c>
    </row>
    <row r="96" ht="15.75" customHeight="1">
      <c r="A96" s="33" t="s">
        <v>2716</v>
      </c>
      <c r="B96" s="45" t="s">
        <v>3047</v>
      </c>
      <c r="C96" s="34" t="s">
        <v>3048</v>
      </c>
      <c r="D96" s="36" t="s">
        <v>3049</v>
      </c>
      <c r="E96" s="36" t="s">
        <v>3050</v>
      </c>
      <c r="F96" s="129">
        <v>0.105</v>
      </c>
      <c r="G96" s="49" t="str">
        <f>IFERROR(VLOOKUP("DX164-W",STOCK!B2:Q3641,3,FALSE),"SIN STOCK")</f>
        <v>Menor a 5</v>
      </c>
    </row>
    <row r="97" ht="15.75" customHeight="1">
      <c r="A97" s="40" t="s">
        <v>2716</v>
      </c>
      <c r="B97" s="41" t="s">
        <v>3051</v>
      </c>
      <c r="C97" s="42" t="s">
        <v>3052</v>
      </c>
      <c r="D97" s="43" t="s">
        <v>3053</v>
      </c>
      <c r="E97" s="43" t="s">
        <v>3054</v>
      </c>
      <c r="F97" s="44">
        <v>0.105</v>
      </c>
      <c r="G97" s="49" t="str">
        <f>IFERROR(VLOOKUP("DX88-P",STOCK!B2:Q3641,3,FALSE),"SIN STOCK")</f>
        <v>Menor a 5</v>
      </c>
    </row>
    <row r="98" ht="15.75" customHeight="1">
      <c r="A98" s="33" t="s">
        <v>2716</v>
      </c>
      <c r="B98" s="45" t="s">
        <v>3055</v>
      </c>
      <c r="C98" s="34" t="s">
        <v>3056</v>
      </c>
      <c r="D98" s="36" t="s">
        <v>3057</v>
      </c>
      <c r="E98" s="36" t="s">
        <v>3058</v>
      </c>
      <c r="F98" s="129">
        <v>0.105</v>
      </c>
      <c r="G98" s="46" t="str">
        <f>IFERROR(VLOOKUP("DT168",STOCK!B2:Q3641,3,FALSE),"SIN STOCK")</f>
        <v>Menor a 5</v>
      </c>
    </row>
    <row r="99" ht="15.75" customHeight="1">
      <c r="A99" s="40" t="s">
        <v>2716</v>
      </c>
      <c r="B99" s="41" t="s">
        <v>3059</v>
      </c>
      <c r="C99" s="42" t="s">
        <v>3060</v>
      </c>
      <c r="D99" s="43" t="s">
        <v>3061</v>
      </c>
      <c r="E99" s="43" t="s">
        <v>3062</v>
      </c>
      <c r="F99" s="44">
        <v>0.105</v>
      </c>
      <c r="G99" s="49" t="str">
        <f>IFERROR(VLOOKUP("DT164-W",STOCK!B2:Q3641,3,FALSE),"SIN STOCK")</f>
        <v>Menor a 5</v>
      </c>
    </row>
    <row r="100" ht="15.75" customHeight="1">
      <c r="A100" s="33" t="s">
        <v>2716</v>
      </c>
      <c r="B100" s="45" t="s">
        <v>3063</v>
      </c>
      <c r="C100" s="34" t="s">
        <v>3064</v>
      </c>
      <c r="D100" s="36" t="s">
        <v>3065</v>
      </c>
      <c r="E100" s="36" t="s">
        <v>3066</v>
      </c>
      <c r="F100" s="129">
        <v>0.105</v>
      </c>
      <c r="G100" s="38" t="str">
        <f>IFERROR(VLOOKUP("AR0804",STOCK!B2:Q3641,3,FALSE),"SIN STOCK")</f>
        <v>Mayor a 5</v>
      </c>
    </row>
    <row r="101" ht="15.75" customHeight="1">
      <c r="A101" s="40" t="s">
        <v>2716</v>
      </c>
      <c r="B101" s="41" t="s">
        <v>3067</v>
      </c>
      <c r="C101" s="42" t="s">
        <v>3068</v>
      </c>
      <c r="D101" s="43" t="s">
        <v>3069</v>
      </c>
      <c r="E101" s="43" t="s">
        <v>3070</v>
      </c>
      <c r="F101" s="44">
        <v>0.105</v>
      </c>
      <c r="G101" s="49" t="str">
        <f>IFERROR(VLOOKUP("AR2412",STOCK!B2:Q3641,3,FALSE),"SIN STOCK")</f>
        <v>Menor a 5</v>
      </c>
    </row>
    <row r="102" ht="15.75" customHeight="1">
      <c r="A102" s="33" t="s">
        <v>2716</v>
      </c>
      <c r="B102" s="45" t="s">
        <v>3071</v>
      </c>
      <c r="C102" s="34" t="s">
        <v>3072</v>
      </c>
      <c r="D102" s="36" t="s">
        <v>3073</v>
      </c>
      <c r="E102" s="36" t="s">
        <v>3074</v>
      </c>
      <c r="F102" s="129">
        <v>0.105</v>
      </c>
      <c r="G102" s="38" t="str">
        <f>IFERROR(VLOOKUP("AB1608",STOCK!B2:Q3641,3,FALSE),"SIN STOCK")</f>
        <v>Menor a 5</v>
      </c>
    </row>
    <row r="103" ht="15.75" customHeight="1">
      <c r="A103" s="28" t="s">
        <v>3075</v>
      </c>
      <c r="C103" s="31"/>
      <c r="D103" s="51"/>
      <c r="E103" s="149"/>
      <c r="F103" s="31"/>
      <c r="G103" s="31"/>
    </row>
    <row r="104" ht="15.75" customHeight="1">
      <c r="A104" s="40" t="s">
        <v>2716</v>
      </c>
      <c r="B104" s="41" t="s">
        <v>3076</v>
      </c>
      <c r="C104" s="42" t="s">
        <v>3077</v>
      </c>
      <c r="D104" s="43" t="s">
        <v>3078</v>
      </c>
      <c r="E104" s="43" t="s">
        <v>3079</v>
      </c>
      <c r="F104" s="44">
        <v>0.105</v>
      </c>
      <c r="G104" s="46" t="str">
        <f>IFERROR(VLOOKUP("DT02/X",STOCK!B2:Q3641,3,FALSE),"SIN STOCK")</f>
        <v>SIN STOCK</v>
      </c>
    </row>
    <row r="105" ht="15.75" customHeight="1">
      <c r="A105" s="33" t="s">
        <v>2716</v>
      </c>
      <c r="B105" s="45" t="s">
        <v>3080</v>
      </c>
      <c r="C105" s="34" t="s">
        <v>3081</v>
      </c>
      <c r="D105" s="36" t="s">
        <v>3082</v>
      </c>
      <c r="E105" s="36" t="s">
        <v>3083</v>
      </c>
      <c r="F105" s="129">
        <v>0.105</v>
      </c>
      <c r="G105" s="46" t="str">
        <f>IFERROR(VLOOKUP("DT20/X",STOCK!B2:Q3641,3,FALSE),"SIN STOCK")</f>
        <v>SIN STOCK</v>
      </c>
    </row>
    <row r="106" ht="15.75" customHeight="1">
      <c r="A106" s="40" t="s">
        <v>2716</v>
      </c>
      <c r="B106" s="41" t="s">
        <v>3084</v>
      </c>
      <c r="C106" s="42" t="s">
        <v>3085</v>
      </c>
      <c r="D106" s="43" t="s">
        <v>3086</v>
      </c>
      <c r="E106" s="43" t="s">
        <v>3087</v>
      </c>
      <c r="F106" s="44">
        <v>0.105</v>
      </c>
      <c r="G106" s="46" t="str">
        <f>IFERROR(VLOOKUP("DT22-M/X",STOCK!B2:Q3641,3,FALSE),"SIN STOCK")</f>
        <v>SIN STOCK</v>
      </c>
    </row>
    <row r="107" ht="15.75" customHeight="1">
      <c r="A107" s="33" t="s">
        <v>2716</v>
      </c>
      <c r="B107" s="45" t="s">
        <v>3088</v>
      </c>
      <c r="C107" s="34" t="s">
        <v>3089</v>
      </c>
      <c r="D107" s="36" t="s">
        <v>3090</v>
      </c>
      <c r="E107" s="36" t="s">
        <v>3091</v>
      </c>
      <c r="F107" s="129">
        <v>0.105</v>
      </c>
      <c r="G107" s="46" t="str">
        <f>IFERROR(VLOOKUP("DT02-M/X",STOCK!B2:Q3641,3,FALSE),"SIN STOCK")</f>
        <v>SIN STOCK</v>
      </c>
    </row>
    <row r="108" ht="15.75" customHeight="1">
      <c r="A108" s="40" t="s">
        <v>2716</v>
      </c>
      <c r="B108" s="41" t="s">
        <v>3092</v>
      </c>
      <c r="C108" s="42" t="s">
        <v>3093</v>
      </c>
      <c r="D108" s="43" t="s">
        <v>3094</v>
      </c>
      <c r="E108" s="43" t="s">
        <v>3095</v>
      </c>
      <c r="F108" s="44">
        <v>0.105</v>
      </c>
      <c r="G108" s="46" t="str">
        <f>IFERROR(VLOOKUP("DT20-M/X",STOCK!B2:Q3641,3,FALSE),"SIN STOCK")</f>
        <v>SIN STOCK</v>
      </c>
    </row>
    <row r="109" ht="15.75" customHeight="1">
      <c r="A109" s="33" t="s">
        <v>2716</v>
      </c>
      <c r="B109" s="65" t="s">
        <v>3096</v>
      </c>
      <c r="C109" s="34" t="s">
        <v>3097</v>
      </c>
      <c r="D109" s="36" t="s">
        <v>3098</v>
      </c>
      <c r="E109" s="36" t="s">
        <v>3099</v>
      </c>
      <c r="F109" s="129">
        <v>0.105</v>
      </c>
      <c r="G109" s="46" t="str">
        <f>IFERROR(VLOOKUP("DT-RK19/X",STOCK!B2:Q3641,3,FALSE),"SIN STOCK")</f>
        <v>SIN STOCK</v>
      </c>
    </row>
    <row r="110" ht="15.75" customHeight="1">
      <c r="A110" s="40" t="s">
        <v>2716</v>
      </c>
      <c r="B110" s="64" t="s">
        <v>3100</v>
      </c>
      <c r="C110" s="42" t="s">
        <v>3101</v>
      </c>
      <c r="D110" s="43" t="s">
        <v>3102</v>
      </c>
      <c r="E110" s="43" t="s">
        <v>3103</v>
      </c>
      <c r="F110" s="44">
        <v>0.105</v>
      </c>
      <c r="G110" s="46" t="str">
        <f>IFERROR(VLOOKUP("DT-SMK/X",STOCK!B2:Q3641,3,FALSE),"SIN STOCK")</f>
        <v>SIN STOCK</v>
      </c>
    </row>
    <row r="111" ht="15.75" customHeight="1">
      <c r="A111" s="28" t="s">
        <v>3104</v>
      </c>
      <c r="C111" s="31"/>
      <c r="D111" s="51"/>
      <c r="E111" s="149"/>
      <c r="F111" s="31"/>
      <c r="G111" s="31"/>
    </row>
    <row r="112" ht="15.75" customHeight="1">
      <c r="A112" s="40" t="s">
        <v>2716</v>
      </c>
      <c r="B112" s="41" t="s">
        <v>3105</v>
      </c>
      <c r="C112" s="42" t="s">
        <v>3106</v>
      </c>
      <c r="D112" s="43" t="s">
        <v>3107</v>
      </c>
      <c r="E112" s="43" t="s">
        <v>3108</v>
      </c>
      <c r="F112" s="44">
        <v>0.105</v>
      </c>
      <c r="G112" s="38" t="str">
        <f>IFERROR(VLOOKUP("ME-500/X",STOCK!B2:Q3641,3,FALSE),"SIN STOCK")</f>
        <v>Mayor a 5</v>
      </c>
    </row>
    <row r="113" ht="15.75" customHeight="1">
      <c r="A113" s="33" t="s">
        <v>2716</v>
      </c>
      <c r="B113" s="45" t="s">
        <v>3109</v>
      </c>
      <c r="C113" s="34" t="s">
        <v>3110</v>
      </c>
      <c r="D113" s="36" t="s">
        <v>3111</v>
      </c>
      <c r="E113" s="36" t="s">
        <v>3112</v>
      </c>
      <c r="F113" s="129">
        <v>0.105</v>
      </c>
      <c r="G113" s="38" t="str">
        <f>IFERROR(VLOOKUP("ME-1/X",STOCK!B2:Q3641,3,FALSE),"SIN STOCK")</f>
        <v>Mayor a 5</v>
      </c>
    </row>
    <row r="114" ht="15.75" customHeight="1">
      <c r="A114" s="40" t="s">
        <v>2716</v>
      </c>
      <c r="B114" s="41" t="s">
        <v>3113</v>
      </c>
      <c r="C114" s="42" t="s">
        <v>3114</v>
      </c>
      <c r="D114" s="43" t="s">
        <v>3115</v>
      </c>
      <c r="E114" s="43" t="s">
        <v>3116</v>
      </c>
      <c r="F114" s="44">
        <v>0.105</v>
      </c>
      <c r="G114" s="46" t="str">
        <f>IFERROR(VLOOKUP("ME-U",STOCK!B2:Q3641,3,FALSE),"SIN STOCK")</f>
        <v>SIN STOCK</v>
      </c>
    </row>
    <row r="115" ht="15.75" customHeight="1">
      <c r="A115" s="28" t="s">
        <v>3117</v>
      </c>
      <c r="C115" s="31"/>
      <c r="D115" s="51"/>
      <c r="E115" s="149"/>
      <c r="F115" s="31"/>
      <c r="G115" s="31"/>
    </row>
    <row r="116" ht="15.75" customHeight="1">
      <c r="A116" s="40" t="s">
        <v>2716</v>
      </c>
      <c r="B116" s="41" t="s">
        <v>3118</v>
      </c>
      <c r="C116" s="42" t="s">
        <v>3119</v>
      </c>
      <c r="D116" s="43" t="s">
        <v>3120</v>
      </c>
      <c r="E116" s="43" t="s">
        <v>3121</v>
      </c>
      <c r="F116" s="44">
        <v>0.105</v>
      </c>
      <c r="G116" s="38" t="str">
        <f>IFERROR(VLOOKUP("XONE:922",STOCK!B1:Q3640,3,FALSE),"SIN STOCK")</f>
        <v>Menor a 5</v>
      </c>
    </row>
    <row r="117" ht="15.75" customHeight="1">
      <c r="A117" s="33" t="s">
        <v>2716</v>
      </c>
      <c r="B117" s="45" t="s">
        <v>3122</v>
      </c>
      <c r="C117" s="34" t="s">
        <v>3123</v>
      </c>
      <c r="D117" s="36" t="s">
        <v>3124</v>
      </c>
      <c r="E117" s="36" t="s">
        <v>3125</v>
      </c>
      <c r="F117" s="129">
        <v>0.105</v>
      </c>
      <c r="G117" s="38" t="str">
        <f>IFERROR(VLOOKUP("XONE:96",STOCK!B2:Q3641,3,FALSE),"SIN STOCK")</f>
        <v>Menor a 5</v>
      </c>
    </row>
    <row r="118" ht="15.75" customHeight="1">
      <c r="A118" s="40" t="s">
        <v>2716</v>
      </c>
      <c r="B118" s="41" t="s">
        <v>3126</v>
      </c>
      <c r="C118" s="42" t="s">
        <v>3127</v>
      </c>
      <c r="D118" s="43" t="s">
        <v>3128</v>
      </c>
      <c r="E118" s="43" t="s">
        <v>3129</v>
      </c>
      <c r="F118" s="44">
        <v>0.105</v>
      </c>
      <c r="G118" s="38" t="str">
        <f>IFERROR(VLOOKUP("XONE:PX5",STOCK!B2:Q3641,3,FALSE),"SIN STOCK")</f>
        <v>Menor a 5</v>
      </c>
    </row>
    <row r="119" ht="15.75" customHeight="1">
      <c r="A119" s="33" t="s">
        <v>2716</v>
      </c>
      <c r="B119" s="45" t="s">
        <v>3130</v>
      </c>
      <c r="C119" s="34" t="s">
        <v>3131</v>
      </c>
      <c r="D119" s="36" t="s">
        <v>3132</v>
      </c>
      <c r="E119" s="36" t="s">
        <v>3133</v>
      </c>
      <c r="F119" s="129">
        <v>0.105</v>
      </c>
      <c r="G119" s="38" t="str">
        <f>IFERROR(VLOOKUP("XONE:92",STOCK!B2:Q3641,3,FALSE),"SIN STOCK")</f>
        <v>Menor a 5</v>
      </c>
    </row>
    <row r="120" ht="15.75" customHeight="1">
      <c r="A120" s="40" t="s">
        <v>2716</v>
      </c>
      <c r="B120" s="41" t="s">
        <v>3134</v>
      </c>
      <c r="C120" s="42" t="s">
        <v>3135</v>
      </c>
      <c r="D120" s="43" t="s">
        <v>3136</v>
      </c>
      <c r="E120" s="43" t="s">
        <v>3137</v>
      </c>
      <c r="F120" s="44">
        <v>0.105</v>
      </c>
      <c r="G120" s="38" t="str">
        <f>IFERROR(VLOOKUP("XONE:43",STOCK!B2:Q3641,3,FALSE),"SIN STOCK")</f>
        <v>Menor a 5</v>
      </c>
    </row>
    <row r="121" ht="15.75" customHeight="1">
      <c r="A121" s="33" t="s">
        <v>2716</v>
      </c>
      <c r="B121" s="45" t="s">
        <v>3138</v>
      </c>
      <c r="C121" s="34" t="s">
        <v>3139</v>
      </c>
      <c r="D121" s="36" t="s">
        <v>3140</v>
      </c>
      <c r="E121" s="36" t="s">
        <v>3141</v>
      </c>
      <c r="F121" s="129">
        <v>0.105</v>
      </c>
      <c r="G121" s="38" t="str">
        <f>IFERROR(VLOOKUP("XONE:23",STOCK!B2:Q3641,3,FALSE),"SIN STOCK")</f>
        <v>Menor a 5</v>
      </c>
    </row>
    <row r="122" ht="15.75" customHeight="1">
      <c r="A122" s="40" t="s">
        <v>2716</v>
      </c>
      <c r="B122" s="41" t="s">
        <v>3142</v>
      </c>
      <c r="C122" s="42" t="s">
        <v>3143</v>
      </c>
      <c r="D122" s="43" t="s">
        <v>3144</v>
      </c>
      <c r="E122" s="43" t="s">
        <v>3145</v>
      </c>
      <c r="F122" s="44">
        <v>0.105</v>
      </c>
      <c r="G122" s="38" t="str">
        <f>IFERROR(VLOOKUP("XONE:23C",STOCK!B2:Q3641,3,FALSE),"SIN STOCK")</f>
        <v>Menor a 5</v>
      </c>
    </row>
    <row r="123" ht="15.75" customHeight="1">
      <c r="A123" s="33" t="s">
        <v>2716</v>
      </c>
      <c r="B123" s="45" t="s">
        <v>3146</v>
      </c>
      <c r="C123" s="34" t="s">
        <v>3147</v>
      </c>
      <c r="D123" s="36" t="s">
        <v>3148</v>
      </c>
      <c r="E123" s="36" t="s">
        <v>3149</v>
      </c>
      <c r="F123" s="129">
        <v>0.105</v>
      </c>
      <c r="G123" s="38" t="str">
        <f>IFERROR(VLOOKUP("XONE:K2",STOCK!B2:Q3641,3,FALSE),"SIN STOCK")</f>
        <v>Mayor a 5</v>
      </c>
    </row>
    <row r="124" ht="15.75" customHeight="1">
      <c r="A124" s="40" t="s">
        <v>2716</v>
      </c>
      <c r="B124" s="41" t="s">
        <v>3150</v>
      </c>
      <c r="C124" s="42"/>
      <c r="D124" s="43" t="s">
        <v>3151</v>
      </c>
      <c r="E124" s="43" t="s">
        <v>3152</v>
      </c>
      <c r="F124" s="44">
        <v>0.105</v>
      </c>
      <c r="G124" s="38" t="str">
        <f>IFERROR(VLOOKUP("MODEL1",STOCK!B2:Q3641,3,FALSE),"SIN STOCK")</f>
        <v>Menor a 5</v>
      </c>
    </row>
    <row r="125" ht="15.75" customHeight="1">
      <c r="A125" s="33" t="s">
        <v>2716</v>
      </c>
      <c r="B125" s="53" t="s">
        <v>3153</v>
      </c>
      <c r="C125" s="34"/>
      <c r="D125" s="36" t="s">
        <v>3154</v>
      </c>
      <c r="E125" s="36" t="s">
        <v>3155</v>
      </c>
      <c r="F125" s="129">
        <v>0.105</v>
      </c>
      <c r="G125" s="38" t="str">
        <f>IFERROR(VLOOKUP("MODEL1.4",STOCK!B2:Q3641,3,FALSE),"SIN STOCK")</f>
        <v>Mayor a 5</v>
      </c>
    </row>
    <row r="126" ht="15.75" customHeight="1">
      <c r="A126" s="28" t="s">
        <v>3156</v>
      </c>
      <c r="C126" s="31"/>
      <c r="D126" s="149"/>
      <c r="E126" s="149"/>
      <c r="F126" s="149"/>
      <c r="G126" s="31"/>
    </row>
    <row r="127" ht="15.75" customHeight="1">
      <c r="A127" s="40" t="s">
        <v>2716</v>
      </c>
      <c r="B127" s="41" t="s">
        <v>3157</v>
      </c>
      <c r="C127" s="42" t="s">
        <v>3158</v>
      </c>
      <c r="D127" s="43" t="s">
        <v>3159</v>
      </c>
      <c r="E127" s="43" t="s">
        <v>3160</v>
      </c>
      <c r="F127" s="44">
        <v>0.105</v>
      </c>
      <c r="G127" s="46" t="str">
        <f>IFERROR(VLOOKUP("ZED6",STOCK!B2:Q3641,3,FALSE),"SIN STOCK")</f>
        <v>Menor a 5</v>
      </c>
    </row>
    <row r="128" ht="15.75" hidden="1" customHeight="1">
      <c r="A128" s="33" t="s">
        <v>2716</v>
      </c>
      <c r="B128" s="45" t="s">
        <v>3161</v>
      </c>
      <c r="C128" s="34" t="s">
        <v>3162</v>
      </c>
      <c r="D128" s="36" t="s">
        <v>3163</v>
      </c>
      <c r="E128" s="36" t="s">
        <v>3164</v>
      </c>
      <c r="F128" s="129">
        <v>0.105</v>
      </c>
      <c r="G128" s="46" t="str">
        <f>IFERROR(VLOOKUP("ZED6FX",STOCK!B2:Q3641,3,FALSE),"SIN STOCK")</f>
        <v>Menor a 5</v>
      </c>
    </row>
    <row r="129" ht="15.75" customHeight="1">
      <c r="A129" s="28" t="s">
        <v>3165</v>
      </c>
      <c r="C129" s="31"/>
      <c r="D129" s="149"/>
      <c r="E129" s="149"/>
      <c r="F129" s="31"/>
      <c r="G129" s="31"/>
    </row>
    <row r="130" ht="15.75" customHeight="1">
      <c r="A130" s="40" t="s">
        <v>2716</v>
      </c>
      <c r="B130" s="41" t="s">
        <v>3166</v>
      </c>
      <c r="C130" s="42" t="s">
        <v>3167</v>
      </c>
      <c r="D130" s="43" t="s">
        <v>3163</v>
      </c>
      <c r="E130" s="43" t="s">
        <v>3164</v>
      </c>
      <c r="F130" s="44">
        <v>0.105</v>
      </c>
      <c r="G130" s="49" t="str">
        <f>IFERROR(VLOOKUP("ZEDI8",STOCK!B2:Q3641,3,FALSE),"SIN STOCK")</f>
        <v>Menor a 5</v>
      </c>
    </row>
    <row r="131" ht="15.75" customHeight="1">
      <c r="A131" s="33" t="s">
        <v>2716</v>
      </c>
      <c r="B131" s="45" t="s">
        <v>3168</v>
      </c>
      <c r="C131" s="34" t="s">
        <v>3169</v>
      </c>
      <c r="D131" s="36" t="s">
        <v>3170</v>
      </c>
      <c r="E131" s="36" t="s">
        <v>3171</v>
      </c>
      <c r="F131" s="129">
        <v>0.105</v>
      </c>
      <c r="G131" s="49" t="str">
        <f>IFERROR(VLOOKUP("ZEDI10",STOCK!B2:Q3641,3,FALSE),"SIN STOCK")</f>
        <v>Menor a 5</v>
      </c>
    </row>
    <row r="132" ht="15.75" customHeight="1">
      <c r="A132" s="40" t="s">
        <v>2716</v>
      </c>
      <c r="B132" s="41" t="s">
        <v>3172</v>
      </c>
      <c r="C132" s="42" t="s">
        <v>3173</v>
      </c>
      <c r="D132" s="43" t="s">
        <v>3174</v>
      </c>
      <c r="E132" s="43" t="s">
        <v>3175</v>
      </c>
      <c r="F132" s="44">
        <v>0.105</v>
      </c>
      <c r="G132" s="46" t="str">
        <f>IFERROR(VLOOKUP("ZEDI10FX",STOCK!B2:Q3641,3,FALSE),"SIN STOCK")</f>
        <v>Menor a 5</v>
      </c>
    </row>
    <row r="133" ht="15.75" customHeight="1">
      <c r="A133" s="28" t="s">
        <v>3176</v>
      </c>
      <c r="C133" s="31"/>
      <c r="D133" s="51"/>
      <c r="E133" s="149"/>
      <c r="F133" s="31"/>
      <c r="G133" s="31"/>
    </row>
    <row r="134" ht="15.75" customHeight="1">
      <c r="A134" s="40" t="s">
        <v>2716</v>
      </c>
      <c r="B134" s="41" t="s">
        <v>3177</v>
      </c>
      <c r="C134" s="42" t="s">
        <v>3178</v>
      </c>
      <c r="D134" s="43" t="s">
        <v>3179</v>
      </c>
      <c r="E134" s="43" t="s">
        <v>3180</v>
      </c>
      <c r="F134" s="44">
        <v>0.105</v>
      </c>
      <c r="G134" s="46" t="str">
        <f>IFERROR(VLOOKUP("ZED10FX",STOCK!B2:Q3641,3,FALSE),"SIN STOCK")</f>
        <v>Menor a 5</v>
      </c>
    </row>
    <row r="135" ht="15.75" customHeight="1">
      <c r="A135" s="33" t="s">
        <v>2716</v>
      </c>
      <c r="B135" s="45" t="s">
        <v>3181</v>
      </c>
      <c r="C135" s="34" t="s">
        <v>3182</v>
      </c>
      <c r="D135" s="36" t="s">
        <v>3183</v>
      </c>
      <c r="E135" s="36" t="s">
        <v>3184</v>
      </c>
      <c r="F135" s="129">
        <v>0.105</v>
      </c>
      <c r="G135" s="38" t="str">
        <f>IFERROR(VLOOKUP("ZED60-10FX",STOCK!B2:Q3641,3,FALSE),"SIN STOCK")</f>
        <v>Mayor a 5</v>
      </c>
    </row>
    <row r="136" ht="15.75" customHeight="1">
      <c r="A136" s="40" t="s">
        <v>2716</v>
      </c>
      <c r="B136" s="41" t="s">
        <v>3185</v>
      </c>
      <c r="C136" s="42" t="s">
        <v>3186</v>
      </c>
      <c r="D136" s="43" t="s">
        <v>3187</v>
      </c>
      <c r="E136" s="43" t="s">
        <v>3188</v>
      </c>
      <c r="F136" s="44">
        <v>0.105</v>
      </c>
      <c r="G136" s="46" t="str">
        <f>IFERROR(VLOOKUP("ZED60-14FX",STOCK!B2:Q3641,3,FALSE),"SIN STOCK")</f>
        <v>Menor a 5</v>
      </c>
    </row>
    <row r="137" ht="15.75" customHeight="1">
      <c r="A137" s="33" t="s">
        <v>2716</v>
      </c>
      <c r="B137" s="59" t="s">
        <v>3189</v>
      </c>
      <c r="C137" s="34" t="s">
        <v>3190</v>
      </c>
      <c r="D137" s="36" t="s">
        <v>3191</v>
      </c>
      <c r="E137" s="36" t="s">
        <v>3192</v>
      </c>
      <c r="F137" s="129">
        <v>0.105</v>
      </c>
      <c r="G137" s="38" t="str">
        <f>IFERROR(VLOOKUP("ZED12FX",STOCK!B2:Q3641,3,FALSE),"SIN STOCK")</f>
        <v>Mayor a 5</v>
      </c>
    </row>
    <row r="138" ht="15.75" customHeight="1">
      <c r="A138" s="40" t="s">
        <v>2716</v>
      </c>
      <c r="B138" s="41" t="s">
        <v>3193</v>
      </c>
      <c r="C138" s="42" t="s">
        <v>3194</v>
      </c>
      <c r="D138" s="43" t="s">
        <v>3195</v>
      </c>
      <c r="E138" s="43" t="s">
        <v>3196</v>
      </c>
      <c r="F138" s="44">
        <v>0.105</v>
      </c>
      <c r="G138" s="49" t="str">
        <f>IFERROR(VLOOKUP("ZED16FX",STOCK!B2:Q3641,3,FALSE),"SIN STOCK")</f>
        <v>Menor a 5</v>
      </c>
    </row>
    <row r="139" ht="15.75" customHeight="1">
      <c r="A139" s="33" t="s">
        <v>2716</v>
      </c>
      <c r="B139" s="59" t="s">
        <v>3197</v>
      </c>
      <c r="C139" s="34" t="s">
        <v>3198</v>
      </c>
      <c r="D139" s="36" t="s">
        <v>3199</v>
      </c>
      <c r="E139" s="36" t="s">
        <v>3200</v>
      </c>
      <c r="F139" s="129">
        <v>0.105</v>
      </c>
      <c r="G139" s="46" t="str">
        <f>IFERROR(VLOOKUP("ZED22FX",STOCK!B2:Q3641,3,FALSE),"SIN STOCK")</f>
        <v>Menor a 5</v>
      </c>
    </row>
    <row r="140" ht="15.75" customHeight="1">
      <c r="A140" s="28" t="s">
        <v>3201</v>
      </c>
      <c r="C140" s="31"/>
      <c r="D140" s="149"/>
      <c r="E140" s="149"/>
      <c r="F140" s="31"/>
      <c r="G140" s="31"/>
    </row>
    <row r="141" ht="15.75" customHeight="1">
      <c r="A141" s="40" t="s">
        <v>2716</v>
      </c>
      <c r="B141" s="41" t="s">
        <v>3202</v>
      </c>
      <c r="C141" s="42" t="s">
        <v>3203</v>
      </c>
      <c r="D141" s="43" t="s">
        <v>3204</v>
      </c>
      <c r="E141" s="43" t="s">
        <v>3205</v>
      </c>
      <c r="F141" s="44">
        <v>0.105</v>
      </c>
      <c r="G141" s="38" t="str">
        <f>IFERROR(VLOOKUP("ZED1002",STOCK!B2:Q3641,3,FALSE),"SIN STOCK")</f>
        <v>Menor a 5</v>
      </c>
    </row>
    <row r="142" ht="15.75" customHeight="1">
      <c r="A142" s="33" t="s">
        <v>2716</v>
      </c>
      <c r="B142" s="45" t="s">
        <v>3206</v>
      </c>
      <c r="C142" s="34" t="s">
        <v>3207</v>
      </c>
      <c r="D142" s="36" t="s">
        <v>3208</v>
      </c>
      <c r="E142" s="36" t="s">
        <v>3209</v>
      </c>
      <c r="F142" s="129">
        <v>0.105</v>
      </c>
      <c r="G142" s="38" t="str">
        <f>IFERROR(VLOOKUP("ZED1402",STOCK!B2:Q3641,3,FALSE),"SIN STOCK")</f>
        <v>Mayor a 5</v>
      </c>
    </row>
    <row r="143" ht="15.75" customHeight="1">
      <c r="A143" s="40" t="s">
        <v>2716</v>
      </c>
      <c r="B143" s="41" t="s">
        <v>3210</v>
      </c>
      <c r="C143" s="42" t="s">
        <v>3211</v>
      </c>
      <c r="D143" s="43" t="s">
        <v>3212</v>
      </c>
      <c r="E143" s="43" t="s">
        <v>3213</v>
      </c>
      <c r="F143" s="44">
        <v>0.105</v>
      </c>
      <c r="G143" s="38" t="str">
        <f>IFERROR(VLOOKUP("ZED1802",STOCK!B2:Q3641,3,FALSE),"SIN STOCK")</f>
        <v>Mayor a 5</v>
      </c>
    </row>
    <row r="144" ht="15.75" customHeight="1">
      <c r="A144" s="33" t="s">
        <v>2716</v>
      </c>
      <c r="B144" s="45" t="s">
        <v>3214</v>
      </c>
      <c r="C144" s="34" t="s">
        <v>3215</v>
      </c>
      <c r="D144" s="36" t="s">
        <v>3216</v>
      </c>
      <c r="E144" s="36" t="s">
        <v>3217</v>
      </c>
      <c r="F144" s="129">
        <v>0.105</v>
      </c>
      <c r="G144" s="38" t="str">
        <f>IFERROR(VLOOKUP("ZED2402",STOCK!B2:Q3641,3,FALSE),"SIN STOCK")</f>
        <v>Mayor a 5</v>
      </c>
    </row>
    <row r="145" ht="15.75" customHeight="1">
      <c r="A145" s="28" t="s">
        <v>3218</v>
      </c>
      <c r="C145" s="31"/>
      <c r="D145" s="51"/>
      <c r="E145" s="149"/>
      <c r="F145" s="31"/>
      <c r="G145" s="31"/>
    </row>
    <row r="146" ht="15.75" customHeight="1">
      <c r="A146" s="40" t="s">
        <v>2716</v>
      </c>
      <c r="B146" s="41" t="s">
        <v>3219</v>
      </c>
      <c r="C146" s="42" t="s">
        <v>3220</v>
      </c>
      <c r="D146" s="43" t="s">
        <v>3221</v>
      </c>
      <c r="E146" s="43" t="s">
        <v>3222</v>
      </c>
      <c r="F146" s="44">
        <v>0.105</v>
      </c>
      <c r="G146" s="49" t="str">
        <f>IFERROR(VLOOKUP("ZED2042",STOCK!B2:Q3641,3,FALSE),"SIN STOCK")</f>
        <v>Menor a 5</v>
      </c>
    </row>
    <row r="147" ht="15.75" customHeight="1">
      <c r="A147" s="33" t="s">
        <v>2716</v>
      </c>
      <c r="B147" s="45" t="s">
        <v>3223</v>
      </c>
      <c r="C147" s="34" t="s">
        <v>3224</v>
      </c>
      <c r="D147" s="36" t="s">
        <v>3225</v>
      </c>
      <c r="E147" s="36" t="s">
        <v>3226</v>
      </c>
      <c r="F147" s="129">
        <v>0.105</v>
      </c>
      <c r="G147" s="46" t="str">
        <f>IFERROR(VLOOKUP("ZED2842",STOCK!B2:Q3641,3,FALSE),"SIN STOCK")</f>
        <v>Menor a 5</v>
      </c>
    </row>
    <row r="148" ht="15.75" customHeight="1">
      <c r="A148" s="40" t="s">
        <v>2716</v>
      </c>
      <c r="B148" s="41" t="s">
        <v>3227</v>
      </c>
      <c r="C148" s="42" t="s">
        <v>3228</v>
      </c>
      <c r="D148" s="43" t="s">
        <v>3229</v>
      </c>
      <c r="E148" s="43" t="s">
        <v>3230</v>
      </c>
      <c r="F148" s="44">
        <v>0.105</v>
      </c>
      <c r="G148" s="49" t="str">
        <f>IFERROR(VLOOKUP("ZED3642",STOCK!B2:Q3641,3,FALSE),"SIN STOCK")</f>
        <v>Menor a 5</v>
      </c>
    </row>
    <row r="149" ht="15.75" customHeight="1">
      <c r="A149" s="28" t="s">
        <v>3231</v>
      </c>
      <c r="C149" s="31"/>
      <c r="D149" s="51"/>
      <c r="E149" s="149"/>
      <c r="F149" s="31"/>
      <c r="G149" s="31"/>
    </row>
    <row r="150" ht="15.75" customHeight="1">
      <c r="A150" s="33" t="s">
        <v>2716</v>
      </c>
      <c r="B150" s="33" t="s">
        <v>3232</v>
      </c>
      <c r="C150" s="152"/>
      <c r="D150" s="36" t="s">
        <v>3233</v>
      </c>
      <c r="E150" s="36" t="s">
        <v>3234</v>
      </c>
      <c r="F150" s="129">
        <v>0.105</v>
      </c>
      <c r="G150" s="49" t="str">
        <f>IFERROR(VLOOKUP("XB-10",STOCK!B2:Q3641,3,FALSE),"SIN STOCK")</f>
        <v>Menor a 5</v>
      </c>
    </row>
    <row r="151" ht="15.75" customHeight="1">
      <c r="A151" s="40" t="s">
        <v>2716</v>
      </c>
      <c r="B151" s="41" t="s">
        <v>3235</v>
      </c>
      <c r="C151" s="42" t="s">
        <v>3236</v>
      </c>
      <c r="D151" s="43" t="s">
        <v>3237</v>
      </c>
      <c r="E151" s="43" t="s">
        <v>3238</v>
      </c>
      <c r="F151" s="44">
        <v>0.105</v>
      </c>
      <c r="G151" s="38" t="str">
        <f>IFERROR(VLOOKUP("XB2-14",STOCK!B2:Q3641,3,FALSE),"SIN STOCK")</f>
        <v>Mayor a 5</v>
      </c>
    </row>
    <row r="152" ht="15.75" customHeight="1">
      <c r="A152" s="28" t="s">
        <v>3239</v>
      </c>
      <c r="C152" s="31"/>
      <c r="D152" s="51"/>
      <c r="E152" s="149"/>
      <c r="F152" s="31"/>
      <c r="G152" s="31"/>
    </row>
    <row r="153" ht="15.75" customHeight="1">
      <c r="A153" s="40" t="s">
        <v>2716</v>
      </c>
      <c r="B153" s="40" t="s">
        <v>3240</v>
      </c>
      <c r="C153" s="153"/>
      <c r="D153" s="43" t="s">
        <v>3241</v>
      </c>
      <c r="E153" s="43" t="s">
        <v>3242</v>
      </c>
      <c r="F153" s="44">
        <v>0.21</v>
      </c>
      <c r="G153" s="154"/>
    </row>
    <row r="154" ht="15.75" customHeight="1">
      <c r="A154" s="33" t="s">
        <v>2716</v>
      </c>
      <c r="B154" s="33" t="s">
        <v>3243</v>
      </c>
      <c r="C154" s="152"/>
      <c r="D154" s="36" t="s">
        <v>3244</v>
      </c>
      <c r="E154" s="36" t="s">
        <v>3245</v>
      </c>
      <c r="F154" s="129">
        <v>0.21</v>
      </c>
      <c r="G154" s="154"/>
    </row>
    <row r="155" ht="15.75" customHeight="1">
      <c r="A155" s="40" t="s">
        <v>2716</v>
      </c>
      <c r="B155" s="40" t="s">
        <v>3246</v>
      </c>
      <c r="C155" s="153"/>
      <c r="D155" s="43" t="s">
        <v>3247</v>
      </c>
      <c r="E155" s="43" t="s">
        <v>3248</v>
      </c>
      <c r="F155" s="44">
        <v>0.21</v>
      </c>
      <c r="G155" s="154"/>
    </row>
    <row r="156" ht="15.75" customHeight="1">
      <c r="A156" s="33" t="s">
        <v>2716</v>
      </c>
      <c r="B156" s="33" t="s">
        <v>3249</v>
      </c>
      <c r="C156" s="152"/>
      <c r="D156" s="36" t="s">
        <v>3250</v>
      </c>
      <c r="E156" s="36" t="s">
        <v>3251</v>
      </c>
      <c r="F156" s="129">
        <v>0.21</v>
      </c>
      <c r="G156" s="154"/>
    </row>
    <row r="157" ht="15.75" customHeight="1">
      <c r="A157" s="40" t="s">
        <v>2716</v>
      </c>
      <c r="B157" s="40" t="s">
        <v>3252</v>
      </c>
      <c r="C157" s="153"/>
      <c r="D157" s="43" t="s">
        <v>3253</v>
      </c>
      <c r="E157" s="43" t="s">
        <v>3254</v>
      </c>
      <c r="F157" s="44">
        <v>0.21</v>
      </c>
      <c r="G157" s="154"/>
    </row>
    <row r="158" ht="15.75" customHeight="1">
      <c r="A158" s="33" t="s">
        <v>2716</v>
      </c>
      <c r="B158" s="33" t="s">
        <v>3255</v>
      </c>
      <c r="C158" s="152"/>
      <c r="D158" s="36" t="s">
        <v>3253</v>
      </c>
      <c r="E158" s="36" t="s">
        <v>3254</v>
      </c>
      <c r="F158" s="129">
        <v>0.21</v>
      </c>
      <c r="G158" s="154"/>
    </row>
    <row r="159" ht="15.75" customHeight="1">
      <c r="A159" s="40" t="s">
        <v>2716</v>
      </c>
      <c r="B159" s="40" t="s">
        <v>3256</v>
      </c>
      <c r="C159" s="153"/>
      <c r="D159" s="43" t="s">
        <v>3257</v>
      </c>
      <c r="E159" s="43" t="s">
        <v>3258</v>
      </c>
      <c r="F159" s="44">
        <v>0.21</v>
      </c>
      <c r="G159" s="154"/>
    </row>
    <row r="160" ht="15.75" customHeight="1">
      <c r="A160" s="33" t="s">
        <v>2716</v>
      </c>
      <c r="B160" s="33" t="s">
        <v>3259</v>
      </c>
      <c r="C160" s="152"/>
      <c r="D160" s="36" t="s">
        <v>3260</v>
      </c>
      <c r="E160" s="36" t="s">
        <v>3261</v>
      </c>
      <c r="F160" s="129">
        <v>0.21</v>
      </c>
      <c r="G160" s="154"/>
    </row>
    <row r="161" ht="15.75" customHeight="1">
      <c r="A161" s="153"/>
      <c r="B161" s="153"/>
      <c r="C161" s="153"/>
      <c r="D161" s="155"/>
      <c r="E161" s="155"/>
      <c r="F161" s="156"/>
      <c r="G161" s="154"/>
    </row>
    <row r="162" ht="15.75" customHeight="1">
      <c r="A162" s="153"/>
      <c r="B162" s="153"/>
      <c r="C162" s="153"/>
      <c r="D162" s="155"/>
      <c r="E162" s="155"/>
      <c r="F162" s="156"/>
      <c r="G162" s="154"/>
    </row>
    <row r="163" ht="15.75" customHeight="1">
      <c r="A163" s="153"/>
      <c r="B163" s="153"/>
      <c r="C163" s="153"/>
      <c r="D163" s="155"/>
      <c r="E163" s="155"/>
      <c r="F163" s="156"/>
      <c r="G163" s="154"/>
    </row>
    <row r="164" ht="15.75" customHeight="1">
      <c r="A164" s="153"/>
      <c r="B164" s="153"/>
      <c r="C164" s="153"/>
      <c r="D164" s="155"/>
      <c r="E164" s="155"/>
      <c r="F164" s="156"/>
      <c r="G164" s="154"/>
    </row>
    <row r="165" ht="15.75" customHeight="1">
      <c r="A165" s="153"/>
      <c r="B165" s="153"/>
      <c r="C165" s="153"/>
      <c r="D165" s="155"/>
      <c r="E165" s="155"/>
      <c r="F165" s="156"/>
      <c r="G165" s="154"/>
    </row>
    <row r="166" ht="15.75" customHeight="1">
      <c r="A166" s="153"/>
      <c r="B166" s="153"/>
      <c r="C166" s="153"/>
      <c r="D166" s="155"/>
      <c r="E166" s="155"/>
      <c r="F166" s="156"/>
      <c r="G166" s="154"/>
    </row>
    <row r="167" ht="15.75" customHeight="1">
      <c r="A167" s="153"/>
      <c r="B167" s="153"/>
      <c r="C167" s="153"/>
      <c r="D167" s="155"/>
      <c r="E167" s="155"/>
      <c r="F167" s="156"/>
      <c r="G167" s="154"/>
    </row>
    <row r="168" ht="15.75" customHeight="1">
      <c r="A168" s="153"/>
      <c r="B168" s="153"/>
      <c r="C168" s="153"/>
      <c r="D168" s="155"/>
      <c r="E168" s="155"/>
      <c r="F168" s="156"/>
      <c r="G168" s="154"/>
    </row>
    <row r="169" ht="15.75" customHeight="1">
      <c r="A169" s="153"/>
      <c r="B169" s="153"/>
      <c r="C169" s="153"/>
      <c r="D169" s="155"/>
      <c r="E169" s="155"/>
      <c r="F169" s="156"/>
      <c r="G169" s="154"/>
    </row>
    <row r="170" ht="15.75" customHeight="1">
      <c r="A170" s="153"/>
      <c r="B170" s="153"/>
      <c r="C170" s="153"/>
      <c r="D170" s="155"/>
      <c r="E170" s="155"/>
      <c r="F170" s="156"/>
      <c r="G170" s="154"/>
    </row>
    <row r="171" ht="15.75" customHeight="1">
      <c r="A171" s="153"/>
      <c r="B171" s="153"/>
      <c r="C171" s="153"/>
      <c r="D171" s="155"/>
      <c r="E171" s="155"/>
      <c r="F171" s="156"/>
      <c r="G171" s="154"/>
    </row>
    <row r="172" ht="15.75" customHeight="1">
      <c r="A172" s="153"/>
      <c r="B172" s="153"/>
      <c r="C172" s="153"/>
      <c r="D172" s="155"/>
      <c r="E172" s="155"/>
      <c r="F172" s="156"/>
      <c r="G172" s="154"/>
    </row>
    <row r="173" ht="15.75" customHeight="1">
      <c r="A173" s="153"/>
      <c r="B173" s="153"/>
      <c r="C173" s="153"/>
      <c r="D173" s="155"/>
      <c r="E173" s="155"/>
      <c r="F173" s="156"/>
      <c r="G173" s="154"/>
    </row>
    <row r="174" ht="15.75" customHeight="1">
      <c r="A174" s="153"/>
      <c r="B174" s="153"/>
      <c r="C174" s="153"/>
      <c r="D174" s="155"/>
      <c r="E174" s="155"/>
      <c r="F174" s="156"/>
      <c r="G174" s="154"/>
    </row>
    <row r="175" ht="15.75" customHeight="1">
      <c r="A175" s="153"/>
      <c r="B175" s="153"/>
      <c r="C175" s="153"/>
      <c r="D175" s="155"/>
      <c r="E175" s="155"/>
      <c r="F175" s="156"/>
      <c r="G175" s="154"/>
    </row>
    <row r="176" ht="15.75" customHeight="1">
      <c r="A176" s="153"/>
      <c r="B176" s="153"/>
      <c r="C176" s="153"/>
      <c r="D176" s="155"/>
      <c r="E176" s="155"/>
      <c r="F176" s="156"/>
      <c r="G176" s="154"/>
    </row>
    <row r="177" ht="15.75" customHeight="1">
      <c r="A177" s="153"/>
      <c r="B177" s="153"/>
      <c r="C177" s="153"/>
      <c r="D177" s="155"/>
      <c r="E177" s="155"/>
      <c r="F177" s="156"/>
      <c r="G177" s="154"/>
    </row>
    <row r="178" ht="15.75" customHeight="1">
      <c r="A178" s="153"/>
      <c r="B178" s="153"/>
      <c r="C178" s="153"/>
      <c r="D178" s="155"/>
      <c r="E178" s="155"/>
      <c r="F178" s="156"/>
      <c r="G178" s="154"/>
    </row>
    <row r="179" ht="15.75" customHeight="1">
      <c r="A179" s="153"/>
      <c r="B179" s="153"/>
      <c r="C179" s="153"/>
      <c r="D179" s="155"/>
      <c r="E179" s="155"/>
      <c r="F179" s="156"/>
      <c r="G179" s="154"/>
    </row>
    <row r="180" ht="15.75" customHeight="1">
      <c r="A180" s="153"/>
      <c r="B180" s="153"/>
      <c r="C180" s="153"/>
      <c r="D180" s="155"/>
      <c r="E180" s="155"/>
      <c r="F180" s="156"/>
      <c r="G180" s="154"/>
    </row>
    <row r="181" ht="15.75" customHeight="1">
      <c r="A181" s="153"/>
      <c r="B181" s="153"/>
      <c r="C181" s="153"/>
      <c r="D181" s="155"/>
      <c r="E181" s="155"/>
      <c r="F181" s="156"/>
      <c r="G181" s="154"/>
    </row>
    <row r="182" ht="15.75" customHeight="1">
      <c r="A182" s="153"/>
      <c r="B182" s="153"/>
      <c r="C182" s="153"/>
      <c r="D182" s="155"/>
      <c r="E182" s="155"/>
      <c r="F182" s="156"/>
      <c r="G182" s="154"/>
    </row>
    <row r="183" ht="15.75" customHeight="1">
      <c r="A183" s="153"/>
      <c r="B183" s="153"/>
      <c r="C183" s="153"/>
      <c r="D183" s="155"/>
      <c r="E183" s="155"/>
      <c r="F183" s="156"/>
      <c r="G183" s="154"/>
    </row>
    <row r="184" ht="15.75" customHeight="1">
      <c r="A184" s="153"/>
      <c r="B184" s="153"/>
      <c r="C184" s="153"/>
      <c r="D184" s="155"/>
      <c r="E184" s="155"/>
      <c r="F184" s="156"/>
      <c r="G184" s="154"/>
    </row>
    <row r="185" ht="15.75" customHeight="1">
      <c r="A185" s="153"/>
      <c r="B185" s="153"/>
      <c r="C185" s="153"/>
      <c r="D185" s="155"/>
      <c r="E185" s="155"/>
      <c r="F185" s="156"/>
      <c r="G185" s="154"/>
    </row>
    <row r="186" ht="15.75" customHeight="1">
      <c r="A186" s="153"/>
      <c r="B186" s="153"/>
      <c r="C186" s="153"/>
      <c r="D186" s="155"/>
      <c r="E186" s="155"/>
      <c r="F186" s="156"/>
      <c r="G186" s="154"/>
    </row>
    <row r="187" ht="15.75" customHeight="1">
      <c r="A187" s="153"/>
      <c r="B187" s="153"/>
      <c r="C187" s="153"/>
      <c r="D187" s="155"/>
      <c r="E187" s="155"/>
      <c r="F187" s="156"/>
      <c r="G187" s="154"/>
    </row>
    <row r="188" ht="15.75" customHeight="1">
      <c r="A188" s="153"/>
      <c r="B188" s="153"/>
      <c r="C188" s="153"/>
      <c r="D188" s="155"/>
      <c r="E188" s="155"/>
      <c r="F188" s="156"/>
      <c r="G188" s="154"/>
    </row>
    <row r="189" ht="15.75" customHeight="1">
      <c r="A189" s="153"/>
      <c r="B189" s="153"/>
      <c r="C189" s="153"/>
      <c r="D189" s="155"/>
      <c r="E189" s="155"/>
      <c r="F189" s="156"/>
      <c r="G189" s="154"/>
    </row>
    <row r="190" ht="15.75" customHeight="1">
      <c r="A190" s="153"/>
      <c r="B190" s="153"/>
      <c r="C190" s="153"/>
      <c r="D190" s="155"/>
      <c r="E190" s="155"/>
      <c r="F190" s="156"/>
      <c r="G190" s="154"/>
    </row>
    <row r="191" ht="15.75" customHeight="1">
      <c r="A191" s="153"/>
      <c r="B191" s="153"/>
      <c r="C191" s="153"/>
      <c r="D191" s="155"/>
      <c r="E191" s="155"/>
      <c r="F191" s="156"/>
      <c r="G191" s="154"/>
    </row>
    <row r="192" ht="15.75" customHeight="1">
      <c r="A192" s="153"/>
      <c r="B192" s="153"/>
      <c r="C192" s="153"/>
      <c r="D192" s="155"/>
      <c r="E192" s="155"/>
      <c r="F192" s="156"/>
      <c r="G192" s="154"/>
    </row>
    <row r="193" ht="15.75" customHeight="1">
      <c r="A193" s="153"/>
      <c r="B193" s="153"/>
      <c r="C193" s="153"/>
      <c r="D193" s="155"/>
      <c r="E193" s="155"/>
      <c r="F193" s="156"/>
      <c r="G193" s="154"/>
    </row>
    <row r="194" ht="15.75" customHeight="1">
      <c r="A194" s="153"/>
      <c r="B194" s="153"/>
      <c r="C194" s="153"/>
      <c r="D194" s="155"/>
      <c r="E194" s="155"/>
      <c r="F194" s="156"/>
      <c r="G194" s="154"/>
    </row>
    <row r="195" ht="15.75" customHeight="1">
      <c r="A195" s="153"/>
      <c r="B195" s="153"/>
      <c r="C195" s="153"/>
      <c r="D195" s="155"/>
      <c r="E195" s="155"/>
      <c r="F195" s="156"/>
      <c r="G195" s="154"/>
    </row>
    <row r="196" ht="15.75" customHeight="1">
      <c r="A196" s="153"/>
      <c r="B196" s="153"/>
      <c r="C196" s="153"/>
      <c r="D196" s="155"/>
      <c r="E196" s="155"/>
      <c r="F196" s="156"/>
      <c r="G196" s="154"/>
    </row>
    <row r="197" ht="15.75" customHeight="1">
      <c r="A197" s="153"/>
      <c r="B197" s="153"/>
      <c r="C197" s="153"/>
      <c r="D197" s="155"/>
      <c r="E197" s="155"/>
      <c r="F197" s="156"/>
      <c r="G197" s="154"/>
    </row>
    <row r="198" ht="15.75" customHeight="1">
      <c r="A198" s="153"/>
      <c r="B198" s="153"/>
      <c r="C198" s="153"/>
      <c r="D198" s="155"/>
      <c r="E198" s="155"/>
      <c r="F198" s="156"/>
      <c r="G198" s="154"/>
    </row>
    <row r="199" ht="15.75" customHeight="1">
      <c r="A199" s="153"/>
      <c r="B199" s="153"/>
      <c r="C199" s="153"/>
      <c r="D199" s="155"/>
      <c r="E199" s="155"/>
      <c r="F199" s="156"/>
      <c r="G199" s="154"/>
    </row>
    <row r="200" ht="15.75" customHeight="1">
      <c r="A200" s="153"/>
      <c r="B200" s="153"/>
      <c r="C200" s="153"/>
      <c r="D200" s="155"/>
      <c r="E200" s="155"/>
      <c r="F200" s="156"/>
      <c r="G200" s="154"/>
    </row>
    <row r="201" ht="15.75" customHeight="1">
      <c r="A201" s="153"/>
      <c r="B201" s="153"/>
      <c r="C201" s="153"/>
      <c r="D201" s="155"/>
      <c r="E201" s="155"/>
      <c r="F201" s="156"/>
      <c r="G201" s="154"/>
    </row>
    <row r="202" ht="15.75" customHeight="1">
      <c r="A202" s="153"/>
      <c r="B202" s="153"/>
      <c r="C202" s="153"/>
      <c r="D202" s="155"/>
      <c r="E202" s="155"/>
      <c r="F202" s="156"/>
      <c r="G202" s="154"/>
    </row>
    <row r="203" ht="15.75" customHeight="1">
      <c r="A203" s="153"/>
      <c r="B203" s="153"/>
      <c r="C203" s="153"/>
      <c r="D203" s="155"/>
      <c r="E203" s="155"/>
      <c r="F203" s="156"/>
      <c r="G203" s="154"/>
    </row>
    <row r="204" ht="15.75" customHeight="1">
      <c r="A204" s="153"/>
      <c r="B204" s="153"/>
      <c r="C204" s="153"/>
      <c r="D204" s="155"/>
      <c r="E204" s="155"/>
      <c r="F204" s="156"/>
      <c r="G204" s="154"/>
    </row>
    <row r="205" ht="15.75" customHeight="1">
      <c r="A205" s="153"/>
      <c r="B205" s="153"/>
      <c r="C205" s="153"/>
      <c r="D205" s="155"/>
      <c r="E205" s="155"/>
      <c r="F205" s="156"/>
      <c r="G205" s="154"/>
    </row>
    <row r="206" ht="15.75" customHeight="1">
      <c r="A206" s="153"/>
      <c r="B206" s="153"/>
      <c r="C206" s="153"/>
      <c r="D206" s="155"/>
      <c r="E206" s="155"/>
      <c r="F206" s="156"/>
      <c r="G206" s="154"/>
    </row>
    <row r="207" ht="15.75" customHeight="1">
      <c r="A207" s="153"/>
      <c r="B207" s="153"/>
      <c r="C207" s="153"/>
      <c r="D207" s="155"/>
      <c r="E207" s="155"/>
      <c r="F207" s="156"/>
      <c r="G207" s="154"/>
    </row>
    <row r="208" ht="15.75" customHeight="1">
      <c r="A208" s="153"/>
      <c r="B208" s="153"/>
      <c r="C208" s="153"/>
      <c r="D208" s="155"/>
      <c r="E208" s="155"/>
      <c r="F208" s="156"/>
      <c r="G208" s="154"/>
    </row>
    <row r="209" ht="15.75" customHeight="1">
      <c r="A209" s="153"/>
      <c r="B209" s="153"/>
      <c r="C209" s="153"/>
      <c r="D209" s="155"/>
      <c r="E209" s="155"/>
      <c r="F209" s="156"/>
      <c r="G209" s="154"/>
    </row>
    <row r="210" ht="15.75" customHeight="1">
      <c r="A210" s="153"/>
      <c r="B210" s="153"/>
      <c r="C210" s="153"/>
      <c r="D210" s="155"/>
      <c r="E210" s="155"/>
      <c r="F210" s="156"/>
      <c r="G210" s="154"/>
    </row>
    <row r="211" ht="15.75" customHeight="1">
      <c r="A211" s="153"/>
      <c r="B211" s="153"/>
      <c r="C211" s="153"/>
      <c r="D211" s="155"/>
      <c r="E211" s="155"/>
      <c r="F211" s="156"/>
      <c r="G211" s="154"/>
    </row>
    <row r="212" ht="15.75" customHeight="1">
      <c r="A212" s="153"/>
      <c r="B212" s="153"/>
      <c r="C212" s="153"/>
      <c r="D212" s="155"/>
      <c r="E212" s="155"/>
      <c r="F212" s="156"/>
      <c r="G212" s="154"/>
    </row>
    <row r="213" ht="15.75" customHeight="1">
      <c r="A213" s="153"/>
      <c r="B213" s="153"/>
      <c r="C213" s="153"/>
      <c r="D213" s="155"/>
      <c r="E213" s="155"/>
      <c r="F213" s="156"/>
      <c r="G213" s="154"/>
    </row>
    <row r="214" ht="15.75" customHeight="1">
      <c r="A214" s="153"/>
      <c r="B214" s="153"/>
      <c r="C214" s="153"/>
      <c r="D214" s="155"/>
      <c r="E214" s="155"/>
      <c r="F214" s="156"/>
      <c r="G214" s="154"/>
    </row>
    <row r="215" ht="15.75" customHeight="1">
      <c r="A215" s="153"/>
      <c r="B215" s="153"/>
      <c r="C215" s="153"/>
      <c r="D215" s="155"/>
      <c r="E215" s="155"/>
      <c r="F215" s="156"/>
      <c r="G215" s="154"/>
    </row>
    <row r="216" ht="15.75" customHeight="1">
      <c r="A216" s="153"/>
      <c r="B216" s="153"/>
      <c r="C216" s="153"/>
      <c r="D216" s="155"/>
      <c r="E216" s="155"/>
      <c r="F216" s="156"/>
      <c r="G216" s="154"/>
    </row>
    <row r="217" ht="15.75" customHeight="1">
      <c r="A217" s="153"/>
      <c r="B217" s="153"/>
      <c r="C217" s="153"/>
      <c r="D217" s="155"/>
      <c r="E217" s="155"/>
      <c r="F217" s="156"/>
      <c r="G217" s="154"/>
    </row>
    <row r="218" ht="15.75" customHeight="1">
      <c r="A218" s="153"/>
      <c r="B218" s="153"/>
      <c r="C218" s="153"/>
      <c r="D218" s="155"/>
      <c r="E218" s="155"/>
      <c r="F218" s="156"/>
      <c r="G218" s="154"/>
    </row>
    <row r="219" ht="15.75" customHeight="1">
      <c r="A219" s="153"/>
      <c r="B219" s="153"/>
      <c r="C219" s="153"/>
      <c r="D219" s="155"/>
      <c r="E219" s="155"/>
      <c r="F219" s="156"/>
      <c r="G219" s="154"/>
    </row>
    <row r="220" ht="15.75" customHeight="1">
      <c r="A220" s="153"/>
      <c r="B220" s="153"/>
      <c r="C220" s="153"/>
      <c r="D220" s="155"/>
      <c r="E220" s="155"/>
      <c r="F220" s="156"/>
      <c r="G220" s="154"/>
    </row>
    <row r="221" ht="15.75" customHeight="1">
      <c r="A221" s="153"/>
      <c r="B221" s="153"/>
      <c r="C221" s="153"/>
      <c r="D221" s="155"/>
      <c r="E221" s="155"/>
      <c r="F221" s="156"/>
      <c r="G221" s="154"/>
    </row>
    <row r="222" ht="15.75" customHeight="1">
      <c r="A222" s="153"/>
      <c r="B222" s="153"/>
      <c r="C222" s="153"/>
      <c r="D222" s="155"/>
      <c r="E222" s="155"/>
      <c r="F222" s="156"/>
      <c r="G222" s="154"/>
    </row>
    <row r="223" ht="15.75" customHeight="1">
      <c r="A223" s="153"/>
      <c r="B223" s="153"/>
      <c r="C223" s="153"/>
      <c r="D223" s="155"/>
      <c r="E223" s="155"/>
      <c r="F223" s="156"/>
      <c r="G223" s="154"/>
    </row>
    <row r="224" ht="15.75" customHeight="1">
      <c r="A224" s="153"/>
      <c r="B224" s="153"/>
      <c r="C224" s="153"/>
      <c r="D224" s="155"/>
      <c r="E224" s="155"/>
      <c r="F224" s="156"/>
      <c r="G224" s="154"/>
    </row>
    <row r="225" ht="15.75" customHeight="1">
      <c r="A225" s="153"/>
      <c r="B225" s="153"/>
      <c r="C225" s="153"/>
      <c r="D225" s="155"/>
      <c r="E225" s="155"/>
      <c r="F225" s="156"/>
      <c r="G225" s="154"/>
    </row>
    <row r="226" ht="15.75" customHeight="1">
      <c r="A226" s="153"/>
      <c r="B226" s="153"/>
      <c r="C226" s="153"/>
      <c r="D226" s="155"/>
      <c r="E226" s="155"/>
      <c r="F226" s="156"/>
      <c r="G226" s="154"/>
    </row>
    <row r="227" ht="15.75" customHeight="1">
      <c r="A227" s="153"/>
      <c r="B227" s="153"/>
      <c r="C227" s="153"/>
      <c r="D227" s="155"/>
      <c r="E227" s="155"/>
      <c r="F227" s="156"/>
      <c r="G227" s="154"/>
    </row>
    <row r="228" ht="15.75" customHeight="1">
      <c r="A228" s="153"/>
      <c r="B228" s="153"/>
      <c r="C228" s="153"/>
      <c r="D228" s="155"/>
      <c r="E228" s="155"/>
      <c r="F228" s="156"/>
      <c r="G228" s="154"/>
    </row>
    <row r="229" ht="15.75" customHeight="1">
      <c r="A229" s="153"/>
      <c r="B229" s="153"/>
      <c r="C229" s="153"/>
      <c r="D229" s="155"/>
      <c r="E229" s="155"/>
      <c r="F229" s="156"/>
      <c r="G229" s="154"/>
    </row>
    <row r="230" ht="15.75" customHeight="1">
      <c r="A230" s="153"/>
      <c r="B230" s="153"/>
      <c r="C230" s="153"/>
      <c r="D230" s="155"/>
      <c r="E230" s="155"/>
      <c r="F230" s="156"/>
      <c r="G230" s="154"/>
    </row>
    <row r="231" ht="15.75" customHeight="1">
      <c r="A231" s="153"/>
      <c r="B231" s="153"/>
      <c r="C231" s="153"/>
      <c r="D231" s="155"/>
      <c r="E231" s="155"/>
      <c r="F231" s="156"/>
      <c r="G231" s="154"/>
    </row>
    <row r="232" ht="15.75" customHeight="1">
      <c r="A232" s="153"/>
      <c r="B232" s="153"/>
      <c r="C232" s="153"/>
      <c r="D232" s="155"/>
      <c r="E232" s="155"/>
      <c r="F232" s="156"/>
      <c r="G232" s="154"/>
    </row>
    <row r="233" ht="15.75" customHeight="1">
      <c r="A233" s="153"/>
      <c r="B233" s="153"/>
      <c r="C233" s="153"/>
      <c r="D233" s="155"/>
      <c r="E233" s="155"/>
      <c r="F233" s="156"/>
      <c r="G233" s="154"/>
    </row>
    <row r="234" ht="15.75" customHeight="1">
      <c r="A234" s="153"/>
      <c r="B234" s="153"/>
      <c r="C234" s="153"/>
      <c r="D234" s="155"/>
      <c r="E234" s="155"/>
      <c r="F234" s="156"/>
      <c r="G234" s="154"/>
    </row>
    <row r="235" ht="15.75" customHeight="1">
      <c r="A235" s="153"/>
      <c r="B235" s="153"/>
      <c r="C235" s="153"/>
      <c r="D235" s="155"/>
      <c r="E235" s="155"/>
      <c r="F235" s="156"/>
      <c r="G235" s="154"/>
    </row>
    <row r="236" ht="15.75" customHeight="1">
      <c r="A236" s="153"/>
      <c r="B236" s="153"/>
      <c r="C236" s="153"/>
      <c r="D236" s="155"/>
      <c r="E236" s="155"/>
      <c r="F236" s="156"/>
      <c r="G236" s="154"/>
    </row>
    <row r="237" ht="15.75" customHeight="1">
      <c r="A237" s="153"/>
      <c r="B237" s="153"/>
      <c r="C237" s="153"/>
      <c r="D237" s="155"/>
      <c r="E237" s="155"/>
      <c r="F237" s="156"/>
      <c r="G237" s="154"/>
    </row>
    <row r="238" ht="15.75" customHeight="1">
      <c r="A238" s="153"/>
      <c r="B238" s="153"/>
      <c r="C238" s="153"/>
      <c r="D238" s="155"/>
      <c r="E238" s="155"/>
      <c r="F238" s="156"/>
      <c r="G238" s="154"/>
    </row>
    <row r="239" ht="15.75" customHeight="1">
      <c r="A239" s="153"/>
      <c r="B239" s="153"/>
      <c r="C239" s="153"/>
      <c r="D239" s="155"/>
      <c r="E239" s="155"/>
      <c r="F239" s="156"/>
      <c r="G239" s="154"/>
    </row>
    <row r="240" ht="15.75" customHeight="1">
      <c r="A240" s="153"/>
      <c r="B240" s="153"/>
      <c r="C240" s="153"/>
      <c r="D240" s="155"/>
      <c r="E240" s="155"/>
      <c r="F240" s="156"/>
      <c r="G240" s="154"/>
    </row>
    <row r="241" ht="15.75" customHeight="1">
      <c r="A241" s="153"/>
      <c r="B241" s="153"/>
      <c r="C241" s="153"/>
      <c r="D241" s="155"/>
      <c r="E241" s="155"/>
      <c r="F241" s="156"/>
      <c r="G241" s="154"/>
    </row>
    <row r="242" ht="15.75" customHeight="1">
      <c r="A242" s="153"/>
      <c r="B242" s="153"/>
      <c r="C242" s="153"/>
      <c r="D242" s="155"/>
      <c r="E242" s="155"/>
      <c r="F242" s="156"/>
      <c r="G242" s="154"/>
    </row>
    <row r="243" ht="15.75" customHeight="1">
      <c r="A243" s="153"/>
      <c r="B243" s="153"/>
      <c r="C243" s="153"/>
      <c r="D243" s="155"/>
      <c r="E243" s="155"/>
      <c r="F243" s="156"/>
      <c r="G243" s="154"/>
    </row>
    <row r="244" ht="15.75" customHeight="1">
      <c r="A244" s="153"/>
      <c r="B244" s="153"/>
      <c r="C244" s="153"/>
      <c r="D244" s="155"/>
      <c r="E244" s="155"/>
      <c r="F244" s="156"/>
      <c r="G244" s="154"/>
    </row>
    <row r="245" ht="15.75" customHeight="1">
      <c r="A245" s="153"/>
      <c r="B245" s="153"/>
      <c r="C245" s="153"/>
      <c r="D245" s="155"/>
      <c r="E245" s="155"/>
      <c r="F245" s="156"/>
      <c r="G245" s="154"/>
    </row>
    <row r="246" ht="15.75" customHeight="1">
      <c r="A246" s="153"/>
      <c r="B246" s="153"/>
      <c r="C246" s="153"/>
      <c r="D246" s="155"/>
      <c r="E246" s="155"/>
      <c r="F246" s="156"/>
      <c r="G246" s="154"/>
    </row>
    <row r="247" ht="15.75" customHeight="1">
      <c r="A247" s="153"/>
      <c r="B247" s="153"/>
      <c r="C247" s="153"/>
      <c r="D247" s="155"/>
      <c r="E247" s="155"/>
      <c r="F247" s="156"/>
      <c r="G247" s="154"/>
    </row>
    <row r="248" ht="15.75" customHeight="1">
      <c r="A248" s="153"/>
      <c r="B248" s="153"/>
      <c r="C248" s="153"/>
      <c r="D248" s="155"/>
      <c r="E248" s="155"/>
      <c r="F248" s="156"/>
      <c r="G248" s="154"/>
    </row>
    <row r="249" ht="15.75" customHeight="1">
      <c r="A249" s="153"/>
      <c r="B249" s="153"/>
      <c r="C249" s="153"/>
      <c r="D249" s="155"/>
      <c r="E249" s="155"/>
      <c r="F249" s="156"/>
      <c r="G249" s="154"/>
    </row>
    <row r="250" ht="15.75" customHeight="1">
      <c r="A250" s="153"/>
      <c r="B250" s="153"/>
      <c r="C250" s="153"/>
      <c r="D250" s="155"/>
      <c r="E250" s="155"/>
      <c r="F250" s="156"/>
      <c r="G250" s="154"/>
    </row>
    <row r="251" ht="15.75" customHeight="1">
      <c r="A251" s="153"/>
      <c r="B251" s="153"/>
      <c r="C251" s="153"/>
      <c r="D251" s="155"/>
      <c r="E251" s="155"/>
      <c r="F251" s="156"/>
      <c r="G251" s="154"/>
    </row>
    <row r="252" ht="15.75" customHeight="1">
      <c r="A252" s="153"/>
      <c r="B252" s="153"/>
      <c r="C252" s="153"/>
      <c r="D252" s="155"/>
      <c r="E252" s="155"/>
      <c r="F252" s="156"/>
      <c r="G252" s="154"/>
    </row>
    <row r="253" ht="15.75" customHeight="1">
      <c r="A253" s="153"/>
      <c r="B253" s="153"/>
      <c r="C253" s="153"/>
      <c r="D253" s="155"/>
      <c r="E253" s="155"/>
      <c r="F253" s="156"/>
      <c r="G253" s="154"/>
    </row>
    <row r="254" ht="15.75" customHeight="1">
      <c r="A254" s="153"/>
      <c r="B254" s="153"/>
      <c r="C254" s="153"/>
      <c r="D254" s="155"/>
      <c r="E254" s="155"/>
      <c r="F254" s="156"/>
      <c r="G254" s="154"/>
    </row>
    <row r="255" ht="15.75" customHeight="1">
      <c r="A255" s="153"/>
      <c r="B255" s="153"/>
      <c r="C255" s="153"/>
      <c r="D255" s="155"/>
      <c r="E255" s="155"/>
      <c r="F255" s="156"/>
      <c r="G255" s="154"/>
    </row>
    <row r="256" ht="15.75" customHeight="1">
      <c r="A256" s="153"/>
      <c r="B256" s="153"/>
      <c r="C256" s="153"/>
      <c r="D256" s="155"/>
      <c r="E256" s="155"/>
      <c r="F256" s="156"/>
      <c r="G256" s="154"/>
    </row>
    <row r="257" ht="15.75" customHeight="1">
      <c r="A257" s="153"/>
      <c r="B257" s="153"/>
      <c r="C257" s="153"/>
      <c r="D257" s="155"/>
      <c r="E257" s="155"/>
      <c r="F257" s="156"/>
      <c r="G257" s="154"/>
    </row>
    <row r="258" ht="15.75" customHeight="1">
      <c r="A258" s="153"/>
      <c r="B258" s="153"/>
      <c r="C258" s="153"/>
      <c r="D258" s="155"/>
      <c r="E258" s="155"/>
      <c r="F258" s="156"/>
      <c r="G258" s="154"/>
    </row>
    <row r="259" ht="15.75" customHeight="1">
      <c r="A259" s="153"/>
      <c r="B259" s="153"/>
      <c r="C259" s="153"/>
      <c r="D259" s="155"/>
      <c r="E259" s="155"/>
      <c r="F259" s="156"/>
      <c r="G259" s="154"/>
    </row>
    <row r="260" ht="15.75" customHeight="1">
      <c r="A260" s="153"/>
      <c r="B260" s="153"/>
      <c r="C260" s="153"/>
      <c r="D260" s="155"/>
      <c r="E260" s="155"/>
      <c r="F260" s="156"/>
      <c r="G260" s="154"/>
    </row>
    <row r="261" ht="15.75" customHeight="1">
      <c r="A261" s="153"/>
      <c r="B261" s="153"/>
      <c r="C261" s="153"/>
      <c r="D261" s="155"/>
      <c r="E261" s="155"/>
      <c r="F261" s="156"/>
      <c r="G261" s="154"/>
    </row>
    <row r="262" ht="15.75" customHeight="1">
      <c r="A262" s="153"/>
      <c r="B262" s="153"/>
      <c r="C262" s="153"/>
      <c r="D262" s="155"/>
      <c r="E262" s="155"/>
      <c r="F262" s="156"/>
      <c r="G262" s="154"/>
    </row>
    <row r="263" ht="15.75" customHeight="1">
      <c r="A263" s="153"/>
      <c r="B263" s="153"/>
      <c r="C263" s="153"/>
      <c r="D263" s="155"/>
      <c r="E263" s="155"/>
      <c r="F263" s="156"/>
      <c r="G263" s="154"/>
    </row>
    <row r="264" ht="15.75" customHeight="1">
      <c r="A264" s="153"/>
      <c r="B264" s="153"/>
      <c r="C264" s="153"/>
      <c r="D264" s="155"/>
      <c r="E264" s="155"/>
      <c r="F264" s="156"/>
      <c r="G264" s="154"/>
    </row>
    <row r="265" ht="15.75" customHeight="1">
      <c r="A265" s="153"/>
      <c r="B265" s="153"/>
      <c r="C265" s="153"/>
      <c r="D265" s="155"/>
      <c r="E265" s="155"/>
      <c r="F265" s="156"/>
      <c r="G265" s="154"/>
    </row>
    <row r="266" ht="15.75" customHeight="1">
      <c r="A266" s="153"/>
      <c r="B266" s="153"/>
      <c r="C266" s="153"/>
      <c r="D266" s="155"/>
      <c r="E266" s="155"/>
      <c r="F266" s="156"/>
      <c r="G266" s="154"/>
    </row>
    <row r="267" ht="15.75" customHeight="1">
      <c r="A267" s="153"/>
      <c r="B267" s="153"/>
      <c r="C267" s="153"/>
      <c r="D267" s="155"/>
      <c r="E267" s="155"/>
      <c r="F267" s="156"/>
      <c r="G267" s="154"/>
    </row>
    <row r="268" ht="15.75" customHeight="1">
      <c r="A268" s="153"/>
      <c r="B268" s="153"/>
      <c r="C268" s="153"/>
      <c r="D268" s="155"/>
      <c r="E268" s="155"/>
      <c r="F268" s="156"/>
      <c r="G268" s="154"/>
    </row>
    <row r="269" ht="15.75" customHeight="1">
      <c r="A269" s="153"/>
      <c r="B269" s="153"/>
      <c r="C269" s="153"/>
      <c r="D269" s="155"/>
      <c r="E269" s="155"/>
      <c r="F269" s="156"/>
      <c r="G269" s="154"/>
    </row>
    <row r="270" ht="15.75" customHeight="1">
      <c r="A270" s="153"/>
      <c r="B270" s="153"/>
      <c r="C270" s="153"/>
      <c r="D270" s="155"/>
      <c r="E270" s="155"/>
      <c r="F270" s="156"/>
      <c r="G270" s="154"/>
    </row>
    <row r="271" ht="15.75" customHeight="1">
      <c r="A271" s="153"/>
      <c r="B271" s="153"/>
      <c r="C271" s="153"/>
      <c r="D271" s="155"/>
      <c r="E271" s="155"/>
      <c r="F271" s="156"/>
      <c r="G271" s="154"/>
    </row>
    <row r="272" ht="15.75" customHeight="1">
      <c r="A272" s="153"/>
      <c r="B272" s="153"/>
      <c r="C272" s="153"/>
      <c r="D272" s="155"/>
      <c r="E272" s="155"/>
      <c r="F272" s="156"/>
      <c r="G272" s="154"/>
    </row>
    <row r="273" ht="15.75" customHeight="1">
      <c r="A273" s="153"/>
      <c r="B273" s="153"/>
      <c r="C273" s="153"/>
      <c r="D273" s="155"/>
      <c r="E273" s="155"/>
      <c r="F273" s="156"/>
      <c r="G273" s="154"/>
    </row>
    <row r="274" ht="15.75" customHeight="1">
      <c r="A274" s="153"/>
      <c r="B274" s="153"/>
      <c r="C274" s="153"/>
      <c r="D274" s="155"/>
      <c r="E274" s="155"/>
      <c r="F274" s="156"/>
      <c r="G274" s="154"/>
    </row>
    <row r="275" ht="15.75" customHeight="1">
      <c r="A275" s="153"/>
      <c r="B275" s="153"/>
      <c r="C275" s="153"/>
      <c r="D275" s="155"/>
      <c r="E275" s="155"/>
      <c r="F275" s="156"/>
      <c r="G275" s="154"/>
    </row>
    <row r="276" ht="15.75" customHeight="1">
      <c r="A276" s="153"/>
      <c r="B276" s="153"/>
      <c r="C276" s="153"/>
      <c r="D276" s="155"/>
      <c r="E276" s="155"/>
      <c r="F276" s="156"/>
      <c r="G276" s="154"/>
    </row>
    <row r="277" ht="15.75" customHeight="1">
      <c r="A277" s="153"/>
      <c r="B277" s="153"/>
      <c r="C277" s="153"/>
      <c r="D277" s="155"/>
      <c r="E277" s="155"/>
      <c r="F277" s="156"/>
      <c r="G277" s="154"/>
    </row>
    <row r="278" ht="15.75" customHeight="1">
      <c r="A278" s="153"/>
      <c r="B278" s="153"/>
      <c r="C278" s="153"/>
      <c r="D278" s="155"/>
      <c r="E278" s="155"/>
      <c r="F278" s="156"/>
      <c r="G278" s="154"/>
    </row>
    <row r="279" ht="15.75" customHeight="1">
      <c r="A279" s="153"/>
      <c r="B279" s="153"/>
      <c r="C279" s="153"/>
      <c r="D279" s="155"/>
      <c r="E279" s="155"/>
      <c r="F279" s="156"/>
      <c r="G279" s="154"/>
    </row>
    <row r="280" ht="15.75" customHeight="1">
      <c r="A280" s="153"/>
      <c r="B280" s="153"/>
      <c r="C280" s="153"/>
      <c r="D280" s="155"/>
      <c r="E280" s="155"/>
      <c r="F280" s="156"/>
      <c r="G280" s="154"/>
    </row>
    <row r="281" ht="15.75" customHeight="1">
      <c r="A281" s="153"/>
      <c r="B281" s="153"/>
      <c r="C281" s="153"/>
      <c r="D281" s="155"/>
      <c r="E281" s="155"/>
      <c r="F281" s="156"/>
      <c r="G281" s="154"/>
    </row>
    <row r="282" ht="15.75" customHeight="1">
      <c r="A282" s="153"/>
      <c r="B282" s="153"/>
      <c r="C282" s="153"/>
      <c r="D282" s="155"/>
      <c r="E282" s="155"/>
      <c r="F282" s="156"/>
      <c r="G282" s="154"/>
    </row>
    <row r="283" ht="15.75" customHeight="1">
      <c r="A283" s="153"/>
      <c r="B283" s="153"/>
      <c r="C283" s="153"/>
      <c r="D283" s="155"/>
      <c r="E283" s="155"/>
      <c r="F283" s="156"/>
      <c r="G283" s="154"/>
    </row>
    <row r="284" ht="15.75" customHeight="1">
      <c r="A284" s="153"/>
      <c r="B284" s="153"/>
      <c r="C284" s="153"/>
      <c r="D284" s="155"/>
      <c r="E284" s="155"/>
      <c r="F284" s="156"/>
      <c r="G284" s="154"/>
    </row>
    <row r="285" ht="15.75" customHeight="1">
      <c r="A285" s="153"/>
      <c r="B285" s="153"/>
      <c r="C285" s="153"/>
      <c r="D285" s="155"/>
      <c r="E285" s="155"/>
      <c r="F285" s="156"/>
      <c r="G285" s="154"/>
    </row>
    <row r="286" ht="15.75" customHeight="1">
      <c r="A286" s="153"/>
      <c r="B286" s="153"/>
      <c r="C286" s="153"/>
      <c r="D286" s="155"/>
      <c r="E286" s="155"/>
      <c r="F286" s="156"/>
      <c r="G286" s="154"/>
    </row>
    <row r="287" ht="15.75" customHeight="1">
      <c r="A287" s="153"/>
      <c r="B287" s="153"/>
      <c r="C287" s="153"/>
      <c r="D287" s="155"/>
      <c r="E287" s="155"/>
      <c r="F287" s="156"/>
      <c r="G287" s="154"/>
    </row>
    <row r="288" ht="15.75" customHeight="1">
      <c r="A288" s="153"/>
      <c r="B288" s="153"/>
      <c r="C288" s="153"/>
      <c r="D288" s="155"/>
      <c r="E288" s="155"/>
      <c r="F288" s="156"/>
      <c r="G288" s="154"/>
    </row>
    <row r="289" ht="15.75" customHeight="1">
      <c r="A289" s="153"/>
      <c r="B289" s="153"/>
      <c r="C289" s="153"/>
      <c r="D289" s="155"/>
      <c r="E289" s="155"/>
      <c r="F289" s="156"/>
      <c r="G289" s="154"/>
    </row>
    <row r="290" ht="15.75" customHeight="1">
      <c r="A290" s="153"/>
      <c r="B290" s="153"/>
      <c r="C290" s="153"/>
      <c r="D290" s="155"/>
      <c r="E290" s="155"/>
      <c r="F290" s="156"/>
      <c r="G290" s="154"/>
    </row>
    <row r="291" ht="15.75" customHeight="1">
      <c r="A291" s="153"/>
      <c r="B291" s="153"/>
      <c r="C291" s="153"/>
      <c r="D291" s="155"/>
      <c r="E291" s="155"/>
      <c r="F291" s="156"/>
      <c r="G291" s="154"/>
    </row>
    <row r="292" ht="15.75" customHeight="1">
      <c r="A292" s="153"/>
      <c r="B292" s="153"/>
      <c r="C292" s="153"/>
      <c r="D292" s="155"/>
      <c r="E292" s="155"/>
      <c r="F292" s="156"/>
      <c r="G292" s="154"/>
    </row>
    <row r="293" ht="15.75" customHeight="1">
      <c r="A293" s="153"/>
      <c r="B293" s="153"/>
      <c r="C293" s="153"/>
      <c r="D293" s="155"/>
      <c r="E293" s="155"/>
      <c r="F293" s="156"/>
      <c r="G293" s="154"/>
    </row>
    <row r="294" ht="15.75" customHeight="1">
      <c r="A294" s="153"/>
      <c r="B294" s="153"/>
      <c r="C294" s="153"/>
      <c r="D294" s="155"/>
      <c r="E294" s="155"/>
      <c r="F294" s="156"/>
      <c r="G294" s="154"/>
    </row>
    <row r="295" ht="15.75" customHeight="1">
      <c r="A295" s="153"/>
      <c r="B295" s="153"/>
      <c r="C295" s="153"/>
      <c r="D295" s="155"/>
      <c r="E295" s="155"/>
      <c r="F295" s="156"/>
      <c r="G295" s="154"/>
    </row>
    <row r="296" ht="15.75" customHeight="1">
      <c r="A296" s="153"/>
      <c r="B296" s="153"/>
      <c r="C296" s="153"/>
      <c r="D296" s="155"/>
      <c r="E296" s="155"/>
      <c r="F296" s="156"/>
      <c r="G296" s="154"/>
    </row>
    <row r="297" ht="15.75" customHeight="1">
      <c r="A297" s="153"/>
      <c r="B297" s="153"/>
      <c r="C297" s="153"/>
      <c r="D297" s="155"/>
      <c r="E297" s="155"/>
      <c r="F297" s="156"/>
      <c r="G297" s="154"/>
    </row>
    <row r="298" ht="15.75" customHeight="1">
      <c r="A298" s="153"/>
      <c r="B298" s="153"/>
      <c r="C298" s="153"/>
      <c r="D298" s="155"/>
      <c r="E298" s="155"/>
      <c r="F298" s="156"/>
      <c r="G298" s="154"/>
    </row>
    <row r="299" ht="15.75" customHeight="1">
      <c r="A299" s="153"/>
      <c r="B299" s="153"/>
      <c r="C299" s="153"/>
      <c r="D299" s="155"/>
      <c r="E299" s="155"/>
      <c r="F299" s="156"/>
      <c r="G299" s="154"/>
    </row>
    <row r="300" ht="15.75" customHeight="1">
      <c r="A300" s="153"/>
      <c r="B300" s="153"/>
      <c r="C300" s="153"/>
      <c r="D300" s="155"/>
      <c r="E300" s="155"/>
      <c r="F300" s="156"/>
      <c r="G300" s="154"/>
    </row>
    <row r="301" ht="15.75" customHeight="1">
      <c r="A301" s="153"/>
      <c r="B301" s="153"/>
      <c r="C301" s="153"/>
      <c r="D301" s="155"/>
      <c r="E301" s="155"/>
      <c r="F301" s="156"/>
      <c r="G301" s="154"/>
    </row>
    <row r="302" ht="15.75" customHeight="1">
      <c r="A302" s="153"/>
      <c r="B302" s="153"/>
      <c r="C302" s="153"/>
      <c r="D302" s="155"/>
      <c r="E302" s="155"/>
      <c r="F302" s="156"/>
      <c r="G302" s="154"/>
    </row>
    <row r="303" ht="15.75" customHeight="1">
      <c r="A303" s="153"/>
      <c r="B303" s="153"/>
      <c r="C303" s="153"/>
      <c r="D303" s="155"/>
      <c r="E303" s="155"/>
      <c r="F303" s="156"/>
      <c r="G303" s="154"/>
    </row>
    <row r="304" ht="15.75" customHeight="1">
      <c r="A304" s="153"/>
      <c r="B304" s="153"/>
      <c r="C304" s="153"/>
      <c r="D304" s="155"/>
      <c r="E304" s="155"/>
      <c r="F304" s="156"/>
      <c r="G304" s="154"/>
    </row>
    <row r="305" ht="15.75" customHeight="1">
      <c r="A305" s="153"/>
      <c r="B305" s="153"/>
      <c r="C305" s="153"/>
      <c r="D305" s="155"/>
      <c r="E305" s="155"/>
      <c r="F305" s="156"/>
      <c r="G305" s="154"/>
    </row>
    <row r="306" ht="15.75" customHeight="1">
      <c r="A306" s="153"/>
      <c r="B306" s="153"/>
      <c r="C306" s="153"/>
      <c r="D306" s="155"/>
      <c r="E306" s="155"/>
      <c r="F306" s="156"/>
      <c r="G306" s="154"/>
    </row>
    <row r="307" ht="15.75" customHeight="1">
      <c r="A307" s="153"/>
      <c r="B307" s="153"/>
      <c r="C307" s="153"/>
      <c r="D307" s="155"/>
      <c r="E307" s="155"/>
      <c r="F307" s="156"/>
      <c r="G307" s="154"/>
    </row>
    <row r="308" ht="15.75" customHeight="1">
      <c r="A308" s="153"/>
      <c r="B308" s="153"/>
      <c r="C308" s="153"/>
      <c r="D308" s="155"/>
      <c r="E308" s="155"/>
      <c r="F308" s="156"/>
      <c r="G308" s="154"/>
    </row>
    <row r="309" ht="15.75" customHeight="1">
      <c r="A309" s="153"/>
      <c r="B309" s="153"/>
      <c r="C309" s="153"/>
      <c r="D309" s="155"/>
      <c r="E309" s="155"/>
      <c r="F309" s="156"/>
      <c r="G309" s="154"/>
    </row>
    <row r="310" ht="15.75" customHeight="1">
      <c r="A310" s="153"/>
      <c r="B310" s="153"/>
      <c r="C310" s="153"/>
      <c r="D310" s="155"/>
      <c r="E310" s="155"/>
      <c r="F310" s="156"/>
      <c r="G310" s="154"/>
    </row>
    <row r="311" ht="15.75" customHeight="1">
      <c r="A311" s="153"/>
      <c r="B311" s="153"/>
      <c r="C311" s="153"/>
      <c r="D311" s="155"/>
      <c r="E311" s="155"/>
      <c r="F311" s="156"/>
      <c r="G311" s="154"/>
    </row>
    <row r="312" ht="15.75" customHeight="1">
      <c r="A312" s="153"/>
      <c r="B312" s="153"/>
      <c r="C312" s="153"/>
      <c r="D312" s="155"/>
      <c r="E312" s="155"/>
      <c r="F312" s="156"/>
      <c r="G312" s="154"/>
    </row>
    <row r="313" ht="15.75" customHeight="1">
      <c r="A313" s="153"/>
      <c r="B313" s="153"/>
      <c r="C313" s="153"/>
      <c r="D313" s="155"/>
      <c r="E313" s="155"/>
      <c r="F313" s="156"/>
      <c r="G313" s="154"/>
    </row>
    <row r="314" ht="15.75" customHeight="1">
      <c r="A314" s="153"/>
      <c r="B314" s="153"/>
      <c r="C314" s="153"/>
      <c r="D314" s="155"/>
      <c r="E314" s="155"/>
      <c r="F314" s="156"/>
      <c r="G314" s="154"/>
    </row>
    <row r="315" ht="15.75" customHeight="1">
      <c r="A315" s="153"/>
      <c r="B315" s="153"/>
      <c r="C315" s="153"/>
      <c r="D315" s="155"/>
      <c r="E315" s="155"/>
      <c r="F315" s="156"/>
      <c r="G315" s="154"/>
    </row>
    <row r="316" ht="15.75" customHeight="1">
      <c r="A316" s="153"/>
      <c r="B316" s="153"/>
      <c r="C316" s="153"/>
      <c r="D316" s="155"/>
      <c r="E316" s="155"/>
      <c r="F316" s="156"/>
      <c r="G316" s="154"/>
    </row>
    <row r="317" ht="15.75" customHeight="1">
      <c r="A317" s="153"/>
      <c r="B317" s="153"/>
      <c r="C317" s="153"/>
      <c r="D317" s="155"/>
      <c r="E317" s="155"/>
      <c r="F317" s="156"/>
      <c r="G317" s="154"/>
    </row>
    <row r="318" ht="15.75" customHeight="1">
      <c r="A318" s="153"/>
      <c r="B318" s="153"/>
      <c r="C318" s="153"/>
      <c r="D318" s="155"/>
      <c r="E318" s="155"/>
      <c r="F318" s="156"/>
      <c r="G318" s="154"/>
    </row>
    <row r="319" ht="15.75" customHeight="1">
      <c r="A319" s="153"/>
      <c r="B319" s="153"/>
      <c r="C319" s="153"/>
      <c r="D319" s="155"/>
      <c r="E319" s="155"/>
      <c r="F319" s="156"/>
      <c r="G319" s="154"/>
    </row>
    <row r="320" ht="15.75" customHeight="1">
      <c r="A320" s="153"/>
      <c r="B320" s="153"/>
      <c r="C320" s="153"/>
      <c r="D320" s="155"/>
      <c r="E320" s="155"/>
      <c r="F320" s="156"/>
      <c r="G320" s="154"/>
    </row>
    <row r="321" ht="15.75" customHeight="1">
      <c r="A321" s="153"/>
      <c r="B321" s="153"/>
      <c r="C321" s="153"/>
      <c r="D321" s="155"/>
      <c r="E321" s="155"/>
      <c r="F321" s="156"/>
      <c r="G321" s="154"/>
    </row>
    <row r="322" ht="15.75" customHeight="1">
      <c r="A322" s="153"/>
      <c r="B322" s="153"/>
      <c r="C322" s="153"/>
      <c r="D322" s="155"/>
      <c r="E322" s="155"/>
      <c r="F322" s="156"/>
      <c r="G322" s="154"/>
    </row>
    <row r="323" ht="15.75" customHeight="1">
      <c r="A323" s="153"/>
      <c r="B323" s="153"/>
      <c r="C323" s="153"/>
      <c r="D323" s="155"/>
      <c r="E323" s="155"/>
      <c r="F323" s="156"/>
      <c r="G323" s="154"/>
    </row>
    <row r="324" ht="15.75" customHeight="1">
      <c r="A324" s="153"/>
      <c r="B324" s="153"/>
      <c r="C324" s="153"/>
      <c r="D324" s="155"/>
      <c r="E324" s="155"/>
      <c r="F324" s="156"/>
      <c r="G324" s="154"/>
    </row>
    <row r="325" ht="15.75" customHeight="1">
      <c r="A325" s="153"/>
      <c r="B325" s="153"/>
      <c r="C325" s="153"/>
      <c r="D325" s="155"/>
      <c r="E325" s="155"/>
      <c r="F325" s="156"/>
      <c r="G325" s="154"/>
    </row>
    <row r="326" ht="15.75" customHeight="1">
      <c r="A326" s="153"/>
      <c r="B326" s="153"/>
      <c r="C326" s="153"/>
      <c r="D326" s="155"/>
      <c r="E326" s="155"/>
      <c r="F326" s="156"/>
      <c r="G326" s="154"/>
    </row>
    <row r="327" ht="15.75" customHeight="1">
      <c r="A327" s="153"/>
      <c r="B327" s="153"/>
      <c r="C327" s="153"/>
      <c r="D327" s="155"/>
      <c r="E327" s="155"/>
      <c r="F327" s="156"/>
      <c r="G327" s="154"/>
    </row>
    <row r="328" ht="15.75" customHeight="1">
      <c r="A328" s="153"/>
      <c r="B328" s="153"/>
      <c r="C328" s="153"/>
      <c r="D328" s="155"/>
      <c r="E328" s="155"/>
      <c r="F328" s="156"/>
      <c r="G328" s="154"/>
    </row>
    <row r="329" ht="15.75" customHeight="1">
      <c r="A329" s="153"/>
      <c r="B329" s="153"/>
      <c r="C329" s="153"/>
      <c r="D329" s="155"/>
      <c r="E329" s="155"/>
      <c r="F329" s="156"/>
      <c r="G329" s="154"/>
    </row>
    <row r="330" ht="15.75" customHeight="1">
      <c r="A330" s="153"/>
      <c r="B330" s="153"/>
      <c r="C330" s="153"/>
      <c r="D330" s="155"/>
      <c r="E330" s="155"/>
      <c r="F330" s="156"/>
      <c r="G330" s="154"/>
    </row>
    <row r="331" ht="15.75" customHeight="1">
      <c r="A331" s="153"/>
      <c r="B331" s="153"/>
      <c r="C331" s="153"/>
      <c r="D331" s="155"/>
      <c r="E331" s="155"/>
      <c r="F331" s="156"/>
      <c r="G331" s="154"/>
    </row>
    <row r="332" ht="15.75" customHeight="1">
      <c r="A332" s="153"/>
      <c r="B332" s="153"/>
      <c r="C332" s="153"/>
      <c r="D332" s="155"/>
      <c r="E332" s="155"/>
      <c r="F332" s="156"/>
      <c r="G332" s="154"/>
    </row>
    <row r="333" ht="15.75" customHeight="1">
      <c r="A333" s="153"/>
      <c r="B333" s="153"/>
      <c r="C333" s="153"/>
      <c r="D333" s="155"/>
      <c r="E333" s="155"/>
      <c r="F333" s="156"/>
      <c r="G333" s="154"/>
    </row>
    <row r="334" ht="15.75" customHeight="1">
      <c r="A334" s="153"/>
      <c r="B334" s="153"/>
      <c r="C334" s="153"/>
      <c r="D334" s="155"/>
      <c r="E334" s="155"/>
      <c r="F334" s="156"/>
      <c r="G334" s="154"/>
    </row>
    <row r="335" ht="15.75" customHeight="1">
      <c r="A335" s="153"/>
      <c r="B335" s="153"/>
      <c r="C335" s="153"/>
      <c r="D335" s="155"/>
      <c r="E335" s="155"/>
      <c r="F335" s="156"/>
      <c r="G335" s="154"/>
    </row>
    <row r="336" ht="15.75" customHeight="1">
      <c r="A336" s="153"/>
      <c r="B336" s="153"/>
      <c r="C336" s="153"/>
      <c r="D336" s="155"/>
      <c r="E336" s="155"/>
      <c r="F336" s="156"/>
      <c r="G336" s="154"/>
    </row>
    <row r="337" ht="15.75" customHeight="1">
      <c r="A337" s="153"/>
      <c r="B337" s="153"/>
      <c r="C337" s="153"/>
      <c r="D337" s="155"/>
      <c r="E337" s="155"/>
      <c r="F337" s="156"/>
      <c r="G337" s="154"/>
    </row>
    <row r="338" ht="15.75" customHeight="1">
      <c r="A338" s="153"/>
      <c r="B338" s="153"/>
      <c r="C338" s="153"/>
      <c r="D338" s="155"/>
      <c r="E338" s="155"/>
      <c r="F338" s="156"/>
      <c r="G338" s="154"/>
    </row>
    <row r="339" ht="15.75" customHeight="1">
      <c r="A339" s="153"/>
      <c r="B339" s="153"/>
      <c r="C339" s="153"/>
      <c r="D339" s="155"/>
      <c r="E339" s="155"/>
      <c r="F339" s="156"/>
      <c r="G339" s="154"/>
    </row>
    <row r="340" ht="15.75" customHeight="1">
      <c r="A340" s="153"/>
      <c r="B340" s="153"/>
      <c r="C340" s="153"/>
      <c r="D340" s="155"/>
      <c r="E340" s="155"/>
      <c r="F340" s="156"/>
      <c r="G340" s="154"/>
    </row>
    <row r="341" ht="15.75" customHeight="1">
      <c r="A341" s="153"/>
      <c r="B341" s="153"/>
      <c r="C341" s="153"/>
      <c r="D341" s="155"/>
      <c r="E341" s="155"/>
      <c r="F341" s="156"/>
      <c r="G341" s="154"/>
    </row>
    <row r="342" ht="15.75" customHeight="1">
      <c r="A342" s="153"/>
      <c r="B342" s="153"/>
      <c r="C342" s="153"/>
      <c r="D342" s="155"/>
      <c r="E342" s="155"/>
      <c r="F342" s="156"/>
      <c r="G342" s="154"/>
    </row>
    <row r="343" ht="15.75" customHeight="1">
      <c r="A343" s="153"/>
      <c r="B343" s="153"/>
      <c r="C343" s="153"/>
      <c r="D343" s="155"/>
      <c r="E343" s="155"/>
      <c r="F343" s="156"/>
      <c r="G343" s="154"/>
    </row>
    <row r="344" ht="15.75" customHeight="1">
      <c r="A344" s="153"/>
      <c r="B344" s="153"/>
      <c r="C344" s="153"/>
      <c r="D344" s="155"/>
      <c r="E344" s="155"/>
      <c r="F344" s="156"/>
      <c r="G344" s="154"/>
    </row>
    <row r="345" ht="15.75" customHeight="1">
      <c r="A345" s="153"/>
      <c r="B345" s="153"/>
      <c r="C345" s="153"/>
      <c r="D345" s="155"/>
      <c r="E345" s="155"/>
      <c r="F345" s="156"/>
      <c r="G345" s="154"/>
    </row>
    <row r="346" ht="15.75" customHeight="1">
      <c r="A346" s="153"/>
      <c r="B346" s="153"/>
      <c r="C346" s="153"/>
      <c r="D346" s="155"/>
      <c r="E346" s="155"/>
      <c r="F346" s="156"/>
      <c r="G346" s="154"/>
    </row>
    <row r="347" ht="15.75" customHeight="1">
      <c r="A347" s="153"/>
      <c r="B347" s="153"/>
      <c r="C347" s="153"/>
      <c r="D347" s="155"/>
      <c r="E347" s="155"/>
      <c r="F347" s="156"/>
      <c r="G347" s="154"/>
    </row>
    <row r="348" ht="15.75" customHeight="1">
      <c r="A348" s="153"/>
      <c r="B348" s="153"/>
      <c r="C348" s="153"/>
      <c r="D348" s="155"/>
      <c r="E348" s="155"/>
      <c r="F348" s="156"/>
      <c r="G348" s="154"/>
    </row>
    <row r="349" ht="15.75" customHeight="1">
      <c r="A349" s="153"/>
      <c r="B349" s="153"/>
      <c r="C349" s="153"/>
      <c r="D349" s="155"/>
      <c r="E349" s="155"/>
      <c r="F349" s="156"/>
      <c r="G349" s="154"/>
    </row>
    <row r="350" ht="15.75" customHeight="1">
      <c r="A350" s="153"/>
      <c r="B350" s="153"/>
      <c r="C350" s="153"/>
      <c r="D350" s="155"/>
      <c r="E350" s="155"/>
      <c r="F350" s="156"/>
      <c r="G350" s="154"/>
    </row>
    <row r="351" ht="15.75" customHeight="1">
      <c r="A351" s="153"/>
      <c r="B351" s="153"/>
      <c r="C351" s="153"/>
      <c r="D351" s="155"/>
      <c r="E351" s="155"/>
      <c r="F351" s="156"/>
      <c r="G351" s="154"/>
    </row>
    <row r="352" ht="15.75" customHeight="1">
      <c r="A352" s="153"/>
      <c r="B352" s="153"/>
      <c r="C352" s="153"/>
      <c r="D352" s="155"/>
      <c r="E352" s="155"/>
      <c r="F352" s="156"/>
      <c r="G352" s="154"/>
    </row>
    <row r="353" ht="15.75" customHeight="1">
      <c r="A353" s="153"/>
      <c r="B353" s="153"/>
      <c r="C353" s="153"/>
      <c r="D353" s="155"/>
      <c r="E353" s="155"/>
      <c r="F353" s="156"/>
      <c r="G353" s="154"/>
    </row>
    <row r="354" ht="15.75" customHeight="1">
      <c r="A354" s="153"/>
      <c r="B354" s="153"/>
      <c r="C354" s="153"/>
      <c r="D354" s="155"/>
      <c r="E354" s="155"/>
      <c r="F354" s="156"/>
      <c r="G354" s="154"/>
    </row>
    <row r="355" ht="15.75" customHeight="1">
      <c r="A355" s="153"/>
      <c r="B355" s="153"/>
      <c r="C355" s="153"/>
      <c r="D355" s="155"/>
      <c r="E355" s="155"/>
      <c r="F355" s="156"/>
      <c r="G355" s="154"/>
    </row>
    <row r="356" ht="15.75" customHeight="1">
      <c r="A356" s="153"/>
      <c r="B356" s="153"/>
      <c r="C356" s="153"/>
      <c r="D356" s="155"/>
      <c r="E356" s="155"/>
      <c r="F356" s="156"/>
      <c r="G356" s="154"/>
    </row>
    <row r="357" ht="15.75" customHeight="1">
      <c r="A357" s="153"/>
      <c r="B357" s="153"/>
      <c r="C357" s="153"/>
      <c r="D357" s="155"/>
      <c r="E357" s="155"/>
      <c r="F357" s="156"/>
      <c r="G357" s="154"/>
    </row>
    <row r="358" ht="15.75" customHeight="1">
      <c r="A358" s="153"/>
      <c r="B358" s="153"/>
      <c r="C358" s="153"/>
      <c r="D358" s="155"/>
      <c r="E358" s="155"/>
      <c r="F358" s="156"/>
      <c r="G358" s="154"/>
    </row>
    <row r="359" ht="15.75" customHeight="1">
      <c r="A359" s="153"/>
      <c r="B359" s="153"/>
      <c r="C359" s="153"/>
      <c r="D359" s="155"/>
      <c r="E359" s="155"/>
      <c r="F359" s="156"/>
      <c r="G359" s="154"/>
    </row>
    <row r="360" ht="15.75" customHeight="1">
      <c r="A360" s="153"/>
      <c r="B360" s="153"/>
      <c r="C360" s="153"/>
      <c r="D360" s="155"/>
      <c r="E360" s="155"/>
      <c r="F360" s="156"/>
      <c r="G360" s="154"/>
    </row>
    <row r="361" ht="15.75" customHeight="1">
      <c r="A361" s="153"/>
      <c r="B361" s="153"/>
      <c r="C361" s="153"/>
      <c r="D361" s="155"/>
      <c r="E361" s="155"/>
      <c r="F361" s="156"/>
      <c r="G361" s="154"/>
    </row>
    <row r="362" ht="15.75" customHeight="1">
      <c r="A362" s="153"/>
      <c r="B362" s="153"/>
      <c r="C362" s="153"/>
      <c r="D362" s="155"/>
      <c r="E362" s="155"/>
      <c r="F362" s="156"/>
      <c r="G362" s="154"/>
    </row>
    <row r="363" ht="15.75" customHeight="1">
      <c r="A363" s="153"/>
      <c r="B363" s="153"/>
      <c r="C363" s="153"/>
      <c r="D363" s="155"/>
      <c r="E363" s="155"/>
      <c r="F363" s="156"/>
      <c r="G363" s="154"/>
    </row>
    <row r="364" ht="15.75" customHeight="1">
      <c r="A364" s="153"/>
      <c r="B364" s="153"/>
      <c r="C364" s="153"/>
      <c r="D364" s="155"/>
      <c r="E364" s="155"/>
      <c r="F364" s="156"/>
      <c r="G364" s="154"/>
    </row>
    <row r="365" ht="15.75" customHeight="1">
      <c r="A365" s="153"/>
      <c r="B365" s="153"/>
      <c r="C365" s="153"/>
      <c r="D365" s="155"/>
      <c r="E365" s="155"/>
      <c r="F365" s="156"/>
      <c r="G365" s="154"/>
    </row>
    <row r="366" ht="15.75" customHeight="1">
      <c r="A366" s="153"/>
      <c r="B366" s="153"/>
      <c r="C366" s="153"/>
      <c r="D366" s="155"/>
      <c r="E366" s="155"/>
      <c r="F366" s="156"/>
      <c r="G366" s="154"/>
    </row>
    <row r="367" ht="15.75" customHeight="1">
      <c r="A367" s="153"/>
      <c r="B367" s="153"/>
      <c r="C367" s="153"/>
      <c r="D367" s="155"/>
      <c r="E367" s="155"/>
      <c r="F367" s="156"/>
      <c r="G367" s="154"/>
    </row>
    <row r="368" ht="15.75" customHeight="1">
      <c r="A368" s="153"/>
      <c r="B368" s="153"/>
      <c r="C368" s="153"/>
      <c r="D368" s="155"/>
      <c r="E368" s="155"/>
      <c r="F368" s="156"/>
      <c r="G368" s="154"/>
    </row>
    <row r="369" ht="15.75" customHeight="1">
      <c r="A369" s="153"/>
      <c r="B369" s="153"/>
      <c r="C369" s="153"/>
      <c r="D369" s="155"/>
      <c r="E369" s="155"/>
      <c r="F369" s="156"/>
      <c r="G369" s="154"/>
    </row>
    <row r="370" ht="15.75" customHeight="1">
      <c r="A370" s="153"/>
      <c r="B370" s="153"/>
      <c r="C370" s="153"/>
      <c r="D370" s="155"/>
      <c r="E370" s="155"/>
      <c r="F370" s="156"/>
      <c r="G370" s="154"/>
    </row>
    <row r="371" ht="15.75" customHeight="1">
      <c r="A371" s="153"/>
      <c r="B371" s="153"/>
      <c r="C371" s="153"/>
      <c r="D371" s="155"/>
      <c r="E371" s="155"/>
      <c r="F371" s="156"/>
      <c r="G371" s="154"/>
    </row>
    <row r="372" ht="15.75" customHeight="1">
      <c r="A372" s="153"/>
      <c r="B372" s="153"/>
      <c r="C372" s="153"/>
      <c r="D372" s="155"/>
      <c r="E372" s="155"/>
      <c r="F372" s="156"/>
      <c r="G372" s="154"/>
    </row>
    <row r="373" ht="15.75" customHeight="1">
      <c r="A373" s="153"/>
      <c r="B373" s="153"/>
      <c r="C373" s="153"/>
      <c r="D373" s="155"/>
      <c r="E373" s="155"/>
      <c r="F373" s="156"/>
      <c r="G373" s="154"/>
    </row>
    <row r="374" ht="15.75" customHeight="1">
      <c r="A374" s="153"/>
      <c r="B374" s="153"/>
      <c r="C374" s="153"/>
      <c r="D374" s="155"/>
      <c r="E374" s="155"/>
      <c r="F374" s="156"/>
      <c r="G374" s="154"/>
    </row>
    <row r="375" ht="15.75" customHeight="1">
      <c r="A375" s="153"/>
      <c r="B375" s="153"/>
      <c r="C375" s="153"/>
      <c r="D375" s="155"/>
      <c r="E375" s="155"/>
      <c r="F375" s="156"/>
      <c r="G375" s="154"/>
    </row>
    <row r="376" ht="15.75" customHeight="1">
      <c r="A376" s="153"/>
      <c r="B376" s="153"/>
      <c r="C376" s="153"/>
      <c r="D376" s="155"/>
      <c r="E376" s="155"/>
      <c r="F376" s="156"/>
      <c r="G376" s="154"/>
    </row>
    <row r="377" ht="15.75" customHeight="1">
      <c r="A377" s="153"/>
      <c r="B377" s="153"/>
      <c r="C377" s="153"/>
      <c r="D377" s="155"/>
      <c r="E377" s="155"/>
      <c r="F377" s="156"/>
      <c r="G377" s="154"/>
    </row>
    <row r="378" ht="15.75" customHeight="1">
      <c r="A378" s="153"/>
      <c r="B378" s="153"/>
      <c r="C378" s="153"/>
      <c r="D378" s="155"/>
      <c r="E378" s="155"/>
      <c r="F378" s="156"/>
      <c r="G378" s="154"/>
    </row>
    <row r="379" ht="15.75" customHeight="1">
      <c r="A379" s="153"/>
      <c r="B379" s="153"/>
      <c r="C379" s="153"/>
      <c r="D379" s="155"/>
      <c r="E379" s="155"/>
      <c r="F379" s="156"/>
      <c r="G379" s="154"/>
    </row>
    <row r="380" ht="15.75" customHeight="1">
      <c r="A380" s="153"/>
      <c r="B380" s="153"/>
      <c r="C380" s="153"/>
      <c r="D380" s="155"/>
      <c r="E380" s="155"/>
      <c r="F380" s="156"/>
      <c r="G380" s="154"/>
    </row>
    <row r="381" ht="15.75" customHeight="1">
      <c r="A381" s="153"/>
      <c r="B381" s="153"/>
      <c r="C381" s="153"/>
      <c r="D381" s="155"/>
      <c r="E381" s="155"/>
      <c r="F381" s="156"/>
      <c r="G381" s="154"/>
    </row>
    <row r="382" ht="15.75" customHeight="1">
      <c r="A382" s="153"/>
      <c r="B382" s="153"/>
      <c r="C382" s="153"/>
      <c r="D382" s="155"/>
      <c r="E382" s="155"/>
      <c r="F382" s="156"/>
      <c r="G382" s="154"/>
    </row>
    <row r="383" ht="15.75" customHeight="1">
      <c r="A383" s="153"/>
      <c r="B383" s="153"/>
      <c r="C383" s="153"/>
      <c r="D383" s="155"/>
      <c r="E383" s="155"/>
      <c r="F383" s="156"/>
      <c r="G383" s="154"/>
    </row>
    <row r="384" ht="15.75" customHeight="1">
      <c r="A384" s="153"/>
      <c r="B384" s="153"/>
      <c r="C384" s="153"/>
      <c r="D384" s="155"/>
      <c r="E384" s="155"/>
      <c r="F384" s="156"/>
      <c r="G384" s="154"/>
    </row>
    <row r="385" ht="15.75" customHeight="1">
      <c r="A385" s="153"/>
      <c r="B385" s="153"/>
      <c r="C385" s="153"/>
      <c r="D385" s="155"/>
      <c r="E385" s="155"/>
      <c r="F385" s="156"/>
      <c r="G385" s="154"/>
    </row>
    <row r="386" ht="15.75" customHeight="1">
      <c r="A386" s="153"/>
      <c r="B386" s="153"/>
      <c r="C386" s="153"/>
      <c r="D386" s="155"/>
      <c r="E386" s="155"/>
      <c r="F386" s="156"/>
      <c r="G386" s="154"/>
    </row>
    <row r="387" ht="15.75" customHeight="1">
      <c r="A387" s="153"/>
      <c r="B387" s="153"/>
      <c r="C387" s="153"/>
      <c r="D387" s="155"/>
      <c r="E387" s="155"/>
      <c r="F387" s="156"/>
      <c r="G387" s="154"/>
    </row>
    <row r="388" ht="15.75" customHeight="1">
      <c r="A388" s="153"/>
      <c r="B388" s="153"/>
      <c r="C388" s="153"/>
      <c r="D388" s="155"/>
      <c r="E388" s="155"/>
      <c r="F388" s="156"/>
      <c r="G388" s="154"/>
    </row>
    <row r="389" ht="15.75" customHeight="1">
      <c r="A389" s="153"/>
      <c r="B389" s="153"/>
      <c r="C389" s="153"/>
      <c r="D389" s="155"/>
      <c r="E389" s="155"/>
      <c r="F389" s="156"/>
      <c r="G389" s="154"/>
    </row>
    <row r="390" ht="15.75" customHeight="1">
      <c r="A390" s="153"/>
      <c r="B390" s="153"/>
      <c r="C390" s="153"/>
      <c r="D390" s="155"/>
      <c r="E390" s="155"/>
      <c r="F390" s="156"/>
      <c r="G390" s="154"/>
    </row>
    <row r="391" ht="15.75" customHeight="1">
      <c r="A391" s="153"/>
      <c r="B391" s="153"/>
      <c r="C391" s="153"/>
      <c r="D391" s="155"/>
      <c r="E391" s="155"/>
      <c r="F391" s="156"/>
      <c r="G391" s="154"/>
    </row>
    <row r="392" ht="15.75" customHeight="1">
      <c r="A392" s="153"/>
      <c r="B392" s="153"/>
      <c r="C392" s="153"/>
      <c r="D392" s="155"/>
      <c r="E392" s="155"/>
      <c r="F392" s="156"/>
      <c r="G392" s="154"/>
    </row>
    <row r="393" ht="15.75" customHeight="1">
      <c r="A393" s="153"/>
      <c r="B393" s="153"/>
      <c r="C393" s="153"/>
      <c r="D393" s="155"/>
      <c r="E393" s="155"/>
      <c r="F393" s="156"/>
      <c r="G393" s="154"/>
    </row>
    <row r="394" ht="15.75" customHeight="1">
      <c r="A394" s="153"/>
      <c r="B394" s="153"/>
      <c r="C394" s="153"/>
      <c r="D394" s="155"/>
      <c r="E394" s="155"/>
      <c r="F394" s="156"/>
      <c r="G394" s="154"/>
    </row>
    <row r="395" ht="15.75" customHeight="1">
      <c r="A395" s="153"/>
      <c r="B395" s="153"/>
      <c r="C395" s="153"/>
      <c r="D395" s="155"/>
      <c r="E395" s="155"/>
      <c r="F395" s="156"/>
      <c r="G395" s="154"/>
    </row>
    <row r="396" ht="15.75" customHeight="1">
      <c r="A396" s="153"/>
      <c r="B396" s="153"/>
      <c r="C396" s="153"/>
      <c r="D396" s="155"/>
      <c r="E396" s="155"/>
      <c r="F396" s="156"/>
      <c r="G396" s="154"/>
    </row>
    <row r="397" ht="15.75" customHeight="1">
      <c r="A397" s="153"/>
      <c r="B397" s="153"/>
      <c r="C397" s="153"/>
      <c r="D397" s="155"/>
      <c r="E397" s="155"/>
      <c r="F397" s="156"/>
      <c r="G397" s="154"/>
    </row>
    <row r="398" ht="15.75" customHeight="1">
      <c r="A398" s="153"/>
      <c r="B398" s="153"/>
      <c r="C398" s="153"/>
      <c r="D398" s="155"/>
      <c r="E398" s="155"/>
      <c r="F398" s="156"/>
      <c r="G398" s="154"/>
    </row>
    <row r="399" ht="15.75" customHeight="1">
      <c r="A399" s="153"/>
      <c r="B399" s="153"/>
      <c r="C399" s="153"/>
      <c r="D399" s="155"/>
      <c r="E399" s="155"/>
      <c r="F399" s="156"/>
      <c r="G399" s="154"/>
    </row>
    <row r="400" ht="15.75" customHeight="1">
      <c r="A400" s="153"/>
      <c r="B400" s="153"/>
      <c r="C400" s="153"/>
      <c r="D400" s="155"/>
      <c r="E400" s="155"/>
      <c r="F400" s="156"/>
      <c r="G400" s="154"/>
    </row>
    <row r="401" ht="15.75" customHeight="1">
      <c r="A401" s="153"/>
      <c r="B401" s="153"/>
      <c r="C401" s="153"/>
      <c r="D401" s="155"/>
      <c r="E401" s="155"/>
      <c r="F401" s="156"/>
      <c r="G401" s="154"/>
    </row>
    <row r="402" ht="15.75" customHeight="1">
      <c r="A402" s="153"/>
      <c r="B402" s="153"/>
      <c r="C402" s="153"/>
      <c r="D402" s="155"/>
      <c r="E402" s="155"/>
      <c r="F402" s="156"/>
      <c r="G402" s="154"/>
    </row>
    <row r="403" ht="15.75" customHeight="1">
      <c r="A403" s="153"/>
      <c r="B403" s="153"/>
      <c r="C403" s="153"/>
      <c r="D403" s="155"/>
      <c r="E403" s="155"/>
      <c r="F403" s="156"/>
      <c r="G403" s="154"/>
    </row>
    <row r="404" ht="15.75" customHeight="1">
      <c r="A404" s="153"/>
      <c r="B404" s="153"/>
      <c r="C404" s="153"/>
      <c r="D404" s="155"/>
      <c r="E404" s="155"/>
      <c r="F404" s="156"/>
      <c r="G404" s="154"/>
    </row>
    <row r="405" ht="15.75" customHeight="1">
      <c r="A405" s="153"/>
      <c r="B405" s="153"/>
      <c r="C405" s="153"/>
      <c r="D405" s="155"/>
      <c r="E405" s="155"/>
      <c r="F405" s="156"/>
      <c r="G405" s="154"/>
    </row>
    <row r="406" ht="15.75" customHeight="1">
      <c r="A406" s="153"/>
      <c r="B406" s="153"/>
      <c r="C406" s="153"/>
      <c r="D406" s="155"/>
      <c r="E406" s="155"/>
      <c r="F406" s="156"/>
      <c r="G406" s="154"/>
    </row>
    <row r="407" ht="15.75" customHeight="1">
      <c r="A407" s="153"/>
      <c r="B407" s="153"/>
      <c r="C407" s="153"/>
      <c r="D407" s="155"/>
      <c r="E407" s="155"/>
      <c r="F407" s="156"/>
      <c r="G407" s="154"/>
    </row>
    <row r="408" ht="15.75" customHeight="1">
      <c r="A408" s="153"/>
      <c r="B408" s="153"/>
      <c r="C408" s="153"/>
      <c r="D408" s="155"/>
      <c r="E408" s="155"/>
      <c r="F408" s="156"/>
      <c r="G408" s="154"/>
    </row>
    <row r="409" ht="15.75" customHeight="1">
      <c r="A409" s="153"/>
      <c r="B409" s="153"/>
      <c r="C409" s="153"/>
      <c r="D409" s="155"/>
      <c r="E409" s="155"/>
      <c r="F409" s="156"/>
      <c r="G409" s="154"/>
    </row>
    <row r="410" ht="15.75" customHeight="1">
      <c r="A410" s="153"/>
      <c r="B410" s="153"/>
      <c r="C410" s="153"/>
      <c r="D410" s="155"/>
      <c r="E410" s="155"/>
      <c r="F410" s="156"/>
      <c r="G410" s="154"/>
    </row>
    <row r="411" ht="15.75" customHeight="1">
      <c r="A411" s="153"/>
      <c r="B411" s="153"/>
      <c r="C411" s="153"/>
      <c r="D411" s="155"/>
      <c r="E411" s="155"/>
      <c r="F411" s="156"/>
      <c r="G411" s="154"/>
    </row>
    <row r="412" ht="15.75" customHeight="1">
      <c r="A412" s="153"/>
      <c r="B412" s="153"/>
      <c r="C412" s="153"/>
      <c r="D412" s="155"/>
      <c r="E412" s="155"/>
      <c r="F412" s="156"/>
      <c r="G412" s="154"/>
    </row>
    <row r="413" ht="15.75" customHeight="1">
      <c r="A413" s="153"/>
      <c r="B413" s="153"/>
      <c r="C413" s="153"/>
      <c r="D413" s="155"/>
      <c r="E413" s="155"/>
      <c r="F413" s="156"/>
      <c r="G413" s="154"/>
    </row>
    <row r="414" ht="15.75" customHeight="1">
      <c r="A414" s="153"/>
      <c r="B414" s="153"/>
      <c r="C414" s="153"/>
      <c r="D414" s="155"/>
      <c r="E414" s="155"/>
      <c r="F414" s="156"/>
      <c r="G414" s="154"/>
    </row>
    <row r="415" ht="15.75" customHeight="1">
      <c r="A415" s="153"/>
      <c r="B415" s="153"/>
      <c r="C415" s="153"/>
      <c r="D415" s="155"/>
      <c r="E415" s="155"/>
      <c r="F415" s="156"/>
      <c r="G415" s="154"/>
    </row>
    <row r="416" ht="15.75" customHeight="1">
      <c r="A416" s="153"/>
      <c r="B416" s="153"/>
      <c r="C416" s="153"/>
      <c r="D416" s="155"/>
      <c r="E416" s="155"/>
      <c r="F416" s="156"/>
      <c r="G416" s="154"/>
    </row>
    <row r="417" ht="15.75" customHeight="1">
      <c r="A417" s="153"/>
      <c r="B417" s="153"/>
      <c r="C417" s="153"/>
      <c r="D417" s="155"/>
      <c r="E417" s="155"/>
      <c r="F417" s="156"/>
      <c r="G417" s="154"/>
    </row>
    <row r="418" ht="15.75" customHeight="1">
      <c r="A418" s="153"/>
      <c r="B418" s="153"/>
      <c r="C418" s="153"/>
      <c r="D418" s="155"/>
      <c r="E418" s="155"/>
      <c r="F418" s="156"/>
      <c r="G418" s="154"/>
    </row>
    <row r="419" ht="15.75" customHeight="1">
      <c r="A419" s="153"/>
      <c r="B419" s="153"/>
      <c r="C419" s="153"/>
      <c r="D419" s="155"/>
      <c r="E419" s="155"/>
      <c r="F419" s="156"/>
      <c r="G419" s="154"/>
    </row>
    <row r="420" ht="15.75" customHeight="1">
      <c r="A420" s="153"/>
      <c r="B420" s="153"/>
      <c r="C420" s="153"/>
      <c r="D420" s="155"/>
      <c r="E420" s="155"/>
      <c r="F420" s="156"/>
      <c r="G420" s="154"/>
    </row>
    <row r="421" ht="15.75" customHeight="1">
      <c r="A421" s="153"/>
      <c r="B421" s="153"/>
      <c r="C421" s="153"/>
      <c r="D421" s="155"/>
      <c r="E421" s="155"/>
      <c r="F421" s="156"/>
      <c r="G421" s="154"/>
    </row>
    <row r="422" ht="15.75" customHeight="1">
      <c r="A422" s="153"/>
      <c r="B422" s="153"/>
      <c r="C422" s="153"/>
      <c r="D422" s="155"/>
      <c r="E422" s="155"/>
      <c r="F422" s="156"/>
      <c r="G422" s="154"/>
    </row>
    <row r="423" ht="15.75" customHeight="1">
      <c r="A423" s="153"/>
      <c r="B423" s="153"/>
      <c r="C423" s="153"/>
      <c r="D423" s="155"/>
      <c r="E423" s="155"/>
      <c r="F423" s="156"/>
      <c r="G423" s="154"/>
    </row>
    <row r="424" ht="15.75" customHeight="1">
      <c r="A424" s="153"/>
      <c r="B424" s="153"/>
      <c r="C424" s="153"/>
      <c r="D424" s="155"/>
      <c r="E424" s="155"/>
      <c r="F424" s="156"/>
      <c r="G424" s="154"/>
    </row>
    <row r="425" ht="15.75" customHeight="1">
      <c r="A425" s="153"/>
      <c r="B425" s="153"/>
      <c r="C425" s="153"/>
      <c r="D425" s="155"/>
      <c r="E425" s="155"/>
      <c r="F425" s="156"/>
      <c r="G425" s="154"/>
    </row>
    <row r="426" ht="15.75" customHeight="1">
      <c r="A426" s="153"/>
      <c r="B426" s="153"/>
      <c r="C426" s="153"/>
      <c r="D426" s="155"/>
      <c r="E426" s="155"/>
      <c r="F426" s="156"/>
      <c r="G426" s="154"/>
    </row>
    <row r="427" ht="15.75" customHeight="1">
      <c r="A427" s="153"/>
      <c r="B427" s="153"/>
      <c r="C427" s="153"/>
      <c r="D427" s="155"/>
      <c r="E427" s="155"/>
      <c r="F427" s="156"/>
      <c r="G427" s="154"/>
    </row>
    <row r="428" ht="15.75" customHeight="1">
      <c r="A428" s="153"/>
      <c r="B428" s="153"/>
      <c r="C428" s="153"/>
      <c r="D428" s="155"/>
      <c r="E428" s="155"/>
      <c r="F428" s="156"/>
      <c r="G428" s="154"/>
    </row>
    <row r="429" ht="15.75" customHeight="1">
      <c r="A429" s="153"/>
      <c r="B429" s="153"/>
      <c r="C429" s="153"/>
      <c r="D429" s="155"/>
      <c r="E429" s="155"/>
      <c r="F429" s="156"/>
      <c r="G429" s="154"/>
    </row>
    <row r="430" ht="15.75" customHeight="1">
      <c r="A430" s="153"/>
      <c r="B430" s="153"/>
      <c r="C430" s="153"/>
      <c r="D430" s="155"/>
      <c r="E430" s="155"/>
      <c r="F430" s="156"/>
      <c r="G430" s="154"/>
    </row>
    <row r="431" ht="15.75" customHeight="1">
      <c r="A431" s="153"/>
      <c r="B431" s="153"/>
      <c r="C431" s="153"/>
      <c r="D431" s="155"/>
      <c r="E431" s="155"/>
      <c r="F431" s="156"/>
      <c r="G431" s="154"/>
    </row>
    <row r="432" ht="15.75" customHeight="1">
      <c r="A432" s="153"/>
      <c r="B432" s="153"/>
      <c r="C432" s="153"/>
      <c r="D432" s="155"/>
      <c r="E432" s="155"/>
      <c r="F432" s="156"/>
      <c r="G432" s="154"/>
    </row>
    <row r="433" ht="15.75" customHeight="1">
      <c r="A433" s="153"/>
      <c r="B433" s="153"/>
      <c r="C433" s="153"/>
      <c r="D433" s="155"/>
      <c r="E433" s="155"/>
      <c r="F433" s="156"/>
      <c r="G433" s="154"/>
    </row>
    <row r="434" ht="15.75" customHeight="1">
      <c r="A434" s="153"/>
      <c r="B434" s="153"/>
      <c r="C434" s="153"/>
      <c r="D434" s="155"/>
      <c r="E434" s="155"/>
      <c r="F434" s="156"/>
      <c r="G434" s="154"/>
    </row>
    <row r="435" ht="15.75" customHeight="1">
      <c r="A435" s="153"/>
      <c r="B435" s="153"/>
      <c r="C435" s="153"/>
      <c r="D435" s="155"/>
      <c r="E435" s="155"/>
      <c r="F435" s="156"/>
      <c r="G435" s="154"/>
    </row>
    <row r="436" ht="15.75" customHeight="1">
      <c r="A436" s="153"/>
      <c r="B436" s="153"/>
      <c r="C436" s="153"/>
      <c r="D436" s="155"/>
      <c r="E436" s="155"/>
      <c r="F436" s="156"/>
      <c r="G436" s="154"/>
    </row>
    <row r="437" ht="15.75" customHeight="1">
      <c r="A437" s="153"/>
      <c r="B437" s="153"/>
      <c r="C437" s="153"/>
      <c r="D437" s="155"/>
      <c r="E437" s="155"/>
      <c r="F437" s="156"/>
      <c r="G437" s="154"/>
    </row>
    <row r="438" ht="15.75" customHeight="1">
      <c r="A438" s="153"/>
      <c r="B438" s="153"/>
      <c r="C438" s="153"/>
      <c r="D438" s="155"/>
      <c r="E438" s="155"/>
      <c r="F438" s="156"/>
      <c r="G438" s="154"/>
    </row>
    <row r="439" ht="15.75" customHeight="1">
      <c r="A439" s="153"/>
      <c r="B439" s="153"/>
      <c r="C439" s="153"/>
      <c r="D439" s="155"/>
      <c r="E439" s="155"/>
      <c r="F439" s="156"/>
      <c r="G439" s="154"/>
    </row>
    <row r="440" ht="15.75" customHeight="1">
      <c r="A440" s="153"/>
      <c r="B440" s="153"/>
      <c r="C440" s="153"/>
      <c r="D440" s="155"/>
      <c r="E440" s="155"/>
      <c r="F440" s="156"/>
      <c r="G440" s="154"/>
    </row>
    <row r="441" ht="15.75" customHeight="1">
      <c r="A441" s="153"/>
      <c r="B441" s="153"/>
      <c r="C441" s="153"/>
      <c r="D441" s="155"/>
      <c r="E441" s="155"/>
      <c r="F441" s="156"/>
      <c r="G441" s="154"/>
    </row>
    <row r="442" ht="15.75" customHeight="1">
      <c r="A442" s="153"/>
      <c r="B442" s="153"/>
      <c r="C442" s="153"/>
      <c r="D442" s="155"/>
      <c r="E442" s="155"/>
      <c r="F442" s="156"/>
      <c r="G442" s="154"/>
    </row>
    <row r="443" ht="15.75" customHeight="1">
      <c r="A443" s="153"/>
      <c r="B443" s="153"/>
      <c r="C443" s="153"/>
      <c r="D443" s="155"/>
      <c r="E443" s="155"/>
      <c r="F443" s="156"/>
      <c r="G443" s="154"/>
    </row>
    <row r="444" ht="15.75" customHeight="1">
      <c r="A444" s="153"/>
      <c r="B444" s="153"/>
      <c r="C444" s="153"/>
      <c r="D444" s="155"/>
      <c r="E444" s="155"/>
      <c r="F444" s="156"/>
      <c r="G444" s="154"/>
    </row>
    <row r="445" ht="15.75" customHeight="1">
      <c r="A445" s="153"/>
      <c r="B445" s="153"/>
      <c r="C445" s="153"/>
      <c r="D445" s="155"/>
      <c r="E445" s="155"/>
      <c r="F445" s="156"/>
      <c r="G445" s="154"/>
    </row>
    <row r="446" ht="15.75" customHeight="1">
      <c r="A446" s="153"/>
      <c r="B446" s="153"/>
      <c r="C446" s="153"/>
      <c r="D446" s="155"/>
      <c r="E446" s="155"/>
      <c r="F446" s="156"/>
      <c r="G446" s="154"/>
    </row>
    <row r="447" ht="15.75" customHeight="1">
      <c r="A447" s="153"/>
      <c r="B447" s="153"/>
      <c r="C447" s="153"/>
      <c r="D447" s="155"/>
      <c r="E447" s="155"/>
      <c r="F447" s="156"/>
      <c r="G447" s="154"/>
    </row>
    <row r="448" ht="15.75" customHeight="1">
      <c r="A448" s="153"/>
      <c r="B448" s="153"/>
      <c r="C448" s="153"/>
      <c r="D448" s="155"/>
      <c r="E448" s="155"/>
      <c r="F448" s="156"/>
      <c r="G448" s="154"/>
    </row>
    <row r="449" ht="15.75" customHeight="1">
      <c r="A449" s="153"/>
      <c r="B449" s="153"/>
      <c r="C449" s="153"/>
      <c r="D449" s="155"/>
      <c r="E449" s="155"/>
      <c r="F449" s="156"/>
      <c r="G449" s="154"/>
    </row>
    <row r="450" ht="15.75" customHeight="1">
      <c r="A450" s="153"/>
      <c r="B450" s="153"/>
      <c r="C450" s="153"/>
      <c r="D450" s="155"/>
      <c r="E450" s="155"/>
      <c r="F450" s="156"/>
      <c r="G450" s="154"/>
    </row>
    <row r="451" ht="15.75" customHeight="1">
      <c r="A451" s="153"/>
      <c r="B451" s="153"/>
      <c r="C451" s="153"/>
      <c r="D451" s="155"/>
      <c r="E451" s="155"/>
      <c r="F451" s="156"/>
      <c r="G451" s="154"/>
    </row>
    <row r="452" ht="15.75" customHeight="1">
      <c r="A452" s="153"/>
      <c r="B452" s="153"/>
      <c r="C452" s="153"/>
      <c r="D452" s="155"/>
      <c r="E452" s="155"/>
      <c r="F452" s="156"/>
      <c r="G452" s="154"/>
    </row>
    <row r="453" ht="15.75" customHeight="1">
      <c r="A453" s="153"/>
      <c r="B453" s="153"/>
      <c r="C453" s="153"/>
      <c r="D453" s="155"/>
      <c r="E453" s="155"/>
      <c r="F453" s="156"/>
      <c r="G453" s="154"/>
    </row>
    <row r="454" ht="15.75" customHeight="1">
      <c r="A454" s="153"/>
      <c r="B454" s="153"/>
      <c r="C454" s="153"/>
      <c r="D454" s="155"/>
      <c r="E454" s="155"/>
      <c r="F454" s="156"/>
      <c r="G454" s="154"/>
    </row>
    <row r="455" ht="15.75" customHeight="1">
      <c r="A455" s="153"/>
      <c r="B455" s="153"/>
      <c r="C455" s="153"/>
      <c r="D455" s="155"/>
      <c r="E455" s="155"/>
      <c r="F455" s="156"/>
      <c r="G455" s="154"/>
    </row>
    <row r="456" ht="15.75" customHeight="1">
      <c r="A456" s="153"/>
      <c r="B456" s="153"/>
      <c r="C456" s="153"/>
      <c r="D456" s="155"/>
      <c r="E456" s="155"/>
      <c r="F456" s="156"/>
      <c r="G456" s="154"/>
    </row>
    <row r="457" ht="15.75" customHeight="1">
      <c r="A457" s="153"/>
      <c r="B457" s="153"/>
      <c r="C457" s="153"/>
      <c r="D457" s="155"/>
      <c r="E457" s="155"/>
      <c r="F457" s="156"/>
      <c r="G457" s="154"/>
    </row>
    <row r="458" ht="15.75" customHeight="1">
      <c r="A458" s="153"/>
      <c r="B458" s="153"/>
      <c r="C458" s="153"/>
      <c r="D458" s="155"/>
      <c r="E458" s="155"/>
      <c r="F458" s="156"/>
      <c r="G458" s="154"/>
    </row>
    <row r="459" ht="15.75" customHeight="1">
      <c r="A459" s="153"/>
      <c r="B459" s="153"/>
      <c r="C459" s="153"/>
      <c r="D459" s="155"/>
      <c r="E459" s="155"/>
      <c r="F459" s="156"/>
      <c r="G459" s="154"/>
    </row>
    <row r="460" ht="15.75" customHeight="1">
      <c r="A460" s="153"/>
      <c r="B460" s="153"/>
      <c r="C460" s="153"/>
      <c r="D460" s="155"/>
      <c r="E460" s="155"/>
      <c r="F460" s="156"/>
      <c r="G460" s="154"/>
    </row>
    <row r="461" ht="15.75" customHeight="1">
      <c r="A461" s="153"/>
      <c r="B461" s="153"/>
      <c r="C461" s="153"/>
      <c r="D461" s="155"/>
      <c r="E461" s="155"/>
      <c r="F461" s="156"/>
      <c r="G461" s="154"/>
    </row>
    <row r="462" ht="15.75" customHeight="1">
      <c r="A462" s="153"/>
      <c r="B462" s="153"/>
      <c r="C462" s="153"/>
      <c r="D462" s="155"/>
      <c r="E462" s="155"/>
      <c r="F462" s="156"/>
      <c r="G462" s="154"/>
    </row>
    <row r="463" ht="15.75" customHeight="1">
      <c r="A463" s="153"/>
      <c r="B463" s="153"/>
      <c r="C463" s="153"/>
      <c r="D463" s="155"/>
      <c r="E463" s="155"/>
      <c r="F463" s="156"/>
      <c r="G463" s="154"/>
    </row>
    <row r="464" ht="15.75" customHeight="1">
      <c r="A464" s="153"/>
      <c r="B464" s="153"/>
      <c r="C464" s="153"/>
      <c r="D464" s="155"/>
      <c r="E464" s="155"/>
      <c r="F464" s="156"/>
      <c r="G464" s="154"/>
    </row>
    <row r="465" ht="15.75" customHeight="1">
      <c r="A465" s="153"/>
      <c r="B465" s="153"/>
      <c r="C465" s="153"/>
      <c r="D465" s="155"/>
      <c r="E465" s="155"/>
      <c r="F465" s="156"/>
      <c r="G465" s="154"/>
    </row>
    <row r="466" ht="15.75" customHeight="1">
      <c r="A466" s="153"/>
      <c r="B466" s="153"/>
      <c r="C466" s="153"/>
      <c r="D466" s="155"/>
      <c r="E466" s="155"/>
      <c r="F466" s="156"/>
      <c r="G466" s="154"/>
    </row>
    <row r="467" ht="15.75" customHeight="1">
      <c r="A467" s="153"/>
      <c r="B467" s="153"/>
      <c r="C467" s="153"/>
      <c r="D467" s="155"/>
      <c r="E467" s="155"/>
      <c r="F467" s="156"/>
      <c r="G467" s="154"/>
    </row>
    <row r="468" ht="15.75" customHeight="1">
      <c r="A468" s="153"/>
      <c r="B468" s="153"/>
      <c r="C468" s="153"/>
      <c r="D468" s="155"/>
      <c r="E468" s="155"/>
      <c r="F468" s="156"/>
      <c r="G468" s="154"/>
    </row>
    <row r="469" ht="15.75" customHeight="1">
      <c r="A469" s="153"/>
      <c r="B469" s="153"/>
      <c r="C469" s="153"/>
      <c r="D469" s="155"/>
      <c r="E469" s="155"/>
      <c r="F469" s="156"/>
      <c r="G469" s="154"/>
    </row>
    <row r="470" ht="15.75" customHeight="1">
      <c r="A470" s="153"/>
      <c r="B470" s="153"/>
      <c r="C470" s="153"/>
      <c r="D470" s="155"/>
      <c r="E470" s="155"/>
      <c r="F470" s="156"/>
      <c r="G470" s="154"/>
    </row>
    <row r="471" ht="15.75" customHeight="1">
      <c r="A471" s="153"/>
      <c r="B471" s="153"/>
      <c r="C471" s="153"/>
      <c r="D471" s="155"/>
      <c r="E471" s="155"/>
      <c r="F471" s="156"/>
      <c r="G471" s="154"/>
    </row>
    <row r="472" ht="15.75" customHeight="1">
      <c r="A472" s="153"/>
      <c r="B472" s="153"/>
      <c r="C472" s="153"/>
      <c r="D472" s="155"/>
      <c r="E472" s="155"/>
      <c r="F472" s="156"/>
      <c r="G472" s="154"/>
    </row>
    <row r="473" ht="15.75" customHeight="1">
      <c r="A473" s="153"/>
      <c r="B473" s="153"/>
      <c r="C473" s="153"/>
      <c r="D473" s="155"/>
      <c r="E473" s="155"/>
      <c r="F473" s="156"/>
      <c r="G473" s="154"/>
    </row>
    <row r="474" ht="15.75" customHeight="1">
      <c r="A474" s="153"/>
      <c r="B474" s="153"/>
      <c r="C474" s="153"/>
      <c r="D474" s="155"/>
      <c r="E474" s="155"/>
      <c r="F474" s="156"/>
      <c r="G474" s="154"/>
    </row>
    <row r="475" ht="15.75" customHeight="1">
      <c r="A475" s="153"/>
      <c r="B475" s="153"/>
      <c r="C475" s="153"/>
      <c r="D475" s="155"/>
      <c r="E475" s="155"/>
      <c r="F475" s="156"/>
      <c r="G475" s="154"/>
    </row>
    <row r="476" ht="15.75" customHeight="1">
      <c r="A476" s="153"/>
      <c r="B476" s="153"/>
      <c r="C476" s="153"/>
      <c r="D476" s="155"/>
      <c r="E476" s="155"/>
      <c r="F476" s="156"/>
      <c r="G476" s="154"/>
    </row>
    <row r="477" ht="15.75" customHeight="1">
      <c r="A477" s="153"/>
      <c r="B477" s="153"/>
      <c r="C477" s="153"/>
      <c r="D477" s="155"/>
      <c r="E477" s="155"/>
      <c r="F477" s="156"/>
      <c r="G477" s="154"/>
    </row>
    <row r="478" ht="15.75" customHeight="1">
      <c r="A478" s="153"/>
      <c r="B478" s="153"/>
      <c r="C478" s="153"/>
      <c r="D478" s="155"/>
      <c r="E478" s="155"/>
      <c r="F478" s="156"/>
      <c r="G478" s="154"/>
    </row>
    <row r="479" ht="15.75" customHeight="1">
      <c r="A479" s="153"/>
      <c r="B479" s="153"/>
      <c r="C479" s="153"/>
      <c r="D479" s="155"/>
      <c r="E479" s="155"/>
      <c r="F479" s="156"/>
      <c r="G479" s="154"/>
    </row>
    <row r="480" ht="15.75" customHeight="1">
      <c r="A480" s="153"/>
      <c r="B480" s="153"/>
      <c r="C480" s="153"/>
      <c r="D480" s="155"/>
      <c r="E480" s="155"/>
      <c r="F480" s="156"/>
      <c r="G480" s="154"/>
    </row>
    <row r="481" ht="15.75" customHeight="1">
      <c r="A481" s="153"/>
      <c r="B481" s="153"/>
      <c r="C481" s="153"/>
      <c r="D481" s="155"/>
      <c r="E481" s="155"/>
      <c r="F481" s="156"/>
      <c r="G481" s="154"/>
    </row>
    <row r="482" ht="15.75" customHeight="1">
      <c r="A482" s="153"/>
      <c r="B482" s="153"/>
      <c r="C482" s="153"/>
      <c r="D482" s="155"/>
      <c r="E482" s="155"/>
      <c r="F482" s="156"/>
      <c r="G482" s="154"/>
    </row>
    <row r="483" ht="15.75" customHeight="1">
      <c r="A483" s="153"/>
      <c r="B483" s="153"/>
      <c r="C483" s="153"/>
      <c r="D483" s="155"/>
      <c r="E483" s="155"/>
      <c r="F483" s="156"/>
      <c r="G483" s="154"/>
    </row>
    <row r="484" ht="15.75" customHeight="1">
      <c r="A484" s="153"/>
      <c r="B484" s="153"/>
      <c r="C484" s="153"/>
      <c r="D484" s="155"/>
      <c r="E484" s="155"/>
      <c r="F484" s="156"/>
      <c r="G484" s="154"/>
    </row>
    <row r="485" ht="15.75" customHeight="1">
      <c r="A485" s="153"/>
      <c r="B485" s="153"/>
      <c r="C485" s="153"/>
      <c r="D485" s="155"/>
      <c r="E485" s="155"/>
      <c r="F485" s="156"/>
      <c r="G485" s="154"/>
    </row>
    <row r="486" ht="15.75" customHeight="1">
      <c r="A486" s="153"/>
      <c r="B486" s="153"/>
      <c r="C486" s="153"/>
      <c r="D486" s="155"/>
      <c r="E486" s="155"/>
      <c r="F486" s="156"/>
      <c r="G486" s="154"/>
    </row>
    <row r="487" ht="15.75" customHeight="1">
      <c r="A487" s="153"/>
      <c r="B487" s="153"/>
      <c r="C487" s="153"/>
      <c r="D487" s="155"/>
      <c r="E487" s="155"/>
      <c r="F487" s="156"/>
      <c r="G487" s="154"/>
    </row>
    <row r="488" ht="15.75" customHeight="1">
      <c r="A488" s="153"/>
      <c r="B488" s="153"/>
      <c r="C488" s="153"/>
      <c r="D488" s="155"/>
      <c r="E488" s="155"/>
      <c r="F488" s="156"/>
      <c r="G488" s="154"/>
    </row>
    <row r="489" ht="15.75" customHeight="1">
      <c r="A489" s="153"/>
      <c r="B489" s="153"/>
      <c r="C489" s="153"/>
      <c r="D489" s="155"/>
      <c r="E489" s="155"/>
      <c r="F489" s="156"/>
      <c r="G489" s="154"/>
    </row>
    <row r="490" ht="15.75" customHeight="1">
      <c r="A490" s="153"/>
      <c r="B490" s="153"/>
      <c r="C490" s="153"/>
      <c r="D490" s="155"/>
      <c r="E490" s="155"/>
      <c r="F490" s="156"/>
      <c r="G490" s="154"/>
    </row>
    <row r="491" ht="15.75" customHeight="1">
      <c r="A491" s="153"/>
      <c r="B491" s="153"/>
      <c r="C491" s="153"/>
      <c r="D491" s="155"/>
      <c r="E491" s="155"/>
      <c r="F491" s="156"/>
      <c r="G491" s="154"/>
    </row>
    <row r="492" ht="15.75" customHeight="1">
      <c r="A492" s="153"/>
      <c r="B492" s="153"/>
      <c r="C492" s="153"/>
      <c r="D492" s="155"/>
      <c r="E492" s="155"/>
      <c r="F492" s="156"/>
      <c r="G492" s="154"/>
    </row>
    <row r="493" ht="15.75" customHeight="1">
      <c r="A493" s="153"/>
      <c r="B493" s="153"/>
      <c r="C493" s="153"/>
      <c r="D493" s="155"/>
      <c r="E493" s="155"/>
      <c r="F493" s="156"/>
      <c r="G493" s="154"/>
    </row>
    <row r="494" ht="15.75" customHeight="1">
      <c r="A494" s="153"/>
      <c r="B494" s="153"/>
      <c r="C494" s="153"/>
      <c r="D494" s="155"/>
      <c r="E494" s="155"/>
      <c r="F494" s="156"/>
      <c r="G494" s="154"/>
    </row>
    <row r="495" ht="15.75" customHeight="1">
      <c r="A495" s="153"/>
      <c r="B495" s="153"/>
      <c r="C495" s="153"/>
      <c r="D495" s="155"/>
      <c r="E495" s="155"/>
      <c r="F495" s="156"/>
      <c r="G495" s="154"/>
    </row>
    <row r="496" ht="15.75" customHeight="1">
      <c r="A496" s="153"/>
      <c r="B496" s="153"/>
      <c r="C496" s="153"/>
      <c r="D496" s="155"/>
      <c r="E496" s="155"/>
      <c r="F496" s="156"/>
      <c r="G496" s="154"/>
    </row>
    <row r="497" ht="15.75" customHeight="1">
      <c r="A497" s="153"/>
      <c r="B497" s="153"/>
      <c r="C497" s="153"/>
      <c r="D497" s="155"/>
      <c r="E497" s="155"/>
      <c r="F497" s="156"/>
      <c r="G497" s="154"/>
    </row>
    <row r="498" ht="15.75" customHeight="1">
      <c r="A498" s="153"/>
      <c r="B498" s="153"/>
      <c r="C498" s="153"/>
      <c r="D498" s="155"/>
      <c r="E498" s="155"/>
      <c r="F498" s="156"/>
      <c r="G498" s="154"/>
    </row>
    <row r="499" ht="15.75" customHeight="1">
      <c r="A499" s="153"/>
      <c r="B499" s="153"/>
      <c r="C499" s="153"/>
      <c r="D499" s="155"/>
      <c r="E499" s="155"/>
      <c r="F499" s="156"/>
      <c r="G499" s="154"/>
    </row>
    <row r="500" ht="15.75" customHeight="1">
      <c r="A500" s="153"/>
      <c r="B500" s="153"/>
      <c r="C500" s="153"/>
      <c r="D500" s="155"/>
      <c r="E500" s="155"/>
      <c r="F500" s="156"/>
      <c r="G500" s="154"/>
    </row>
    <row r="501" ht="15.75" customHeight="1">
      <c r="A501" s="153"/>
      <c r="B501" s="153"/>
      <c r="C501" s="153"/>
      <c r="D501" s="155"/>
      <c r="E501" s="155"/>
      <c r="F501" s="156"/>
      <c r="G501" s="154"/>
    </row>
    <row r="502" ht="15.75" customHeight="1">
      <c r="A502" s="153"/>
      <c r="B502" s="153"/>
      <c r="C502" s="153"/>
      <c r="D502" s="155"/>
      <c r="E502" s="155"/>
      <c r="F502" s="156"/>
      <c r="G502" s="154"/>
    </row>
    <row r="503" ht="15.75" customHeight="1">
      <c r="A503" s="153"/>
      <c r="B503" s="153"/>
      <c r="C503" s="153"/>
      <c r="D503" s="155"/>
      <c r="E503" s="155"/>
      <c r="F503" s="156"/>
      <c r="G503" s="154"/>
    </row>
    <row r="504" ht="15.75" customHeight="1">
      <c r="A504" s="153"/>
      <c r="B504" s="153"/>
      <c r="C504" s="153"/>
      <c r="D504" s="155"/>
      <c r="E504" s="155"/>
      <c r="F504" s="156"/>
      <c r="G504" s="154"/>
    </row>
    <row r="505" ht="15.75" customHeight="1">
      <c r="A505" s="153"/>
      <c r="B505" s="153"/>
      <c r="C505" s="153"/>
      <c r="D505" s="155"/>
      <c r="E505" s="155"/>
      <c r="F505" s="156"/>
      <c r="G505" s="154"/>
    </row>
    <row r="506" ht="15.75" customHeight="1">
      <c r="A506" s="153"/>
      <c r="B506" s="153"/>
      <c r="C506" s="153"/>
      <c r="D506" s="155"/>
      <c r="E506" s="155"/>
      <c r="F506" s="156"/>
      <c r="G506" s="154"/>
    </row>
    <row r="507" ht="15.75" customHeight="1">
      <c r="A507" s="153"/>
      <c r="B507" s="153"/>
      <c r="C507" s="153"/>
      <c r="D507" s="155"/>
      <c r="E507" s="155"/>
      <c r="F507" s="156"/>
      <c r="G507" s="154"/>
    </row>
    <row r="508" ht="15.75" customHeight="1">
      <c r="A508" s="153"/>
      <c r="B508" s="153"/>
      <c r="C508" s="153"/>
      <c r="D508" s="155"/>
      <c r="E508" s="155"/>
      <c r="F508" s="156"/>
      <c r="G508" s="154"/>
    </row>
    <row r="509" ht="15.75" customHeight="1">
      <c r="A509" s="153"/>
      <c r="B509" s="153"/>
      <c r="C509" s="153"/>
      <c r="D509" s="155"/>
      <c r="E509" s="155"/>
      <c r="F509" s="156"/>
      <c r="G509" s="154"/>
    </row>
    <row r="510" ht="15.75" customHeight="1">
      <c r="A510" s="153"/>
      <c r="B510" s="153"/>
      <c r="C510" s="153"/>
      <c r="D510" s="155"/>
      <c r="E510" s="155"/>
      <c r="F510" s="156"/>
      <c r="G510" s="154"/>
    </row>
    <row r="511" ht="15.75" customHeight="1">
      <c r="A511" s="153"/>
      <c r="B511" s="153"/>
      <c r="C511" s="153"/>
      <c r="D511" s="155"/>
      <c r="E511" s="155"/>
      <c r="F511" s="156"/>
      <c r="G511" s="154"/>
    </row>
    <row r="512" ht="15.75" customHeight="1">
      <c r="A512" s="153"/>
      <c r="B512" s="153"/>
      <c r="C512" s="153"/>
      <c r="D512" s="155"/>
      <c r="E512" s="155"/>
      <c r="F512" s="156"/>
      <c r="G512" s="154"/>
    </row>
    <row r="513" ht="15.75" customHeight="1">
      <c r="A513" s="153"/>
      <c r="B513" s="153"/>
      <c r="C513" s="153"/>
      <c r="D513" s="155"/>
      <c r="E513" s="155"/>
      <c r="F513" s="156"/>
      <c r="G513" s="154"/>
    </row>
    <row r="514" ht="15.75" customHeight="1">
      <c r="A514" s="153"/>
      <c r="B514" s="153"/>
      <c r="C514" s="153"/>
      <c r="D514" s="155"/>
      <c r="E514" s="155"/>
      <c r="F514" s="156"/>
      <c r="G514" s="154"/>
    </row>
    <row r="515" ht="15.75" customHeight="1">
      <c r="A515" s="153"/>
      <c r="B515" s="153"/>
      <c r="C515" s="153"/>
      <c r="D515" s="155"/>
      <c r="E515" s="155"/>
      <c r="F515" s="156"/>
      <c r="G515" s="154"/>
    </row>
    <row r="516" ht="15.75" customHeight="1">
      <c r="A516" s="153"/>
      <c r="B516" s="153"/>
      <c r="C516" s="153"/>
      <c r="D516" s="155"/>
      <c r="E516" s="155"/>
      <c r="F516" s="156"/>
      <c r="G516" s="154"/>
    </row>
    <row r="517" ht="15.75" customHeight="1">
      <c r="A517" s="153"/>
      <c r="B517" s="153"/>
      <c r="C517" s="153"/>
      <c r="D517" s="155"/>
      <c r="E517" s="155"/>
      <c r="F517" s="156"/>
      <c r="G517" s="154"/>
    </row>
    <row r="518" ht="15.75" customHeight="1">
      <c r="A518" s="153"/>
      <c r="B518" s="153"/>
      <c r="C518" s="153"/>
      <c r="D518" s="155"/>
      <c r="E518" s="155"/>
      <c r="F518" s="156"/>
      <c r="G518" s="154"/>
    </row>
    <row r="519" ht="15.75" customHeight="1">
      <c r="A519" s="153"/>
      <c r="B519" s="153"/>
      <c r="C519" s="153"/>
      <c r="D519" s="155"/>
      <c r="E519" s="155"/>
      <c r="F519" s="156"/>
      <c r="G519" s="154"/>
    </row>
    <row r="520" ht="15.75" customHeight="1">
      <c r="A520" s="153"/>
      <c r="B520" s="153"/>
      <c r="C520" s="153"/>
      <c r="D520" s="155"/>
      <c r="E520" s="155"/>
      <c r="F520" s="156"/>
      <c r="G520" s="154"/>
    </row>
    <row r="521" ht="15.75" customHeight="1">
      <c r="A521" s="153"/>
      <c r="B521" s="153"/>
      <c r="C521" s="153"/>
      <c r="D521" s="155"/>
      <c r="E521" s="155"/>
      <c r="F521" s="156"/>
      <c r="G521" s="154"/>
    </row>
    <row r="522" ht="15.75" customHeight="1">
      <c r="A522" s="153"/>
      <c r="B522" s="153"/>
      <c r="C522" s="153"/>
      <c r="D522" s="155"/>
      <c r="E522" s="155"/>
      <c r="F522" s="156"/>
      <c r="G522" s="154"/>
    </row>
    <row r="523" ht="15.75" customHeight="1">
      <c r="A523" s="153"/>
      <c r="B523" s="153"/>
      <c r="C523" s="153"/>
      <c r="D523" s="155"/>
      <c r="E523" s="155"/>
      <c r="F523" s="156"/>
      <c r="G523" s="154"/>
    </row>
    <row r="524" ht="15.75" customHeight="1">
      <c r="A524" s="153"/>
      <c r="B524" s="153"/>
      <c r="C524" s="153"/>
      <c r="D524" s="155"/>
      <c r="E524" s="155"/>
      <c r="F524" s="156"/>
      <c r="G524" s="154"/>
    </row>
    <row r="525" ht="15.75" customHeight="1">
      <c r="A525" s="153"/>
      <c r="B525" s="153"/>
      <c r="C525" s="153"/>
      <c r="D525" s="155"/>
      <c r="E525" s="155"/>
      <c r="F525" s="156"/>
      <c r="G525" s="154"/>
    </row>
    <row r="526" ht="15.75" customHeight="1">
      <c r="A526" s="153"/>
      <c r="B526" s="153"/>
      <c r="C526" s="153"/>
      <c r="D526" s="155"/>
      <c r="E526" s="155"/>
      <c r="F526" s="156"/>
      <c r="G526" s="154"/>
    </row>
    <row r="527" ht="15.75" customHeight="1">
      <c r="A527" s="153"/>
      <c r="B527" s="153"/>
      <c r="C527" s="153"/>
      <c r="D527" s="155"/>
      <c r="E527" s="155"/>
      <c r="F527" s="156"/>
      <c r="G527" s="154"/>
    </row>
    <row r="528" ht="15.75" customHeight="1">
      <c r="A528" s="153"/>
      <c r="B528" s="153"/>
      <c r="C528" s="153"/>
      <c r="D528" s="155"/>
      <c r="E528" s="155"/>
      <c r="F528" s="156"/>
      <c r="G528" s="154"/>
    </row>
    <row r="529" ht="15.75" customHeight="1">
      <c r="A529" s="153"/>
      <c r="B529" s="153"/>
      <c r="C529" s="153"/>
      <c r="D529" s="155"/>
      <c r="E529" s="155"/>
      <c r="F529" s="156"/>
      <c r="G529" s="154"/>
    </row>
    <row r="530" ht="15.75" customHeight="1">
      <c r="A530" s="153"/>
      <c r="B530" s="153"/>
      <c r="C530" s="153"/>
      <c r="D530" s="155"/>
      <c r="E530" s="155"/>
      <c r="F530" s="156"/>
      <c r="G530" s="154"/>
    </row>
    <row r="531" ht="15.75" customHeight="1">
      <c r="A531" s="153"/>
      <c r="B531" s="153"/>
      <c r="C531" s="153"/>
      <c r="D531" s="155"/>
      <c r="E531" s="155"/>
      <c r="F531" s="156"/>
      <c r="G531" s="154"/>
    </row>
    <row r="532" ht="15.75" customHeight="1">
      <c r="A532" s="153"/>
      <c r="B532" s="153"/>
      <c r="C532" s="153"/>
      <c r="D532" s="155"/>
      <c r="E532" s="155"/>
      <c r="F532" s="156"/>
      <c r="G532" s="154"/>
    </row>
    <row r="533" ht="15.75" customHeight="1">
      <c r="A533" s="153"/>
      <c r="B533" s="153"/>
      <c r="C533" s="153"/>
      <c r="D533" s="155"/>
      <c r="E533" s="155"/>
      <c r="F533" s="156"/>
      <c r="G533" s="154"/>
    </row>
    <row r="534" ht="15.75" customHeight="1">
      <c r="A534" s="153"/>
      <c r="B534" s="153"/>
      <c r="C534" s="153"/>
      <c r="D534" s="155"/>
      <c r="E534" s="155"/>
      <c r="F534" s="156"/>
      <c r="G534" s="154"/>
    </row>
    <row r="535" ht="15.75" customHeight="1">
      <c r="A535" s="153"/>
      <c r="B535" s="153"/>
      <c r="C535" s="153"/>
      <c r="D535" s="155"/>
      <c r="E535" s="155"/>
      <c r="F535" s="156"/>
      <c r="G535" s="154"/>
    </row>
    <row r="536" ht="15.75" customHeight="1">
      <c r="A536" s="153"/>
      <c r="B536" s="153"/>
      <c r="C536" s="153"/>
      <c r="D536" s="155"/>
      <c r="E536" s="155"/>
      <c r="F536" s="156"/>
      <c r="G536" s="154"/>
    </row>
    <row r="537" ht="15.75" customHeight="1">
      <c r="A537" s="153"/>
      <c r="B537" s="153"/>
      <c r="C537" s="153"/>
      <c r="D537" s="155"/>
      <c r="E537" s="155"/>
      <c r="F537" s="156"/>
      <c r="G537" s="154"/>
    </row>
    <row r="538" ht="15.75" customHeight="1">
      <c r="A538" s="153"/>
      <c r="B538" s="153"/>
      <c r="C538" s="153"/>
      <c r="D538" s="155"/>
      <c r="E538" s="155"/>
      <c r="F538" s="156"/>
      <c r="G538" s="154"/>
    </row>
    <row r="539" ht="15.75" customHeight="1">
      <c r="A539" s="153"/>
      <c r="B539" s="153"/>
      <c r="C539" s="153"/>
      <c r="D539" s="155"/>
      <c r="E539" s="155"/>
      <c r="F539" s="156"/>
      <c r="G539" s="154"/>
    </row>
    <row r="540" ht="15.75" customHeight="1">
      <c r="A540" s="153"/>
      <c r="B540" s="153"/>
      <c r="C540" s="153"/>
      <c r="D540" s="155"/>
      <c r="E540" s="155"/>
      <c r="F540" s="156"/>
      <c r="G540" s="154"/>
    </row>
    <row r="541" ht="15.75" customHeight="1">
      <c r="A541" s="153"/>
      <c r="B541" s="153"/>
      <c r="C541" s="153"/>
      <c r="D541" s="155"/>
      <c r="E541" s="155"/>
      <c r="F541" s="156"/>
      <c r="G541" s="154"/>
    </row>
    <row r="542" ht="15.75" customHeight="1">
      <c r="A542" s="153"/>
      <c r="B542" s="153"/>
      <c r="C542" s="153"/>
      <c r="D542" s="155"/>
      <c r="E542" s="155"/>
      <c r="F542" s="156"/>
      <c r="G542" s="154"/>
    </row>
    <row r="543" ht="15.75" customHeight="1">
      <c r="A543" s="153"/>
      <c r="B543" s="153"/>
      <c r="C543" s="153"/>
      <c r="D543" s="155"/>
      <c r="E543" s="155"/>
      <c r="F543" s="156"/>
      <c r="G543" s="154"/>
    </row>
    <row r="544" ht="15.75" customHeight="1">
      <c r="A544" s="153"/>
      <c r="B544" s="153"/>
      <c r="C544" s="153"/>
      <c r="D544" s="155"/>
      <c r="E544" s="155"/>
      <c r="F544" s="156"/>
      <c r="G544" s="154"/>
    </row>
    <row r="545" ht="15.75" customHeight="1">
      <c r="A545" s="153"/>
      <c r="B545" s="153"/>
      <c r="C545" s="153"/>
      <c r="D545" s="155"/>
      <c r="E545" s="155"/>
      <c r="F545" s="156"/>
      <c r="G545" s="154"/>
    </row>
    <row r="546" ht="15.75" customHeight="1">
      <c r="A546" s="153"/>
      <c r="B546" s="153"/>
      <c r="C546" s="153"/>
      <c r="D546" s="155"/>
      <c r="E546" s="155"/>
      <c r="F546" s="156"/>
      <c r="G546" s="154"/>
    </row>
    <row r="547" ht="15.75" customHeight="1">
      <c r="A547" s="153"/>
      <c r="B547" s="153"/>
      <c r="C547" s="153"/>
      <c r="D547" s="155"/>
      <c r="E547" s="155"/>
      <c r="F547" s="156"/>
      <c r="G547" s="154"/>
    </row>
    <row r="548" ht="15.75" customHeight="1">
      <c r="A548" s="153"/>
      <c r="B548" s="153"/>
      <c r="C548" s="153"/>
      <c r="D548" s="155"/>
      <c r="E548" s="155"/>
      <c r="F548" s="156"/>
      <c r="G548" s="154"/>
    </row>
    <row r="549" ht="15.75" customHeight="1">
      <c r="A549" s="153"/>
      <c r="B549" s="153"/>
      <c r="C549" s="153"/>
      <c r="D549" s="155"/>
      <c r="E549" s="155"/>
      <c r="F549" s="156"/>
      <c r="G549" s="154"/>
    </row>
    <row r="550" ht="15.75" customHeight="1">
      <c r="A550" s="153"/>
      <c r="B550" s="153"/>
      <c r="C550" s="153"/>
      <c r="D550" s="155"/>
      <c r="E550" s="155"/>
      <c r="F550" s="156"/>
      <c r="G550" s="154"/>
    </row>
    <row r="551" ht="15.75" customHeight="1">
      <c r="A551" s="153"/>
      <c r="B551" s="153"/>
      <c r="C551" s="153"/>
      <c r="D551" s="155"/>
      <c r="E551" s="155"/>
      <c r="F551" s="156"/>
      <c r="G551" s="154"/>
    </row>
    <row r="552" ht="15.75" customHeight="1">
      <c r="A552" s="153"/>
      <c r="B552" s="153"/>
      <c r="C552" s="153"/>
      <c r="D552" s="155"/>
      <c r="E552" s="155"/>
      <c r="F552" s="156"/>
      <c r="G552" s="154"/>
    </row>
    <row r="553" ht="15.75" customHeight="1">
      <c r="A553" s="153"/>
      <c r="B553" s="153"/>
      <c r="C553" s="153"/>
      <c r="D553" s="155"/>
      <c r="E553" s="155"/>
      <c r="F553" s="156"/>
      <c r="G553" s="154"/>
    </row>
    <row r="554" ht="15.75" customHeight="1">
      <c r="A554" s="153"/>
      <c r="B554" s="153"/>
      <c r="C554" s="153"/>
      <c r="D554" s="155"/>
      <c r="E554" s="155"/>
      <c r="F554" s="156"/>
      <c r="G554" s="154"/>
    </row>
    <row r="555" ht="15.75" customHeight="1">
      <c r="A555" s="153"/>
      <c r="B555" s="153"/>
      <c r="C555" s="153"/>
      <c r="D555" s="155"/>
      <c r="E555" s="155"/>
      <c r="F555" s="156"/>
      <c r="G555" s="154"/>
    </row>
    <row r="556" ht="15.75" customHeight="1">
      <c r="A556" s="153"/>
      <c r="B556" s="153"/>
      <c r="C556" s="153"/>
      <c r="D556" s="155"/>
      <c r="E556" s="155"/>
      <c r="F556" s="156"/>
      <c r="G556" s="154"/>
    </row>
    <row r="557" ht="15.75" customHeight="1">
      <c r="A557" s="153"/>
      <c r="B557" s="153"/>
      <c r="C557" s="153"/>
      <c r="D557" s="155"/>
      <c r="E557" s="155"/>
      <c r="F557" s="156"/>
      <c r="G557" s="154"/>
    </row>
    <row r="558" ht="15.75" customHeight="1">
      <c r="A558" s="153"/>
      <c r="B558" s="153"/>
      <c r="C558" s="153"/>
      <c r="D558" s="155"/>
      <c r="E558" s="155"/>
      <c r="F558" s="156"/>
      <c r="G558" s="154"/>
    </row>
    <row r="559" ht="15.75" customHeight="1">
      <c r="A559" s="153"/>
      <c r="B559" s="153"/>
      <c r="C559" s="153"/>
      <c r="D559" s="155"/>
      <c r="E559" s="155"/>
      <c r="F559" s="156"/>
      <c r="G559" s="154"/>
    </row>
    <row r="560" ht="15.75" customHeight="1">
      <c r="A560" s="153"/>
      <c r="B560" s="153"/>
      <c r="C560" s="153"/>
      <c r="D560" s="155"/>
      <c r="E560" s="155"/>
      <c r="F560" s="156"/>
      <c r="G560" s="154"/>
    </row>
    <row r="561" ht="15.75" customHeight="1">
      <c r="A561" s="153"/>
      <c r="B561" s="153"/>
      <c r="C561" s="153"/>
      <c r="D561" s="155"/>
      <c r="E561" s="155"/>
      <c r="F561" s="156"/>
      <c r="G561" s="154"/>
    </row>
    <row r="562" ht="15.75" customHeight="1">
      <c r="A562" s="153"/>
      <c r="B562" s="153"/>
      <c r="C562" s="153"/>
      <c r="D562" s="155"/>
      <c r="E562" s="155"/>
      <c r="F562" s="156"/>
      <c r="G562" s="154"/>
    </row>
    <row r="563" ht="15.75" customHeight="1">
      <c r="A563" s="153"/>
      <c r="B563" s="153"/>
      <c r="C563" s="153"/>
      <c r="D563" s="155"/>
      <c r="E563" s="155"/>
      <c r="F563" s="156"/>
      <c r="G563" s="154"/>
    </row>
    <row r="564" ht="15.75" customHeight="1">
      <c r="A564" s="153"/>
      <c r="B564" s="153"/>
      <c r="C564" s="153"/>
      <c r="D564" s="155"/>
      <c r="E564" s="155"/>
      <c r="F564" s="156"/>
      <c r="G564" s="154"/>
    </row>
    <row r="565" ht="15.75" customHeight="1">
      <c r="A565" s="153"/>
      <c r="B565" s="153"/>
      <c r="C565" s="153"/>
      <c r="D565" s="155"/>
      <c r="E565" s="155"/>
      <c r="F565" s="156"/>
      <c r="G565" s="154"/>
    </row>
    <row r="566" ht="15.75" customHeight="1">
      <c r="A566" s="153"/>
      <c r="B566" s="153"/>
      <c r="C566" s="153"/>
      <c r="D566" s="155"/>
      <c r="E566" s="155"/>
      <c r="F566" s="156"/>
      <c r="G566" s="154"/>
    </row>
    <row r="567" ht="15.75" customHeight="1">
      <c r="A567" s="153"/>
      <c r="B567" s="153"/>
      <c r="C567" s="153"/>
      <c r="D567" s="155"/>
      <c r="E567" s="155"/>
      <c r="F567" s="156"/>
      <c r="G567" s="154"/>
    </row>
    <row r="568" ht="15.75" customHeight="1">
      <c r="A568" s="153"/>
      <c r="B568" s="153"/>
      <c r="C568" s="153"/>
      <c r="D568" s="155"/>
      <c r="E568" s="155"/>
      <c r="F568" s="156"/>
      <c r="G568" s="154"/>
    </row>
    <row r="569" ht="15.75" customHeight="1">
      <c r="A569" s="153"/>
      <c r="B569" s="153"/>
      <c r="C569" s="153"/>
      <c r="D569" s="155"/>
      <c r="E569" s="155"/>
      <c r="F569" s="156"/>
      <c r="G569" s="154"/>
    </row>
    <row r="570" ht="15.75" customHeight="1">
      <c r="A570" s="153"/>
      <c r="B570" s="153"/>
      <c r="C570" s="153"/>
      <c r="D570" s="155"/>
      <c r="E570" s="155"/>
      <c r="F570" s="156"/>
      <c r="G570" s="154"/>
    </row>
    <row r="571" ht="15.75" customHeight="1">
      <c r="A571" s="153"/>
      <c r="B571" s="153"/>
      <c r="C571" s="153"/>
      <c r="D571" s="155"/>
      <c r="E571" s="155"/>
      <c r="F571" s="156"/>
      <c r="G571" s="154"/>
    </row>
    <row r="572" ht="15.75" customHeight="1">
      <c r="A572" s="153"/>
      <c r="B572" s="153"/>
      <c r="C572" s="153"/>
      <c r="D572" s="155"/>
      <c r="E572" s="155"/>
      <c r="F572" s="156"/>
      <c r="G572" s="154"/>
    </row>
    <row r="573" ht="15.75" customHeight="1">
      <c r="A573" s="153"/>
      <c r="B573" s="153"/>
      <c r="C573" s="153"/>
      <c r="D573" s="155"/>
      <c r="E573" s="155"/>
      <c r="F573" s="156"/>
      <c r="G573" s="154"/>
    </row>
    <row r="574" ht="15.75" customHeight="1">
      <c r="A574" s="153"/>
      <c r="B574" s="153"/>
      <c r="C574" s="153"/>
      <c r="D574" s="155"/>
      <c r="E574" s="155"/>
      <c r="F574" s="156"/>
      <c r="G574" s="154"/>
    </row>
    <row r="575" ht="15.75" customHeight="1">
      <c r="A575" s="153"/>
      <c r="B575" s="153"/>
      <c r="C575" s="153"/>
      <c r="D575" s="155"/>
      <c r="E575" s="155"/>
      <c r="F575" s="156"/>
      <c r="G575" s="154"/>
    </row>
    <row r="576" ht="15.75" customHeight="1">
      <c r="A576" s="153"/>
      <c r="B576" s="153"/>
      <c r="C576" s="153"/>
      <c r="D576" s="155"/>
      <c r="E576" s="155"/>
      <c r="F576" s="156"/>
      <c r="G576" s="154"/>
    </row>
    <row r="577" ht="15.75" customHeight="1">
      <c r="A577" s="153"/>
      <c r="B577" s="153"/>
      <c r="C577" s="153"/>
      <c r="D577" s="155"/>
      <c r="E577" s="155"/>
      <c r="F577" s="156"/>
      <c r="G577" s="154"/>
    </row>
    <row r="578" ht="15.75" customHeight="1">
      <c r="A578" s="153"/>
      <c r="B578" s="153"/>
      <c r="C578" s="153"/>
      <c r="D578" s="155"/>
      <c r="E578" s="155"/>
      <c r="F578" s="156"/>
      <c r="G578" s="154"/>
    </row>
    <row r="579" ht="15.75" customHeight="1">
      <c r="A579" s="153"/>
      <c r="B579" s="153"/>
      <c r="C579" s="153"/>
      <c r="D579" s="155"/>
      <c r="E579" s="155"/>
      <c r="F579" s="156"/>
      <c r="G579" s="154"/>
    </row>
    <row r="580" ht="15.75" customHeight="1">
      <c r="A580" s="153"/>
      <c r="B580" s="153"/>
      <c r="C580" s="153"/>
      <c r="D580" s="155"/>
      <c r="E580" s="155"/>
      <c r="F580" s="156"/>
      <c r="G580" s="154"/>
    </row>
    <row r="581" ht="15.75" customHeight="1">
      <c r="A581" s="153"/>
      <c r="B581" s="153"/>
      <c r="C581" s="153"/>
      <c r="D581" s="155"/>
      <c r="E581" s="155"/>
      <c r="F581" s="156"/>
      <c r="G581" s="154"/>
    </row>
    <row r="582" ht="15.75" customHeight="1">
      <c r="A582" s="153"/>
      <c r="B582" s="153"/>
      <c r="C582" s="153"/>
      <c r="D582" s="155"/>
      <c r="E582" s="155"/>
      <c r="F582" s="156"/>
      <c r="G582" s="154"/>
    </row>
    <row r="583" ht="15.75" customHeight="1">
      <c r="A583" s="153"/>
      <c r="B583" s="153"/>
      <c r="C583" s="153"/>
      <c r="D583" s="155"/>
      <c r="E583" s="155"/>
      <c r="F583" s="156"/>
      <c r="G583" s="154"/>
    </row>
    <row r="584" ht="15.75" customHeight="1">
      <c r="A584" s="153"/>
      <c r="B584" s="153"/>
      <c r="C584" s="153"/>
      <c r="D584" s="155"/>
      <c r="E584" s="155"/>
      <c r="F584" s="156"/>
      <c r="G584" s="154"/>
    </row>
    <row r="585" ht="15.75" customHeight="1">
      <c r="A585" s="153"/>
      <c r="B585" s="153"/>
      <c r="C585" s="153"/>
      <c r="D585" s="155"/>
      <c r="E585" s="155"/>
      <c r="F585" s="156"/>
      <c r="G585" s="154"/>
    </row>
    <row r="586" ht="15.75" customHeight="1">
      <c r="A586" s="153"/>
      <c r="B586" s="153"/>
      <c r="C586" s="153"/>
      <c r="D586" s="155"/>
      <c r="E586" s="155"/>
      <c r="F586" s="156"/>
      <c r="G586" s="154"/>
    </row>
    <row r="587" ht="15.75" customHeight="1">
      <c r="A587" s="153"/>
      <c r="B587" s="153"/>
      <c r="C587" s="153"/>
      <c r="D587" s="155"/>
      <c r="E587" s="155"/>
      <c r="F587" s="156"/>
      <c r="G587" s="154"/>
    </row>
    <row r="588" ht="15.75" customHeight="1">
      <c r="A588" s="153"/>
      <c r="B588" s="153"/>
      <c r="C588" s="153"/>
      <c r="D588" s="155"/>
      <c r="E588" s="155"/>
      <c r="F588" s="156"/>
      <c r="G588" s="154"/>
    </row>
    <row r="589" ht="15.75" customHeight="1">
      <c r="A589" s="153"/>
      <c r="B589" s="153"/>
      <c r="C589" s="153"/>
      <c r="D589" s="155"/>
      <c r="E589" s="155"/>
      <c r="F589" s="156"/>
      <c r="G589" s="154"/>
    </row>
    <row r="590" ht="15.75" customHeight="1">
      <c r="A590" s="153"/>
      <c r="B590" s="153"/>
      <c r="C590" s="153"/>
      <c r="D590" s="155"/>
      <c r="E590" s="155"/>
      <c r="F590" s="156"/>
      <c r="G590" s="154"/>
    </row>
    <row r="591" ht="15.75" customHeight="1">
      <c r="A591" s="153"/>
      <c r="B591" s="153"/>
      <c r="C591" s="153"/>
      <c r="D591" s="155"/>
      <c r="E591" s="155"/>
      <c r="F591" s="156"/>
      <c r="G591" s="154"/>
    </row>
    <row r="592" ht="15.75" customHeight="1">
      <c r="A592" s="153"/>
      <c r="B592" s="153"/>
      <c r="C592" s="153"/>
      <c r="D592" s="155"/>
      <c r="E592" s="155"/>
      <c r="F592" s="156"/>
      <c r="G592" s="154"/>
    </row>
    <row r="593" ht="15.75" customHeight="1">
      <c r="A593" s="153"/>
      <c r="B593" s="153"/>
      <c r="C593" s="153"/>
      <c r="D593" s="155"/>
      <c r="E593" s="155"/>
      <c r="F593" s="156"/>
      <c r="G593" s="154"/>
    </row>
    <row r="594" ht="15.75" customHeight="1">
      <c r="A594" s="153"/>
      <c r="B594" s="153"/>
      <c r="C594" s="153"/>
      <c r="D594" s="155"/>
      <c r="E594" s="155"/>
      <c r="F594" s="156"/>
      <c r="G594" s="154"/>
    </row>
    <row r="595" ht="15.75" customHeight="1">
      <c r="A595" s="153"/>
      <c r="B595" s="153"/>
      <c r="C595" s="153"/>
      <c r="D595" s="155"/>
      <c r="E595" s="155"/>
      <c r="F595" s="156"/>
      <c r="G595" s="154"/>
    </row>
    <row r="596" ht="15.75" customHeight="1">
      <c r="A596" s="153"/>
      <c r="B596" s="153"/>
      <c r="C596" s="153"/>
      <c r="D596" s="155"/>
      <c r="E596" s="155"/>
      <c r="F596" s="156"/>
      <c r="G596" s="154"/>
    </row>
    <row r="597" ht="15.75" customHeight="1">
      <c r="A597" s="153"/>
      <c r="B597" s="153"/>
      <c r="C597" s="153"/>
      <c r="D597" s="155"/>
      <c r="E597" s="155"/>
      <c r="F597" s="156"/>
      <c r="G597" s="154"/>
    </row>
    <row r="598" ht="15.75" customHeight="1">
      <c r="A598" s="153"/>
      <c r="B598" s="153"/>
      <c r="C598" s="153"/>
      <c r="D598" s="155"/>
      <c r="E598" s="155"/>
      <c r="F598" s="156"/>
      <c r="G598" s="154"/>
    </row>
    <row r="599" ht="15.75" customHeight="1">
      <c r="A599" s="153"/>
      <c r="B599" s="153"/>
      <c r="C599" s="153"/>
      <c r="D599" s="155"/>
      <c r="E599" s="155"/>
      <c r="F599" s="156"/>
      <c r="G599" s="154"/>
    </row>
    <row r="600" ht="15.75" customHeight="1">
      <c r="A600" s="153"/>
      <c r="B600" s="153"/>
      <c r="C600" s="153"/>
      <c r="D600" s="155"/>
      <c r="E600" s="155"/>
      <c r="F600" s="156"/>
      <c r="G600" s="154"/>
    </row>
    <row r="601" ht="15.75" customHeight="1">
      <c r="A601" s="153"/>
      <c r="B601" s="153"/>
      <c r="C601" s="153"/>
      <c r="D601" s="155"/>
      <c r="E601" s="155"/>
      <c r="F601" s="156"/>
      <c r="G601" s="154"/>
    </row>
    <row r="602" ht="15.75" customHeight="1">
      <c r="A602" s="153"/>
      <c r="B602" s="153"/>
      <c r="C602" s="153"/>
      <c r="D602" s="155"/>
      <c r="E602" s="155"/>
      <c r="F602" s="156"/>
      <c r="G602" s="154"/>
    </row>
    <row r="603" ht="15.75" customHeight="1">
      <c r="A603" s="153"/>
      <c r="B603" s="153"/>
      <c r="C603" s="153"/>
      <c r="D603" s="155"/>
      <c r="E603" s="155"/>
      <c r="F603" s="156"/>
      <c r="G603" s="154"/>
    </row>
    <row r="604" ht="15.75" customHeight="1">
      <c r="A604" s="153"/>
      <c r="B604" s="153"/>
      <c r="C604" s="153"/>
      <c r="D604" s="155"/>
      <c r="E604" s="155"/>
      <c r="F604" s="156"/>
      <c r="G604" s="154"/>
    </row>
    <row r="605" ht="15.75" customHeight="1">
      <c r="A605" s="153"/>
      <c r="B605" s="153"/>
      <c r="C605" s="153"/>
      <c r="D605" s="155"/>
      <c r="E605" s="155"/>
      <c r="F605" s="156"/>
      <c r="G605" s="154"/>
    </row>
    <row r="606" ht="15.75" customHeight="1">
      <c r="A606" s="153"/>
      <c r="B606" s="153"/>
      <c r="C606" s="153"/>
      <c r="D606" s="155"/>
      <c r="E606" s="155"/>
      <c r="F606" s="156"/>
      <c r="G606" s="154"/>
    </row>
    <row r="607" ht="15.75" customHeight="1">
      <c r="A607" s="153"/>
      <c r="B607" s="153"/>
      <c r="C607" s="153"/>
      <c r="D607" s="155"/>
      <c r="E607" s="155"/>
      <c r="F607" s="156"/>
      <c r="G607" s="154"/>
    </row>
    <row r="608" ht="15.75" customHeight="1">
      <c r="A608" s="153"/>
      <c r="B608" s="153"/>
      <c r="C608" s="153"/>
      <c r="D608" s="155"/>
      <c r="E608" s="155"/>
      <c r="F608" s="156"/>
      <c r="G608" s="154"/>
    </row>
    <row r="609" ht="15.75" customHeight="1">
      <c r="A609" s="153"/>
      <c r="B609" s="153"/>
      <c r="C609" s="153"/>
      <c r="D609" s="155"/>
      <c r="E609" s="155"/>
      <c r="F609" s="156"/>
      <c r="G609" s="154"/>
    </row>
    <row r="610" ht="15.75" customHeight="1">
      <c r="A610" s="153"/>
      <c r="B610" s="153"/>
      <c r="C610" s="153"/>
      <c r="D610" s="155"/>
      <c r="E610" s="155"/>
      <c r="F610" s="156"/>
      <c r="G610" s="154"/>
    </row>
    <row r="611" ht="15.75" customHeight="1">
      <c r="A611" s="153"/>
      <c r="B611" s="153"/>
      <c r="C611" s="153"/>
      <c r="D611" s="155"/>
      <c r="E611" s="155"/>
      <c r="F611" s="156"/>
      <c r="G611" s="154"/>
    </row>
    <row r="612" ht="15.75" customHeight="1">
      <c r="A612" s="153"/>
      <c r="B612" s="153"/>
      <c r="C612" s="153"/>
      <c r="D612" s="155"/>
      <c r="E612" s="155"/>
      <c r="F612" s="156"/>
      <c r="G612" s="154"/>
    </row>
    <row r="613" ht="15.75" customHeight="1">
      <c r="A613" s="153"/>
      <c r="B613" s="153"/>
      <c r="C613" s="153"/>
      <c r="D613" s="155"/>
      <c r="E613" s="155"/>
      <c r="F613" s="156"/>
      <c r="G613" s="154"/>
    </row>
    <row r="614" ht="15.75" customHeight="1">
      <c r="A614" s="153"/>
      <c r="B614" s="153"/>
      <c r="C614" s="153"/>
      <c r="D614" s="155"/>
      <c r="E614" s="155"/>
      <c r="F614" s="156"/>
      <c r="G614" s="154"/>
    </row>
    <row r="615" ht="15.75" customHeight="1">
      <c r="A615" s="153"/>
      <c r="B615" s="153"/>
      <c r="C615" s="153"/>
      <c r="D615" s="155"/>
      <c r="E615" s="155"/>
      <c r="F615" s="156"/>
      <c r="G615" s="154"/>
    </row>
    <row r="616" ht="15.75" customHeight="1">
      <c r="A616" s="153"/>
      <c r="B616" s="153"/>
      <c r="C616" s="153"/>
      <c r="D616" s="155"/>
      <c r="E616" s="155"/>
      <c r="F616" s="156"/>
      <c r="G616" s="154"/>
    </row>
    <row r="617" ht="15.75" customHeight="1">
      <c r="A617" s="153"/>
      <c r="B617" s="153"/>
      <c r="C617" s="153"/>
      <c r="D617" s="155"/>
      <c r="E617" s="155"/>
      <c r="F617" s="156"/>
      <c r="G617" s="154"/>
    </row>
    <row r="618" ht="15.75" customHeight="1">
      <c r="A618" s="153"/>
      <c r="B618" s="153"/>
      <c r="C618" s="153"/>
      <c r="D618" s="155"/>
      <c r="E618" s="155"/>
      <c r="F618" s="156"/>
      <c r="G618" s="154"/>
    </row>
    <row r="619" ht="15.75" customHeight="1">
      <c r="A619" s="153"/>
      <c r="B619" s="153"/>
      <c r="C619" s="153"/>
      <c r="D619" s="155"/>
      <c r="E619" s="155"/>
      <c r="F619" s="156"/>
      <c r="G619" s="154"/>
    </row>
    <row r="620" ht="15.75" customHeight="1">
      <c r="A620" s="153"/>
      <c r="B620" s="153"/>
      <c r="C620" s="153"/>
      <c r="D620" s="155"/>
      <c r="E620" s="155"/>
      <c r="F620" s="156"/>
      <c r="G620" s="154"/>
    </row>
    <row r="621" ht="15.75" customHeight="1">
      <c r="A621" s="153"/>
      <c r="B621" s="153"/>
      <c r="C621" s="153"/>
      <c r="D621" s="155"/>
      <c r="E621" s="155"/>
      <c r="F621" s="156"/>
      <c r="G621" s="154"/>
    </row>
    <row r="622" ht="15.75" customHeight="1">
      <c r="A622" s="153"/>
      <c r="B622" s="153"/>
      <c r="C622" s="153"/>
      <c r="D622" s="155"/>
      <c r="E622" s="155"/>
      <c r="F622" s="156"/>
      <c r="G622" s="154"/>
    </row>
    <row r="623" ht="15.75" customHeight="1">
      <c r="A623" s="153"/>
      <c r="B623" s="153"/>
      <c r="C623" s="153"/>
      <c r="D623" s="155"/>
      <c r="E623" s="155"/>
      <c r="F623" s="156"/>
      <c r="G623" s="154"/>
    </row>
    <row r="624" ht="15.75" customHeight="1">
      <c r="A624" s="153"/>
      <c r="B624" s="153"/>
      <c r="C624" s="153"/>
      <c r="D624" s="155"/>
      <c r="E624" s="155"/>
      <c r="F624" s="156"/>
      <c r="G624" s="154"/>
    </row>
    <row r="625" ht="15.75" customHeight="1">
      <c r="A625" s="153"/>
      <c r="B625" s="153"/>
      <c r="C625" s="153"/>
      <c r="D625" s="155"/>
      <c r="E625" s="155"/>
      <c r="F625" s="156"/>
      <c r="G625" s="154"/>
    </row>
    <row r="626" ht="15.75" customHeight="1">
      <c r="A626" s="153"/>
      <c r="B626" s="153"/>
      <c r="C626" s="153"/>
      <c r="D626" s="155"/>
      <c r="E626" s="155"/>
      <c r="F626" s="156"/>
      <c r="G626" s="154"/>
    </row>
    <row r="627" ht="15.75" customHeight="1">
      <c r="A627" s="153"/>
      <c r="B627" s="153"/>
      <c r="C627" s="153"/>
      <c r="D627" s="155"/>
      <c r="E627" s="155"/>
      <c r="F627" s="156"/>
      <c r="G627" s="154"/>
    </row>
    <row r="628" ht="15.75" customHeight="1">
      <c r="A628" s="153"/>
      <c r="B628" s="153"/>
      <c r="C628" s="153"/>
      <c r="D628" s="155"/>
      <c r="E628" s="155"/>
      <c r="F628" s="156"/>
      <c r="G628" s="154"/>
    </row>
    <row r="629" ht="15.75" customHeight="1">
      <c r="A629" s="153"/>
      <c r="B629" s="153"/>
      <c r="C629" s="153"/>
      <c r="D629" s="155"/>
      <c r="E629" s="155"/>
      <c r="F629" s="156"/>
      <c r="G629" s="154"/>
    </row>
    <row r="630" ht="15.75" customHeight="1">
      <c r="A630" s="153"/>
      <c r="B630" s="153"/>
      <c r="C630" s="153"/>
      <c r="D630" s="155"/>
      <c r="E630" s="155"/>
      <c r="F630" s="156"/>
      <c r="G630" s="154"/>
    </row>
    <row r="631" ht="15.75" customHeight="1">
      <c r="A631" s="153"/>
      <c r="B631" s="153"/>
      <c r="C631" s="153"/>
      <c r="D631" s="155"/>
      <c r="E631" s="155"/>
      <c r="F631" s="156"/>
      <c r="G631" s="154"/>
    </row>
    <row r="632" ht="15.75" customHeight="1">
      <c r="A632" s="153"/>
      <c r="B632" s="153"/>
      <c r="C632" s="153"/>
      <c r="D632" s="155"/>
      <c r="E632" s="155"/>
      <c r="F632" s="156"/>
      <c r="G632" s="154"/>
    </row>
    <row r="633" ht="15.75" customHeight="1">
      <c r="A633" s="153"/>
      <c r="B633" s="153"/>
      <c r="C633" s="153"/>
      <c r="D633" s="155"/>
      <c r="E633" s="155"/>
      <c r="F633" s="156"/>
      <c r="G633" s="154"/>
    </row>
    <row r="634" ht="15.75" customHeight="1">
      <c r="A634" s="153"/>
      <c r="B634" s="153"/>
      <c r="C634" s="153"/>
      <c r="D634" s="155"/>
      <c r="E634" s="155"/>
      <c r="F634" s="156"/>
      <c r="G634" s="154"/>
    </row>
    <row r="635" ht="15.75" customHeight="1">
      <c r="A635" s="153"/>
      <c r="B635" s="153"/>
      <c r="C635" s="153"/>
      <c r="D635" s="155"/>
      <c r="E635" s="155"/>
      <c r="F635" s="156"/>
      <c r="G635" s="154"/>
    </row>
    <row r="636" ht="15.75" customHeight="1">
      <c r="A636" s="153"/>
      <c r="B636" s="153"/>
      <c r="C636" s="153"/>
      <c r="D636" s="155"/>
      <c r="E636" s="155"/>
      <c r="F636" s="156"/>
      <c r="G636" s="154"/>
    </row>
    <row r="637" ht="15.75" customHeight="1">
      <c r="A637" s="153"/>
      <c r="B637" s="153"/>
      <c r="C637" s="153"/>
      <c r="D637" s="155"/>
      <c r="E637" s="155"/>
      <c r="F637" s="156"/>
      <c r="G637" s="154"/>
    </row>
    <row r="638" ht="15.75" customHeight="1">
      <c r="A638" s="153"/>
      <c r="B638" s="153"/>
      <c r="C638" s="153"/>
      <c r="D638" s="155"/>
      <c r="E638" s="155"/>
      <c r="F638" s="156"/>
      <c r="G638" s="154"/>
    </row>
    <row r="639" ht="15.75" customHeight="1">
      <c r="A639" s="153"/>
      <c r="B639" s="153"/>
      <c r="C639" s="153"/>
      <c r="D639" s="155"/>
      <c r="E639" s="155"/>
      <c r="F639" s="156"/>
      <c r="G639" s="154"/>
    </row>
    <row r="640" ht="15.75" customHeight="1">
      <c r="A640" s="153"/>
      <c r="B640" s="153"/>
      <c r="C640" s="153"/>
      <c r="D640" s="155"/>
      <c r="E640" s="155"/>
      <c r="F640" s="156"/>
      <c r="G640" s="154"/>
    </row>
    <row r="641" ht="15.75" customHeight="1">
      <c r="A641" s="153"/>
      <c r="B641" s="153"/>
      <c r="C641" s="153"/>
      <c r="D641" s="155"/>
      <c r="E641" s="155"/>
      <c r="F641" s="156"/>
      <c r="G641" s="154"/>
    </row>
    <row r="642" ht="15.75" customHeight="1">
      <c r="A642" s="153"/>
      <c r="B642" s="153"/>
      <c r="C642" s="153"/>
      <c r="D642" s="155"/>
      <c r="E642" s="155"/>
      <c r="F642" s="156"/>
      <c r="G642" s="154"/>
    </row>
    <row r="643" ht="15.75" customHeight="1">
      <c r="A643" s="153"/>
      <c r="B643" s="153"/>
      <c r="C643" s="153"/>
      <c r="D643" s="155"/>
      <c r="E643" s="155"/>
      <c r="F643" s="156"/>
      <c r="G643" s="154"/>
    </row>
    <row r="644" ht="15.75" customHeight="1">
      <c r="A644" s="153"/>
      <c r="B644" s="153"/>
      <c r="C644" s="153"/>
      <c r="D644" s="155"/>
      <c r="E644" s="155"/>
      <c r="F644" s="156"/>
      <c r="G644" s="154"/>
    </row>
    <row r="645" ht="15.75" customHeight="1">
      <c r="A645" s="153"/>
      <c r="B645" s="153"/>
      <c r="C645" s="153"/>
      <c r="D645" s="155"/>
      <c r="E645" s="155"/>
      <c r="F645" s="156"/>
      <c r="G645" s="154"/>
    </row>
    <row r="646" ht="15.75" customHeight="1">
      <c r="A646" s="153"/>
      <c r="B646" s="153"/>
      <c r="C646" s="153"/>
      <c r="D646" s="155"/>
      <c r="E646" s="155"/>
      <c r="F646" s="156"/>
      <c r="G646" s="154"/>
    </row>
    <row r="647" ht="15.75" customHeight="1">
      <c r="A647" s="153"/>
      <c r="B647" s="153"/>
      <c r="C647" s="153"/>
      <c r="D647" s="155"/>
      <c r="E647" s="155"/>
      <c r="F647" s="156"/>
      <c r="G647" s="154"/>
    </row>
    <row r="648" ht="15.75" customHeight="1">
      <c r="A648" s="153"/>
      <c r="B648" s="153"/>
      <c r="C648" s="153"/>
      <c r="D648" s="155"/>
      <c r="E648" s="155"/>
      <c r="F648" s="156"/>
      <c r="G648" s="154"/>
    </row>
    <row r="649" ht="15.75" customHeight="1">
      <c r="A649" s="153"/>
      <c r="B649" s="153"/>
      <c r="C649" s="153"/>
      <c r="D649" s="155"/>
      <c r="E649" s="155"/>
      <c r="F649" s="156"/>
      <c r="G649" s="154"/>
    </row>
    <row r="650" ht="15.75" customHeight="1">
      <c r="A650" s="153"/>
      <c r="B650" s="153"/>
      <c r="C650" s="153"/>
      <c r="D650" s="155"/>
      <c r="E650" s="155"/>
      <c r="F650" s="156"/>
      <c r="G650" s="154"/>
    </row>
    <row r="651" ht="15.75" customHeight="1">
      <c r="A651" s="153"/>
      <c r="B651" s="153"/>
      <c r="C651" s="153"/>
      <c r="D651" s="155"/>
      <c r="E651" s="155"/>
      <c r="F651" s="156"/>
      <c r="G651" s="154"/>
    </row>
    <row r="652" ht="15.75" customHeight="1">
      <c r="A652" s="153"/>
      <c r="B652" s="153"/>
      <c r="C652" s="153"/>
      <c r="D652" s="155"/>
      <c r="E652" s="155"/>
      <c r="F652" s="156"/>
      <c r="G652" s="154"/>
    </row>
    <row r="653" ht="15.75" customHeight="1">
      <c r="A653" s="153"/>
      <c r="B653" s="153"/>
      <c r="C653" s="153"/>
      <c r="D653" s="155"/>
      <c r="E653" s="155"/>
      <c r="F653" s="156"/>
      <c r="G653" s="154"/>
    </row>
    <row r="654" ht="15.75" customHeight="1">
      <c r="A654" s="153"/>
      <c r="B654" s="153"/>
      <c r="C654" s="153"/>
      <c r="D654" s="155"/>
      <c r="E654" s="155"/>
      <c r="F654" s="156"/>
      <c r="G654" s="154"/>
    </row>
    <row r="655" ht="15.75" customHeight="1">
      <c r="A655" s="153"/>
      <c r="B655" s="153"/>
      <c r="C655" s="153"/>
      <c r="D655" s="155"/>
      <c r="E655" s="155"/>
      <c r="F655" s="156"/>
      <c r="G655" s="154"/>
    </row>
    <row r="656" ht="15.75" customHeight="1">
      <c r="A656" s="153"/>
      <c r="B656" s="153"/>
      <c r="C656" s="153"/>
      <c r="D656" s="155"/>
      <c r="E656" s="155"/>
      <c r="F656" s="156"/>
      <c r="G656" s="154"/>
    </row>
    <row r="657" ht="15.75" customHeight="1">
      <c r="A657" s="153"/>
      <c r="B657" s="153"/>
      <c r="C657" s="153"/>
      <c r="D657" s="155"/>
      <c r="E657" s="155"/>
      <c r="F657" s="156"/>
      <c r="G657" s="154"/>
    </row>
    <row r="658" ht="15.75" customHeight="1">
      <c r="A658" s="153"/>
      <c r="B658" s="153"/>
      <c r="C658" s="153"/>
      <c r="D658" s="155"/>
      <c r="E658" s="155"/>
      <c r="F658" s="156"/>
      <c r="G658" s="154"/>
    </row>
    <row r="659" ht="15.75" customHeight="1">
      <c r="A659" s="153"/>
      <c r="B659" s="153"/>
      <c r="C659" s="153"/>
      <c r="D659" s="155"/>
      <c r="E659" s="155"/>
      <c r="F659" s="156"/>
      <c r="G659" s="154"/>
    </row>
    <row r="660" ht="15.75" customHeight="1">
      <c r="A660" s="153"/>
      <c r="B660" s="153"/>
      <c r="C660" s="153"/>
      <c r="D660" s="155"/>
      <c r="E660" s="155"/>
      <c r="F660" s="156"/>
      <c r="G660" s="154"/>
    </row>
    <row r="661" ht="15.75" customHeight="1">
      <c r="A661" s="153"/>
      <c r="B661" s="153"/>
      <c r="C661" s="153"/>
      <c r="D661" s="155"/>
      <c r="E661" s="155"/>
      <c r="F661" s="156"/>
      <c r="G661" s="154"/>
    </row>
    <row r="662" ht="15.75" customHeight="1">
      <c r="A662" s="153"/>
      <c r="B662" s="153"/>
      <c r="C662" s="153"/>
      <c r="D662" s="155"/>
      <c r="E662" s="155"/>
      <c r="F662" s="156"/>
      <c r="G662" s="154"/>
    </row>
    <row r="663" ht="15.75" customHeight="1">
      <c r="A663" s="153"/>
      <c r="B663" s="153"/>
      <c r="C663" s="153"/>
      <c r="D663" s="155"/>
      <c r="E663" s="155"/>
      <c r="F663" s="156"/>
      <c r="G663" s="154"/>
    </row>
    <row r="664" ht="15.75" customHeight="1">
      <c r="A664" s="153"/>
      <c r="B664" s="153"/>
      <c r="C664" s="153"/>
      <c r="D664" s="155"/>
      <c r="E664" s="155"/>
      <c r="F664" s="156"/>
      <c r="G664" s="154"/>
    </row>
    <row r="665" ht="15.75" customHeight="1">
      <c r="A665" s="153"/>
      <c r="B665" s="153"/>
      <c r="C665" s="153"/>
      <c r="D665" s="155"/>
      <c r="E665" s="155"/>
      <c r="F665" s="156"/>
      <c r="G665" s="154"/>
    </row>
    <row r="666" ht="15.75" customHeight="1">
      <c r="A666" s="153"/>
      <c r="B666" s="153"/>
      <c r="C666" s="153"/>
      <c r="D666" s="155"/>
      <c r="E666" s="155"/>
      <c r="F666" s="156"/>
      <c r="G666" s="154"/>
    </row>
    <row r="667" ht="15.75" customHeight="1">
      <c r="A667" s="153"/>
      <c r="B667" s="153"/>
      <c r="C667" s="153"/>
      <c r="D667" s="155"/>
      <c r="E667" s="155"/>
      <c r="F667" s="156"/>
      <c r="G667" s="154"/>
    </row>
    <row r="668" ht="15.75" customHeight="1">
      <c r="A668" s="153"/>
      <c r="B668" s="153"/>
      <c r="C668" s="153"/>
      <c r="D668" s="155"/>
      <c r="E668" s="155"/>
      <c r="F668" s="156"/>
      <c r="G668" s="154"/>
    </row>
    <row r="669" ht="15.75" customHeight="1">
      <c r="A669" s="153"/>
      <c r="B669" s="153"/>
      <c r="C669" s="153"/>
      <c r="D669" s="155"/>
      <c r="E669" s="155"/>
      <c r="F669" s="156"/>
      <c r="G669" s="154"/>
    </row>
    <row r="670" ht="15.75" customHeight="1">
      <c r="A670" s="153"/>
      <c r="B670" s="153"/>
      <c r="C670" s="153"/>
      <c r="D670" s="155"/>
      <c r="E670" s="155"/>
      <c r="F670" s="156"/>
      <c r="G670" s="154"/>
    </row>
    <row r="671" ht="15.75" customHeight="1">
      <c r="A671" s="153"/>
      <c r="B671" s="153"/>
      <c r="C671" s="153"/>
      <c r="D671" s="155"/>
      <c r="E671" s="155"/>
      <c r="F671" s="156"/>
      <c r="G671" s="154"/>
    </row>
    <row r="672" ht="15.75" customHeight="1">
      <c r="A672" s="153"/>
      <c r="B672" s="153"/>
      <c r="C672" s="153"/>
      <c r="D672" s="155"/>
      <c r="E672" s="155"/>
      <c r="F672" s="156"/>
      <c r="G672" s="154"/>
    </row>
    <row r="673" ht="15.75" customHeight="1">
      <c r="A673" s="153"/>
      <c r="B673" s="153"/>
      <c r="C673" s="153"/>
      <c r="D673" s="155"/>
      <c r="E673" s="155"/>
      <c r="F673" s="156"/>
      <c r="G673" s="154"/>
    </row>
    <row r="674" ht="15.75" customHeight="1">
      <c r="A674" s="153"/>
      <c r="B674" s="153"/>
      <c r="C674" s="153"/>
      <c r="D674" s="155"/>
      <c r="E674" s="155"/>
      <c r="F674" s="156"/>
      <c r="G674" s="154"/>
    </row>
    <row r="675" ht="15.75" customHeight="1">
      <c r="A675" s="153"/>
      <c r="B675" s="153"/>
      <c r="C675" s="153"/>
      <c r="D675" s="155"/>
      <c r="E675" s="155"/>
      <c r="F675" s="156"/>
      <c r="G675" s="154"/>
    </row>
    <row r="676" ht="15.75" customHeight="1">
      <c r="A676" s="153"/>
      <c r="B676" s="153"/>
      <c r="C676" s="153"/>
      <c r="D676" s="155"/>
      <c r="E676" s="155"/>
      <c r="F676" s="156"/>
      <c r="G676" s="154"/>
    </row>
    <row r="677" ht="15.75" customHeight="1">
      <c r="A677" s="153"/>
      <c r="B677" s="153"/>
      <c r="C677" s="153"/>
      <c r="D677" s="155"/>
      <c r="E677" s="155"/>
      <c r="F677" s="156"/>
      <c r="G677" s="154"/>
    </row>
    <row r="678" ht="15.75" customHeight="1">
      <c r="A678" s="153"/>
      <c r="B678" s="153"/>
      <c r="C678" s="153"/>
      <c r="D678" s="155"/>
      <c r="E678" s="155"/>
      <c r="F678" s="156"/>
      <c r="G678" s="154"/>
    </row>
    <row r="679" ht="15.75" customHeight="1">
      <c r="A679" s="153"/>
      <c r="B679" s="153"/>
      <c r="C679" s="153"/>
      <c r="D679" s="155"/>
      <c r="E679" s="155"/>
      <c r="F679" s="156"/>
      <c r="G679" s="154"/>
    </row>
    <row r="680" ht="15.75" customHeight="1">
      <c r="A680" s="153"/>
      <c r="B680" s="153"/>
      <c r="C680" s="153"/>
      <c r="D680" s="155"/>
      <c r="E680" s="155"/>
      <c r="F680" s="156"/>
      <c r="G680" s="154"/>
    </row>
    <row r="681" ht="15.75" customHeight="1">
      <c r="A681" s="153"/>
      <c r="B681" s="153"/>
      <c r="C681" s="153"/>
      <c r="D681" s="155"/>
      <c r="E681" s="155"/>
      <c r="F681" s="156"/>
      <c r="G681" s="154"/>
    </row>
    <row r="682" ht="15.75" customHeight="1">
      <c r="A682" s="153"/>
      <c r="B682" s="153"/>
      <c r="C682" s="153"/>
      <c r="D682" s="155"/>
      <c r="E682" s="155"/>
      <c r="F682" s="156"/>
      <c r="G682" s="154"/>
    </row>
    <row r="683" ht="15.75" customHeight="1">
      <c r="A683" s="153"/>
      <c r="B683" s="153"/>
      <c r="C683" s="153"/>
      <c r="D683" s="155"/>
      <c r="E683" s="155"/>
      <c r="F683" s="156"/>
      <c r="G683" s="154"/>
    </row>
    <row r="684" ht="15.75" customHeight="1">
      <c r="A684" s="153"/>
      <c r="B684" s="153"/>
      <c r="C684" s="153"/>
      <c r="D684" s="155"/>
      <c r="E684" s="155"/>
      <c r="F684" s="156"/>
      <c r="G684" s="154"/>
    </row>
    <row r="685" ht="15.75" customHeight="1">
      <c r="A685" s="153"/>
      <c r="B685" s="153"/>
      <c r="C685" s="153"/>
      <c r="D685" s="155"/>
      <c r="E685" s="155"/>
      <c r="F685" s="156"/>
      <c r="G685" s="154"/>
    </row>
    <row r="686" ht="15.75" customHeight="1">
      <c r="A686" s="153"/>
      <c r="B686" s="153"/>
      <c r="C686" s="153"/>
      <c r="D686" s="155"/>
      <c r="E686" s="155"/>
      <c r="F686" s="156"/>
      <c r="G686" s="154"/>
    </row>
    <row r="687" ht="15.75" customHeight="1">
      <c r="A687" s="153"/>
      <c r="B687" s="153"/>
      <c r="C687" s="153"/>
      <c r="D687" s="155"/>
      <c r="E687" s="155"/>
      <c r="F687" s="156"/>
      <c r="G687" s="154"/>
    </row>
    <row r="688" ht="15.75" customHeight="1">
      <c r="A688" s="153"/>
      <c r="B688" s="153"/>
      <c r="C688" s="153"/>
      <c r="D688" s="155"/>
      <c r="E688" s="155"/>
      <c r="F688" s="156"/>
      <c r="G688" s="154"/>
    </row>
    <row r="689" ht="15.75" customHeight="1">
      <c r="A689" s="153"/>
      <c r="B689" s="153"/>
      <c r="C689" s="153"/>
      <c r="D689" s="155"/>
      <c r="E689" s="155"/>
      <c r="F689" s="156"/>
      <c r="G689" s="154"/>
    </row>
    <row r="690" ht="15.75" customHeight="1">
      <c r="A690" s="153"/>
      <c r="B690" s="153"/>
      <c r="C690" s="153"/>
      <c r="D690" s="155"/>
      <c r="E690" s="155"/>
      <c r="F690" s="156"/>
      <c r="G690" s="154"/>
    </row>
    <row r="691" ht="15.75" customHeight="1">
      <c r="A691" s="153"/>
      <c r="B691" s="153"/>
      <c r="C691" s="153"/>
      <c r="D691" s="155"/>
      <c r="E691" s="155"/>
      <c r="F691" s="156"/>
      <c r="G691" s="154"/>
    </row>
    <row r="692" ht="15.75" customHeight="1">
      <c r="A692" s="153"/>
      <c r="B692" s="153"/>
      <c r="C692" s="153"/>
      <c r="D692" s="155"/>
      <c r="E692" s="155"/>
      <c r="F692" s="156"/>
      <c r="G692" s="154"/>
    </row>
    <row r="693" ht="15.75" customHeight="1">
      <c r="A693" s="153"/>
      <c r="B693" s="153"/>
      <c r="C693" s="153"/>
      <c r="D693" s="155"/>
      <c r="E693" s="155"/>
      <c r="F693" s="156"/>
      <c r="G693" s="154"/>
    </row>
    <row r="694" ht="15.75" customHeight="1">
      <c r="A694" s="153"/>
      <c r="B694" s="153"/>
      <c r="C694" s="153"/>
      <c r="D694" s="155"/>
      <c r="E694" s="155"/>
      <c r="F694" s="156"/>
      <c r="G694" s="154"/>
    </row>
    <row r="695" ht="15.75" customHeight="1">
      <c r="A695" s="153"/>
      <c r="B695" s="153"/>
      <c r="C695" s="153"/>
      <c r="D695" s="155"/>
      <c r="E695" s="155"/>
      <c r="F695" s="156"/>
      <c r="G695" s="154"/>
    </row>
    <row r="696" ht="15.75" customHeight="1">
      <c r="A696" s="153"/>
      <c r="B696" s="153"/>
      <c r="C696" s="153"/>
      <c r="D696" s="155"/>
      <c r="E696" s="155"/>
      <c r="F696" s="156"/>
      <c r="G696" s="154"/>
    </row>
    <row r="697" ht="15.75" customHeight="1">
      <c r="A697" s="153"/>
      <c r="B697" s="153"/>
      <c r="C697" s="153"/>
      <c r="D697" s="155"/>
      <c r="E697" s="155"/>
      <c r="F697" s="156"/>
      <c r="G697" s="154"/>
    </row>
    <row r="698" ht="15.75" customHeight="1">
      <c r="A698" s="153"/>
      <c r="B698" s="153"/>
      <c r="C698" s="153"/>
      <c r="D698" s="155"/>
      <c r="E698" s="155"/>
      <c r="F698" s="156"/>
      <c r="G698" s="154"/>
    </row>
    <row r="699" ht="15.75" customHeight="1">
      <c r="A699" s="153"/>
      <c r="B699" s="153"/>
      <c r="C699" s="153"/>
      <c r="D699" s="155"/>
      <c r="E699" s="155"/>
      <c r="F699" s="156"/>
      <c r="G699" s="154"/>
    </row>
    <row r="700" ht="15.75" customHeight="1">
      <c r="A700" s="153"/>
      <c r="B700" s="153"/>
      <c r="C700" s="153"/>
      <c r="D700" s="155"/>
      <c r="E700" s="155"/>
      <c r="F700" s="156"/>
      <c r="G700" s="154"/>
    </row>
    <row r="701" ht="15.75" customHeight="1">
      <c r="A701" s="153"/>
      <c r="B701" s="153"/>
      <c r="C701" s="153"/>
      <c r="D701" s="155"/>
      <c r="E701" s="155"/>
      <c r="F701" s="156"/>
      <c r="G701" s="154"/>
    </row>
    <row r="702" ht="15.75" customHeight="1">
      <c r="A702" s="153"/>
      <c r="B702" s="153"/>
      <c r="C702" s="153"/>
      <c r="D702" s="155"/>
      <c r="E702" s="155"/>
      <c r="F702" s="156"/>
      <c r="G702" s="154"/>
    </row>
    <row r="703" ht="15.75" customHeight="1">
      <c r="A703" s="153"/>
      <c r="B703" s="153"/>
      <c r="C703" s="153"/>
      <c r="D703" s="155"/>
      <c r="E703" s="155"/>
      <c r="F703" s="156"/>
      <c r="G703" s="154"/>
    </row>
    <row r="704" ht="15.75" customHeight="1">
      <c r="A704" s="153"/>
      <c r="B704" s="153"/>
      <c r="C704" s="153"/>
      <c r="D704" s="155"/>
      <c r="E704" s="155"/>
      <c r="F704" s="156"/>
      <c r="G704" s="154"/>
    </row>
    <row r="705" ht="15.75" customHeight="1">
      <c r="A705" s="153"/>
      <c r="B705" s="153"/>
      <c r="C705" s="153"/>
      <c r="D705" s="155"/>
      <c r="E705" s="155"/>
      <c r="F705" s="156"/>
      <c r="G705" s="154"/>
    </row>
    <row r="706" ht="15.75" customHeight="1">
      <c r="A706" s="153"/>
      <c r="B706" s="153"/>
      <c r="C706" s="153"/>
      <c r="D706" s="155"/>
      <c r="E706" s="155"/>
      <c r="F706" s="156"/>
      <c r="G706" s="154"/>
    </row>
    <row r="707" ht="15.75" customHeight="1">
      <c r="A707" s="153"/>
      <c r="B707" s="153"/>
      <c r="C707" s="153"/>
      <c r="D707" s="155"/>
      <c r="E707" s="155"/>
      <c r="F707" s="156"/>
      <c r="G707" s="154"/>
    </row>
    <row r="708" ht="15.75" customHeight="1">
      <c r="A708" s="153"/>
      <c r="B708" s="153"/>
      <c r="C708" s="153"/>
      <c r="D708" s="155"/>
      <c r="E708" s="155"/>
      <c r="F708" s="156"/>
      <c r="G708" s="154"/>
    </row>
    <row r="709" ht="15.75" customHeight="1">
      <c r="A709" s="153"/>
      <c r="B709" s="153"/>
      <c r="C709" s="153"/>
      <c r="D709" s="155"/>
      <c r="E709" s="155"/>
      <c r="F709" s="156"/>
      <c r="G709" s="154"/>
    </row>
    <row r="710" ht="15.75" customHeight="1">
      <c r="A710" s="153"/>
      <c r="B710" s="153"/>
      <c r="C710" s="153"/>
      <c r="D710" s="155"/>
      <c r="E710" s="155"/>
      <c r="F710" s="156"/>
      <c r="G710" s="154"/>
    </row>
    <row r="711" ht="15.75" customHeight="1">
      <c r="A711" s="153"/>
      <c r="B711" s="153"/>
      <c r="C711" s="153"/>
      <c r="D711" s="155"/>
      <c r="E711" s="155"/>
      <c r="F711" s="156"/>
      <c r="G711" s="154"/>
    </row>
    <row r="712" ht="15.75" customHeight="1">
      <c r="A712" s="153"/>
      <c r="B712" s="153"/>
      <c r="C712" s="153"/>
      <c r="D712" s="155"/>
      <c r="E712" s="155"/>
      <c r="F712" s="156"/>
      <c r="G712" s="154"/>
    </row>
    <row r="713" ht="15.75" customHeight="1">
      <c r="A713" s="153"/>
      <c r="B713" s="153"/>
      <c r="C713" s="153"/>
      <c r="D713" s="155"/>
      <c r="E713" s="155"/>
      <c r="F713" s="156"/>
      <c r="G713" s="154"/>
    </row>
    <row r="714" ht="15.75" customHeight="1">
      <c r="A714" s="153"/>
      <c r="B714" s="153"/>
      <c r="C714" s="153"/>
      <c r="D714" s="155"/>
      <c r="E714" s="155"/>
      <c r="F714" s="156"/>
      <c r="G714" s="154"/>
    </row>
    <row r="715" ht="15.75" customHeight="1">
      <c r="A715" s="153"/>
      <c r="B715" s="153"/>
      <c r="C715" s="153"/>
      <c r="D715" s="155"/>
      <c r="E715" s="155"/>
      <c r="F715" s="156"/>
      <c r="G715" s="154"/>
    </row>
    <row r="716" ht="15.75" customHeight="1">
      <c r="A716" s="153"/>
      <c r="B716" s="153"/>
      <c r="C716" s="153"/>
      <c r="D716" s="155"/>
      <c r="E716" s="155"/>
      <c r="F716" s="156"/>
      <c r="G716" s="154"/>
    </row>
    <row r="717" ht="15.75" customHeight="1">
      <c r="A717" s="153"/>
      <c r="B717" s="153"/>
      <c r="C717" s="153"/>
      <c r="D717" s="155"/>
      <c r="E717" s="155"/>
      <c r="F717" s="156"/>
      <c r="G717" s="154"/>
    </row>
    <row r="718" ht="15.75" customHeight="1">
      <c r="A718" s="153"/>
      <c r="B718" s="153"/>
      <c r="C718" s="153"/>
      <c r="D718" s="155"/>
      <c r="E718" s="155"/>
      <c r="F718" s="156"/>
      <c r="G718" s="154"/>
    </row>
    <row r="719" ht="15.75" customHeight="1">
      <c r="A719" s="153"/>
      <c r="B719" s="153"/>
      <c r="C719" s="153"/>
      <c r="D719" s="155"/>
      <c r="E719" s="155"/>
      <c r="F719" s="156"/>
      <c r="G719" s="154"/>
    </row>
    <row r="720" ht="15.75" customHeight="1">
      <c r="A720" s="153"/>
      <c r="B720" s="153"/>
      <c r="C720" s="153"/>
      <c r="D720" s="155"/>
      <c r="E720" s="155"/>
      <c r="F720" s="156"/>
      <c r="G720" s="154"/>
    </row>
    <row r="721" ht="15.75" customHeight="1">
      <c r="A721" s="153"/>
      <c r="B721" s="153"/>
      <c r="C721" s="153"/>
      <c r="D721" s="155"/>
      <c r="E721" s="155"/>
      <c r="F721" s="156"/>
      <c r="G721" s="154"/>
    </row>
    <row r="722" ht="15.75" customHeight="1">
      <c r="A722" s="153"/>
      <c r="B722" s="153"/>
      <c r="C722" s="153"/>
      <c r="D722" s="155"/>
      <c r="E722" s="155"/>
      <c r="F722" s="156"/>
      <c r="G722" s="154"/>
    </row>
    <row r="723" ht="15.75" customHeight="1">
      <c r="A723" s="153"/>
      <c r="B723" s="153"/>
      <c r="C723" s="153"/>
      <c r="D723" s="155"/>
      <c r="E723" s="155"/>
      <c r="F723" s="156"/>
      <c r="G723" s="154"/>
    </row>
    <row r="724" ht="15.75" customHeight="1">
      <c r="A724" s="153"/>
      <c r="B724" s="153"/>
      <c r="C724" s="153"/>
      <c r="D724" s="155"/>
      <c r="E724" s="155"/>
      <c r="F724" s="156"/>
      <c r="G724" s="154"/>
    </row>
    <row r="725" ht="15.75" customHeight="1">
      <c r="A725" s="153"/>
      <c r="B725" s="153"/>
      <c r="C725" s="153"/>
      <c r="D725" s="155"/>
      <c r="E725" s="155"/>
      <c r="F725" s="156"/>
      <c r="G725" s="154"/>
    </row>
    <row r="726" ht="15.75" customHeight="1">
      <c r="A726" s="153"/>
      <c r="B726" s="153"/>
      <c r="C726" s="153"/>
      <c r="D726" s="155"/>
      <c r="E726" s="155"/>
      <c r="F726" s="156"/>
      <c r="G726" s="154"/>
    </row>
    <row r="727" ht="15.75" customHeight="1">
      <c r="A727" s="153"/>
      <c r="B727" s="153"/>
      <c r="C727" s="153"/>
      <c r="D727" s="155"/>
      <c r="E727" s="155"/>
      <c r="F727" s="156"/>
      <c r="G727" s="154"/>
    </row>
    <row r="728" ht="15.75" customHeight="1">
      <c r="A728" s="153"/>
      <c r="B728" s="153"/>
      <c r="C728" s="153"/>
      <c r="D728" s="155"/>
      <c r="E728" s="155"/>
      <c r="F728" s="156"/>
      <c r="G728" s="154"/>
    </row>
    <row r="729" ht="15.75" customHeight="1">
      <c r="A729" s="153"/>
      <c r="B729" s="153"/>
      <c r="C729" s="153"/>
      <c r="D729" s="155"/>
      <c r="E729" s="155"/>
      <c r="F729" s="156"/>
      <c r="G729" s="154"/>
    </row>
    <row r="730" ht="15.75" customHeight="1">
      <c r="A730" s="153"/>
      <c r="B730" s="153"/>
      <c r="C730" s="153"/>
      <c r="D730" s="155"/>
      <c r="E730" s="155"/>
      <c r="F730" s="156"/>
      <c r="G730" s="154"/>
    </row>
    <row r="731" ht="15.75" customHeight="1">
      <c r="A731" s="153"/>
      <c r="B731" s="153"/>
      <c r="C731" s="153"/>
      <c r="D731" s="155"/>
      <c r="E731" s="155"/>
      <c r="F731" s="156"/>
      <c r="G731" s="154"/>
    </row>
    <row r="732" ht="15.75" customHeight="1">
      <c r="A732" s="153"/>
      <c r="B732" s="153"/>
      <c r="C732" s="153"/>
      <c r="D732" s="155"/>
      <c r="E732" s="155"/>
      <c r="F732" s="156"/>
      <c r="G732" s="154"/>
    </row>
    <row r="733" ht="15.75" customHeight="1">
      <c r="A733" s="153"/>
      <c r="B733" s="153"/>
      <c r="C733" s="153"/>
      <c r="D733" s="155"/>
      <c r="E733" s="155"/>
      <c r="F733" s="156"/>
      <c r="G733" s="154"/>
    </row>
    <row r="734" ht="15.75" customHeight="1">
      <c r="A734" s="153"/>
      <c r="B734" s="153"/>
      <c r="C734" s="153"/>
      <c r="D734" s="155"/>
      <c r="E734" s="155"/>
      <c r="F734" s="156"/>
      <c r="G734" s="154"/>
    </row>
    <row r="735" ht="15.75" customHeight="1">
      <c r="A735" s="153"/>
      <c r="B735" s="153"/>
      <c r="C735" s="153"/>
      <c r="D735" s="155"/>
      <c r="E735" s="155"/>
      <c r="F735" s="156"/>
      <c r="G735" s="154"/>
    </row>
    <row r="736" ht="15.75" customHeight="1">
      <c r="A736" s="40"/>
      <c r="B736" s="41"/>
      <c r="C736" s="157"/>
      <c r="D736" s="38"/>
      <c r="E736" s="38"/>
      <c r="F736" s="38"/>
      <c r="G736" s="38"/>
    </row>
  </sheetData>
  <mergeCells count="20">
    <mergeCell ref="A2:B2"/>
    <mergeCell ref="A14:B14"/>
    <mergeCell ref="A24:B24"/>
    <mergeCell ref="A27:B27"/>
    <mergeCell ref="A37:B37"/>
    <mergeCell ref="A45:B45"/>
    <mergeCell ref="A54:B54"/>
    <mergeCell ref="A129:B129"/>
    <mergeCell ref="A133:B133"/>
    <mergeCell ref="A140:B140"/>
    <mergeCell ref="A145:B145"/>
    <mergeCell ref="A149:B149"/>
    <mergeCell ref="A152:B152"/>
    <mergeCell ref="A80:B80"/>
    <mergeCell ref="A87:B87"/>
    <mergeCell ref="A92:B92"/>
    <mergeCell ref="A103:B103"/>
    <mergeCell ref="A111:B111"/>
    <mergeCell ref="A115:B115"/>
    <mergeCell ref="A126:B126"/>
  </mergeCells>
  <conditionalFormatting sqref="C3:C17 C19 C22:C30 C32:C38 C40:C47 C49:C72 C74:C79 C81:C84 C86:C95 C97:C103 C105:C107 C109:C125 C127:C132 C134:C137 C139:C141 C143:C736">
    <cfRule type="containsText" dxfId="1" priority="1" operator="containsText" text="Mayor a 5">
      <formula>NOT(ISERROR(SEARCH(("Mayor a 5"),(C3))))</formula>
    </cfRule>
  </conditionalFormatting>
  <conditionalFormatting sqref="C3:C17 C19 C22:C30 C32:C38 C40:C47 C49:C72 C74:C79 C81:C84 C86:C95 C97:C103 C105:C107 C109:C125 C127:C132 C134:C137 C139:C141 C143:C736">
    <cfRule type="containsText" dxfId="2" priority="2" operator="containsText" text="Menor a 5">
      <formula>NOT(ISERROR(SEARCH(("Menor a 5"),(C3))))</formula>
    </cfRule>
  </conditionalFormatting>
  <conditionalFormatting sqref="C3:C17 C19 C22:C30 C32:C38 C40:C47 C49:C72 C74:C79 C81:C84 C86:C95 C97:C103 C105:C107 C109:C125 C127:C132 C134:C137 C139:C141 C143:C736">
    <cfRule type="containsText" dxfId="3" priority="3" operator="containsText" text="Sin stock">
      <formula>NOT(ISERROR(SEARCH(("Sin stock"),(C3))))</formula>
    </cfRule>
  </conditionalFormatting>
  <conditionalFormatting sqref="D1:G736">
    <cfRule type="containsText" dxfId="3" priority="4" operator="containsText" text="SIN STOCK">
      <formula>NOT(ISERROR(SEARCH(("SIN STOCK"),(D1))))</formula>
    </cfRule>
  </conditionalFormatting>
  <conditionalFormatting sqref="D1:G736">
    <cfRule type="containsText" dxfId="1" priority="5" operator="containsText" text="Mayor a 5">
      <formula>NOT(ISERROR(SEARCH(("Mayor a 5"),(D1))))</formula>
    </cfRule>
  </conditionalFormatting>
  <conditionalFormatting sqref="D1:G736">
    <cfRule type="containsText" dxfId="2" priority="6" operator="containsText" text="Menor a 5">
      <formula>NOT(ISERROR(SEARCH(("Menor a 5"),(D1))))</formula>
    </cfRule>
  </conditionalFormatting>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5"/>
    <hyperlink r:id="rId13" ref="B16"/>
    <hyperlink r:id="rId14" ref="B17"/>
    <hyperlink r:id="rId15" ref="B18"/>
    <hyperlink r:id="rId16" ref="B19"/>
    <hyperlink r:id="rId17" ref="B20"/>
    <hyperlink r:id="rId18" ref="B21"/>
    <hyperlink r:id="rId19" ref="B22"/>
    <hyperlink r:id="rId20" ref="B23"/>
    <hyperlink r:id="rId21" ref="B25"/>
    <hyperlink r:id="rId22" ref="B26"/>
    <hyperlink r:id="rId23" ref="B28"/>
    <hyperlink r:id="rId24" ref="B29"/>
    <hyperlink r:id="rId25" ref="B30"/>
    <hyperlink r:id="rId26" ref="B31"/>
    <hyperlink r:id="rId27" ref="B32"/>
    <hyperlink r:id="rId28" ref="B33"/>
    <hyperlink r:id="rId29" ref="B34"/>
    <hyperlink r:id="rId30" ref="B35"/>
    <hyperlink r:id="rId31" ref="B36"/>
    <hyperlink r:id="rId32" ref="B38"/>
    <hyperlink r:id="rId33" ref="B39"/>
    <hyperlink r:id="rId34" ref="B40"/>
    <hyperlink r:id="rId35" ref="B41"/>
    <hyperlink r:id="rId36" ref="B42"/>
    <hyperlink r:id="rId37" ref="B43"/>
    <hyperlink r:id="rId38" ref="B44"/>
    <hyperlink r:id="rId39" ref="B46"/>
    <hyperlink r:id="rId40" ref="B47"/>
    <hyperlink r:id="rId41" ref="B48"/>
    <hyperlink r:id="rId42" ref="B49"/>
    <hyperlink r:id="rId43" ref="B50"/>
    <hyperlink r:id="rId44" ref="B51"/>
    <hyperlink r:id="rId45" ref="B52"/>
    <hyperlink r:id="rId46" ref="B53"/>
    <hyperlink r:id="rId47" ref="B56"/>
    <hyperlink r:id="rId48" ref="B57"/>
    <hyperlink r:id="rId49" ref="B59"/>
    <hyperlink r:id="rId50" ref="B60"/>
    <hyperlink r:id="rId51" ref="B61"/>
    <hyperlink r:id="rId52" ref="B62"/>
    <hyperlink r:id="rId53" ref="B63"/>
    <hyperlink r:id="rId54" ref="B64"/>
    <hyperlink r:id="rId55" ref="B65"/>
    <hyperlink r:id="rId56" ref="B66"/>
    <hyperlink r:id="rId57" ref="B67"/>
    <hyperlink r:id="rId58" ref="B68"/>
    <hyperlink r:id="rId59" ref="B69"/>
    <hyperlink r:id="rId60" ref="B70"/>
    <hyperlink r:id="rId61" ref="B74"/>
    <hyperlink r:id="rId62" ref="B75"/>
    <hyperlink r:id="rId63" ref="B76"/>
    <hyperlink r:id="rId64" ref="B77"/>
    <hyperlink r:id="rId65" ref="B78"/>
    <hyperlink r:id="rId66" ref="B81"/>
    <hyperlink r:id="rId67" ref="B82"/>
    <hyperlink r:id="rId68" ref="B83"/>
    <hyperlink r:id="rId69" ref="B84"/>
    <hyperlink r:id="rId70" ref="B85"/>
    <hyperlink r:id="rId71" ref="B86"/>
    <hyperlink r:id="rId72" ref="B88"/>
    <hyperlink r:id="rId73" ref="B89"/>
    <hyperlink r:id="rId74" ref="B90"/>
    <hyperlink r:id="rId75" ref="B91"/>
    <hyperlink r:id="rId76" ref="B93"/>
    <hyperlink r:id="rId77" ref="B94"/>
    <hyperlink r:id="rId78" ref="B95"/>
    <hyperlink r:id="rId79" ref="B96"/>
    <hyperlink r:id="rId80" ref="B97"/>
    <hyperlink r:id="rId81" ref="B98"/>
    <hyperlink r:id="rId82" ref="B99"/>
    <hyperlink r:id="rId83" ref="B100"/>
    <hyperlink r:id="rId84" ref="B101"/>
    <hyperlink r:id="rId85" ref="B102"/>
    <hyperlink r:id="rId86" ref="B104"/>
    <hyperlink r:id="rId87" ref="B105"/>
    <hyperlink r:id="rId88" ref="B106"/>
    <hyperlink r:id="rId89" ref="B107"/>
    <hyperlink r:id="rId90" ref="B108"/>
    <hyperlink r:id="rId91" ref="B109"/>
    <hyperlink r:id="rId92" ref="B110"/>
    <hyperlink r:id="rId93" ref="B112"/>
    <hyperlink r:id="rId94" ref="B113"/>
    <hyperlink r:id="rId95" ref="B114"/>
    <hyperlink r:id="rId96" ref="B116"/>
    <hyperlink r:id="rId97" ref="B117"/>
    <hyperlink r:id="rId98" ref="B118"/>
    <hyperlink r:id="rId99" ref="B119"/>
    <hyperlink r:id="rId100" ref="B120"/>
    <hyperlink r:id="rId101" ref="B121"/>
    <hyperlink r:id="rId102" ref="B122"/>
    <hyperlink r:id="rId103" ref="B123"/>
    <hyperlink r:id="rId104" ref="B124"/>
    <hyperlink r:id="rId105" ref="B125"/>
    <hyperlink r:id="rId106" ref="B127"/>
    <hyperlink r:id="rId107" ref="B128"/>
    <hyperlink r:id="rId108" ref="B130"/>
    <hyperlink r:id="rId109" ref="B131"/>
    <hyperlink r:id="rId110" ref="B132"/>
    <hyperlink r:id="rId111" ref="B134"/>
    <hyperlink r:id="rId112" ref="B135"/>
    <hyperlink r:id="rId113" ref="B136"/>
    <hyperlink r:id="rId114" ref="B137"/>
    <hyperlink r:id="rId115" ref="B138"/>
    <hyperlink r:id="rId116" ref="B139"/>
    <hyperlink r:id="rId117" ref="B141"/>
    <hyperlink r:id="rId118" ref="B142"/>
    <hyperlink r:id="rId119" ref="B143"/>
    <hyperlink r:id="rId120" ref="B144"/>
    <hyperlink r:id="rId121" ref="B146"/>
    <hyperlink r:id="rId122" ref="B147"/>
    <hyperlink r:id="rId123" ref="B148"/>
    <hyperlink r:id="rId124" ref="B151"/>
  </hyperlinks>
  <printOptions/>
  <pageMargins bottom="0.75" footer="0.0" header="0.0" left="0.7" right="0.7" top="0.75"/>
  <pageSetup orientation="landscape"/>
  <drawing r:id="rId12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pageSetUpPr/>
  </sheetPr>
  <sheetViews>
    <sheetView workbookViewId="0"/>
  </sheetViews>
  <sheetFormatPr customHeight="1" defaultColWidth="12.63" defaultRowHeight="15.0"/>
  <cols>
    <col customWidth="1" min="1" max="1" width="13.25"/>
    <col customWidth="1" min="2" max="2" width="21.5"/>
    <col customWidth="1" min="3" max="3" width="74.0"/>
    <col customWidth="1" min="4" max="4" width="15.0"/>
    <col customWidth="1" min="5" max="5" width="14.25"/>
    <col customWidth="1" min="6" max="7" width="9.25"/>
  </cols>
  <sheetData>
    <row r="1" ht="15.75" customHeight="1">
      <c r="A1" s="8" t="s">
        <v>23</v>
      </c>
      <c r="B1" s="8" t="s">
        <v>24</v>
      </c>
      <c r="C1" s="8" t="s">
        <v>25</v>
      </c>
      <c r="D1" s="119" t="s">
        <v>26</v>
      </c>
      <c r="E1" s="26" t="s">
        <v>27</v>
      </c>
      <c r="F1" s="83" t="s">
        <v>28</v>
      </c>
      <c r="G1" s="8" t="s">
        <v>29</v>
      </c>
    </row>
    <row r="2" ht="15.75" customHeight="1">
      <c r="A2" s="28" t="s">
        <v>3262</v>
      </c>
      <c r="C2" s="92"/>
      <c r="D2" s="51"/>
      <c r="E2" s="121"/>
      <c r="F2" s="106"/>
      <c r="G2" s="92"/>
    </row>
    <row r="3" ht="15.75" customHeight="1">
      <c r="A3" s="158" t="s">
        <v>3263</v>
      </c>
      <c r="B3" s="95" t="s">
        <v>3264</v>
      </c>
      <c r="C3" s="159" t="s">
        <v>3265</v>
      </c>
      <c r="D3" s="96" t="s">
        <v>3266</v>
      </c>
      <c r="E3" s="96" t="s">
        <v>3267</v>
      </c>
      <c r="F3" s="97">
        <v>0.105</v>
      </c>
      <c r="G3" s="160" t="str">
        <f>VLOOKUP("MIC-UASD-1",STOCK!$B$2:$Q$3653,3,FALSE)</f>
        <v>Menor a 5</v>
      </c>
    </row>
    <row r="4" ht="15.75" customHeight="1">
      <c r="A4" s="161" t="s">
        <v>3263</v>
      </c>
      <c r="B4" s="162" t="s">
        <v>3268</v>
      </c>
      <c r="C4" s="163" t="s">
        <v>3269</v>
      </c>
      <c r="D4" s="101" t="s">
        <v>3270</v>
      </c>
      <c r="E4" s="101" t="s">
        <v>3271</v>
      </c>
      <c r="F4" s="102">
        <v>0.105</v>
      </c>
      <c r="G4" s="49" t="str">
        <f>VLOOKUP("MIC-UASP-1",STOCK!$B$2:$Q$3653,3,FALSE)</f>
        <v>Menor a 5</v>
      </c>
    </row>
    <row r="5" ht="15.75" customHeight="1">
      <c r="A5" s="158" t="s">
        <v>3263</v>
      </c>
      <c r="B5" s="164" t="s">
        <v>3272</v>
      </c>
      <c r="C5" s="159" t="s">
        <v>3273</v>
      </c>
      <c r="D5" s="96" t="s">
        <v>3274</v>
      </c>
      <c r="E5" s="96" t="s">
        <v>3275</v>
      </c>
      <c r="F5" s="97">
        <v>0.105</v>
      </c>
      <c r="G5" s="46" t="str">
        <f>IFERROR(VLOOKUP("MIC-UASD-3",STOCK!B4:Q3655,3,FALSE),"SIN STOCK")</f>
        <v>SIN STOCK</v>
      </c>
    </row>
    <row r="6" ht="15.75" customHeight="1">
      <c r="A6" s="161" t="s">
        <v>3263</v>
      </c>
      <c r="B6" s="162" t="s">
        <v>3276</v>
      </c>
      <c r="C6" s="163" t="s">
        <v>3277</v>
      </c>
      <c r="D6" s="101" t="s">
        <v>3278</v>
      </c>
      <c r="E6" s="101" t="s">
        <v>3279</v>
      </c>
      <c r="F6" s="102">
        <v>0.105</v>
      </c>
      <c r="G6" s="49" t="str">
        <f>VLOOKUP("MIC-UASD-3X3",STOCK!$B$2:$Q$3653,3,FALSE)</f>
        <v>Menor a 5</v>
      </c>
    </row>
    <row r="7" ht="15.75" customHeight="1">
      <c r="A7" s="158" t="s">
        <v>3263</v>
      </c>
      <c r="B7" s="164" t="s">
        <v>3280</v>
      </c>
      <c r="C7" s="159" t="s">
        <v>3281</v>
      </c>
      <c r="D7" s="96" t="s">
        <v>3282</v>
      </c>
      <c r="E7" s="96" t="s">
        <v>3283</v>
      </c>
      <c r="F7" s="102">
        <v>0.105</v>
      </c>
      <c r="G7" s="49" t="str">
        <f>VLOOKUP("MIC-UASD-5",STOCK!$B$2:$Q$3653,3,FALSE)</f>
        <v>Menor a 5</v>
      </c>
    </row>
    <row r="8" ht="15.75" customHeight="1">
      <c r="A8" s="161" t="s">
        <v>3263</v>
      </c>
      <c r="B8" s="165" t="s">
        <v>3284</v>
      </c>
      <c r="C8" s="163" t="s">
        <v>3285</v>
      </c>
      <c r="D8" s="101" t="s">
        <v>3286</v>
      </c>
      <c r="E8" s="101" t="s">
        <v>3287</v>
      </c>
      <c r="F8" s="102">
        <v>0.105</v>
      </c>
      <c r="G8" s="49" t="str">
        <f>VLOOKUP("MIC-UASD-7",STOCK!$B$2:$Q$3653,3,FALSE)</f>
        <v>Menor a 5</v>
      </c>
    </row>
    <row r="9" ht="15.75" customHeight="1">
      <c r="A9" s="158" t="s">
        <v>3263</v>
      </c>
      <c r="B9" s="166" t="s">
        <v>3288</v>
      </c>
      <c r="C9" s="159" t="s">
        <v>3289</v>
      </c>
      <c r="D9" s="96" t="s">
        <v>3290</v>
      </c>
      <c r="E9" s="96" t="s">
        <v>3291</v>
      </c>
      <c r="F9" s="97">
        <v>0.105</v>
      </c>
      <c r="G9" s="46" t="str">
        <f>IFERROR(VLOOKUP("MIC-UA187",STOCK!B4:Q3655,3,FALSE),"SIN STOCK")</f>
        <v>SIN STOCK</v>
      </c>
    </row>
    <row r="10" ht="15.75" customHeight="1">
      <c r="A10" s="161" t="s">
        <v>3263</v>
      </c>
      <c r="B10" s="162" t="s">
        <v>3292</v>
      </c>
      <c r="C10" s="163" t="s">
        <v>3293</v>
      </c>
      <c r="D10" s="101" t="s">
        <v>3294</v>
      </c>
      <c r="E10" s="101" t="s">
        <v>3295</v>
      </c>
      <c r="F10" s="102">
        <v>0.105</v>
      </c>
      <c r="G10" s="46" t="str">
        <f>IFERROR(VLOOKUP("MIC-UA167",STOCK!B4:Q3655,3,FALSE),"SIN STOCK")</f>
        <v>SIN STOCK</v>
      </c>
    </row>
    <row r="11" ht="15.75" customHeight="1">
      <c r="A11" s="158" t="s">
        <v>3263</v>
      </c>
      <c r="B11" s="166" t="s">
        <v>3296</v>
      </c>
      <c r="C11" s="159" t="s">
        <v>3297</v>
      </c>
      <c r="D11" s="96" t="s">
        <v>3298</v>
      </c>
      <c r="E11" s="96" t="s">
        <v>3299</v>
      </c>
      <c r="F11" s="97">
        <v>0.105</v>
      </c>
      <c r="G11" s="46" t="str">
        <f>IFERROR(VLOOKUP("MIC-UA251",STOCK!B4:Q3655,3,FALSE),"SIN STOCK")</f>
        <v>SIN STOCK</v>
      </c>
    </row>
    <row r="12" ht="15.75" customHeight="1">
      <c r="A12" s="161" t="s">
        <v>3263</v>
      </c>
      <c r="B12" s="162" t="s">
        <v>3300</v>
      </c>
      <c r="C12" s="163" t="s">
        <v>3301</v>
      </c>
      <c r="D12" s="101" t="s">
        <v>3302</v>
      </c>
      <c r="E12" s="101" t="s">
        <v>3303</v>
      </c>
      <c r="F12" s="102">
        <v>0.105</v>
      </c>
      <c r="G12" s="136" t="str">
        <f>VLOOKUP("MIC-UALX",STOCK!$B$2:$Q$3653,3,FALSE)</f>
        <v>Menor a 5</v>
      </c>
    </row>
    <row r="13" ht="15.75" customHeight="1">
      <c r="A13" s="158" t="s">
        <v>3263</v>
      </c>
      <c r="B13" s="166" t="s">
        <v>3304</v>
      </c>
      <c r="C13" s="159" t="s">
        <v>3305</v>
      </c>
      <c r="D13" s="96" t="s">
        <v>3306</v>
      </c>
      <c r="E13" s="96" t="s">
        <v>3307</v>
      </c>
      <c r="F13" s="97">
        <v>0.105</v>
      </c>
      <c r="G13" s="136" t="str">
        <f>VLOOKUP("MIC-UADLX",STOCK!$B$2:$Q$3653,3,FALSE)</f>
        <v>Menor a 5</v>
      </c>
    </row>
    <row r="14" ht="15.75" customHeight="1">
      <c r="A14" s="161" t="s">
        <v>3263</v>
      </c>
      <c r="B14" s="165" t="s">
        <v>3308</v>
      </c>
      <c r="C14" s="163" t="s">
        <v>3309</v>
      </c>
      <c r="D14" s="101" t="s">
        <v>3310</v>
      </c>
      <c r="E14" s="101" t="s">
        <v>3311</v>
      </c>
      <c r="F14" s="102">
        <v>0.105</v>
      </c>
      <c r="G14" s="136" t="str">
        <f>VLOOKUP("MIC-TLL22",STOCK!$B$2:$Q$3653,3,FALSE)</f>
        <v>Menor a 5</v>
      </c>
    </row>
    <row r="15" ht="15.75" customHeight="1">
      <c r="A15" s="28" t="s">
        <v>3312</v>
      </c>
      <c r="C15" s="167"/>
      <c r="D15" s="51"/>
      <c r="E15" s="51"/>
      <c r="F15" s="106"/>
      <c r="G15" s="132"/>
    </row>
    <row r="16" ht="15.75" customHeight="1">
      <c r="A16" s="158" t="s">
        <v>3263</v>
      </c>
      <c r="B16" s="166" t="s">
        <v>3313</v>
      </c>
      <c r="C16" s="159" t="s">
        <v>3314</v>
      </c>
      <c r="D16" s="96" t="s">
        <v>3306</v>
      </c>
      <c r="E16" s="96" t="s">
        <v>3307</v>
      </c>
      <c r="F16" s="97">
        <v>0.105</v>
      </c>
      <c r="G16" s="46" t="str">
        <f>VLOOKUP("OX",STOCK!$B$2:$Q$3653,3,FALSE)</f>
        <v>Menor a 5</v>
      </c>
    </row>
    <row r="17" ht="15.75" customHeight="1">
      <c r="A17" s="161" t="s">
        <v>3263</v>
      </c>
      <c r="B17" s="162" t="s">
        <v>3315</v>
      </c>
      <c r="C17" s="163" t="s">
        <v>3316</v>
      </c>
      <c r="D17" s="101" t="s">
        <v>3270</v>
      </c>
      <c r="E17" s="101" t="s">
        <v>3271</v>
      </c>
      <c r="F17" s="102">
        <v>0.105</v>
      </c>
      <c r="G17" s="168" t="str">
        <f>VLOOKUP("GPM-ASTRA",STOCK!$B$2:$Q$3653,3,FALSE)</f>
        <v>Menor a 5</v>
      </c>
    </row>
    <row r="18" ht="15.75" customHeight="1">
      <c r="A18" s="158" t="s">
        <v>3263</v>
      </c>
      <c r="B18" s="166" t="s">
        <v>3317</v>
      </c>
      <c r="C18" s="158" t="s">
        <v>3318</v>
      </c>
      <c r="D18" s="96" t="s">
        <v>3278</v>
      </c>
      <c r="E18" s="96" t="s">
        <v>3279</v>
      </c>
      <c r="F18" s="97">
        <v>0.105</v>
      </c>
      <c r="G18" s="46" t="str">
        <f>IFERROR(VLOOKUP("GPM-DLVRB",STOCK!B4:Q3655,3,FALSE),"SIN STOCK")</f>
        <v>SIN STOCK</v>
      </c>
    </row>
    <row r="19" ht="15.75" customHeight="1">
      <c r="A19" s="161" t="s">
        <v>3263</v>
      </c>
      <c r="B19" s="162" t="s">
        <v>3319</v>
      </c>
      <c r="C19" s="163" t="s">
        <v>3320</v>
      </c>
      <c r="D19" s="101" t="s">
        <v>3270</v>
      </c>
      <c r="E19" s="101" t="s">
        <v>3271</v>
      </c>
      <c r="F19" s="102">
        <v>0.105</v>
      </c>
      <c r="G19" s="46" t="str">
        <f>VLOOKUP("GPM-DRM",STOCK!$B$2:$Q$3653,3,FALSE)</f>
        <v>Menor a 5</v>
      </c>
    </row>
    <row r="20" ht="15.75" customHeight="1">
      <c r="A20" s="158" t="s">
        <v>3263</v>
      </c>
      <c r="B20" s="166" t="s">
        <v>3321</v>
      </c>
      <c r="C20" s="159" t="s">
        <v>3322</v>
      </c>
      <c r="D20" s="96" t="s">
        <v>3278</v>
      </c>
      <c r="E20" s="96" t="s">
        <v>3279</v>
      </c>
      <c r="F20" s="97">
        <v>0.105</v>
      </c>
      <c r="G20" s="46" t="str">
        <f>VLOOKUP("GPM-DRM",STOCK!$B$2:$Q$3653,3,FALSE)</f>
        <v>Menor a 5</v>
      </c>
    </row>
    <row r="21" ht="15.75" customHeight="1">
      <c r="A21" s="161" t="s">
        <v>3263</v>
      </c>
      <c r="B21" s="162" t="s">
        <v>3323</v>
      </c>
      <c r="C21" s="163" t="s">
        <v>3324</v>
      </c>
      <c r="D21" s="101" t="s">
        <v>3270</v>
      </c>
      <c r="E21" s="101" t="s">
        <v>3271</v>
      </c>
      <c r="F21" s="102">
        <v>0.105</v>
      </c>
      <c r="G21" s="168" t="str">
        <f>VLOOKUP("GPM-GOLD",STOCK!$B$2:$Q$3653,3,FALSE)</f>
        <v>Menor a 5</v>
      </c>
    </row>
    <row r="22" ht="15.75" customHeight="1">
      <c r="A22" s="158" t="s">
        <v>3263</v>
      </c>
      <c r="B22" s="166" t="s">
        <v>3325</v>
      </c>
      <c r="C22" s="159" t="s">
        <v>3326</v>
      </c>
      <c r="D22" s="96" t="s">
        <v>3278</v>
      </c>
      <c r="E22" s="96" t="s">
        <v>3279</v>
      </c>
      <c r="F22" s="97">
        <v>0.105</v>
      </c>
      <c r="G22" s="46" t="str">
        <f>IFERROR(VLOOKUP("GPM-MAX",STOCK!B4:Q3655,3,FALSE),"SIN STOCK")</f>
        <v>Menor a 5</v>
      </c>
    </row>
    <row r="23" ht="15.75" customHeight="1">
      <c r="A23" s="161" t="s">
        <v>3263</v>
      </c>
      <c r="B23" s="162" t="s">
        <v>3327</v>
      </c>
      <c r="C23" s="161" t="s">
        <v>3328</v>
      </c>
      <c r="D23" s="101" t="s">
        <v>3270</v>
      </c>
      <c r="E23" s="101" t="s">
        <v>3271</v>
      </c>
      <c r="F23" s="102">
        <v>0.105</v>
      </c>
      <c r="G23" s="46" t="str">
        <f>VLOOKUP("GPM-RUBY",STOCK!$B$2:$Q$3653,3,FALSE)</f>
        <v>Menor a 5</v>
      </c>
    </row>
    <row r="24" ht="15.75" customHeight="1">
      <c r="A24" s="158" t="s">
        <v>3263</v>
      </c>
      <c r="B24" s="166" t="s">
        <v>3329</v>
      </c>
      <c r="C24" s="159" t="s">
        <v>3330</v>
      </c>
      <c r="D24" s="96" t="s">
        <v>3270</v>
      </c>
      <c r="E24" s="96" t="s">
        <v>3271</v>
      </c>
      <c r="F24" s="97">
        <v>0.105</v>
      </c>
      <c r="G24" s="46" t="str">
        <f>IFERROR(VLOOKUP("GPM-STAR",STOCK!B4:Q3655,3,FALSE),"SIN STOCK")</f>
        <v>Menor a 5</v>
      </c>
    </row>
    <row r="25" ht="15.75" customHeight="1">
      <c r="A25" s="161" t="s">
        <v>3263</v>
      </c>
      <c r="B25" s="162" t="s">
        <v>3331</v>
      </c>
      <c r="C25" s="163" t="s">
        <v>3332</v>
      </c>
      <c r="D25" s="101" t="s">
        <v>3270</v>
      </c>
      <c r="E25" s="101" t="s">
        <v>3271</v>
      </c>
      <c r="F25" s="102">
        <v>0.105</v>
      </c>
      <c r="G25" s="46" t="str">
        <f>VLOOKUP("GPM-WDR",STOCK!$B$2:$Q$3653,3,FALSE)</f>
        <v>Menor a 5</v>
      </c>
    </row>
    <row r="26" ht="15.75" customHeight="1">
      <c r="A26" s="158" t="s">
        <v>3263</v>
      </c>
      <c r="B26" s="164" t="s">
        <v>3333</v>
      </c>
      <c r="C26" s="159" t="s">
        <v>3334</v>
      </c>
      <c r="D26" s="96" t="s">
        <v>3270</v>
      </c>
      <c r="E26" s="96" t="s">
        <v>3271</v>
      </c>
      <c r="F26" s="97">
        <v>0.105</v>
      </c>
      <c r="G26" s="169" t="str">
        <f>IFERROR(VLOOKUP("GPM-KNUC",STOCK!B4:Q3655,3,FALSE),"SIN STOCK")</f>
        <v>Menor a 5</v>
      </c>
    </row>
    <row r="27" ht="15.75" customHeight="1">
      <c r="A27" s="161" t="s">
        <v>3263</v>
      </c>
      <c r="B27" s="165" t="s">
        <v>3335</v>
      </c>
      <c r="C27" s="163" t="s">
        <v>3336</v>
      </c>
      <c r="D27" s="101" t="s">
        <v>3337</v>
      </c>
      <c r="E27" s="101" t="s">
        <v>3338</v>
      </c>
      <c r="F27" s="102">
        <v>0.105</v>
      </c>
      <c r="G27" s="169" t="str">
        <f>IFERROR(VLOOKUP("GPS-BRGD",STOCK!B4:Q3655,3,FALSE),"SIN STOCK")</f>
        <v>Menor a 5</v>
      </c>
    </row>
    <row r="28" ht="15.75" customHeight="1">
      <c r="A28" s="158" t="s">
        <v>3263</v>
      </c>
      <c r="B28" s="164" t="s">
        <v>3339</v>
      </c>
      <c r="C28" s="159" t="s">
        <v>3340</v>
      </c>
      <c r="D28" s="96" t="s">
        <v>3337</v>
      </c>
      <c r="E28" s="96" t="s">
        <v>3338</v>
      </c>
      <c r="F28" s="97">
        <v>0.105</v>
      </c>
      <c r="G28" s="169" t="str">
        <f>IFERROR(VLOOKUP("GPS-LA2A",STOCK!B4:Q3655,3,FALSE),"SIN STOCK")</f>
        <v>Menor a 5</v>
      </c>
    </row>
    <row r="29" ht="15.75" customHeight="1">
      <c r="A29" s="161" t="s">
        <v>3263</v>
      </c>
      <c r="B29" s="162" t="s">
        <v>3341</v>
      </c>
      <c r="C29" s="163" t="s">
        <v>3342</v>
      </c>
      <c r="D29" s="101" t="s">
        <v>3343</v>
      </c>
      <c r="E29" s="101" t="s">
        <v>3344</v>
      </c>
      <c r="F29" s="102">
        <v>0.105</v>
      </c>
      <c r="G29" s="46" t="str">
        <f>IFERROR(VLOOKUP("GPS-ORN",STOCK!B4:Q3655,3,FALSE),"SIN STOCK")</f>
        <v>SIN STOCK</v>
      </c>
    </row>
    <row r="30" ht="15.75" customHeight="1">
      <c r="A30" s="158" t="s">
        <v>3263</v>
      </c>
      <c r="B30" s="166" t="s">
        <v>3345</v>
      </c>
      <c r="C30" s="159" t="s">
        <v>3346</v>
      </c>
      <c r="D30" s="96" t="s">
        <v>3343</v>
      </c>
      <c r="E30" s="96" t="s">
        <v>3344</v>
      </c>
      <c r="F30" s="97">
        <v>0.105</v>
      </c>
      <c r="G30" s="46" t="str">
        <f>IFERROR(VLOOKUP("GPS-HVNLY",STOCK!B4:Q3655,3,FALSE),"SIN STOCK")</f>
        <v>SIN STOCK</v>
      </c>
    </row>
    <row r="31" ht="15.75" customHeight="1">
      <c r="A31" s="161" t="s">
        <v>3263</v>
      </c>
      <c r="B31" s="162" t="s">
        <v>3347</v>
      </c>
      <c r="C31" s="163" t="s">
        <v>3348</v>
      </c>
      <c r="D31" s="101" t="s">
        <v>3343</v>
      </c>
      <c r="E31" s="101" t="s">
        <v>3344</v>
      </c>
      <c r="F31" s="102">
        <v>0.105</v>
      </c>
      <c r="G31" s="46" t="str">
        <f>IFERROR(VLOOKUP("GPS-EVMR",STOCK!B4:Q3655,3,FALSE),"SIN STOCK")</f>
        <v>Menor a 5</v>
      </c>
    </row>
    <row r="32" ht="15.75" customHeight="1">
      <c r="A32" s="158" t="s">
        <v>3263</v>
      </c>
      <c r="B32" s="95" t="s">
        <v>3349</v>
      </c>
      <c r="C32" s="159" t="s">
        <v>3350</v>
      </c>
      <c r="D32" s="96" t="s">
        <v>3282</v>
      </c>
      <c r="E32" s="96" t="s">
        <v>3283</v>
      </c>
      <c r="F32" s="97">
        <v>0.105</v>
      </c>
      <c r="G32" s="46" t="str">
        <f>IFERROR(VLOOKUP("GPS-1176",STOCK!B4:Q3655,3,FALSE),"SIN STOCK")</f>
        <v>Menor a 5</v>
      </c>
    </row>
    <row r="33" ht="15.75" customHeight="1">
      <c r="A33" s="161" t="s">
        <v>3263</v>
      </c>
      <c r="B33" s="162" t="s">
        <v>3351</v>
      </c>
      <c r="C33" s="163" t="s">
        <v>3352</v>
      </c>
      <c r="D33" s="101" t="s">
        <v>3353</v>
      </c>
      <c r="E33" s="101" t="s">
        <v>3354</v>
      </c>
      <c r="F33" s="102">
        <v>0.105</v>
      </c>
      <c r="G33" s="170" t="str">
        <f>IFERROR(VLOOKUP("PSU-GP1-WW",STOCK!B4:Q3655,3,FALSE),"SIN STOCK")</f>
        <v>SIN STOCK</v>
      </c>
    </row>
    <row r="34" ht="15.75" customHeight="1">
      <c r="A34" s="28" t="s">
        <v>3355</v>
      </c>
      <c r="C34" s="167"/>
      <c r="D34" s="171"/>
      <c r="E34" s="171"/>
      <c r="F34" s="172"/>
      <c r="G34" s="172"/>
    </row>
    <row r="35" ht="15.75" customHeight="1">
      <c r="A35" s="158" t="s">
        <v>3263</v>
      </c>
      <c r="B35" s="95" t="s">
        <v>3356</v>
      </c>
      <c r="C35" s="159" t="s">
        <v>3357</v>
      </c>
      <c r="D35" s="96" t="s">
        <v>3294</v>
      </c>
      <c r="E35" s="96" t="s">
        <v>3295</v>
      </c>
      <c r="F35" s="97">
        <v>0.105</v>
      </c>
      <c r="G35" s="46" t="str">
        <f>IFERROR(VLOOKUP("APX16DG2-ESS",STOCK!B6:Q3657,3,FALSE),"SIN STOCK")</f>
        <v>Menor a 5</v>
      </c>
    </row>
    <row r="36" ht="15.75" customHeight="1">
      <c r="A36" s="161" t="s">
        <v>3263</v>
      </c>
      <c r="B36" s="162" t="s">
        <v>3358</v>
      </c>
      <c r="C36" s="163" t="s">
        <v>3359</v>
      </c>
      <c r="D36" s="101" t="s">
        <v>3360</v>
      </c>
      <c r="E36" s="101" t="s">
        <v>3361</v>
      </c>
      <c r="F36" s="102">
        <v>0.105</v>
      </c>
      <c r="G36" s="46" t="str">
        <f>IFERROR(VLOOKUP("APX16DG2-ULT",STOCK!B7:Q3658,3,FALSE),"SIN STOCK")</f>
        <v>Menor a 5</v>
      </c>
    </row>
    <row r="37" ht="15.75" customHeight="1">
      <c r="A37" s="158" t="s">
        <v>3263</v>
      </c>
      <c r="B37" s="164" t="s">
        <v>3362</v>
      </c>
      <c r="C37" s="159" t="s">
        <v>3363</v>
      </c>
      <c r="D37" s="96" t="s">
        <v>3270</v>
      </c>
      <c r="E37" s="96" t="s">
        <v>3271</v>
      </c>
      <c r="F37" s="97">
        <v>0.105</v>
      </c>
      <c r="G37" s="46" t="str">
        <f>IFERROR(VLOOKUP("APE1X",STOCK!B8:Q3659,3,FALSE),"SIN STOCK")</f>
        <v>Menor a 5</v>
      </c>
    </row>
    <row r="38" ht="15.75" customHeight="1">
      <c r="A38" s="161" t="s">
        <v>3263</v>
      </c>
      <c r="B38" s="173" t="s">
        <v>3364</v>
      </c>
      <c r="C38" s="163" t="s">
        <v>3365</v>
      </c>
      <c r="D38" s="101" t="s">
        <v>3366</v>
      </c>
      <c r="E38" s="101" t="s">
        <v>3367</v>
      </c>
      <c r="F38" s="102">
        <v>0.105</v>
      </c>
      <c r="G38" s="46" t="str">
        <f>IFERROR(VLOOKUP("APE1X",STOCK!B8:Q3659,3,FALSE),"SIN STOCK")</f>
        <v>Menor a 5</v>
      </c>
    </row>
    <row r="39" ht="15.75" customHeight="1">
      <c r="A39" s="28" t="s">
        <v>3368</v>
      </c>
      <c r="C39" s="167"/>
      <c r="D39" s="51"/>
      <c r="E39" s="51"/>
      <c r="F39" s="106"/>
      <c r="G39" s="92"/>
    </row>
    <row r="40" ht="15.75" customHeight="1">
      <c r="A40" s="158" t="s">
        <v>3263</v>
      </c>
      <c r="B40" s="166" t="s">
        <v>3369</v>
      </c>
      <c r="C40" s="159" t="s">
        <v>3370</v>
      </c>
      <c r="D40" s="96" t="s">
        <v>3371</v>
      </c>
      <c r="E40" s="96" t="s">
        <v>3372</v>
      </c>
      <c r="F40" s="97">
        <v>0.105</v>
      </c>
      <c r="G40" s="46" t="str">
        <f>IFERROR(VLOOKUP("APTXDG2-ESS",STOCK!B9:Q3660,3,FALSE),"SIN STOCK")</f>
        <v>Menor a 5</v>
      </c>
    </row>
    <row r="41" ht="15.75" customHeight="1">
      <c r="A41" s="161" t="s">
        <v>3263</v>
      </c>
      <c r="B41" s="162" t="s">
        <v>3373</v>
      </c>
      <c r="C41" s="163" t="s">
        <v>3374</v>
      </c>
      <c r="D41" s="101" t="s">
        <v>3306</v>
      </c>
      <c r="E41" s="101" t="s">
        <v>3307</v>
      </c>
      <c r="F41" s="102">
        <v>0.105</v>
      </c>
      <c r="G41" s="46" t="str">
        <f>IFERROR(VLOOKUP("APTXQG2-ESS",STOCK!B10:Q3661,3,FALSE),"SIN STOCK")</f>
        <v>Menor a 5</v>
      </c>
    </row>
    <row r="42" ht="15.75" customHeight="1">
      <c r="A42" s="158" t="s">
        <v>3263</v>
      </c>
      <c r="B42" s="166" t="s">
        <v>3375</v>
      </c>
      <c r="C42" s="159" t="s">
        <v>3376</v>
      </c>
      <c r="D42" s="96" t="s">
        <v>3377</v>
      </c>
      <c r="E42" s="96" t="s">
        <v>3378</v>
      </c>
      <c r="F42" s="97">
        <v>0.105</v>
      </c>
      <c r="G42" s="46" t="str">
        <f>IFERROR(VLOOKUP("APX6G2-ESS",STOCK!B11:Q3662,3,FALSE),"SIN STOCK")</f>
        <v>Menor a 5</v>
      </c>
    </row>
    <row r="43" ht="15.75" customHeight="1">
      <c r="A43" s="161" t="s">
        <v>3263</v>
      </c>
      <c r="B43" s="162" t="s">
        <v>3379</v>
      </c>
      <c r="C43" s="163" t="s">
        <v>3380</v>
      </c>
      <c r="D43" s="101" t="s">
        <v>3381</v>
      </c>
      <c r="E43" s="101" t="s">
        <v>3382</v>
      </c>
      <c r="F43" s="102">
        <v>0.105</v>
      </c>
      <c r="G43" s="46" t="str">
        <f>IFERROR(VLOOKUP("APX8G2-ESS",STOCK!B12:Q3663,3,FALSE),"SIN STOCK")</f>
        <v>Menor a 5</v>
      </c>
    </row>
    <row r="44" ht="15.75" customHeight="1">
      <c r="A44" s="158" t="s">
        <v>3263</v>
      </c>
      <c r="B44" s="166" t="s">
        <v>3383</v>
      </c>
      <c r="C44" s="159" t="s">
        <v>3384</v>
      </c>
      <c r="D44" s="96" t="s">
        <v>3385</v>
      </c>
      <c r="E44" s="96" t="s">
        <v>3386</v>
      </c>
      <c r="F44" s="97">
        <v>0.105</v>
      </c>
      <c r="G44" s="46" t="str">
        <f>IFERROR(VLOOKUP("APX8PG2-ESS",STOCK!B13:Q3664,3,FALSE),"SIN STOCK")</f>
        <v>Menor a 5</v>
      </c>
    </row>
    <row r="45" ht="15.75" customHeight="1">
      <c r="A45" s="161" t="s">
        <v>3263</v>
      </c>
      <c r="B45" s="162" t="s">
        <v>3387</v>
      </c>
      <c r="C45" s="163" t="s">
        <v>3388</v>
      </c>
      <c r="D45" s="101" t="s">
        <v>3389</v>
      </c>
      <c r="E45" s="101" t="s">
        <v>3390</v>
      </c>
      <c r="F45" s="102">
        <v>0.105</v>
      </c>
      <c r="G45" s="46" t="str">
        <f>IFERROR(VLOOKUP("APX16G2-ESS",STOCK!B14:Q3665,3,FALSE),"SIN STOCK")</f>
        <v>Menor a 5</v>
      </c>
    </row>
    <row r="46" ht="15.75" customHeight="1">
      <c r="A46" s="28" t="s">
        <v>3391</v>
      </c>
      <c r="C46" s="167"/>
      <c r="D46" s="51"/>
      <c r="E46" s="51"/>
      <c r="F46" s="106"/>
      <c r="G46" s="92"/>
    </row>
    <row r="47" ht="15.75" customHeight="1">
      <c r="A47" s="158" t="s">
        <v>3263</v>
      </c>
      <c r="B47" s="166" t="s">
        <v>3392</v>
      </c>
      <c r="C47" s="159" t="s">
        <v>3393</v>
      </c>
      <c r="D47" s="96" t="s">
        <v>3394</v>
      </c>
      <c r="E47" s="96" t="s">
        <v>3395</v>
      </c>
      <c r="F47" s="97">
        <v>0.105</v>
      </c>
      <c r="G47" s="46" t="str">
        <f>VLOOKUP("APLTWDII-HE",STOCK!$B$2:$Q$3653,3,FALSE)</f>
        <v>Menor a 5</v>
      </c>
    </row>
    <row r="48" ht="15.75" customHeight="1">
      <c r="A48" s="161" t="s">
        <v>3263</v>
      </c>
      <c r="B48" s="162" t="s">
        <v>3396</v>
      </c>
      <c r="C48" s="163" t="s">
        <v>3397</v>
      </c>
      <c r="D48" s="101" t="s">
        <v>3302</v>
      </c>
      <c r="E48" s="101" t="s">
        <v>3303</v>
      </c>
      <c r="F48" s="102">
        <v>0.105</v>
      </c>
      <c r="G48" s="46" t="str">
        <f>VLOOKUP("APLTWXD-HE",STOCK!$B$2:$Q$3653,3,FALSE)</f>
        <v>Menor a 5</v>
      </c>
    </row>
    <row r="49" ht="15.75" customHeight="1">
      <c r="A49" s="158" t="s">
        <v>3263</v>
      </c>
      <c r="B49" s="95" t="s">
        <v>3398</v>
      </c>
      <c r="C49" s="159" t="s">
        <v>3399</v>
      </c>
      <c r="D49" s="96" t="s">
        <v>3306</v>
      </c>
      <c r="E49" s="96" t="s">
        <v>3307</v>
      </c>
      <c r="F49" s="97">
        <v>0.105</v>
      </c>
      <c r="G49" s="168" t="str">
        <f>VLOOKUP("APLTWXQ-HE",STOCK!$B$2:$Q$3653,3,FALSE)</f>
        <v>Menor a 5</v>
      </c>
    </row>
    <row r="50" ht="15.75" customHeight="1">
      <c r="A50" s="161" t="s">
        <v>3263</v>
      </c>
      <c r="B50" s="162" t="s">
        <v>3400</v>
      </c>
      <c r="C50" s="163" t="s">
        <v>3401</v>
      </c>
      <c r="D50" s="101" t="s">
        <v>3402</v>
      </c>
      <c r="E50" s="101" t="s">
        <v>3403</v>
      </c>
      <c r="F50" s="102">
        <v>0.105</v>
      </c>
      <c r="G50" s="46" t="str">
        <f>VLOOKUP("APX4-HE",STOCK!$B$2:$Q$3653,3,FALSE)</f>
        <v>Menor a 5</v>
      </c>
    </row>
    <row r="51" ht="15.75" customHeight="1">
      <c r="A51" s="158" t="s">
        <v>3263</v>
      </c>
      <c r="B51" s="166" t="s">
        <v>3404</v>
      </c>
      <c r="C51" s="159" t="s">
        <v>3405</v>
      </c>
      <c r="D51" s="96" t="s">
        <v>3406</v>
      </c>
      <c r="E51" s="96" t="s">
        <v>3407</v>
      </c>
      <c r="F51" s="97">
        <v>0.105</v>
      </c>
      <c r="G51" s="46" t="str">
        <f>VLOOKUP("APX6",STOCK!$B$2:$Q$3653,3,FALSE)</f>
        <v>Menor a 5</v>
      </c>
    </row>
    <row r="52" ht="15.75" customHeight="1">
      <c r="A52" s="161" t="s">
        <v>3263</v>
      </c>
      <c r="B52" s="162" t="s">
        <v>3408</v>
      </c>
      <c r="C52" s="163" t="s">
        <v>3409</v>
      </c>
      <c r="D52" s="101" t="s">
        <v>3410</v>
      </c>
      <c r="E52" s="101" t="s">
        <v>3411</v>
      </c>
      <c r="F52" s="102">
        <v>0.105</v>
      </c>
      <c r="G52" s="46" t="str">
        <f>VLOOKUP("APX6-HE",STOCK!$B$2:$Q$3653,3,FALSE)</f>
        <v>Menor a 5</v>
      </c>
    </row>
    <row r="53" ht="15.75" customHeight="1">
      <c r="A53" s="158" t="s">
        <v>3263</v>
      </c>
      <c r="B53" s="166" t="s">
        <v>3412</v>
      </c>
      <c r="C53" s="159" t="s">
        <v>3413</v>
      </c>
      <c r="D53" s="96" t="s">
        <v>3414</v>
      </c>
      <c r="E53" s="96" t="s">
        <v>3415</v>
      </c>
      <c r="F53" s="97">
        <v>0.105</v>
      </c>
      <c r="G53" s="168" t="str">
        <f>VLOOKUP("APX8",STOCK!$B$2:$Q$3653,3,FALSE)</f>
        <v>Menor a 5</v>
      </c>
    </row>
    <row r="54" ht="15.75" customHeight="1">
      <c r="A54" s="161" t="s">
        <v>3263</v>
      </c>
      <c r="B54" s="100" t="s">
        <v>3416</v>
      </c>
      <c r="C54" s="163" t="s">
        <v>3417</v>
      </c>
      <c r="D54" s="101" t="s">
        <v>3418</v>
      </c>
      <c r="E54" s="101" t="s">
        <v>3419</v>
      </c>
      <c r="F54" s="102">
        <v>0.105</v>
      </c>
      <c r="G54" s="168" t="str">
        <f>VLOOKUP("APX8-HE",STOCK!$B$2:$Q$3653,3,FALSE)</f>
        <v>Menor a 5</v>
      </c>
    </row>
    <row r="55" ht="15.75" customHeight="1">
      <c r="A55" s="158" t="s">
        <v>3263</v>
      </c>
      <c r="B55" s="166" t="s">
        <v>3420</v>
      </c>
      <c r="C55" s="159" t="s">
        <v>3421</v>
      </c>
      <c r="D55" s="96" t="s">
        <v>3422</v>
      </c>
      <c r="E55" s="96" t="s">
        <v>3423</v>
      </c>
      <c r="F55" s="97">
        <v>0.105</v>
      </c>
      <c r="G55" s="168" t="str">
        <f>VLOOKUP("APX8P",STOCK!$B$2:$Q$3653,3,FALSE)</f>
        <v>Menor a 5</v>
      </c>
    </row>
    <row r="56" ht="15.75" customHeight="1">
      <c r="A56" s="161" t="s">
        <v>3263</v>
      </c>
      <c r="B56" s="162" t="s">
        <v>3424</v>
      </c>
      <c r="C56" s="163" t="s">
        <v>3425</v>
      </c>
      <c r="D56" s="101" t="s">
        <v>3426</v>
      </c>
      <c r="E56" s="101" t="s">
        <v>3427</v>
      </c>
      <c r="F56" s="102">
        <v>0.105</v>
      </c>
      <c r="G56" s="168" t="str">
        <f>VLOOKUP("APX8P-HE",STOCK!$B$2:$Q$3653,3,FALSE)</f>
        <v>Menor a 5</v>
      </c>
    </row>
    <row r="57" ht="15.75" customHeight="1">
      <c r="A57" s="158" t="s">
        <v>3263</v>
      </c>
      <c r="B57" s="166" t="s">
        <v>3428</v>
      </c>
      <c r="C57" s="159" t="s">
        <v>3429</v>
      </c>
      <c r="D57" s="96" t="s">
        <v>3389</v>
      </c>
      <c r="E57" s="96" t="s">
        <v>3390</v>
      </c>
      <c r="F57" s="97">
        <v>0.105</v>
      </c>
      <c r="G57" s="168" t="str">
        <f>VLOOKUP("APX16-HE",STOCK!$B$2:$Q$3653,3,FALSE)</f>
        <v>Menor a 5</v>
      </c>
    </row>
    <row r="58" ht="15.75" customHeight="1">
      <c r="A58" s="161" t="s">
        <v>3263</v>
      </c>
      <c r="B58" s="162" t="s">
        <v>3430</v>
      </c>
      <c r="C58" s="163" t="s">
        <v>3431</v>
      </c>
      <c r="D58" s="101" t="s">
        <v>3432</v>
      </c>
      <c r="E58" s="101" t="s">
        <v>3433</v>
      </c>
      <c r="F58" s="102">
        <v>0.105</v>
      </c>
      <c r="G58" s="168" t="str">
        <f>VLOOKUP("APLS-HE",STOCK!$B$2:$Q$3653,3,FALSE)</f>
        <v>Menor a 5</v>
      </c>
    </row>
    <row r="59" ht="15.75" customHeight="1">
      <c r="A59" s="158" t="s">
        <v>3263</v>
      </c>
      <c r="B59" s="166" t="s">
        <v>3434</v>
      </c>
      <c r="C59" s="159" t="s">
        <v>3435</v>
      </c>
      <c r="D59" s="96" t="s">
        <v>3282</v>
      </c>
      <c r="E59" s="96" t="s">
        <v>3283</v>
      </c>
      <c r="F59" s="97">
        <v>0.105</v>
      </c>
      <c r="G59" s="174" t="str">
        <f>VLOOKUP("TBOC-3",STOCK!$B$2:$Q$3653,3,FALSE)</f>
        <v>Menor a 5</v>
      </c>
    </row>
    <row r="60" ht="15.75" customHeight="1">
      <c r="A60" s="28" t="s">
        <v>3436</v>
      </c>
      <c r="C60" s="167"/>
      <c r="D60" s="149"/>
      <c r="E60" s="171"/>
      <c r="F60" s="172"/>
      <c r="G60" s="172"/>
    </row>
    <row r="61" ht="15.75" customHeight="1">
      <c r="A61" s="158" t="s">
        <v>3263</v>
      </c>
      <c r="B61" s="166" t="s">
        <v>3437</v>
      </c>
      <c r="C61" s="159" t="s">
        <v>3438</v>
      </c>
      <c r="D61" s="96" t="s">
        <v>3302</v>
      </c>
      <c r="E61" s="96" t="s">
        <v>3303</v>
      </c>
      <c r="F61" s="97">
        <v>0.105</v>
      </c>
      <c r="G61" s="174" t="str">
        <f>IFERROR(VLOOKUP("APLTWXDU-HE",STOCK!$B$2:$Q$3653,3,FALSE),"SIN STOCK")</f>
        <v>Menor a 5</v>
      </c>
    </row>
    <row r="62" ht="15.75" customHeight="1">
      <c r="A62" s="161" t="s">
        <v>3263</v>
      </c>
      <c r="B62" s="162" t="s">
        <v>3439</v>
      </c>
      <c r="C62" s="163" t="s">
        <v>3440</v>
      </c>
      <c r="D62" s="101" t="s">
        <v>3394</v>
      </c>
      <c r="E62" s="101" t="s">
        <v>3395</v>
      </c>
      <c r="F62" s="102">
        <v>0.105</v>
      </c>
      <c r="G62" s="168" t="str">
        <f>VLOOKUP("APLTWDU-HE",STOCK!$B$2:$Q$3653,3,FALSE)</f>
        <v>Menor a 5</v>
      </c>
    </row>
    <row r="63" ht="15.75" customHeight="1">
      <c r="A63" s="158" t="s">
        <v>3263</v>
      </c>
      <c r="B63" s="166" t="s">
        <v>3441</v>
      </c>
      <c r="C63" s="159" t="s">
        <v>3442</v>
      </c>
      <c r="D63" s="96" t="s">
        <v>3432</v>
      </c>
      <c r="E63" s="96" t="s">
        <v>3433</v>
      </c>
      <c r="F63" s="97">
        <v>0.105</v>
      </c>
      <c r="G63" s="46" t="str">
        <f>VLOOKUP("APLSU-HE",STOCK!$B$2:$Q$3653,3,FALSE)</f>
        <v>Menor a 5</v>
      </c>
    </row>
    <row r="64" ht="15.75" customHeight="1">
      <c r="A64" s="161" t="s">
        <v>3263</v>
      </c>
      <c r="B64" s="162" t="s">
        <v>3443</v>
      </c>
      <c r="C64" s="163" t="s">
        <v>3444</v>
      </c>
      <c r="D64" s="101" t="s">
        <v>3445</v>
      </c>
      <c r="E64" s="101" t="s">
        <v>3446</v>
      </c>
      <c r="F64" s="102">
        <v>0.105</v>
      </c>
      <c r="G64" s="38" t="str">
        <f>VLOOKUP("VOLT1",STOCK!$B$2:$Q$3653,3,FALSE)</f>
        <v>Mayor a 5</v>
      </c>
    </row>
    <row r="65" ht="15.75" customHeight="1">
      <c r="A65" s="158" t="s">
        <v>3263</v>
      </c>
      <c r="B65" s="166" t="s">
        <v>3447</v>
      </c>
      <c r="C65" s="159" t="s">
        <v>3448</v>
      </c>
      <c r="D65" s="96" t="s">
        <v>3449</v>
      </c>
      <c r="E65" s="96" t="s">
        <v>3450</v>
      </c>
      <c r="F65" s="97">
        <v>0.105</v>
      </c>
      <c r="G65" s="38" t="str">
        <f>VLOOKUP("VOLT2",STOCK!$B$2:$Q$3653,3,FALSE)</f>
        <v>Menor a 5</v>
      </c>
    </row>
    <row r="66" ht="15.75" customHeight="1">
      <c r="A66" s="161" t="s">
        <v>3263</v>
      </c>
      <c r="B66" s="162" t="s">
        <v>3451</v>
      </c>
      <c r="C66" s="163" t="s">
        <v>3452</v>
      </c>
      <c r="D66" s="101" t="s">
        <v>3453</v>
      </c>
      <c r="E66" s="101" t="s">
        <v>3454</v>
      </c>
      <c r="F66" s="102">
        <v>0.105</v>
      </c>
      <c r="G66" s="46" t="str">
        <f>IFERROR(VLOOKUP("VOLT4",STOCK!B4:Q3655,3,FALSE),"SIN STOCK")</f>
        <v>Menor a 5</v>
      </c>
    </row>
    <row r="67" ht="15.75" customHeight="1">
      <c r="A67" s="158" t="s">
        <v>3263</v>
      </c>
      <c r="B67" s="166" t="s">
        <v>3455</v>
      </c>
      <c r="C67" s="159" t="s">
        <v>3456</v>
      </c>
      <c r="D67" s="96" t="s">
        <v>3282</v>
      </c>
      <c r="E67" s="96" t="s">
        <v>3283</v>
      </c>
      <c r="F67" s="97">
        <v>0.105</v>
      </c>
      <c r="G67" s="174" t="str">
        <f>VLOOKUP("VOLT176",STOCK!$B$2:$Q$3653,3,FALSE)</f>
        <v>Menor a 5</v>
      </c>
    </row>
    <row r="68" ht="15.75" customHeight="1">
      <c r="A68" s="161" t="s">
        <v>3263</v>
      </c>
      <c r="B68" s="162" t="s">
        <v>3457</v>
      </c>
      <c r="C68" s="163" t="s">
        <v>3458</v>
      </c>
      <c r="D68" s="101" t="s">
        <v>3266</v>
      </c>
      <c r="E68" s="101" t="s">
        <v>3267</v>
      </c>
      <c r="F68" s="102">
        <v>0.105</v>
      </c>
      <c r="G68" s="38" t="str">
        <f>VLOOKUP("VOLT276",STOCK!$B$2:$Q$3653,3,FALSE)</f>
        <v>Mayor a 5</v>
      </c>
    </row>
    <row r="69" ht="15.75" customHeight="1">
      <c r="A69" s="158" t="s">
        <v>3263</v>
      </c>
      <c r="B69" s="166" t="s">
        <v>3459</v>
      </c>
      <c r="C69" s="159" t="s">
        <v>3460</v>
      </c>
      <c r="D69" s="96" t="s">
        <v>3461</v>
      </c>
      <c r="E69" s="96" t="s">
        <v>3462</v>
      </c>
      <c r="F69" s="97">
        <v>0.105</v>
      </c>
      <c r="G69" s="49" t="str">
        <f>VLOOKUP("VOLT476",STOCK!$B$2:$Q$3653,3,FALSE)</f>
        <v>Menor a 5</v>
      </c>
    </row>
    <row r="70" ht="15.75" customHeight="1">
      <c r="A70" s="161" t="s">
        <v>3263</v>
      </c>
      <c r="B70" s="162" t="s">
        <v>3463</v>
      </c>
      <c r="C70" s="163" t="s">
        <v>3464</v>
      </c>
      <c r="D70" s="101" t="s">
        <v>3465</v>
      </c>
      <c r="E70" s="101" t="s">
        <v>3466</v>
      </c>
      <c r="F70" s="102">
        <v>0.105</v>
      </c>
      <c r="G70" s="46" t="str">
        <f>IFERROR(VLOOKUP("VOLT476P",STOCK!B2:Q3653,3,FALSE),"SIN STOCK")</f>
        <v>Mayor a 5</v>
      </c>
    </row>
    <row r="71" ht="15.75" customHeight="1">
      <c r="A71" s="158" t="s">
        <v>3263</v>
      </c>
      <c r="B71" s="166" t="s">
        <v>3467</v>
      </c>
      <c r="C71" s="159" t="s">
        <v>3468</v>
      </c>
      <c r="D71" s="96" t="s">
        <v>3469</v>
      </c>
      <c r="E71" s="96" t="s">
        <v>3470</v>
      </c>
      <c r="F71" s="97">
        <v>0.105</v>
      </c>
      <c r="G71" s="168" t="str">
        <f>VLOOKUP("VOLT-SB2",STOCK!$B$2:$Q$3653,3,FALSE)</f>
        <v>Menor a 5</v>
      </c>
    </row>
    <row r="72" ht="15.75" customHeight="1">
      <c r="A72" s="161" t="s">
        <v>3263</v>
      </c>
      <c r="B72" s="162" t="s">
        <v>3471</v>
      </c>
      <c r="C72" s="163" t="s">
        <v>3472</v>
      </c>
      <c r="D72" s="101" t="s">
        <v>3461</v>
      </c>
      <c r="E72" s="101" t="s">
        <v>3462</v>
      </c>
      <c r="F72" s="102">
        <v>0.105</v>
      </c>
      <c r="G72" s="46" t="str">
        <f>VLOOKUP("VOLT-SB276",STOCK!$B$2:$Q$3653,3,FALSE)</f>
        <v>Menor a 5</v>
      </c>
    </row>
    <row r="73" ht="15.75" customHeight="1">
      <c r="A73" s="28" t="s">
        <v>3473</v>
      </c>
      <c r="C73" s="167"/>
      <c r="D73" s="51"/>
      <c r="E73" s="51"/>
      <c r="F73" s="106"/>
      <c r="G73" s="92"/>
    </row>
    <row r="74" ht="15.75" customHeight="1">
      <c r="A74" s="158" t="s">
        <v>3263</v>
      </c>
      <c r="B74" s="166" t="s">
        <v>3474</v>
      </c>
      <c r="C74" s="159" t="s">
        <v>3475</v>
      </c>
      <c r="D74" s="96" t="s">
        <v>3302</v>
      </c>
      <c r="E74" s="96" t="s">
        <v>3303</v>
      </c>
      <c r="F74" s="97">
        <v>0.105</v>
      </c>
      <c r="G74" s="46" t="str">
        <f>VLOOKUP("TB3SATQ-C",STOCK!$B$2:$Q$3653,3,FALSE)</f>
        <v>Menor a 5</v>
      </c>
    </row>
    <row r="75" ht="15.75" customHeight="1">
      <c r="A75" s="161" t="s">
        <v>3263</v>
      </c>
      <c r="B75" s="162" t="s">
        <v>3476</v>
      </c>
      <c r="C75" s="163" t="s">
        <v>3477</v>
      </c>
      <c r="D75" s="101" t="s">
        <v>3478</v>
      </c>
      <c r="E75" s="101" t="s">
        <v>3479</v>
      </c>
      <c r="F75" s="102">
        <v>0.105</v>
      </c>
      <c r="G75" s="46" t="str">
        <f>VLOOKUP("TB3SATO-C",STOCK!$B$2:$Q$3653,3,FALSE)</f>
        <v>Menor a 5</v>
      </c>
    </row>
    <row r="76" ht="15.75" customHeight="1">
      <c r="A76" s="28" t="s">
        <v>3480</v>
      </c>
      <c r="C76" s="167"/>
      <c r="D76" s="51"/>
      <c r="E76" s="51"/>
      <c r="F76" s="106"/>
      <c r="G76" s="92"/>
    </row>
    <row r="77" ht="15.75" customHeight="1">
      <c r="A77" s="175" t="s">
        <v>3263</v>
      </c>
      <c r="B77" s="176" t="s">
        <v>3481</v>
      </c>
      <c r="C77" s="177" t="s">
        <v>3482</v>
      </c>
      <c r="D77" s="178"/>
      <c r="E77" s="96" t="s">
        <v>2975</v>
      </c>
      <c r="F77" s="179">
        <v>0.105</v>
      </c>
      <c r="G77" s="168" t="str">
        <f>VLOOKUP("UAD-2U-QCORE",STOCK!$B$2:$Q$3653,3,FALSE)</f>
        <v>Menor a 5</v>
      </c>
    </row>
    <row r="78" ht="15.75" customHeight="1">
      <c r="A78" s="161" t="s">
        <v>3263</v>
      </c>
      <c r="B78" s="162" t="s">
        <v>3481</v>
      </c>
      <c r="C78" s="163" t="s">
        <v>3483</v>
      </c>
      <c r="D78" s="101" t="s">
        <v>3478</v>
      </c>
      <c r="E78" s="101" t="s">
        <v>3479</v>
      </c>
      <c r="F78" s="102">
        <v>0.105</v>
      </c>
      <c r="G78" s="46" t="str">
        <f>VLOOKUP("UAD-2U-OCORE",STOCK!$B$2:$Q$3653,3,FALSE)</f>
        <v>Menor a 5</v>
      </c>
    </row>
    <row r="79" ht="15.75" customHeight="1">
      <c r="A79" s="28" t="s">
        <v>3484</v>
      </c>
      <c r="C79" s="167"/>
      <c r="D79" s="51"/>
      <c r="E79" s="51"/>
      <c r="F79" s="106"/>
      <c r="G79" s="92"/>
    </row>
    <row r="80" ht="15.75" customHeight="1">
      <c r="A80" s="175" t="s">
        <v>3263</v>
      </c>
      <c r="B80" s="180" t="s">
        <v>3485</v>
      </c>
      <c r="C80" s="177" t="s">
        <v>3486</v>
      </c>
      <c r="D80" s="178"/>
      <c r="E80" s="96" t="s">
        <v>2068</v>
      </c>
      <c r="F80" s="179">
        <v>0.105</v>
      </c>
      <c r="G80" s="174" t="str">
        <f>VLOOKUP("SATD-C**",STOCK!$B$2:$Q$3653,3,FALSE)</f>
        <v>Menor a 5</v>
      </c>
    </row>
    <row r="81" ht="15.75" customHeight="1">
      <c r="A81" s="161" t="s">
        <v>3263</v>
      </c>
      <c r="B81" s="165" t="s">
        <v>3487</v>
      </c>
      <c r="C81" s="163" t="s">
        <v>3488</v>
      </c>
      <c r="D81" s="101" t="s">
        <v>3432</v>
      </c>
      <c r="E81" s="101" t="s">
        <v>3433</v>
      </c>
      <c r="F81" s="102">
        <v>0.105</v>
      </c>
      <c r="G81" s="168" t="str">
        <f>VLOOKUP("SATQ-C**",STOCK!$B$2:$Q$3653,3,FALSE)</f>
        <v>Menor a 5</v>
      </c>
    </row>
    <row r="82" ht="15.75" customHeight="1">
      <c r="A82" s="28" t="s">
        <v>3489</v>
      </c>
      <c r="C82" s="167"/>
      <c r="D82" s="51"/>
      <c r="E82" s="51"/>
      <c r="F82" s="106"/>
      <c r="G82" s="92"/>
    </row>
    <row r="83" ht="15.75" customHeight="1">
      <c r="A83" s="158" t="s">
        <v>3263</v>
      </c>
      <c r="B83" s="164" t="s">
        <v>3490</v>
      </c>
      <c r="C83" s="159" t="s">
        <v>3491</v>
      </c>
      <c r="D83" s="96" t="s">
        <v>3478</v>
      </c>
      <c r="E83" s="96" t="s">
        <v>3479</v>
      </c>
      <c r="F83" s="97">
        <v>0.105</v>
      </c>
      <c r="G83" s="46" t="str">
        <f>IFERROR(VLOOKUP("PCI2O-C",STOCK!B4:Q3655,3,FALSE),"SIN STOCK")</f>
        <v>SIN STOCK</v>
      </c>
    </row>
    <row r="84" ht="15.75" customHeight="1">
      <c r="A84" s="28" t="s">
        <v>3492</v>
      </c>
      <c r="C84" s="167"/>
      <c r="D84" s="51"/>
      <c r="E84" s="171"/>
      <c r="F84" s="172"/>
      <c r="G84" s="172"/>
    </row>
    <row r="85" ht="15.75" customHeight="1">
      <c r="A85" s="158" t="s">
        <v>3263</v>
      </c>
      <c r="B85" s="166" t="s">
        <v>3493</v>
      </c>
      <c r="C85" s="159" t="s">
        <v>3494</v>
      </c>
      <c r="D85" s="96" t="s">
        <v>3495</v>
      </c>
      <c r="E85" s="96" t="s">
        <v>3496</v>
      </c>
      <c r="F85" s="97">
        <v>0.105</v>
      </c>
      <c r="G85" s="168" t="str">
        <f>IFERROR(VLOOKUP("LA2A",STOCK!B4:Q3655,3,FALSE),"SIN STOCK")</f>
        <v>SIN STOCK</v>
      </c>
    </row>
    <row r="86" ht="15.75" customHeight="1">
      <c r="A86" s="161" t="s">
        <v>3263</v>
      </c>
      <c r="B86" s="162" t="s">
        <v>3497</v>
      </c>
      <c r="C86" s="163" t="s">
        <v>3498</v>
      </c>
      <c r="D86" s="101" t="s">
        <v>3499</v>
      </c>
      <c r="E86" s="101" t="s">
        <v>3500</v>
      </c>
      <c r="F86" s="102">
        <v>0.105</v>
      </c>
      <c r="G86" s="46" t="str">
        <f>IFERROR(VLOOKUP("1176LN",STOCK!B5:Q3656,3,FALSE),"SIN STOCK")</f>
        <v>SIN STOCK</v>
      </c>
    </row>
    <row r="87" ht="15.75" customHeight="1">
      <c r="A87" s="158" t="s">
        <v>3263</v>
      </c>
      <c r="B87" s="164" t="s">
        <v>3501</v>
      </c>
      <c r="C87" s="159" t="s">
        <v>3502</v>
      </c>
      <c r="D87" s="96" t="s">
        <v>3282</v>
      </c>
      <c r="E87" s="96" t="s">
        <v>3283</v>
      </c>
      <c r="F87" s="97">
        <v>0.105</v>
      </c>
      <c r="G87" s="46" t="str">
        <f>IFERROR(VLOOKUP("1176SA",STOCK!B5:Q3656,3,FALSE),"SIN STOCK")</f>
        <v>SIN STOCK</v>
      </c>
    </row>
    <row r="88" ht="15.75" customHeight="1">
      <c r="A88" s="161" t="s">
        <v>3263</v>
      </c>
      <c r="B88" s="181">
        <v>6176.0</v>
      </c>
      <c r="C88" s="163" t="s">
        <v>3503</v>
      </c>
      <c r="D88" s="101" t="s">
        <v>3381</v>
      </c>
      <c r="E88" s="101" t="s">
        <v>3382</v>
      </c>
      <c r="F88" s="102">
        <v>0.105</v>
      </c>
      <c r="G88" s="168" t="str">
        <f>IFERROR(VLOOKUP("6176",STOCK!B4:Q3655,3,FALSE),"SIN STOCK")</f>
        <v>SIN STOCK</v>
      </c>
    </row>
    <row r="89" ht="15.75" customHeight="1">
      <c r="A89" s="158" t="s">
        <v>3263</v>
      </c>
      <c r="B89" s="166" t="s">
        <v>3504</v>
      </c>
      <c r="C89" s="159" t="s">
        <v>3505</v>
      </c>
      <c r="D89" s="96" t="s">
        <v>3402</v>
      </c>
      <c r="E89" s="96" t="s">
        <v>3403</v>
      </c>
      <c r="F89" s="97">
        <v>0.105</v>
      </c>
      <c r="G89" s="136" t="str">
        <f>VLOOKUP("LA610",STOCK!$B$2:$Q$3653,3,FALSE)</f>
        <v>Menor a 5</v>
      </c>
    </row>
    <row r="90" ht="15.75" customHeight="1">
      <c r="A90" s="161" t="s">
        <v>3263</v>
      </c>
      <c r="B90" s="162" t="s">
        <v>3506</v>
      </c>
      <c r="C90" s="163" t="s">
        <v>3507</v>
      </c>
      <c r="D90" s="101" t="s">
        <v>3371</v>
      </c>
      <c r="E90" s="101" t="s">
        <v>3372</v>
      </c>
      <c r="F90" s="102">
        <v>0.105</v>
      </c>
      <c r="G90" s="136" t="str">
        <f>VLOOKUP("S610",STOCK!$B$2:$Q$3653,3,FALSE)</f>
        <v>Menor a 5</v>
      </c>
    </row>
    <row r="91" ht="15.75" customHeight="1">
      <c r="A91" s="158" t="s">
        <v>3263</v>
      </c>
      <c r="B91" s="166" t="s">
        <v>3508</v>
      </c>
      <c r="C91" s="159" t="s">
        <v>3509</v>
      </c>
      <c r="D91" s="96" t="s">
        <v>3402</v>
      </c>
      <c r="E91" s="96" t="s">
        <v>3403</v>
      </c>
      <c r="F91" s="97">
        <v>0.105</v>
      </c>
      <c r="G91" s="78" t="str">
        <f>VLOOKUP("4710D",STOCK!$B$2:$Q$3653,3,FALSE)</f>
        <v>Menor a 5</v>
      </c>
    </row>
    <row r="92" ht="15.75" customHeight="1">
      <c r="A92" s="161" t="s">
        <v>3263</v>
      </c>
      <c r="B92" s="162" t="s">
        <v>3510</v>
      </c>
      <c r="C92" s="163" t="s">
        <v>3511</v>
      </c>
      <c r="D92" s="101" t="s">
        <v>3302</v>
      </c>
      <c r="E92" s="101" t="s">
        <v>3303</v>
      </c>
      <c r="F92" s="102">
        <v>0.105</v>
      </c>
      <c r="G92" s="174" t="str">
        <f>VLOOKUP("710TF",STOCK!$B$2:$Q$3653,3,FALSE)</f>
        <v>Menor a 5</v>
      </c>
    </row>
    <row r="93" ht="15.75" customHeight="1">
      <c r="A93" s="118"/>
      <c r="B93" s="118"/>
      <c r="C93" s="182"/>
      <c r="D93" s="183"/>
      <c r="E93" s="183"/>
      <c r="F93" s="183"/>
      <c r="G93" s="183"/>
    </row>
    <row r="94" ht="15.75" customHeight="1">
      <c r="A94" s="118"/>
      <c r="B94" s="118"/>
      <c r="C94" s="182"/>
      <c r="D94" s="184"/>
      <c r="E94" s="184"/>
      <c r="F94" s="185"/>
      <c r="G94" s="131"/>
    </row>
    <row r="95" ht="15.75" customHeight="1">
      <c r="A95" s="118"/>
      <c r="B95" s="118"/>
      <c r="C95" s="182"/>
      <c r="D95" s="184"/>
      <c r="E95" s="184"/>
      <c r="F95" s="185"/>
      <c r="G95" s="131"/>
    </row>
    <row r="96" ht="15.75" customHeight="1">
      <c r="A96" s="118"/>
      <c r="B96" s="118"/>
      <c r="C96" s="182"/>
      <c r="D96" s="184"/>
      <c r="E96" s="184"/>
      <c r="F96" s="185"/>
      <c r="G96" s="131"/>
    </row>
    <row r="97" ht="15.75" customHeight="1">
      <c r="A97" s="118"/>
      <c r="B97" s="118"/>
      <c r="C97" s="182"/>
      <c r="D97" s="184"/>
      <c r="E97" s="184"/>
      <c r="F97" s="185"/>
      <c r="G97" s="131"/>
    </row>
    <row r="98" ht="15.75" customHeight="1">
      <c r="A98" s="118"/>
      <c r="B98" s="118"/>
      <c r="C98" s="182"/>
      <c r="D98" s="183"/>
      <c r="E98" s="183"/>
      <c r="F98" s="183"/>
      <c r="G98" s="183"/>
    </row>
    <row r="99" ht="15.75" customHeight="1">
      <c r="A99" s="118"/>
      <c r="B99" s="118"/>
      <c r="C99" s="182"/>
      <c r="D99" s="184"/>
      <c r="E99" s="184"/>
      <c r="F99" s="185"/>
      <c r="G99" s="131"/>
    </row>
    <row r="100" ht="15.75" customHeight="1">
      <c r="A100" s="118"/>
      <c r="B100" s="118"/>
      <c r="C100" s="182"/>
      <c r="D100" s="184"/>
      <c r="E100" s="184"/>
      <c r="F100" s="185"/>
      <c r="G100" s="131"/>
    </row>
    <row r="101" ht="15.75" customHeight="1">
      <c r="A101" s="118"/>
      <c r="B101" s="118"/>
      <c r="C101" s="182"/>
      <c r="D101" s="184"/>
      <c r="E101" s="184"/>
      <c r="F101" s="185"/>
      <c r="G101" s="131"/>
    </row>
    <row r="102" ht="15.75" customHeight="1">
      <c r="A102" s="118"/>
      <c r="B102" s="118"/>
      <c r="C102" s="182"/>
      <c r="D102" s="184"/>
      <c r="E102" s="184"/>
      <c r="F102" s="185"/>
      <c r="G102" s="131"/>
    </row>
    <row r="103" ht="15.75" customHeight="1">
      <c r="A103" s="118"/>
      <c r="B103" s="118"/>
      <c r="C103" s="182"/>
      <c r="D103" s="184"/>
      <c r="E103" s="184"/>
      <c r="F103" s="185"/>
      <c r="G103" s="131"/>
    </row>
    <row r="104" ht="15.75" customHeight="1">
      <c r="A104" s="118"/>
      <c r="B104" s="118"/>
      <c r="C104" s="182"/>
      <c r="D104" s="184"/>
      <c r="E104" s="184"/>
      <c r="F104" s="185"/>
      <c r="G104" s="131"/>
    </row>
    <row r="105" ht="15.75" customHeight="1">
      <c r="A105" s="118"/>
      <c r="B105" s="118"/>
      <c r="C105" s="182"/>
      <c r="D105" s="184"/>
      <c r="E105" s="184"/>
      <c r="F105" s="185"/>
      <c r="G105" s="131"/>
    </row>
    <row r="106" ht="15.75" customHeight="1">
      <c r="A106" s="118"/>
      <c r="B106" s="118"/>
      <c r="C106" s="182"/>
      <c r="D106" s="184"/>
      <c r="E106" s="184"/>
      <c r="F106" s="185"/>
      <c r="G106" s="131"/>
    </row>
    <row r="107" ht="15.75" customHeight="1">
      <c r="A107" s="118"/>
      <c r="B107" s="118"/>
      <c r="C107" s="182"/>
      <c r="D107" s="184"/>
      <c r="E107" s="184"/>
      <c r="F107" s="185"/>
      <c r="G107" s="131"/>
    </row>
    <row r="108" ht="15.75" customHeight="1">
      <c r="A108" s="118"/>
      <c r="B108" s="118"/>
      <c r="C108" s="182"/>
      <c r="D108" s="184"/>
      <c r="E108" s="184"/>
      <c r="F108" s="185"/>
      <c r="G108" s="131"/>
    </row>
    <row r="109" ht="15.75" customHeight="1">
      <c r="A109" s="118"/>
      <c r="B109" s="118"/>
      <c r="C109" s="182"/>
      <c r="D109" s="184"/>
      <c r="E109" s="184"/>
      <c r="F109" s="185"/>
      <c r="G109" s="131"/>
    </row>
    <row r="110" ht="15.75" customHeight="1">
      <c r="A110" s="118"/>
      <c r="B110" s="118"/>
      <c r="C110" s="182"/>
      <c r="D110" s="184"/>
      <c r="E110" s="184"/>
      <c r="F110" s="185"/>
      <c r="G110" s="131"/>
    </row>
    <row r="111" ht="15.75" customHeight="1">
      <c r="A111" s="118"/>
      <c r="B111" s="118"/>
      <c r="C111" s="182"/>
      <c r="D111" s="184"/>
      <c r="E111" s="184"/>
      <c r="F111" s="185"/>
      <c r="G111" s="131"/>
    </row>
    <row r="112" ht="15.75" customHeight="1">
      <c r="A112" s="118"/>
      <c r="B112" s="118"/>
      <c r="C112" s="182"/>
      <c r="D112" s="184"/>
      <c r="E112" s="184"/>
      <c r="F112" s="185"/>
      <c r="G112" s="131"/>
    </row>
    <row r="113" ht="15.75" customHeight="1">
      <c r="A113" s="118"/>
      <c r="B113" s="118"/>
      <c r="C113" s="182"/>
      <c r="D113" s="184"/>
      <c r="E113" s="184"/>
      <c r="F113" s="185"/>
      <c r="G113" s="131"/>
    </row>
    <row r="114" ht="15.75" customHeight="1">
      <c r="A114" s="118"/>
      <c r="B114" s="118"/>
      <c r="C114" s="182"/>
      <c r="D114" s="184"/>
      <c r="E114" s="184"/>
      <c r="F114" s="185"/>
      <c r="G114" s="131"/>
    </row>
    <row r="115" ht="15.75" customHeight="1">
      <c r="A115" s="118"/>
      <c r="B115" s="118"/>
      <c r="C115" s="182"/>
      <c r="D115" s="184"/>
      <c r="E115" s="184"/>
      <c r="F115" s="185"/>
      <c r="G115" s="131"/>
    </row>
    <row r="116" ht="15.75" customHeight="1">
      <c r="A116" s="118"/>
      <c r="B116" s="118"/>
      <c r="C116" s="182"/>
      <c r="D116" s="184"/>
      <c r="E116" s="184"/>
      <c r="F116" s="185"/>
      <c r="G116" s="131"/>
    </row>
    <row r="117" ht="15.75" customHeight="1">
      <c r="A117" s="118"/>
      <c r="B117" s="118"/>
      <c r="C117" s="182"/>
      <c r="D117" s="184"/>
      <c r="E117" s="184"/>
      <c r="F117" s="185"/>
      <c r="G117" s="131"/>
    </row>
    <row r="118" ht="15.75" customHeight="1">
      <c r="A118" s="118"/>
      <c r="B118" s="118"/>
      <c r="C118" s="182"/>
      <c r="D118" s="184"/>
      <c r="E118" s="184"/>
      <c r="F118" s="185"/>
      <c r="G118" s="131"/>
    </row>
    <row r="119" ht="15.75" customHeight="1">
      <c r="A119" s="118"/>
      <c r="B119" s="118"/>
      <c r="C119" s="182"/>
      <c r="D119" s="184"/>
      <c r="E119" s="184"/>
      <c r="F119" s="185"/>
      <c r="G119" s="131"/>
    </row>
    <row r="120" ht="15.75" customHeight="1">
      <c r="A120" s="118"/>
      <c r="B120" s="118"/>
      <c r="C120" s="182"/>
      <c r="D120" s="184"/>
      <c r="E120" s="184"/>
      <c r="F120" s="185"/>
      <c r="G120" s="131"/>
    </row>
    <row r="121" ht="15.75" customHeight="1">
      <c r="A121" s="118"/>
      <c r="B121" s="118"/>
      <c r="C121" s="182"/>
      <c r="D121" s="184"/>
      <c r="E121" s="184"/>
      <c r="F121" s="185"/>
      <c r="G121" s="131"/>
    </row>
    <row r="122" ht="15.75" customHeight="1">
      <c r="A122" s="118"/>
      <c r="B122" s="118"/>
      <c r="C122" s="182"/>
      <c r="D122" s="184"/>
      <c r="E122" s="184"/>
      <c r="F122" s="185"/>
      <c r="G122" s="131"/>
    </row>
    <row r="123" ht="15.75" customHeight="1">
      <c r="A123" s="118"/>
      <c r="B123" s="118"/>
      <c r="C123" s="182"/>
      <c r="D123" s="184"/>
      <c r="E123" s="184"/>
      <c r="F123" s="185"/>
      <c r="G123" s="131"/>
    </row>
    <row r="124" ht="15.75" customHeight="1">
      <c r="A124" s="118"/>
      <c r="B124" s="118"/>
      <c r="C124" s="182"/>
      <c r="D124" s="184"/>
      <c r="E124" s="184"/>
      <c r="F124" s="185"/>
      <c r="G124" s="131"/>
    </row>
    <row r="125" ht="15.75" customHeight="1">
      <c r="A125" s="118"/>
      <c r="B125" s="118"/>
      <c r="C125" s="182"/>
      <c r="D125" s="184"/>
      <c r="E125" s="184"/>
      <c r="F125" s="185"/>
      <c r="G125" s="131"/>
    </row>
    <row r="126" ht="15.75" customHeight="1">
      <c r="A126" s="118"/>
      <c r="B126" s="118"/>
      <c r="C126" s="182"/>
      <c r="D126" s="184"/>
      <c r="E126" s="184"/>
      <c r="F126" s="185"/>
      <c r="G126" s="131"/>
    </row>
    <row r="127" ht="15.75" customHeight="1">
      <c r="A127" s="118"/>
      <c r="B127" s="118"/>
      <c r="C127" s="182"/>
      <c r="D127" s="184"/>
      <c r="E127" s="184"/>
      <c r="F127" s="185"/>
      <c r="G127" s="131"/>
    </row>
    <row r="128" ht="15.75" customHeight="1">
      <c r="A128" s="118"/>
      <c r="B128" s="118"/>
      <c r="C128" s="182"/>
      <c r="D128" s="184"/>
      <c r="E128" s="184"/>
      <c r="F128" s="185"/>
      <c r="G128" s="131"/>
    </row>
    <row r="129" ht="15.75" customHeight="1">
      <c r="A129" s="118"/>
      <c r="B129" s="118"/>
      <c r="C129" s="182"/>
      <c r="D129" s="184"/>
      <c r="E129" s="184"/>
      <c r="F129" s="185"/>
      <c r="G129" s="131"/>
    </row>
    <row r="130" ht="15.75" customHeight="1">
      <c r="A130" s="118"/>
      <c r="B130" s="118"/>
      <c r="C130" s="182"/>
      <c r="D130" s="184"/>
      <c r="E130" s="184"/>
      <c r="F130" s="185"/>
      <c r="G130" s="131"/>
    </row>
    <row r="131" ht="15.75" customHeight="1">
      <c r="A131" s="118"/>
      <c r="B131" s="118"/>
      <c r="C131" s="182"/>
      <c r="D131" s="184"/>
      <c r="E131" s="184"/>
      <c r="F131" s="185"/>
      <c r="G131" s="131"/>
    </row>
    <row r="132" ht="15.75" customHeight="1">
      <c r="A132" s="118"/>
      <c r="B132" s="118"/>
      <c r="C132" s="182"/>
      <c r="D132" s="184"/>
      <c r="E132" s="184"/>
      <c r="F132" s="185"/>
      <c r="G132" s="131"/>
    </row>
    <row r="133" ht="15.75" customHeight="1">
      <c r="A133" s="118"/>
      <c r="B133" s="118"/>
      <c r="C133" s="182"/>
      <c r="D133" s="184"/>
      <c r="E133" s="184"/>
      <c r="F133" s="185"/>
      <c r="G133" s="131"/>
    </row>
    <row r="134" ht="15.75" customHeight="1">
      <c r="A134" s="118"/>
      <c r="B134" s="118"/>
      <c r="C134" s="182"/>
      <c r="D134" s="184"/>
      <c r="E134" s="184"/>
      <c r="F134" s="185"/>
      <c r="G134" s="131"/>
    </row>
    <row r="135" ht="15.75" customHeight="1">
      <c r="A135" s="118"/>
      <c r="B135" s="118"/>
      <c r="C135" s="182"/>
      <c r="D135" s="184"/>
      <c r="E135" s="184"/>
      <c r="F135" s="185"/>
      <c r="G135" s="131"/>
    </row>
    <row r="136" ht="15.75" customHeight="1">
      <c r="A136" s="118"/>
      <c r="B136" s="118"/>
      <c r="C136" s="182"/>
      <c r="D136" s="184"/>
      <c r="E136" s="184"/>
      <c r="F136" s="185"/>
      <c r="G136" s="131"/>
    </row>
    <row r="137" ht="15.75" customHeight="1">
      <c r="A137" s="118"/>
      <c r="B137" s="118"/>
      <c r="C137" s="182"/>
      <c r="D137" s="184"/>
      <c r="E137" s="184"/>
      <c r="F137" s="185"/>
      <c r="G137" s="131"/>
    </row>
    <row r="138" ht="15.75" customHeight="1">
      <c r="A138" s="118"/>
      <c r="B138" s="118"/>
      <c r="C138" s="182"/>
      <c r="D138" s="184"/>
      <c r="E138" s="184"/>
      <c r="F138" s="185"/>
      <c r="G138" s="131"/>
    </row>
    <row r="139" ht="15.75" customHeight="1">
      <c r="A139" s="118"/>
      <c r="B139" s="118"/>
      <c r="C139" s="182"/>
      <c r="D139" s="184"/>
      <c r="E139" s="184"/>
      <c r="F139" s="185"/>
      <c r="G139" s="131"/>
    </row>
    <row r="140" ht="15.75" customHeight="1">
      <c r="A140" s="118"/>
      <c r="B140" s="118"/>
      <c r="C140" s="182"/>
      <c r="D140" s="184"/>
      <c r="E140" s="184"/>
      <c r="F140" s="185"/>
      <c r="G140" s="131"/>
    </row>
    <row r="141" ht="15.75" customHeight="1">
      <c r="A141" s="118"/>
      <c r="B141" s="118"/>
      <c r="C141" s="182"/>
      <c r="D141" s="184"/>
      <c r="E141" s="184"/>
      <c r="F141" s="185"/>
      <c r="G141" s="131"/>
    </row>
    <row r="142" ht="15.75" customHeight="1">
      <c r="A142" s="118"/>
      <c r="B142" s="118"/>
      <c r="C142" s="182"/>
      <c r="D142" s="184"/>
      <c r="E142" s="184"/>
      <c r="F142" s="185"/>
      <c r="G142" s="131"/>
    </row>
    <row r="143" ht="15.75" customHeight="1">
      <c r="A143" s="118"/>
      <c r="B143" s="118"/>
      <c r="C143" s="182"/>
      <c r="D143" s="184"/>
      <c r="E143" s="184"/>
      <c r="F143" s="185"/>
      <c r="G143" s="131"/>
    </row>
    <row r="144" ht="15.75" customHeight="1">
      <c r="A144" s="118"/>
      <c r="B144" s="118"/>
      <c r="C144" s="182"/>
      <c r="D144" s="184"/>
      <c r="E144" s="184"/>
      <c r="F144" s="185"/>
      <c r="G144" s="131"/>
    </row>
    <row r="145" ht="15.75" customHeight="1">
      <c r="A145" s="118"/>
      <c r="B145" s="118"/>
      <c r="C145" s="182"/>
      <c r="D145" s="184"/>
      <c r="E145" s="184"/>
      <c r="F145" s="185"/>
      <c r="G145" s="131"/>
    </row>
    <row r="146" ht="15.75" customHeight="1">
      <c r="A146" s="118"/>
      <c r="B146" s="118"/>
      <c r="C146" s="182"/>
      <c r="D146" s="184"/>
      <c r="E146" s="184"/>
      <c r="F146" s="185"/>
      <c r="G146" s="131"/>
    </row>
    <row r="147" ht="15.75" customHeight="1">
      <c r="A147" s="118"/>
      <c r="B147" s="118"/>
      <c r="C147" s="182"/>
      <c r="D147" s="184"/>
      <c r="E147" s="184"/>
      <c r="F147" s="185"/>
      <c r="G147" s="131"/>
    </row>
    <row r="148" ht="15.75" customHeight="1">
      <c r="A148" s="118"/>
      <c r="B148" s="118"/>
      <c r="C148" s="182"/>
      <c r="D148" s="184"/>
      <c r="E148" s="184"/>
      <c r="F148" s="185"/>
      <c r="G148" s="131"/>
    </row>
    <row r="149" ht="15.75" customHeight="1">
      <c r="A149" s="118"/>
      <c r="B149" s="118"/>
      <c r="C149" s="182"/>
      <c r="D149" s="184"/>
      <c r="E149" s="184"/>
      <c r="F149" s="185"/>
      <c r="G149" s="131"/>
    </row>
    <row r="150" ht="15.75" customHeight="1">
      <c r="A150" s="118"/>
      <c r="B150" s="118"/>
      <c r="C150" s="182"/>
      <c r="D150" s="184"/>
      <c r="E150" s="184"/>
      <c r="F150" s="185"/>
      <c r="G150" s="131"/>
    </row>
    <row r="151" ht="15.75" customHeight="1">
      <c r="A151" s="118"/>
      <c r="B151" s="118"/>
      <c r="C151" s="182"/>
      <c r="D151" s="184"/>
      <c r="E151" s="184"/>
      <c r="F151" s="185"/>
      <c r="G151" s="131"/>
    </row>
    <row r="152" ht="15.75" customHeight="1">
      <c r="A152" s="118"/>
      <c r="B152" s="118"/>
      <c r="C152" s="182"/>
      <c r="D152" s="184"/>
      <c r="E152" s="184"/>
      <c r="F152" s="185"/>
      <c r="G152" s="131"/>
    </row>
    <row r="153" ht="15.75" customHeight="1">
      <c r="A153" s="118"/>
      <c r="B153" s="118"/>
      <c r="C153" s="182"/>
      <c r="D153" s="184"/>
      <c r="E153" s="184"/>
      <c r="F153" s="185"/>
      <c r="G153" s="131"/>
    </row>
    <row r="154" ht="15.75" customHeight="1">
      <c r="A154" s="118"/>
      <c r="B154" s="118"/>
      <c r="C154" s="182"/>
      <c r="D154" s="184"/>
      <c r="E154" s="184"/>
      <c r="F154" s="185"/>
      <c r="G154" s="131"/>
    </row>
    <row r="155" ht="15.75" customHeight="1">
      <c r="A155" s="118"/>
      <c r="B155" s="118"/>
      <c r="C155" s="182"/>
      <c r="D155" s="184"/>
      <c r="E155" s="184"/>
      <c r="F155" s="185"/>
      <c r="G155" s="131"/>
    </row>
    <row r="156" ht="15.75" customHeight="1">
      <c r="A156" s="118"/>
      <c r="B156" s="118"/>
      <c r="C156" s="182"/>
      <c r="D156" s="184"/>
      <c r="E156" s="184"/>
      <c r="F156" s="185"/>
      <c r="G156" s="131"/>
    </row>
    <row r="157" ht="15.75" customHeight="1">
      <c r="A157" s="118"/>
      <c r="B157" s="118"/>
      <c r="C157" s="182"/>
      <c r="D157" s="184"/>
      <c r="E157" s="184"/>
      <c r="F157" s="185"/>
      <c r="G157" s="131"/>
    </row>
    <row r="158" ht="15.75" customHeight="1">
      <c r="A158" s="118"/>
      <c r="B158" s="118"/>
      <c r="C158" s="182"/>
      <c r="D158" s="184"/>
      <c r="E158" s="184"/>
      <c r="F158" s="185"/>
      <c r="G158" s="131"/>
    </row>
    <row r="159" ht="15.75" customHeight="1">
      <c r="A159" s="118"/>
      <c r="B159" s="118"/>
      <c r="C159" s="182"/>
      <c r="D159" s="184"/>
      <c r="E159" s="184"/>
      <c r="F159" s="185"/>
      <c r="G159" s="131"/>
    </row>
    <row r="160" ht="15.75" customHeight="1">
      <c r="A160" s="118"/>
      <c r="B160" s="118"/>
      <c r="C160" s="182"/>
      <c r="D160" s="184"/>
      <c r="E160" s="184"/>
      <c r="F160" s="185"/>
      <c r="G160" s="131"/>
    </row>
    <row r="161" ht="15.75" customHeight="1">
      <c r="A161" s="118"/>
      <c r="B161" s="118"/>
      <c r="C161" s="182"/>
      <c r="D161" s="184"/>
      <c r="E161" s="184"/>
      <c r="F161" s="185"/>
      <c r="G161" s="131"/>
    </row>
    <row r="162" ht="15.75" customHeight="1">
      <c r="A162" s="118"/>
      <c r="B162" s="118"/>
      <c r="C162" s="182"/>
      <c r="D162" s="184"/>
      <c r="E162" s="184"/>
      <c r="F162" s="185"/>
      <c r="G162" s="131"/>
    </row>
    <row r="163" ht="15.75" customHeight="1">
      <c r="A163" s="118"/>
      <c r="B163" s="118"/>
      <c r="C163" s="182"/>
      <c r="D163" s="184"/>
      <c r="E163" s="184"/>
      <c r="F163" s="185"/>
      <c r="G163" s="131"/>
    </row>
    <row r="164" ht="15.75" customHeight="1">
      <c r="A164" s="118"/>
      <c r="B164" s="118"/>
      <c r="C164" s="182"/>
      <c r="D164" s="184"/>
      <c r="E164" s="184"/>
      <c r="F164" s="185"/>
      <c r="G164" s="131"/>
    </row>
    <row r="165" ht="15.75" customHeight="1">
      <c r="A165" s="118"/>
      <c r="B165" s="118"/>
      <c r="C165" s="182"/>
      <c r="D165" s="184"/>
      <c r="E165" s="184"/>
      <c r="F165" s="185"/>
      <c r="G165" s="131"/>
    </row>
    <row r="166" ht="15.75" customHeight="1">
      <c r="A166" s="118"/>
      <c r="B166" s="118"/>
      <c r="C166" s="182"/>
      <c r="D166" s="184"/>
      <c r="E166" s="184"/>
      <c r="F166" s="185"/>
      <c r="G166" s="131"/>
    </row>
    <row r="167" ht="15.75" customHeight="1">
      <c r="A167" s="118"/>
      <c r="B167" s="118"/>
      <c r="C167" s="182"/>
      <c r="D167" s="184"/>
      <c r="E167" s="184"/>
      <c r="F167" s="185"/>
      <c r="G167" s="131"/>
    </row>
    <row r="168" ht="15.75" customHeight="1">
      <c r="A168" s="118"/>
      <c r="B168" s="118"/>
      <c r="C168" s="182"/>
      <c r="D168" s="184"/>
      <c r="E168" s="184"/>
      <c r="F168" s="185"/>
      <c r="G168" s="131"/>
    </row>
    <row r="169" ht="15.75" customHeight="1">
      <c r="A169" s="118"/>
      <c r="B169" s="118"/>
      <c r="C169" s="182"/>
      <c r="D169" s="184"/>
      <c r="E169" s="184"/>
      <c r="F169" s="185"/>
      <c r="G169" s="131"/>
    </row>
    <row r="170" ht="15.75" customHeight="1">
      <c r="A170" s="118"/>
      <c r="B170" s="118"/>
      <c r="C170" s="182"/>
      <c r="D170" s="184"/>
      <c r="E170" s="184"/>
      <c r="F170" s="185"/>
      <c r="G170" s="131"/>
    </row>
    <row r="171" ht="15.75" customHeight="1">
      <c r="A171" s="118"/>
      <c r="B171" s="118"/>
      <c r="C171" s="182"/>
      <c r="D171" s="184"/>
      <c r="E171" s="184"/>
      <c r="F171" s="185"/>
      <c r="G171" s="131"/>
    </row>
    <row r="172" ht="15.75" customHeight="1">
      <c r="A172" s="118"/>
      <c r="B172" s="118"/>
      <c r="C172" s="182"/>
      <c r="D172" s="184"/>
      <c r="E172" s="184"/>
      <c r="F172" s="185"/>
      <c r="G172" s="131"/>
    </row>
    <row r="173" ht="15.75" customHeight="1">
      <c r="A173" s="118"/>
      <c r="B173" s="118"/>
      <c r="C173" s="182"/>
      <c r="D173" s="184"/>
      <c r="E173" s="184"/>
      <c r="F173" s="185"/>
      <c r="G173" s="131"/>
    </row>
    <row r="174" ht="15.75" customHeight="1">
      <c r="A174" s="118"/>
      <c r="B174" s="118"/>
      <c r="C174" s="182"/>
      <c r="D174" s="184"/>
      <c r="E174" s="184"/>
      <c r="F174" s="185"/>
      <c r="G174" s="131"/>
    </row>
    <row r="175" ht="15.75" customHeight="1">
      <c r="A175" s="118"/>
      <c r="B175" s="118"/>
      <c r="C175" s="182"/>
      <c r="D175" s="184"/>
      <c r="E175" s="184"/>
      <c r="F175" s="185"/>
      <c r="G175" s="131"/>
    </row>
    <row r="176" ht="15.75" customHeight="1">
      <c r="A176" s="118"/>
      <c r="B176" s="118"/>
      <c r="C176" s="182"/>
      <c r="D176" s="184"/>
      <c r="E176" s="184"/>
      <c r="F176" s="185"/>
      <c r="G176" s="131"/>
    </row>
    <row r="177" ht="15.75" customHeight="1">
      <c r="A177" s="118"/>
      <c r="B177" s="118"/>
      <c r="C177" s="182"/>
      <c r="D177" s="184"/>
      <c r="E177" s="184"/>
      <c r="F177" s="185"/>
      <c r="G177" s="131"/>
    </row>
    <row r="178" ht="15.75" customHeight="1">
      <c r="A178" s="118"/>
      <c r="B178" s="118"/>
      <c r="C178" s="182"/>
      <c r="D178" s="184"/>
      <c r="E178" s="184"/>
      <c r="F178" s="185"/>
      <c r="G178" s="131"/>
    </row>
    <row r="179" ht="15.75" customHeight="1">
      <c r="A179" s="118"/>
      <c r="B179" s="118"/>
      <c r="C179" s="182"/>
      <c r="D179" s="184"/>
      <c r="E179" s="184"/>
      <c r="F179" s="185"/>
      <c r="G179" s="131"/>
    </row>
    <row r="180" ht="15.75" customHeight="1">
      <c r="A180" s="118"/>
      <c r="B180" s="118"/>
      <c r="C180" s="182"/>
      <c r="D180" s="184"/>
      <c r="E180" s="184"/>
      <c r="F180" s="185"/>
      <c r="G180" s="131"/>
    </row>
    <row r="181" ht="15.75" customHeight="1">
      <c r="A181" s="118"/>
      <c r="B181" s="118"/>
      <c r="C181" s="182"/>
      <c r="D181" s="184"/>
      <c r="E181" s="184"/>
      <c r="F181" s="185"/>
      <c r="G181" s="131"/>
    </row>
    <row r="182" ht="15.75" customHeight="1">
      <c r="A182" s="118"/>
      <c r="B182" s="118"/>
      <c r="C182" s="182"/>
      <c r="D182" s="184"/>
      <c r="E182" s="184"/>
      <c r="F182" s="185"/>
      <c r="G182" s="131"/>
    </row>
    <row r="183" ht="15.75" customHeight="1">
      <c r="A183" s="118"/>
      <c r="B183" s="118"/>
      <c r="C183" s="182"/>
      <c r="D183" s="184"/>
      <c r="E183" s="184"/>
      <c r="F183" s="185"/>
      <c r="G183" s="131"/>
    </row>
    <row r="184" ht="15.75" customHeight="1">
      <c r="A184" s="118"/>
      <c r="B184" s="118"/>
      <c r="C184" s="182"/>
      <c r="D184" s="184"/>
      <c r="E184" s="184"/>
      <c r="F184" s="185"/>
      <c r="G184" s="131"/>
    </row>
    <row r="185" ht="15.75" customHeight="1">
      <c r="A185" s="118"/>
      <c r="B185" s="118"/>
      <c r="C185" s="182"/>
      <c r="D185" s="184"/>
      <c r="E185" s="184"/>
      <c r="F185" s="185"/>
      <c r="G185" s="131"/>
    </row>
    <row r="186" ht="15.75" customHeight="1">
      <c r="A186" s="118"/>
      <c r="B186" s="118"/>
      <c r="C186" s="182"/>
      <c r="D186" s="184"/>
      <c r="E186" s="184"/>
      <c r="F186" s="185"/>
      <c r="G186" s="131"/>
    </row>
    <row r="187" ht="15.75" customHeight="1">
      <c r="A187" s="118"/>
      <c r="B187" s="118"/>
      <c r="C187" s="182"/>
      <c r="D187" s="184"/>
      <c r="E187" s="184"/>
      <c r="F187" s="185"/>
      <c r="G187" s="131"/>
    </row>
    <row r="188" ht="15.75" customHeight="1">
      <c r="A188" s="118"/>
      <c r="B188" s="118"/>
      <c r="C188" s="182"/>
      <c r="D188" s="184"/>
      <c r="E188" s="184"/>
      <c r="F188" s="185"/>
      <c r="G188" s="131"/>
    </row>
    <row r="189" ht="15.75" customHeight="1">
      <c r="A189" s="118"/>
      <c r="B189" s="118"/>
      <c r="C189" s="182"/>
      <c r="D189" s="184"/>
      <c r="E189" s="184"/>
      <c r="F189" s="185"/>
      <c r="G189" s="131"/>
    </row>
    <row r="190" ht="15.75" customHeight="1">
      <c r="A190" s="118"/>
      <c r="B190" s="118"/>
      <c r="C190" s="182"/>
      <c r="D190" s="184"/>
      <c r="E190" s="184"/>
      <c r="F190" s="185"/>
      <c r="G190" s="131"/>
    </row>
    <row r="191" ht="15.75" customHeight="1">
      <c r="A191" s="118"/>
      <c r="B191" s="118"/>
      <c r="C191" s="182"/>
      <c r="D191" s="184"/>
      <c r="E191" s="184"/>
      <c r="F191" s="185"/>
      <c r="G191" s="131"/>
    </row>
    <row r="192" ht="15.75" customHeight="1">
      <c r="A192" s="118"/>
      <c r="B192" s="118"/>
      <c r="C192" s="182"/>
      <c r="D192" s="184"/>
      <c r="E192" s="184"/>
      <c r="F192" s="185"/>
      <c r="G192" s="131"/>
    </row>
    <row r="193" ht="15.75" customHeight="1">
      <c r="A193" s="118"/>
      <c r="B193" s="118"/>
      <c r="C193" s="182"/>
      <c r="D193" s="184"/>
      <c r="E193" s="184"/>
      <c r="F193" s="185"/>
      <c r="G193" s="131"/>
    </row>
    <row r="194" ht="15.75" customHeight="1">
      <c r="A194" s="118"/>
      <c r="B194" s="118"/>
      <c r="C194" s="182"/>
      <c r="D194" s="184"/>
      <c r="E194" s="184"/>
      <c r="F194" s="185"/>
      <c r="G194" s="131"/>
    </row>
    <row r="195" ht="15.75" customHeight="1">
      <c r="A195" s="118"/>
      <c r="B195" s="118"/>
      <c r="C195" s="182"/>
      <c r="D195" s="184"/>
      <c r="E195" s="184"/>
      <c r="F195" s="185"/>
      <c r="G195" s="131"/>
    </row>
    <row r="196" ht="15.75" customHeight="1">
      <c r="A196" s="118"/>
      <c r="B196" s="118"/>
      <c r="C196" s="182"/>
      <c r="D196" s="184"/>
      <c r="E196" s="184"/>
      <c r="F196" s="185"/>
      <c r="G196" s="131"/>
    </row>
    <row r="197" ht="15.75" customHeight="1">
      <c r="A197" s="118"/>
      <c r="B197" s="118"/>
      <c r="C197" s="182"/>
      <c r="D197" s="184"/>
      <c r="E197" s="184"/>
      <c r="F197" s="185"/>
      <c r="G197" s="131"/>
    </row>
    <row r="198" ht="15.75" customHeight="1">
      <c r="A198" s="118"/>
      <c r="B198" s="118"/>
      <c r="C198" s="182"/>
      <c r="D198" s="184"/>
      <c r="E198" s="184"/>
      <c r="F198" s="185"/>
      <c r="G198" s="131"/>
    </row>
    <row r="199" ht="15.75" customHeight="1">
      <c r="A199" s="118"/>
      <c r="B199" s="118"/>
      <c r="C199" s="182"/>
      <c r="D199" s="184"/>
      <c r="E199" s="184"/>
      <c r="F199" s="185"/>
      <c r="G199" s="131"/>
    </row>
    <row r="200" ht="15.75" customHeight="1">
      <c r="A200" s="118"/>
      <c r="B200" s="118"/>
      <c r="C200" s="182"/>
      <c r="D200" s="184"/>
      <c r="E200" s="184"/>
      <c r="F200" s="185"/>
      <c r="G200" s="131"/>
    </row>
    <row r="201" ht="15.75" customHeight="1">
      <c r="A201" s="118"/>
      <c r="B201" s="118"/>
      <c r="C201" s="182"/>
      <c r="D201" s="184"/>
      <c r="E201" s="184"/>
      <c r="F201" s="185"/>
      <c r="G201" s="131"/>
    </row>
    <row r="202" ht="15.75" customHeight="1">
      <c r="A202" s="118"/>
      <c r="B202" s="118"/>
      <c r="C202" s="182"/>
      <c r="D202" s="184"/>
      <c r="E202" s="184"/>
      <c r="F202" s="185"/>
      <c r="G202" s="131"/>
    </row>
    <row r="203" ht="15.75" customHeight="1">
      <c r="A203" s="118"/>
      <c r="B203" s="118"/>
      <c r="C203" s="182"/>
      <c r="D203" s="184"/>
      <c r="E203" s="184"/>
      <c r="F203" s="185"/>
      <c r="G203" s="131"/>
    </row>
    <row r="204" ht="15.75" customHeight="1">
      <c r="A204" s="118"/>
      <c r="B204" s="118"/>
      <c r="C204" s="182"/>
      <c r="D204" s="184"/>
      <c r="E204" s="184"/>
      <c r="F204" s="185"/>
      <c r="G204" s="131"/>
    </row>
    <row r="205" ht="15.75" customHeight="1">
      <c r="A205" s="118"/>
      <c r="B205" s="118"/>
      <c r="C205" s="182"/>
      <c r="D205" s="184"/>
      <c r="E205" s="184"/>
      <c r="F205" s="185"/>
      <c r="G205" s="131"/>
    </row>
    <row r="206" ht="15.75" customHeight="1">
      <c r="A206" s="118"/>
      <c r="B206" s="118"/>
      <c r="C206" s="182"/>
      <c r="D206" s="184"/>
      <c r="E206" s="184"/>
      <c r="F206" s="185"/>
      <c r="G206" s="131"/>
    </row>
    <row r="207" ht="15.75" customHeight="1">
      <c r="A207" s="118"/>
      <c r="B207" s="118"/>
      <c r="C207" s="182"/>
      <c r="D207" s="184"/>
      <c r="E207" s="184"/>
      <c r="F207" s="185"/>
      <c r="G207" s="131"/>
    </row>
    <row r="208" ht="15.75" customHeight="1">
      <c r="A208" s="118"/>
      <c r="B208" s="118"/>
      <c r="C208" s="182"/>
      <c r="D208" s="184"/>
      <c r="E208" s="184"/>
      <c r="F208" s="185"/>
      <c r="G208" s="131"/>
    </row>
    <row r="209" ht="15.75" customHeight="1">
      <c r="A209" s="118"/>
      <c r="B209" s="118"/>
      <c r="C209" s="182"/>
      <c r="D209" s="184"/>
      <c r="E209" s="184"/>
      <c r="F209" s="185"/>
      <c r="G209" s="131"/>
    </row>
    <row r="210" ht="15.75" customHeight="1">
      <c r="A210" s="118"/>
      <c r="B210" s="118"/>
      <c r="C210" s="182"/>
      <c r="D210" s="184"/>
      <c r="E210" s="184"/>
      <c r="F210" s="185"/>
      <c r="G210" s="131"/>
    </row>
    <row r="211" ht="15.75" customHeight="1">
      <c r="A211" s="118"/>
      <c r="B211" s="118"/>
      <c r="C211" s="182"/>
      <c r="D211" s="184"/>
      <c r="E211" s="184"/>
      <c r="F211" s="185"/>
      <c r="G211" s="131"/>
    </row>
    <row r="212" ht="15.75" customHeight="1">
      <c r="A212" s="118"/>
      <c r="B212" s="118"/>
      <c r="C212" s="182"/>
      <c r="D212" s="184"/>
      <c r="E212" s="184"/>
      <c r="F212" s="185"/>
      <c r="G212" s="131"/>
    </row>
    <row r="213" ht="15.75" customHeight="1">
      <c r="A213" s="118"/>
      <c r="B213" s="118"/>
      <c r="C213" s="182"/>
      <c r="D213" s="184"/>
      <c r="E213" s="184"/>
      <c r="F213" s="185"/>
      <c r="G213" s="131"/>
    </row>
    <row r="214" ht="15.75" customHeight="1">
      <c r="A214" s="118"/>
      <c r="B214" s="118"/>
      <c r="C214" s="182"/>
      <c r="D214" s="184"/>
      <c r="E214" s="184"/>
      <c r="F214" s="185"/>
      <c r="G214" s="131"/>
    </row>
    <row r="215" ht="15.75" customHeight="1">
      <c r="A215" s="118"/>
      <c r="B215" s="118"/>
      <c r="C215" s="182"/>
      <c r="D215" s="184"/>
      <c r="E215" s="184"/>
      <c r="F215" s="185"/>
      <c r="G215" s="131"/>
    </row>
    <row r="216" ht="15.75" customHeight="1">
      <c r="A216" s="118"/>
      <c r="B216" s="118"/>
      <c r="C216" s="182"/>
      <c r="D216" s="184"/>
      <c r="E216" s="184"/>
      <c r="F216" s="185"/>
      <c r="G216" s="131"/>
    </row>
    <row r="217" ht="15.75" customHeight="1">
      <c r="A217" s="118"/>
      <c r="B217" s="118"/>
      <c r="C217" s="182"/>
      <c r="D217" s="184"/>
      <c r="E217" s="184"/>
      <c r="F217" s="185"/>
      <c r="G217" s="131"/>
    </row>
    <row r="218" ht="15.75" customHeight="1">
      <c r="A218" s="118"/>
      <c r="B218" s="118"/>
      <c r="C218" s="182"/>
      <c r="D218" s="184"/>
      <c r="E218" s="184"/>
      <c r="F218" s="185"/>
      <c r="G218" s="131"/>
    </row>
    <row r="219" ht="15.75" customHeight="1">
      <c r="A219" s="118"/>
      <c r="B219" s="118"/>
      <c r="C219" s="182"/>
      <c r="D219" s="184"/>
      <c r="E219" s="184"/>
      <c r="F219" s="185"/>
      <c r="G219" s="131"/>
    </row>
    <row r="220" ht="15.75" customHeight="1">
      <c r="A220" s="118"/>
      <c r="B220" s="118"/>
      <c r="C220" s="182"/>
      <c r="D220" s="184"/>
      <c r="E220" s="184"/>
      <c r="F220" s="185"/>
      <c r="G220" s="131"/>
    </row>
    <row r="221" ht="15.75" customHeight="1">
      <c r="A221" s="118"/>
      <c r="B221" s="118"/>
      <c r="C221" s="182"/>
      <c r="D221" s="184"/>
      <c r="E221" s="184"/>
      <c r="F221" s="185"/>
      <c r="G221" s="131"/>
    </row>
    <row r="222" ht="15.75" customHeight="1">
      <c r="A222" s="118"/>
      <c r="B222" s="118"/>
      <c r="C222" s="182"/>
      <c r="D222" s="184"/>
      <c r="E222" s="184"/>
      <c r="F222" s="185"/>
      <c r="G222" s="131"/>
    </row>
    <row r="223" ht="15.75" customHeight="1">
      <c r="A223" s="118"/>
      <c r="B223" s="118"/>
      <c r="C223" s="182"/>
      <c r="D223" s="184"/>
      <c r="E223" s="184"/>
      <c r="F223" s="185"/>
      <c r="G223" s="131"/>
    </row>
    <row r="224" ht="15.75" customHeight="1">
      <c r="A224" s="118"/>
      <c r="B224" s="118"/>
      <c r="C224" s="182"/>
      <c r="D224" s="184"/>
      <c r="E224" s="184"/>
      <c r="F224" s="185"/>
      <c r="G224" s="131"/>
    </row>
    <row r="225" ht="15.75" customHeight="1">
      <c r="A225" s="118"/>
      <c r="B225" s="118"/>
      <c r="C225" s="182"/>
      <c r="D225" s="184"/>
      <c r="E225" s="184"/>
      <c r="F225" s="185"/>
      <c r="G225" s="131"/>
    </row>
    <row r="226" ht="15.75" customHeight="1">
      <c r="A226" s="118"/>
      <c r="B226" s="118"/>
      <c r="C226" s="182"/>
      <c r="D226" s="184"/>
      <c r="E226" s="184"/>
      <c r="F226" s="185"/>
      <c r="G226" s="131"/>
    </row>
    <row r="227" ht="15.75" customHeight="1">
      <c r="A227" s="118"/>
      <c r="B227" s="118"/>
      <c r="C227" s="182"/>
      <c r="D227" s="184"/>
      <c r="E227" s="184"/>
      <c r="F227" s="185"/>
      <c r="G227" s="131"/>
    </row>
    <row r="228" ht="15.75" customHeight="1">
      <c r="A228" s="118"/>
      <c r="B228" s="118"/>
      <c r="C228" s="182"/>
      <c r="D228" s="184"/>
      <c r="E228" s="184"/>
      <c r="F228" s="185"/>
      <c r="G228" s="131"/>
    </row>
    <row r="229" ht="15.75" customHeight="1">
      <c r="A229" s="118"/>
      <c r="B229" s="118"/>
      <c r="C229" s="182"/>
      <c r="D229" s="184"/>
      <c r="E229" s="184"/>
      <c r="F229" s="185"/>
      <c r="G229" s="131"/>
    </row>
    <row r="230" ht="15.75" customHeight="1">
      <c r="A230" s="118"/>
      <c r="B230" s="118"/>
      <c r="C230" s="182"/>
      <c r="D230" s="184"/>
      <c r="E230" s="184"/>
      <c r="F230" s="185"/>
      <c r="G230" s="131"/>
    </row>
    <row r="231" ht="15.75" customHeight="1">
      <c r="A231" s="118"/>
      <c r="B231" s="118"/>
      <c r="C231" s="182"/>
      <c r="D231" s="184"/>
      <c r="E231" s="184"/>
      <c r="F231" s="185"/>
      <c r="G231" s="131"/>
    </row>
    <row r="232" ht="15.75" customHeight="1">
      <c r="A232" s="118"/>
      <c r="B232" s="118"/>
      <c r="C232" s="182"/>
      <c r="D232" s="184"/>
      <c r="E232" s="184"/>
      <c r="F232" s="185"/>
      <c r="G232" s="131"/>
    </row>
    <row r="233" ht="15.75" customHeight="1">
      <c r="A233" s="118"/>
      <c r="B233" s="118"/>
      <c r="C233" s="182"/>
      <c r="D233" s="184"/>
      <c r="E233" s="184"/>
      <c r="F233" s="185"/>
      <c r="G233" s="131"/>
    </row>
    <row r="234" ht="15.75" customHeight="1">
      <c r="A234" s="118"/>
      <c r="B234" s="118"/>
      <c r="C234" s="182"/>
      <c r="D234" s="184"/>
      <c r="E234" s="184"/>
      <c r="F234" s="185"/>
      <c r="G234" s="131"/>
    </row>
    <row r="235" ht="15.75" customHeight="1">
      <c r="A235" s="118"/>
      <c r="B235" s="118"/>
      <c r="C235" s="182"/>
      <c r="D235" s="184"/>
      <c r="E235" s="184"/>
      <c r="F235" s="185"/>
      <c r="G235" s="131"/>
    </row>
    <row r="236" ht="15.75" customHeight="1">
      <c r="A236" s="118"/>
      <c r="B236" s="118"/>
      <c r="C236" s="182"/>
      <c r="D236" s="184"/>
      <c r="E236" s="184"/>
      <c r="F236" s="185"/>
      <c r="G236" s="131"/>
    </row>
    <row r="237" ht="15.75" customHeight="1">
      <c r="A237" s="118"/>
      <c r="B237" s="118"/>
      <c r="C237" s="182"/>
      <c r="D237" s="184"/>
      <c r="E237" s="184"/>
      <c r="F237" s="185"/>
      <c r="G237" s="131"/>
    </row>
    <row r="238" ht="15.75" customHeight="1">
      <c r="A238" s="118"/>
      <c r="B238" s="118"/>
      <c r="C238" s="182"/>
      <c r="D238" s="184"/>
      <c r="E238" s="184"/>
      <c r="F238" s="185"/>
      <c r="G238" s="131"/>
    </row>
    <row r="239" ht="15.75" customHeight="1">
      <c r="A239" s="118"/>
      <c r="B239" s="118"/>
      <c r="C239" s="182"/>
      <c r="D239" s="184"/>
      <c r="E239" s="184"/>
      <c r="F239" s="185"/>
      <c r="G239" s="131"/>
    </row>
    <row r="240" ht="15.75" customHeight="1">
      <c r="A240" s="118"/>
      <c r="B240" s="118"/>
      <c r="C240" s="182"/>
      <c r="D240" s="184"/>
      <c r="E240" s="184"/>
      <c r="F240" s="185"/>
      <c r="G240" s="131"/>
    </row>
    <row r="241" ht="15.75" customHeight="1">
      <c r="A241" s="118"/>
      <c r="B241" s="118"/>
      <c r="C241" s="182"/>
      <c r="D241" s="184"/>
      <c r="E241" s="184"/>
      <c r="F241" s="185"/>
      <c r="G241" s="131"/>
    </row>
    <row r="242" ht="15.75" customHeight="1">
      <c r="A242" s="118"/>
      <c r="B242" s="118"/>
      <c r="C242" s="182"/>
      <c r="D242" s="184"/>
      <c r="E242" s="184"/>
      <c r="F242" s="185"/>
      <c r="G242" s="131"/>
    </row>
    <row r="243" ht="15.75" customHeight="1">
      <c r="A243" s="118"/>
      <c r="B243" s="118"/>
      <c r="C243" s="182"/>
      <c r="D243" s="184"/>
      <c r="E243" s="184"/>
      <c r="F243" s="185"/>
      <c r="G243" s="131"/>
    </row>
    <row r="244" ht="15.75" customHeight="1">
      <c r="A244" s="118"/>
      <c r="B244" s="118"/>
      <c r="C244" s="182"/>
      <c r="D244" s="184"/>
      <c r="E244" s="184"/>
      <c r="F244" s="185"/>
      <c r="G244" s="131"/>
    </row>
    <row r="245" ht="15.75" customHeight="1">
      <c r="A245" s="118"/>
      <c r="B245" s="118"/>
      <c r="C245" s="182"/>
      <c r="D245" s="184"/>
      <c r="E245" s="184"/>
      <c r="F245" s="185"/>
      <c r="G245" s="131"/>
    </row>
    <row r="246" ht="15.75" customHeight="1">
      <c r="A246" s="118"/>
      <c r="B246" s="118"/>
      <c r="C246" s="182"/>
      <c r="D246" s="184"/>
      <c r="E246" s="184"/>
      <c r="F246" s="185"/>
      <c r="G246" s="131"/>
    </row>
    <row r="247" ht="15.75" customHeight="1">
      <c r="A247" s="118"/>
      <c r="B247" s="118"/>
      <c r="C247" s="182"/>
      <c r="D247" s="184"/>
      <c r="E247" s="184"/>
      <c r="F247" s="185"/>
      <c r="G247" s="131"/>
    </row>
    <row r="248" ht="15.75" customHeight="1">
      <c r="A248" s="118"/>
      <c r="B248" s="118"/>
      <c r="C248" s="182"/>
      <c r="D248" s="184"/>
      <c r="E248" s="184"/>
      <c r="F248" s="185"/>
      <c r="G248" s="131"/>
    </row>
    <row r="249" ht="15.75" customHeight="1">
      <c r="A249" s="118"/>
      <c r="B249" s="118"/>
      <c r="C249" s="182"/>
      <c r="D249" s="184"/>
      <c r="E249" s="184"/>
      <c r="F249" s="185"/>
      <c r="G249" s="131"/>
    </row>
    <row r="250" ht="15.75" customHeight="1">
      <c r="A250" s="118"/>
      <c r="B250" s="118"/>
      <c r="C250" s="182"/>
      <c r="D250" s="184"/>
      <c r="E250" s="184"/>
      <c r="F250" s="185"/>
      <c r="G250" s="131"/>
    </row>
    <row r="251" ht="15.75" customHeight="1">
      <c r="A251" s="118"/>
      <c r="B251" s="118"/>
      <c r="C251" s="182"/>
      <c r="D251" s="184"/>
      <c r="E251" s="184"/>
      <c r="F251" s="185"/>
      <c r="G251" s="131"/>
    </row>
    <row r="252" ht="15.75" customHeight="1">
      <c r="A252" s="118"/>
      <c r="B252" s="118"/>
      <c r="C252" s="182"/>
      <c r="D252" s="184"/>
      <c r="E252" s="184"/>
      <c r="F252" s="185"/>
      <c r="G252" s="131"/>
    </row>
    <row r="253" ht="15.75" customHeight="1">
      <c r="A253" s="118"/>
      <c r="B253" s="118"/>
      <c r="C253" s="182"/>
      <c r="D253" s="184"/>
      <c r="E253" s="184"/>
      <c r="F253" s="185"/>
      <c r="G253" s="131"/>
    </row>
    <row r="254" ht="15.75" customHeight="1">
      <c r="A254" s="118"/>
      <c r="B254" s="118"/>
      <c r="C254" s="182"/>
      <c r="D254" s="184"/>
      <c r="E254" s="184"/>
      <c r="F254" s="185"/>
      <c r="G254" s="131"/>
    </row>
    <row r="255" ht="15.75" customHeight="1">
      <c r="A255" s="118"/>
      <c r="B255" s="118"/>
      <c r="C255" s="182"/>
      <c r="D255" s="184"/>
      <c r="E255" s="184"/>
      <c r="F255" s="185"/>
      <c r="G255" s="131"/>
    </row>
    <row r="256" ht="15.75" customHeight="1">
      <c r="A256" s="118"/>
      <c r="B256" s="118"/>
      <c r="C256" s="182"/>
      <c r="D256" s="184"/>
      <c r="E256" s="184"/>
      <c r="F256" s="185"/>
      <c r="G256" s="131"/>
    </row>
    <row r="257" ht="15.75" customHeight="1">
      <c r="A257" s="118"/>
      <c r="B257" s="118"/>
      <c r="C257" s="182"/>
      <c r="D257" s="184"/>
      <c r="E257" s="184"/>
      <c r="F257" s="185"/>
      <c r="G257" s="131"/>
    </row>
    <row r="258" ht="15.75" customHeight="1">
      <c r="A258" s="118"/>
      <c r="B258" s="118"/>
      <c r="C258" s="182"/>
      <c r="D258" s="184"/>
      <c r="E258" s="184"/>
      <c r="F258" s="185"/>
      <c r="G258" s="131"/>
    </row>
    <row r="259" ht="15.75" customHeight="1">
      <c r="A259" s="118"/>
      <c r="B259" s="118"/>
      <c r="C259" s="182"/>
      <c r="D259" s="184"/>
      <c r="E259" s="184"/>
      <c r="F259" s="185"/>
      <c r="G259" s="131"/>
    </row>
    <row r="260" ht="15.75" customHeight="1">
      <c r="A260" s="118"/>
      <c r="B260" s="118"/>
      <c r="C260" s="182"/>
      <c r="D260" s="184"/>
      <c r="E260" s="184"/>
      <c r="F260" s="185"/>
      <c r="G260" s="131"/>
    </row>
    <row r="261" ht="15.75" customHeight="1">
      <c r="A261" s="118"/>
      <c r="B261" s="118"/>
      <c r="C261" s="182"/>
      <c r="D261" s="184"/>
      <c r="E261" s="184"/>
      <c r="F261" s="185"/>
      <c r="G261" s="131"/>
    </row>
    <row r="262" ht="15.75" customHeight="1">
      <c r="A262" s="118"/>
      <c r="B262" s="118"/>
      <c r="C262" s="182"/>
      <c r="D262" s="184"/>
      <c r="E262" s="184"/>
      <c r="F262" s="185"/>
      <c r="G262" s="131"/>
    </row>
    <row r="263" ht="15.75" customHeight="1">
      <c r="A263" s="118"/>
      <c r="B263" s="118"/>
      <c r="C263" s="182"/>
      <c r="D263" s="184"/>
      <c r="E263" s="184"/>
      <c r="F263" s="185"/>
      <c r="G263" s="131"/>
    </row>
    <row r="264" ht="15.75" customHeight="1">
      <c r="A264" s="118"/>
      <c r="B264" s="118"/>
      <c r="C264" s="182"/>
      <c r="D264" s="184"/>
      <c r="E264" s="184"/>
      <c r="F264" s="185"/>
      <c r="G264" s="131"/>
    </row>
    <row r="265" ht="15.75" customHeight="1">
      <c r="A265" s="118"/>
      <c r="B265" s="118"/>
      <c r="C265" s="182"/>
      <c r="D265" s="184"/>
      <c r="E265" s="184"/>
      <c r="F265" s="185"/>
      <c r="G265" s="131"/>
    </row>
    <row r="266" ht="15.75" customHeight="1">
      <c r="A266" s="118"/>
      <c r="B266" s="118"/>
      <c r="C266" s="182"/>
      <c r="D266" s="184"/>
      <c r="E266" s="184"/>
      <c r="F266" s="185"/>
      <c r="G266" s="131"/>
    </row>
    <row r="267" ht="15.75" customHeight="1">
      <c r="A267" s="118"/>
      <c r="B267" s="118"/>
      <c r="C267" s="182"/>
      <c r="D267" s="184"/>
      <c r="E267" s="184"/>
      <c r="F267" s="185"/>
      <c r="G267" s="131"/>
    </row>
    <row r="268" ht="15.75" customHeight="1">
      <c r="A268" s="118"/>
      <c r="B268" s="118"/>
      <c r="C268" s="182"/>
      <c r="D268" s="184"/>
      <c r="E268" s="184"/>
      <c r="F268" s="185"/>
      <c r="G268" s="131"/>
    </row>
    <row r="269" ht="15.75" customHeight="1">
      <c r="A269" s="118"/>
      <c r="B269" s="118"/>
      <c r="C269" s="182"/>
      <c r="D269" s="184"/>
      <c r="E269" s="184"/>
      <c r="F269" s="185"/>
      <c r="G269" s="131"/>
    </row>
    <row r="270" ht="15.75" customHeight="1">
      <c r="A270" s="118"/>
      <c r="B270" s="118"/>
      <c r="C270" s="182"/>
      <c r="D270" s="184"/>
      <c r="E270" s="184"/>
      <c r="F270" s="185"/>
      <c r="G270" s="131"/>
    </row>
    <row r="271" ht="15.75" customHeight="1">
      <c r="A271" s="118"/>
      <c r="B271" s="118"/>
      <c r="C271" s="182"/>
      <c r="D271" s="184"/>
      <c r="E271" s="184"/>
      <c r="F271" s="185"/>
      <c r="G271" s="131"/>
    </row>
    <row r="272" ht="15.75" customHeight="1">
      <c r="A272" s="118"/>
      <c r="B272" s="118"/>
      <c r="C272" s="182"/>
      <c r="D272" s="184"/>
      <c r="E272" s="184"/>
      <c r="F272" s="185"/>
      <c r="G272" s="131"/>
    </row>
    <row r="273" ht="15.75" customHeight="1">
      <c r="A273" s="118"/>
      <c r="B273" s="118"/>
      <c r="C273" s="182"/>
      <c r="D273" s="184"/>
      <c r="E273" s="184"/>
      <c r="F273" s="185"/>
      <c r="G273" s="131"/>
    </row>
    <row r="274" ht="15.75" customHeight="1">
      <c r="A274" s="118"/>
      <c r="B274" s="118"/>
      <c r="C274" s="182"/>
      <c r="D274" s="184"/>
      <c r="E274" s="184"/>
      <c r="F274" s="185"/>
      <c r="G274" s="131"/>
    </row>
    <row r="275" ht="15.75" customHeight="1">
      <c r="A275" s="118"/>
      <c r="B275" s="118"/>
      <c r="C275" s="182"/>
      <c r="D275" s="184"/>
      <c r="E275" s="184"/>
      <c r="F275" s="185"/>
      <c r="G275" s="131"/>
    </row>
    <row r="276" ht="15.75" customHeight="1">
      <c r="A276" s="118"/>
      <c r="B276" s="118"/>
      <c r="C276" s="182"/>
      <c r="D276" s="184"/>
      <c r="E276" s="184"/>
      <c r="F276" s="185"/>
      <c r="G276" s="131"/>
    </row>
    <row r="277" ht="15.75" customHeight="1">
      <c r="A277" s="118"/>
      <c r="B277" s="118"/>
      <c r="C277" s="182"/>
      <c r="D277" s="184"/>
      <c r="E277" s="184"/>
      <c r="F277" s="185"/>
      <c r="G277" s="131"/>
    </row>
    <row r="278" ht="15.75" customHeight="1">
      <c r="A278" s="118"/>
      <c r="B278" s="118"/>
      <c r="C278" s="182"/>
      <c r="D278" s="184"/>
      <c r="E278" s="184"/>
      <c r="F278" s="185"/>
      <c r="G278" s="131"/>
    </row>
    <row r="279" ht="15.75" customHeight="1">
      <c r="A279" s="118"/>
      <c r="B279" s="118"/>
      <c r="C279" s="182"/>
      <c r="D279" s="184"/>
      <c r="E279" s="184"/>
      <c r="F279" s="185"/>
      <c r="G279" s="131"/>
    </row>
    <row r="280" ht="15.75" customHeight="1">
      <c r="A280" s="118"/>
      <c r="B280" s="118"/>
      <c r="C280" s="182"/>
      <c r="D280" s="184"/>
      <c r="E280" s="184"/>
      <c r="F280" s="185"/>
      <c r="G280" s="131"/>
    </row>
    <row r="281" ht="15.75" customHeight="1">
      <c r="A281" s="118"/>
      <c r="B281" s="118"/>
      <c r="C281" s="182"/>
      <c r="D281" s="184"/>
      <c r="E281" s="184"/>
      <c r="F281" s="185"/>
      <c r="G281" s="131"/>
    </row>
    <row r="282" ht="15.75" customHeight="1">
      <c r="A282" s="118"/>
      <c r="B282" s="118"/>
      <c r="C282" s="182"/>
      <c r="D282" s="184"/>
      <c r="E282" s="184"/>
      <c r="F282" s="185"/>
      <c r="G282" s="131"/>
    </row>
    <row r="283" ht="15.75" customHeight="1">
      <c r="A283" s="118"/>
      <c r="B283" s="118"/>
      <c r="C283" s="182"/>
      <c r="D283" s="184"/>
      <c r="E283" s="184"/>
      <c r="F283" s="185"/>
      <c r="G283" s="131"/>
    </row>
    <row r="284" ht="15.75" customHeight="1">
      <c r="A284" s="118"/>
      <c r="B284" s="118"/>
      <c r="C284" s="182"/>
      <c r="D284" s="184"/>
      <c r="E284" s="184"/>
      <c r="F284" s="185"/>
      <c r="G284" s="131"/>
    </row>
    <row r="285" ht="15.75" customHeight="1">
      <c r="A285" s="118"/>
      <c r="B285" s="118"/>
      <c r="C285" s="182"/>
      <c r="D285" s="184"/>
      <c r="E285" s="184"/>
      <c r="F285" s="185"/>
      <c r="G285" s="131"/>
    </row>
    <row r="286" ht="15.75" customHeight="1">
      <c r="A286" s="118"/>
      <c r="B286" s="118"/>
      <c r="C286" s="182"/>
      <c r="D286" s="184"/>
      <c r="E286" s="184"/>
      <c r="F286" s="185"/>
      <c r="G286" s="131"/>
    </row>
    <row r="287" ht="15.75" customHeight="1">
      <c r="A287" s="118"/>
      <c r="B287" s="118"/>
      <c r="C287" s="182"/>
      <c r="D287" s="184"/>
      <c r="E287" s="184"/>
      <c r="F287" s="185"/>
      <c r="G287" s="131"/>
    </row>
    <row r="288" ht="15.75" customHeight="1">
      <c r="A288" s="118"/>
      <c r="B288" s="118"/>
      <c r="C288" s="182"/>
      <c r="D288" s="184"/>
      <c r="E288" s="184"/>
      <c r="F288" s="185"/>
      <c r="G288" s="131"/>
    </row>
    <row r="289" ht="15.75" customHeight="1">
      <c r="A289" s="118"/>
      <c r="B289" s="118"/>
      <c r="C289" s="182"/>
      <c r="D289" s="184"/>
      <c r="E289" s="184"/>
      <c r="F289" s="185"/>
      <c r="G289" s="131"/>
    </row>
    <row r="290" ht="15.75" customHeight="1">
      <c r="A290" s="118"/>
      <c r="B290" s="118"/>
      <c r="C290" s="182"/>
      <c r="D290" s="184"/>
      <c r="E290" s="184"/>
      <c r="F290" s="185"/>
      <c r="G290" s="131"/>
    </row>
    <row r="291" ht="15.75" customHeight="1">
      <c r="A291" s="118"/>
      <c r="B291" s="118"/>
      <c r="C291" s="182"/>
      <c r="D291" s="184"/>
      <c r="E291" s="184"/>
      <c r="F291" s="185"/>
      <c r="G291" s="131"/>
    </row>
    <row r="292" ht="15.75" customHeight="1">
      <c r="A292" s="118"/>
      <c r="B292" s="118"/>
      <c r="C292" s="182"/>
      <c r="D292" s="184"/>
      <c r="E292" s="184"/>
      <c r="F292" s="185"/>
      <c r="G292" s="131"/>
    </row>
    <row r="293" ht="15.75" customHeight="1">
      <c r="A293" s="118"/>
      <c r="B293" s="118"/>
      <c r="C293" s="182"/>
      <c r="D293" s="184"/>
      <c r="E293" s="184"/>
      <c r="F293" s="185"/>
      <c r="G293" s="131"/>
    </row>
    <row r="294" ht="15.75" customHeight="1">
      <c r="A294" s="118"/>
      <c r="B294" s="118"/>
      <c r="C294" s="182"/>
      <c r="D294" s="184"/>
      <c r="E294" s="184"/>
      <c r="F294" s="185"/>
      <c r="G294" s="131"/>
    </row>
    <row r="295" ht="15.75" customHeight="1">
      <c r="A295" s="118"/>
      <c r="B295" s="118"/>
      <c r="C295" s="182"/>
      <c r="D295" s="184"/>
      <c r="E295" s="184"/>
      <c r="F295" s="185"/>
      <c r="G295" s="131"/>
    </row>
    <row r="296" ht="15.75" customHeight="1">
      <c r="A296" s="118"/>
      <c r="B296" s="118"/>
      <c r="C296" s="182"/>
      <c r="D296" s="184"/>
      <c r="E296" s="184"/>
      <c r="F296" s="185"/>
      <c r="G296" s="131"/>
    </row>
    <row r="297" ht="15.75" customHeight="1">
      <c r="A297" s="118"/>
      <c r="B297" s="118"/>
      <c r="C297" s="182"/>
      <c r="D297" s="184"/>
      <c r="E297" s="184"/>
      <c r="F297" s="185"/>
      <c r="G297" s="131"/>
    </row>
    <row r="298" ht="15.75" customHeight="1">
      <c r="A298" s="118"/>
      <c r="B298" s="118"/>
      <c r="C298" s="182"/>
      <c r="D298" s="184"/>
      <c r="E298" s="184"/>
      <c r="F298" s="185"/>
      <c r="G298" s="131"/>
    </row>
    <row r="299" ht="15.75" customHeight="1">
      <c r="A299" s="118"/>
      <c r="B299" s="118"/>
      <c r="C299" s="182"/>
      <c r="D299" s="184"/>
      <c r="E299" s="184"/>
      <c r="F299" s="185"/>
      <c r="G299" s="131"/>
    </row>
    <row r="300" ht="15.75" customHeight="1">
      <c r="A300" s="118"/>
      <c r="B300" s="118"/>
      <c r="C300" s="182"/>
      <c r="D300" s="184"/>
      <c r="E300" s="184"/>
      <c r="F300" s="185"/>
      <c r="G300" s="131"/>
    </row>
    <row r="301" ht="15.75" customHeight="1">
      <c r="A301" s="118"/>
      <c r="B301" s="118"/>
      <c r="C301" s="182"/>
      <c r="D301" s="184"/>
      <c r="E301" s="184"/>
      <c r="F301" s="185"/>
      <c r="G301" s="131"/>
    </row>
    <row r="302" ht="15.75" customHeight="1">
      <c r="A302" s="118"/>
      <c r="B302" s="118"/>
      <c r="C302" s="182"/>
      <c r="D302" s="184"/>
      <c r="E302" s="184"/>
      <c r="F302" s="185"/>
      <c r="G302" s="131"/>
    </row>
    <row r="303" ht="15.75" customHeight="1">
      <c r="A303" s="118"/>
      <c r="B303" s="118"/>
      <c r="C303" s="182"/>
      <c r="D303" s="184"/>
      <c r="E303" s="184"/>
      <c r="F303" s="185"/>
      <c r="G303" s="131"/>
    </row>
    <row r="304" ht="15.75" customHeight="1">
      <c r="A304" s="118"/>
      <c r="B304" s="118"/>
      <c r="C304" s="182"/>
      <c r="D304" s="184"/>
      <c r="E304" s="184"/>
      <c r="F304" s="185"/>
      <c r="G304" s="131"/>
    </row>
    <row r="305" ht="15.75" customHeight="1">
      <c r="A305" s="118"/>
      <c r="B305" s="118"/>
      <c r="C305" s="182"/>
      <c r="D305" s="184"/>
      <c r="E305" s="184"/>
      <c r="F305" s="185"/>
      <c r="G305" s="131"/>
    </row>
    <row r="306" ht="15.75" customHeight="1">
      <c r="A306" s="118"/>
      <c r="B306" s="118"/>
      <c r="C306" s="182"/>
      <c r="D306" s="184"/>
      <c r="E306" s="184"/>
      <c r="F306" s="185"/>
      <c r="G306" s="131"/>
    </row>
    <row r="307" ht="15.75" customHeight="1">
      <c r="A307" s="118"/>
      <c r="B307" s="118"/>
      <c r="C307" s="182"/>
      <c r="D307" s="184"/>
      <c r="E307" s="184"/>
      <c r="F307" s="185"/>
      <c r="G307" s="131"/>
    </row>
    <row r="308" ht="15.75" customHeight="1">
      <c r="A308" s="118"/>
      <c r="B308" s="118"/>
      <c r="C308" s="182"/>
      <c r="D308" s="184"/>
      <c r="E308" s="184"/>
      <c r="F308" s="185"/>
      <c r="G308" s="131"/>
    </row>
    <row r="309" ht="15.75" customHeight="1">
      <c r="A309" s="118"/>
      <c r="B309" s="118"/>
      <c r="C309" s="182"/>
      <c r="D309" s="184"/>
      <c r="E309" s="184"/>
      <c r="F309" s="185"/>
      <c r="G309" s="131"/>
    </row>
    <row r="310" ht="15.75" customHeight="1">
      <c r="A310" s="118"/>
      <c r="B310" s="118"/>
      <c r="C310" s="182"/>
      <c r="D310" s="184"/>
      <c r="E310" s="184"/>
      <c r="F310" s="185"/>
      <c r="G310" s="131"/>
    </row>
    <row r="311" ht="15.75" customHeight="1">
      <c r="A311" s="118"/>
      <c r="B311" s="118"/>
      <c r="C311" s="182"/>
      <c r="D311" s="184"/>
      <c r="E311" s="184"/>
      <c r="F311" s="185"/>
      <c r="G311" s="131"/>
    </row>
    <row r="312" ht="15.75" customHeight="1">
      <c r="A312" s="118"/>
      <c r="B312" s="118"/>
      <c r="C312" s="182"/>
      <c r="D312" s="184"/>
      <c r="E312" s="184"/>
      <c r="F312" s="185"/>
      <c r="G312" s="131"/>
    </row>
    <row r="313" ht="15.75" customHeight="1">
      <c r="A313" s="118"/>
      <c r="B313" s="118"/>
      <c r="C313" s="182"/>
      <c r="D313" s="184"/>
      <c r="E313" s="184"/>
      <c r="F313" s="185"/>
      <c r="G313" s="131"/>
    </row>
    <row r="314" ht="15.75" customHeight="1">
      <c r="A314" s="118"/>
      <c r="B314" s="118"/>
      <c r="C314" s="182"/>
      <c r="D314" s="184"/>
      <c r="E314" s="184"/>
      <c r="F314" s="185"/>
      <c r="G314" s="131"/>
    </row>
    <row r="315" ht="15.75" customHeight="1">
      <c r="A315" s="118"/>
      <c r="B315" s="118"/>
      <c r="C315" s="182"/>
      <c r="D315" s="184"/>
      <c r="E315" s="184"/>
      <c r="F315" s="185"/>
      <c r="G315" s="131"/>
    </row>
    <row r="316" ht="15.75" customHeight="1">
      <c r="A316" s="118"/>
      <c r="B316" s="118"/>
      <c r="C316" s="182"/>
      <c r="D316" s="184"/>
      <c r="E316" s="184"/>
      <c r="F316" s="185"/>
      <c r="G316" s="131"/>
    </row>
    <row r="317" ht="15.75" customHeight="1">
      <c r="A317" s="118"/>
      <c r="B317" s="118"/>
      <c r="C317" s="182"/>
      <c r="D317" s="184"/>
      <c r="E317" s="184"/>
      <c r="F317" s="185"/>
      <c r="G317" s="131"/>
    </row>
    <row r="318" ht="15.75" customHeight="1">
      <c r="A318" s="118"/>
      <c r="B318" s="118"/>
      <c r="C318" s="182"/>
      <c r="D318" s="184"/>
      <c r="E318" s="184"/>
      <c r="F318" s="185"/>
      <c r="G318" s="131"/>
    </row>
    <row r="319" ht="15.75" customHeight="1">
      <c r="A319" s="118"/>
      <c r="B319" s="118"/>
      <c r="C319" s="182"/>
      <c r="D319" s="184"/>
      <c r="E319" s="184"/>
      <c r="F319" s="185"/>
      <c r="G319" s="131"/>
    </row>
    <row r="320" ht="15.75" customHeight="1">
      <c r="A320" s="118"/>
      <c r="B320" s="118"/>
      <c r="C320" s="182"/>
      <c r="D320" s="184"/>
      <c r="E320" s="184"/>
      <c r="F320" s="185"/>
      <c r="G320" s="131"/>
    </row>
    <row r="321" ht="15.75" customHeight="1">
      <c r="A321" s="118"/>
      <c r="B321" s="118"/>
      <c r="C321" s="182"/>
      <c r="D321" s="184"/>
      <c r="E321" s="184"/>
      <c r="F321" s="185"/>
      <c r="G321" s="131"/>
    </row>
    <row r="322" ht="15.75" customHeight="1">
      <c r="A322" s="118"/>
      <c r="B322" s="118"/>
      <c r="C322" s="182"/>
      <c r="D322" s="184"/>
      <c r="E322" s="184"/>
      <c r="F322" s="185"/>
      <c r="G322" s="131"/>
    </row>
    <row r="323" ht="15.75" customHeight="1">
      <c r="A323" s="118"/>
      <c r="B323" s="118"/>
      <c r="C323" s="182"/>
      <c r="D323" s="184"/>
      <c r="E323" s="184"/>
      <c r="F323" s="185"/>
      <c r="G323" s="131"/>
    </row>
    <row r="324" ht="15.75" customHeight="1">
      <c r="A324" s="118"/>
      <c r="B324" s="118"/>
      <c r="C324" s="182"/>
      <c r="D324" s="184"/>
      <c r="E324" s="184"/>
      <c r="F324" s="185"/>
      <c r="G324" s="131"/>
    </row>
    <row r="325" ht="15.75" customHeight="1">
      <c r="A325" s="118"/>
      <c r="B325" s="118"/>
      <c r="C325" s="182"/>
      <c r="D325" s="184"/>
      <c r="E325" s="184"/>
      <c r="F325" s="185"/>
      <c r="G325" s="131"/>
    </row>
    <row r="326" ht="15.75" customHeight="1">
      <c r="A326" s="118"/>
      <c r="B326" s="118"/>
      <c r="C326" s="182"/>
      <c r="D326" s="184"/>
      <c r="E326" s="184"/>
      <c r="F326" s="185"/>
      <c r="G326" s="131"/>
    </row>
    <row r="327" ht="15.75" customHeight="1">
      <c r="A327" s="118"/>
      <c r="B327" s="118"/>
      <c r="C327" s="182"/>
      <c r="D327" s="184"/>
      <c r="E327" s="184"/>
      <c r="F327" s="185"/>
      <c r="G327" s="131"/>
    </row>
    <row r="328" ht="15.75" customHeight="1">
      <c r="A328" s="118"/>
      <c r="B328" s="118"/>
      <c r="C328" s="182"/>
      <c r="D328" s="184"/>
      <c r="E328" s="184"/>
      <c r="F328" s="185"/>
      <c r="G328" s="131"/>
    </row>
    <row r="329" ht="15.75" customHeight="1">
      <c r="A329" s="118"/>
      <c r="B329" s="118"/>
      <c r="C329" s="182"/>
      <c r="D329" s="184"/>
      <c r="E329" s="184"/>
      <c r="F329" s="185"/>
      <c r="G329" s="131"/>
    </row>
    <row r="330" ht="15.75" customHeight="1">
      <c r="A330" s="118"/>
      <c r="B330" s="118"/>
      <c r="C330" s="182"/>
      <c r="D330" s="184"/>
      <c r="E330" s="184"/>
      <c r="F330" s="185"/>
      <c r="G330" s="131"/>
    </row>
    <row r="331" ht="15.75" customHeight="1">
      <c r="A331" s="118"/>
      <c r="B331" s="118"/>
      <c r="C331" s="182"/>
      <c r="D331" s="184"/>
      <c r="E331" s="184"/>
      <c r="F331" s="185"/>
      <c r="G331" s="131"/>
    </row>
    <row r="332" ht="15.75" customHeight="1">
      <c r="A332" s="118"/>
      <c r="B332" s="118"/>
      <c r="C332" s="182"/>
      <c r="D332" s="184"/>
      <c r="E332" s="184"/>
      <c r="F332" s="185"/>
      <c r="G332" s="131"/>
    </row>
    <row r="333" ht="15.75" customHeight="1">
      <c r="A333" s="118"/>
      <c r="B333" s="118"/>
      <c r="C333" s="182"/>
      <c r="D333" s="184"/>
      <c r="E333" s="184"/>
      <c r="F333" s="185"/>
      <c r="G333" s="131"/>
    </row>
    <row r="334" ht="15.75" customHeight="1">
      <c r="A334" s="118"/>
      <c r="B334" s="118"/>
      <c r="C334" s="182"/>
      <c r="D334" s="184"/>
      <c r="E334" s="184"/>
      <c r="F334" s="185"/>
      <c r="G334" s="131"/>
    </row>
    <row r="335" ht="15.75" customHeight="1">
      <c r="A335" s="118"/>
      <c r="B335" s="118"/>
      <c r="C335" s="182"/>
      <c r="D335" s="184"/>
      <c r="E335" s="184"/>
      <c r="F335" s="185"/>
      <c r="G335" s="131"/>
    </row>
    <row r="336" ht="15.75" customHeight="1">
      <c r="A336" s="118"/>
      <c r="B336" s="118"/>
      <c r="C336" s="182"/>
      <c r="D336" s="184"/>
      <c r="E336" s="184"/>
      <c r="F336" s="185"/>
      <c r="G336" s="131"/>
    </row>
    <row r="337" ht="15.75" customHeight="1">
      <c r="A337" s="118"/>
      <c r="B337" s="118"/>
      <c r="C337" s="182"/>
      <c r="D337" s="184"/>
      <c r="E337" s="184"/>
      <c r="F337" s="185"/>
      <c r="G337" s="131"/>
    </row>
    <row r="338" ht="15.75" customHeight="1">
      <c r="A338" s="118"/>
      <c r="B338" s="118"/>
      <c r="C338" s="182"/>
      <c r="D338" s="184"/>
      <c r="E338" s="184"/>
      <c r="F338" s="185"/>
      <c r="G338" s="131"/>
    </row>
    <row r="339" ht="15.75" customHeight="1">
      <c r="A339" s="118"/>
      <c r="B339" s="118"/>
      <c r="C339" s="182"/>
      <c r="D339" s="184"/>
      <c r="E339" s="184"/>
      <c r="F339" s="185"/>
      <c r="G339" s="131"/>
    </row>
    <row r="340" ht="15.75" customHeight="1">
      <c r="A340" s="118"/>
      <c r="B340" s="118"/>
      <c r="C340" s="182"/>
      <c r="D340" s="184"/>
      <c r="E340" s="184"/>
      <c r="F340" s="185"/>
      <c r="G340" s="131"/>
    </row>
    <row r="341" ht="15.75" customHeight="1">
      <c r="A341" s="118"/>
      <c r="B341" s="118"/>
      <c r="C341" s="182"/>
      <c r="D341" s="184"/>
      <c r="E341" s="184"/>
      <c r="F341" s="185"/>
      <c r="G341" s="131"/>
    </row>
    <row r="342" ht="15.75" customHeight="1">
      <c r="A342" s="118"/>
      <c r="B342" s="118"/>
      <c r="C342" s="182"/>
      <c r="D342" s="184"/>
      <c r="E342" s="184"/>
      <c r="F342" s="185"/>
      <c r="G342" s="131"/>
    </row>
    <row r="343" ht="15.75" customHeight="1">
      <c r="A343" s="118"/>
      <c r="B343" s="118"/>
      <c r="C343" s="182"/>
      <c r="D343" s="184"/>
      <c r="E343" s="184"/>
      <c r="F343" s="185"/>
      <c r="G343" s="131"/>
    </row>
    <row r="344" ht="15.75" customHeight="1">
      <c r="A344" s="118"/>
      <c r="B344" s="118"/>
      <c r="C344" s="182"/>
      <c r="D344" s="184"/>
      <c r="E344" s="184"/>
      <c r="F344" s="185"/>
      <c r="G344" s="131"/>
    </row>
    <row r="345" ht="15.75" customHeight="1">
      <c r="A345" s="118"/>
      <c r="B345" s="118"/>
      <c r="C345" s="182"/>
      <c r="D345" s="184"/>
      <c r="E345" s="184"/>
      <c r="F345" s="185"/>
      <c r="G345" s="131"/>
    </row>
    <row r="346" ht="15.75" customHeight="1">
      <c r="A346" s="118"/>
      <c r="B346" s="118"/>
      <c r="C346" s="182"/>
      <c r="D346" s="184"/>
      <c r="E346" s="184"/>
      <c r="F346" s="185"/>
      <c r="G346" s="131"/>
    </row>
    <row r="347" ht="15.75" customHeight="1">
      <c r="A347" s="118"/>
      <c r="B347" s="118"/>
      <c r="C347" s="182"/>
      <c r="D347" s="184"/>
      <c r="E347" s="184"/>
      <c r="F347" s="185"/>
      <c r="G347" s="131"/>
    </row>
    <row r="348" ht="15.75" customHeight="1">
      <c r="A348" s="118"/>
      <c r="B348" s="118"/>
      <c r="C348" s="182"/>
      <c r="D348" s="184"/>
      <c r="E348" s="184"/>
      <c r="F348" s="185"/>
      <c r="G348" s="131"/>
    </row>
    <row r="349" ht="15.75" customHeight="1">
      <c r="A349" s="118"/>
      <c r="B349" s="118"/>
      <c r="C349" s="182"/>
      <c r="D349" s="184"/>
      <c r="E349" s="184"/>
      <c r="F349" s="185"/>
      <c r="G349" s="131"/>
    </row>
    <row r="350" ht="15.75" customHeight="1">
      <c r="A350" s="118"/>
      <c r="B350" s="118"/>
      <c r="C350" s="182"/>
      <c r="D350" s="184"/>
      <c r="E350" s="184"/>
      <c r="F350" s="185"/>
      <c r="G350" s="131"/>
    </row>
    <row r="351" ht="15.75" customHeight="1">
      <c r="A351" s="118"/>
      <c r="B351" s="118"/>
      <c r="C351" s="182"/>
      <c r="D351" s="184"/>
      <c r="E351" s="184"/>
      <c r="F351" s="185"/>
      <c r="G351" s="131"/>
    </row>
    <row r="352" ht="15.75" customHeight="1">
      <c r="A352" s="118"/>
      <c r="B352" s="118"/>
      <c r="C352" s="182"/>
      <c r="D352" s="184"/>
      <c r="E352" s="184"/>
      <c r="F352" s="185"/>
      <c r="G352" s="131"/>
    </row>
    <row r="353" ht="15.75" customHeight="1">
      <c r="A353" s="118"/>
      <c r="B353" s="118"/>
      <c r="C353" s="182"/>
      <c r="D353" s="184"/>
      <c r="E353" s="184"/>
      <c r="F353" s="185"/>
      <c r="G353" s="131"/>
    </row>
    <row r="354" ht="15.75" customHeight="1">
      <c r="A354" s="118"/>
      <c r="B354" s="118"/>
      <c r="C354" s="182"/>
      <c r="D354" s="184"/>
      <c r="E354" s="184"/>
      <c r="F354" s="185"/>
      <c r="G354" s="131"/>
    </row>
    <row r="355" ht="15.75" customHeight="1">
      <c r="A355" s="118"/>
      <c r="B355" s="118"/>
      <c r="C355" s="182"/>
      <c r="D355" s="184"/>
      <c r="E355" s="184"/>
      <c r="F355" s="185"/>
      <c r="G355" s="131"/>
    </row>
    <row r="356" ht="15.75" customHeight="1">
      <c r="A356" s="118"/>
      <c r="B356" s="118"/>
      <c r="C356" s="182"/>
      <c r="D356" s="184"/>
      <c r="E356" s="184"/>
      <c r="F356" s="185"/>
      <c r="G356" s="131"/>
    </row>
    <row r="357" ht="15.75" customHeight="1">
      <c r="A357" s="118"/>
      <c r="B357" s="118"/>
      <c r="C357" s="182"/>
      <c r="D357" s="184"/>
      <c r="E357" s="184"/>
      <c r="F357" s="185"/>
      <c r="G357" s="131"/>
    </row>
    <row r="358" ht="15.75" customHeight="1">
      <c r="A358" s="118"/>
      <c r="B358" s="118"/>
      <c r="C358" s="182"/>
      <c r="D358" s="184"/>
      <c r="E358" s="184"/>
      <c r="F358" s="185"/>
      <c r="G358" s="131"/>
    </row>
    <row r="359" ht="15.75" customHeight="1">
      <c r="A359" s="118"/>
      <c r="B359" s="118"/>
      <c r="C359" s="182"/>
      <c r="D359" s="184"/>
      <c r="E359" s="184"/>
      <c r="F359" s="185"/>
      <c r="G359" s="131"/>
    </row>
    <row r="360" ht="15.75" customHeight="1">
      <c r="A360" s="118"/>
      <c r="B360" s="118"/>
      <c r="C360" s="182"/>
      <c r="D360" s="184"/>
      <c r="E360" s="184"/>
      <c r="F360" s="185"/>
      <c r="G360" s="131"/>
    </row>
    <row r="361" ht="15.75" customHeight="1">
      <c r="A361" s="118"/>
      <c r="B361" s="118"/>
      <c r="C361" s="182"/>
      <c r="D361" s="184"/>
      <c r="E361" s="184"/>
      <c r="F361" s="185"/>
      <c r="G361" s="131"/>
    </row>
    <row r="362" ht="15.75" customHeight="1">
      <c r="A362" s="118"/>
      <c r="B362" s="118"/>
      <c r="C362" s="182"/>
      <c r="D362" s="184"/>
      <c r="E362" s="184"/>
      <c r="F362" s="185"/>
      <c r="G362" s="131"/>
    </row>
    <row r="363" ht="15.75" customHeight="1">
      <c r="A363" s="118"/>
      <c r="B363" s="118"/>
      <c r="C363" s="182"/>
      <c r="D363" s="184"/>
      <c r="E363" s="184"/>
      <c r="F363" s="185"/>
      <c r="G363" s="131"/>
    </row>
    <row r="364" ht="15.75" customHeight="1">
      <c r="A364" s="118"/>
      <c r="B364" s="118"/>
      <c r="C364" s="182"/>
      <c r="D364" s="184"/>
      <c r="E364" s="184"/>
      <c r="F364" s="185"/>
      <c r="G364" s="131"/>
    </row>
    <row r="365" ht="15.75" customHeight="1">
      <c r="A365" s="118"/>
      <c r="B365" s="118"/>
      <c r="C365" s="182"/>
      <c r="D365" s="184"/>
      <c r="E365" s="184"/>
      <c r="F365" s="185"/>
      <c r="G365" s="131"/>
    </row>
    <row r="366" ht="15.75" customHeight="1">
      <c r="A366" s="118"/>
      <c r="B366" s="118"/>
      <c r="C366" s="182"/>
      <c r="D366" s="184"/>
      <c r="E366" s="184"/>
      <c r="F366" s="185"/>
      <c r="G366" s="131"/>
    </row>
    <row r="367" ht="15.75" customHeight="1">
      <c r="A367" s="118"/>
      <c r="B367" s="118"/>
      <c r="C367" s="182"/>
      <c r="D367" s="184"/>
      <c r="E367" s="184"/>
      <c r="F367" s="185"/>
      <c r="G367" s="131"/>
    </row>
    <row r="368" ht="15.75" customHeight="1">
      <c r="A368" s="118"/>
      <c r="B368" s="118"/>
      <c r="C368" s="182"/>
      <c r="D368" s="184"/>
      <c r="E368" s="184"/>
      <c r="F368" s="185"/>
      <c r="G368" s="131"/>
    </row>
    <row r="369" ht="15.75" customHeight="1">
      <c r="A369" s="118"/>
      <c r="B369" s="118"/>
      <c r="C369" s="182"/>
      <c r="D369" s="184"/>
      <c r="E369" s="184"/>
      <c r="F369" s="185"/>
      <c r="G369" s="131"/>
    </row>
    <row r="370" ht="15.75" customHeight="1">
      <c r="A370" s="118"/>
      <c r="B370" s="118"/>
      <c r="C370" s="182"/>
      <c r="D370" s="184"/>
      <c r="E370" s="184"/>
      <c r="F370" s="185"/>
      <c r="G370" s="131"/>
    </row>
    <row r="371" ht="15.75" customHeight="1">
      <c r="A371" s="118"/>
      <c r="B371" s="118"/>
      <c r="C371" s="182"/>
      <c r="D371" s="184"/>
      <c r="E371" s="184"/>
      <c r="F371" s="185"/>
      <c r="G371" s="131"/>
    </row>
    <row r="372" ht="15.75" customHeight="1">
      <c r="A372" s="118"/>
      <c r="B372" s="118"/>
      <c r="C372" s="182"/>
      <c r="D372" s="184"/>
      <c r="E372" s="184"/>
      <c r="F372" s="185"/>
      <c r="G372" s="131"/>
    </row>
    <row r="373" ht="15.75" customHeight="1">
      <c r="A373" s="118"/>
      <c r="B373" s="118"/>
      <c r="C373" s="182"/>
      <c r="D373" s="184"/>
      <c r="E373" s="184"/>
      <c r="F373" s="185"/>
      <c r="G373" s="131"/>
    </row>
    <row r="374" ht="15.75" customHeight="1">
      <c r="A374" s="118"/>
      <c r="B374" s="118"/>
      <c r="C374" s="182"/>
      <c r="D374" s="184"/>
      <c r="E374" s="184"/>
      <c r="F374" s="185"/>
      <c r="G374" s="131"/>
    </row>
    <row r="375" ht="15.75" customHeight="1">
      <c r="A375" s="118"/>
      <c r="B375" s="118"/>
      <c r="C375" s="182"/>
      <c r="D375" s="184"/>
      <c r="E375" s="184"/>
      <c r="F375" s="185"/>
      <c r="G375" s="131"/>
    </row>
    <row r="376" ht="15.75" customHeight="1">
      <c r="A376" s="118"/>
      <c r="B376" s="118"/>
      <c r="C376" s="182"/>
      <c r="D376" s="184"/>
      <c r="E376" s="184"/>
      <c r="F376" s="185"/>
      <c r="G376" s="131"/>
    </row>
    <row r="377" ht="15.75" customHeight="1">
      <c r="A377" s="118"/>
      <c r="B377" s="118"/>
      <c r="C377" s="182"/>
      <c r="D377" s="184"/>
      <c r="E377" s="184"/>
      <c r="F377" s="185"/>
      <c r="G377" s="131"/>
    </row>
    <row r="378" ht="15.75" customHeight="1">
      <c r="A378" s="118"/>
      <c r="B378" s="118"/>
      <c r="C378" s="182"/>
      <c r="D378" s="184"/>
      <c r="E378" s="184"/>
      <c r="F378" s="185"/>
      <c r="G378" s="131"/>
    </row>
    <row r="379" ht="15.75" customHeight="1">
      <c r="A379" s="118"/>
      <c r="B379" s="118"/>
      <c r="C379" s="182"/>
      <c r="D379" s="184"/>
      <c r="E379" s="184"/>
      <c r="F379" s="185"/>
      <c r="G379" s="131"/>
    </row>
    <row r="380" ht="15.75" customHeight="1">
      <c r="A380" s="118"/>
      <c r="B380" s="118"/>
      <c r="C380" s="182"/>
      <c r="D380" s="184"/>
      <c r="E380" s="184"/>
      <c r="F380" s="185"/>
      <c r="G380" s="131"/>
    </row>
    <row r="381" ht="15.75" customHeight="1">
      <c r="A381" s="118"/>
      <c r="B381" s="118"/>
      <c r="C381" s="182"/>
      <c r="D381" s="184"/>
      <c r="E381" s="184"/>
      <c r="F381" s="185"/>
      <c r="G381" s="131"/>
    </row>
    <row r="382" ht="15.75" customHeight="1">
      <c r="A382" s="118"/>
      <c r="B382" s="118"/>
      <c r="C382" s="182"/>
      <c r="D382" s="184"/>
      <c r="E382" s="184"/>
      <c r="F382" s="185"/>
      <c r="G382" s="131"/>
    </row>
    <row r="383" ht="15.75" customHeight="1">
      <c r="A383" s="118"/>
      <c r="B383" s="118"/>
      <c r="C383" s="182"/>
      <c r="D383" s="184"/>
      <c r="E383" s="184"/>
      <c r="F383" s="185"/>
      <c r="G383" s="131"/>
    </row>
    <row r="384" ht="15.75" customHeight="1">
      <c r="A384" s="118"/>
      <c r="B384" s="118"/>
      <c r="C384" s="182"/>
      <c r="D384" s="184"/>
      <c r="E384" s="184"/>
      <c r="F384" s="185"/>
      <c r="G384" s="131"/>
    </row>
    <row r="385" ht="15.75" customHeight="1">
      <c r="A385" s="118"/>
      <c r="B385" s="118"/>
      <c r="C385" s="182"/>
      <c r="D385" s="184"/>
      <c r="E385" s="184"/>
      <c r="F385" s="185"/>
      <c r="G385" s="131"/>
    </row>
    <row r="386" ht="15.75" customHeight="1">
      <c r="A386" s="118"/>
      <c r="B386" s="118"/>
      <c r="C386" s="182"/>
      <c r="D386" s="184"/>
      <c r="E386" s="184"/>
      <c r="F386" s="185"/>
      <c r="G386" s="131"/>
    </row>
    <row r="387" ht="15.75" customHeight="1">
      <c r="A387" s="118"/>
      <c r="B387" s="118"/>
      <c r="C387" s="182"/>
      <c r="D387" s="184"/>
      <c r="E387" s="184"/>
      <c r="F387" s="185"/>
      <c r="G387" s="131"/>
    </row>
    <row r="388" ht="15.75" customHeight="1">
      <c r="A388" s="118"/>
      <c r="B388" s="118"/>
      <c r="C388" s="182"/>
      <c r="D388" s="184"/>
      <c r="E388" s="184"/>
      <c r="F388" s="185"/>
      <c r="G388" s="131"/>
    </row>
    <row r="389" ht="15.75" customHeight="1">
      <c r="A389" s="118"/>
      <c r="B389" s="118"/>
      <c r="C389" s="182"/>
      <c r="D389" s="184"/>
      <c r="E389" s="184"/>
      <c r="F389" s="185"/>
      <c r="G389" s="131"/>
    </row>
    <row r="390" ht="15.75" customHeight="1">
      <c r="A390" s="118"/>
      <c r="B390" s="118"/>
      <c r="C390" s="182"/>
      <c r="D390" s="184"/>
      <c r="E390" s="184"/>
      <c r="F390" s="185"/>
      <c r="G390" s="131"/>
    </row>
    <row r="391" ht="15.75" customHeight="1">
      <c r="A391" s="118"/>
      <c r="B391" s="118"/>
      <c r="C391" s="182"/>
      <c r="D391" s="184"/>
      <c r="E391" s="184"/>
      <c r="F391" s="185"/>
      <c r="G391" s="131"/>
    </row>
    <row r="392" ht="15.75" customHeight="1">
      <c r="A392" s="118"/>
      <c r="B392" s="118"/>
      <c r="C392" s="182"/>
      <c r="D392" s="184"/>
      <c r="E392" s="184"/>
      <c r="F392" s="185"/>
      <c r="G392" s="131"/>
    </row>
    <row r="393" ht="15.75" customHeight="1">
      <c r="A393" s="118"/>
      <c r="B393" s="118"/>
      <c r="C393" s="182"/>
      <c r="D393" s="184"/>
      <c r="E393" s="184"/>
      <c r="F393" s="185"/>
      <c r="G393" s="131"/>
    </row>
    <row r="394" ht="15.75" customHeight="1">
      <c r="A394" s="118"/>
      <c r="B394" s="118"/>
      <c r="C394" s="182"/>
      <c r="D394" s="184"/>
      <c r="E394" s="184"/>
      <c r="F394" s="185"/>
      <c r="G394" s="131"/>
    </row>
    <row r="395" ht="15.75" customHeight="1">
      <c r="A395" s="118"/>
      <c r="B395" s="118"/>
      <c r="C395" s="182"/>
      <c r="D395" s="184"/>
      <c r="E395" s="184"/>
      <c r="F395" s="185"/>
      <c r="G395" s="131"/>
    </row>
    <row r="396" ht="15.75" customHeight="1">
      <c r="A396" s="118"/>
      <c r="B396" s="118"/>
      <c r="C396" s="182"/>
      <c r="D396" s="184"/>
      <c r="E396" s="184"/>
      <c r="F396" s="185"/>
      <c r="G396" s="131"/>
    </row>
    <row r="397" ht="15.75" customHeight="1">
      <c r="A397" s="118"/>
      <c r="B397" s="118"/>
      <c r="C397" s="182"/>
      <c r="D397" s="184"/>
      <c r="E397" s="184"/>
      <c r="F397" s="185"/>
      <c r="G397" s="131"/>
    </row>
    <row r="398" ht="15.75" customHeight="1">
      <c r="A398" s="118"/>
      <c r="B398" s="118"/>
      <c r="C398" s="182"/>
      <c r="D398" s="184"/>
      <c r="E398" s="184"/>
      <c r="F398" s="185"/>
      <c r="G398" s="131"/>
    </row>
    <row r="399" ht="15.75" customHeight="1">
      <c r="A399" s="118"/>
      <c r="B399" s="118"/>
      <c r="C399" s="182"/>
      <c r="D399" s="184"/>
      <c r="E399" s="184"/>
      <c r="F399" s="185"/>
      <c r="G399" s="131"/>
    </row>
    <row r="400" ht="15.75" customHeight="1">
      <c r="A400" s="118"/>
      <c r="B400" s="118"/>
      <c r="C400" s="182"/>
      <c r="D400" s="184"/>
      <c r="E400" s="184"/>
      <c r="F400" s="185"/>
      <c r="G400" s="131"/>
    </row>
    <row r="401" ht="15.75" customHeight="1">
      <c r="A401" s="118"/>
      <c r="B401" s="118"/>
      <c r="C401" s="182"/>
      <c r="D401" s="184"/>
      <c r="E401" s="184"/>
      <c r="F401" s="185"/>
      <c r="G401" s="131"/>
    </row>
    <row r="402" ht="15.75" customHeight="1">
      <c r="A402" s="118"/>
      <c r="B402" s="118"/>
      <c r="C402" s="182"/>
      <c r="D402" s="184"/>
      <c r="E402" s="184"/>
      <c r="F402" s="185"/>
      <c r="G402" s="131"/>
    </row>
    <row r="403" ht="15.75" customHeight="1">
      <c r="A403" s="118"/>
      <c r="B403" s="118"/>
      <c r="C403" s="182"/>
      <c r="D403" s="184"/>
      <c r="E403" s="184"/>
      <c r="F403" s="185"/>
      <c r="G403" s="131"/>
    </row>
    <row r="404" ht="15.75" customHeight="1">
      <c r="A404" s="118"/>
      <c r="B404" s="118"/>
      <c r="C404" s="182"/>
      <c r="D404" s="184"/>
      <c r="E404" s="184"/>
      <c r="F404" s="185"/>
      <c r="G404" s="131"/>
    </row>
    <row r="405" ht="15.75" customHeight="1">
      <c r="A405" s="118"/>
      <c r="B405" s="118"/>
      <c r="C405" s="182"/>
      <c r="D405" s="184"/>
      <c r="E405" s="184"/>
      <c r="F405" s="185"/>
      <c r="G405" s="131"/>
    </row>
    <row r="406" ht="15.75" customHeight="1">
      <c r="A406" s="118"/>
      <c r="B406" s="118"/>
      <c r="C406" s="182"/>
      <c r="D406" s="184"/>
      <c r="E406" s="184"/>
      <c r="F406" s="185"/>
      <c r="G406" s="131"/>
    </row>
    <row r="407" ht="15.75" customHeight="1">
      <c r="A407" s="118"/>
      <c r="B407" s="118"/>
      <c r="C407" s="182"/>
      <c r="D407" s="184"/>
      <c r="E407" s="184"/>
      <c r="F407" s="185"/>
      <c r="G407" s="131"/>
    </row>
    <row r="408" ht="15.75" customHeight="1">
      <c r="A408" s="118"/>
      <c r="B408" s="118"/>
      <c r="C408" s="182"/>
      <c r="D408" s="184"/>
      <c r="E408" s="184"/>
      <c r="F408" s="185"/>
      <c r="G408" s="131"/>
    </row>
    <row r="409" ht="15.75" customHeight="1">
      <c r="A409" s="118"/>
      <c r="B409" s="118"/>
      <c r="C409" s="182"/>
      <c r="D409" s="184"/>
      <c r="E409" s="184"/>
      <c r="F409" s="185"/>
      <c r="G409" s="131"/>
    </row>
    <row r="410" ht="15.75" customHeight="1">
      <c r="A410" s="118"/>
      <c r="B410" s="118"/>
      <c r="C410" s="182"/>
      <c r="D410" s="184"/>
      <c r="E410" s="184"/>
      <c r="F410" s="185"/>
      <c r="G410" s="131"/>
    </row>
    <row r="411" ht="15.75" customHeight="1">
      <c r="A411" s="118"/>
      <c r="B411" s="118"/>
      <c r="C411" s="182"/>
      <c r="D411" s="184"/>
      <c r="E411" s="184"/>
      <c r="F411" s="185"/>
      <c r="G411" s="131"/>
    </row>
    <row r="412" ht="15.75" customHeight="1">
      <c r="A412" s="118"/>
      <c r="B412" s="118"/>
      <c r="C412" s="182"/>
      <c r="D412" s="184"/>
      <c r="E412" s="184"/>
      <c r="F412" s="185"/>
      <c r="G412" s="131"/>
    </row>
    <row r="413" ht="15.75" customHeight="1">
      <c r="A413" s="118"/>
      <c r="B413" s="118"/>
      <c r="C413" s="182"/>
      <c r="D413" s="184"/>
      <c r="E413" s="184"/>
      <c r="F413" s="185"/>
      <c r="G413" s="131"/>
    </row>
    <row r="414" ht="15.75" customHeight="1">
      <c r="A414" s="118"/>
      <c r="B414" s="118"/>
      <c r="C414" s="182"/>
      <c r="D414" s="184"/>
      <c r="E414" s="184"/>
      <c r="F414" s="185"/>
      <c r="G414" s="131"/>
    </row>
    <row r="415" ht="15.75" customHeight="1">
      <c r="A415" s="118"/>
      <c r="B415" s="118"/>
      <c r="C415" s="182"/>
      <c r="D415" s="184"/>
      <c r="E415" s="184"/>
      <c r="F415" s="185"/>
      <c r="G415" s="131"/>
    </row>
    <row r="416" ht="15.75" customHeight="1">
      <c r="A416" s="118"/>
      <c r="B416" s="118"/>
      <c r="C416" s="182"/>
      <c r="D416" s="184"/>
      <c r="E416" s="184"/>
      <c r="F416" s="185"/>
      <c r="G416" s="131"/>
    </row>
    <row r="417" ht="15.75" customHeight="1">
      <c r="A417" s="118"/>
      <c r="B417" s="118"/>
      <c r="C417" s="182"/>
      <c r="D417" s="184"/>
      <c r="E417" s="184"/>
      <c r="F417" s="185"/>
      <c r="G417" s="131"/>
    </row>
    <row r="418" ht="15.75" customHeight="1">
      <c r="A418" s="118"/>
      <c r="B418" s="118"/>
      <c r="C418" s="182"/>
      <c r="D418" s="184"/>
      <c r="E418" s="184"/>
      <c r="F418" s="185"/>
      <c r="G418" s="131"/>
    </row>
    <row r="419" ht="15.75" customHeight="1">
      <c r="A419" s="118"/>
      <c r="B419" s="118"/>
      <c r="C419" s="182"/>
      <c r="D419" s="184"/>
      <c r="E419" s="184"/>
      <c r="F419" s="185"/>
      <c r="G419" s="131"/>
    </row>
    <row r="420" ht="15.75" customHeight="1">
      <c r="A420" s="118"/>
      <c r="B420" s="118"/>
      <c r="C420" s="182"/>
      <c r="D420" s="184"/>
      <c r="E420" s="184"/>
      <c r="F420" s="185"/>
      <c r="G420" s="131"/>
    </row>
    <row r="421" ht="15.75" customHeight="1">
      <c r="A421" s="118"/>
      <c r="B421" s="118"/>
      <c r="C421" s="182"/>
      <c r="D421" s="184"/>
      <c r="E421" s="184"/>
      <c r="F421" s="185"/>
      <c r="G421" s="131"/>
    </row>
    <row r="422" ht="15.75" customHeight="1">
      <c r="A422" s="118"/>
      <c r="B422" s="118"/>
      <c r="C422" s="182"/>
      <c r="D422" s="184"/>
      <c r="E422" s="184"/>
      <c r="F422" s="185"/>
      <c r="G422" s="131"/>
    </row>
    <row r="423" ht="15.75" customHeight="1">
      <c r="A423" s="118"/>
      <c r="B423" s="118"/>
      <c r="C423" s="182"/>
      <c r="D423" s="184"/>
      <c r="E423" s="184"/>
      <c r="F423" s="185"/>
      <c r="G423" s="131"/>
    </row>
    <row r="424" ht="15.75" customHeight="1">
      <c r="A424" s="118"/>
      <c r="B424" s="118"/>
      <c r="C424" s="182"/>
      <c r="D424" s="184"/>
      <c r="E424" s="184"/>
      <c r="F424" s="185"/>
      <c r="G424" s="131"/>
    </row>
    <row r="425" ht="15.75" customHeight="1">
      <c r="A425" s="118"/>
      <c r="B425" s="118"/>
      <c r="C425" s="182"/>
      <c r="D425" s="184"/>
      <c r="E425" s="184"/>
      <c r="F425" s="185"/>
      <c r="G425" s="131"/>
    </row>
    <row r="426" ht="15.75" customHeight="1">
      <c r="A426" s="118"/>
      <c r="B426" s="118"/>
      <c r="C426" s="182"/>
      <c r="D426" s="184"/>
      <c r="E426" s="184"/>
      <c r="F426" s="185"/>
      <c r="G426" s="131"/>
    </row>
    <row r="427" ht="15.75" customHeight="1">
      <c r="A427" s="118"/>
      <c r="B427" s="118"/>
      <c r="C427" s="182"/>
      <c r="D427" s="184"/>
      <c r="E427" s="184"/>
      <c r="F427" s="185"/>
      <c r="G427" s="131"/>
    </row>
    <row r="428" ht="15.75" customHeight="1">
      <c r="A428" s="118"/>
      <c r="B428" s="118"/>
      <c r="C428" s="182"/>
      <c r="D428" s="184"/>
      <c r="E428" s="184"/>
      <c r="F428" s="185"/>
      <c r="G428" s="131"/>
    </row>
    <row r="429" ht="15.75" customHeight="1">
      <c r="A429" s="118"/>
      <c r="B429" s="118"/>
      <c r="C429" s="182"/>
      <c r="D429" s="184"/>
      <c r="E429" s="184"/>
      <c r="F429" s="185"/>
      <c r="G429" s="131"/>
    </row>
    <row r="430" ht="15.75" customHeight="1">
      <c r="A430" s="118"/>
      <c r="B430" s="118"/>
      <c r="C430" s="182"/>
      <c r="D430" s="184"/>
      <c r="E430" s="184"/>
      <c r="F430" s="185"/>
      <c r="G430" s="131"/>
    </row>
    <row r="431" ht="15.75" customHeight="1">
      <c r="A431" s="118"/>
      <c r="B431" s="118"/>
      <c r="C431" s="182"/>
      <c r="D431" s="184"/>
      <c r="E431" s="184"/>
      <c r="F431" s="185"/>
      <c r="G431" s="131"/>
    </row>
    <row r="432" ht="15.75" customHeight="1">
      <c r="A432" s="118"/>
      <c r="B432" s="118"/>
      <c r="C432" s="182"/>
      <c r="D432" s="184"/>
      <c r="E432" s="184"/>
      <c r="F432" s="185"/>
      <c r="G432" s="131"/>
    </row>
    <row r="433" ht="15.75" customHeight="1">
      <c r="A433" s="118"/>
      <c r="B433" s="118"/>
      <c r="C433" s="182"/>
      <c r="D433" s="184"/>
      <c r="E433" s="184"/>
      <c r="F433" s="185"/>
      <c r="G433" s="131"/>
    </row>
    <row r="434" ht="15.75" customHeight="1">
      <c r="A434" s="118"/>
      <c r="B434" s="118"/>
      <c r="C434" s="182"/>
      <c r="D434" s="184"/>
      <c r="E434" s="184"/>
      <c r="F434" s="185"/>
      <c r="G434" s="131"/>
    </row>
    <row r="435" ht="15.75" customHeight="1">
      <c r="A435" s="118"/>
      <c r="B435" s="118"/>
      <c r="C435" s="182"/>
      <c r="D435" s="184"/>
      <c r="E435" s="184"/>
      <c r="F435" s="185"/>
      <c r="G435" s="131"/>
    </row>
    <row r="436" ht="15.75" customHeight="1">
      <c r="A436" s="118"/>
      <c r="B436" s="118"/>
      <c r="C436" s="182"/>
      <c r="D436" s="184"/>
      <c r="E436" s="184"/>
      <c r="F436" s="185"/>
      <c r="G436" s="131"/>
    </row>
    <row r="437" ht="15.75" customHeight="1">
      <c r="A437" s="118"/>
      <c r="B437" s="118"/>
      <c r="C437" s="182"/>
      <c r="D437" s="184"/>
      <c r="E437" s="184"/>
      <c r="F437" s="185"/>
      <c r="G437" s="131"/>
    </row>
    <row r="438" ht="15.75" customHeight="1">
      <c r="A438" s="118"/>
      <c r="B438" s="118"/>
      <c r="C438" s="182"/>
      <c r="D438" s="184"/>
      <c r="E438" s="184"/>
      <c r="F438" s="185"/>
      <c r="G438" s="131"/>
    </row>
    <row r="439" ht="15.75" customHeight="1">
      <c r="A439" s="118"/>
      <c r="B439" s="118"/>
      <c r="C439" s="182"/>
      <c r="D439" s="184"/>
      <c r="E439" s="184"/>
      <c r="F439" s="185"/>
      <c r="G439" s="131"/>
    </row>
    <row r="440" ht="15.75" customHeight="1">
      <c r="A440" s="118"/>
      <c r="B440" s="118"/>
      <c r="C440" s="182"/>
      <c r="D440" s="184"/>
      <c r="E440" s="184"/>
      <c r="F440" s="185"/>
      <c r="G440" s="131"/>
    </row>
    <row r="441" ht="15.75" customHeight="1">
      <c r="A441" s="118"/>
      <c r="B441" s="118"/>
      <c r="C441" s="182"/>
      <c r="D441" s="184"/>
      <c r="E441" s="184"/>
      <c r="F441" s="185"/>
      <c r="G441" s="131"/>
    </row>
    <row r="442" ht="15.75" customHeight="1">
      <c r="A442" s="118"/>
      <c r="B442" s="118"/>
      <c r="C442" s="182"/>
      <c r="D442" s="184"/>
      <c r="E442" s="184"/>
      <c r="F442" s="185"/>
      <c r="G442" s="131"/>
    </row>
    <row r="443" ht="15.75" customHeight="1">
      <c r="A443" s="118"/>
      <c r="B443" s="118"/>
      <c r="C443" s="182"/>
      <c r="D443" s="184"/>
      <c r="E443" s="184"/>
      <c r="F443" s="185"/>
      <c r="G443" s="131"/>
    </row>
    <row r="444" ht="15.75" customHeight="1">
      <c r="A444" s="118"/>
      <c r="B444" s="118"/>
      <c r="C444" s="182"/>
      <c r="D444" s="184"/>
      <c r="E444" s="184"/>
      <c r="F444" s="185"/>
      <c r="G444" s="131"/>
    </row>
    <row r="445" ht="15.75" customHeight="1">
      <c r="A445" s="118"/>
      <c r="B445" s="118"/>
      <c r="C445" s="182"/>
      <c r="D445" s="184"/>
      <c r="E445" s="184"/>
      <c r="F445" s="185"/>
      <c r="G445" s="131"/>
    </row>
    <row r="446" ht="15.75" customHeight="1">
      <c r="A446" s="118"/>
      <c r="B446" s="118"/>
      <c r="C446" s="182"/>
      <c r="D446" s="184"/>
      <c r="E446" s="184"/>
      <c r="F446" s="185"/>
      <c r="G446" s="131"/>
    </row>
    <row r="447" ht="15.75" customHeight="1">
      <c r="A447" s="118"/>
      <c r="B447" s="118"/>
      <c r="C447" s="182"/>
      <c r="D447" s="184"/>
      <c r="E447" s="184"/>
      <c r="F447" s="185"/>
      <c r="G447" s="131"/>
    </row>
    <row r="448" ht="15.75" customHeight="1">
      <c r="A448" s="118"/>
      <c r="B448" s="118"/>
      <c r="C448" s="182"/>
      <c r="D448" s="184"/>
      <c r="E448" s="184"/>
      <c r="F448" s="185"/>
      <c r="G448" s="131"/>
    </row>
    <row r="449" ht="15.75" customHeight="1">
      <c r="A449" s="118"/>
      <c r="B449" s="118"/>
      <c r="C449" s="182"/>
      <c r="D449" s="184"/>
      <c r="E449" s="184"/>
      <c r="F449" s="185"/>
      <c r="G449" s="131"/>
    </row>
    <row r="450" ht="15.75" customHeight="1">
      <c r="A450" s="118"/>
      <c r="B450" s="118"/>
      <c r="C450" s="182"/>
      <c r="D450" s="184"/>
      <c r="E450" s="184"/>
      <c r="F450" s="185"/>
      <c r="G450" s="131"/>
    </row>
    <row r="451" ht="15.75" customHeight="1">
      <c r="A451" s="118"/>
      <c r="B451" s="118"/>
      <c r="C451" s="182"/>
      <c r="D451" s="184"/>
      <c r="E451" s="184"/>
      <c r="F451" s="185"/>
      <c r="G451" s="131"/>
    </row>
    <row r="452" ht="15.75" customHeight="1">
      <c r="A452" s="118"/>
      <c r="B452" s="118"/>
      <c r="C452" s="182"/>
      <c r="D452" s="184"/>
      <c r="E452" s="184"/>
      <c r="F452" s="185"/>
      <c r="G452" s="131"/>
    </row>
    <row r="453" ht="15.75" customHeight="1">
      <c r="A453" s="118"/>
      <c r="B453" s="118"/>
      <c r="C453" s="182"/>
      <c r="D453" s="184"/>
      <c r="E453" s="184"/>
      <c r="F453" s="185"/>
      <c r="G453" s="131"/>
    </row>
    <row r="454" ht="15.75" customHeight="1">
      <c r="A454" s="118"/>
      <c r="B454" s="118"/>
      <c r="C454" s="182"/>
      <c r="D454" s="184"/>
      <c r="E454" s="184"/>
      <c r="F454" s="185"/>
      <c r="G454" s="131"/>
    </row>
    <row r="455" ht="15.75" customHeight="1">
      <c r="A455" s="118"/>
      <c r="B455" s="118"/>
      <c r="C455" s="182"/>
      <c r="D455" s="184"/>
      <c r="E455" s="184"/>
      <c r="F455" s="185"/>
      <c r="G455" s="131"/>
    </row>
    <row r="456" ht="15.75" customHeight="1">
      <c r="A456" s="118"/>
      <c r="B456" s="118"/>
      <c r="C456" s="182"/>
      <c r="D456" s="184"/>
      <c r="E456" s="184"/>
      <c r="F456" s="185"/>
      <c r="G456" s="131"/>
    </row>
    <row r="457" ht="15.75" customHeight="1">
      <c r="A457" s="118"/>
      <c r="B457" s="118"/>
      <c r="C457" s="182"/>
      <c r="D457" s="184"/>
      <c r="E457" s="184"/>
      <c r="F457" s="185"/>
      <c r="G457" s="131"/>
    </row>
    <row r="458" ht="15.75" customHeight="1">
      <c r="A458" s="118"/>
      <c r="B458" s="118"/>
      <c r="C458" s="182"/>
      <c r="D458" s="184"/>
      <c r="E458" s="184"/>
      <c r="F458" s="185"/>
      <c r="G458" s="131"/>
    </row>
    <row r="459" ht="15.75" customHeight="1">
      <c r="A459" s="118"/>
      <c r="B459" s="118"/>
      <c r="C459" s="182"/>
      <c r="D459" s="184"/>
      <c r="E459" s="184"/>
      <c r="F459" s="185"/>
      <c r="G459" s="131"/>
    </row>
    <row r="460" ht="15.75" customHeight="1">
      <c r="A460" s="118"/>
      <c r="B460" s="118"/>
      <c r="C460" s="182"/>
      <c r="D460" s="184"/>
      <c r="E460" s="184"/>
      <c r="F460" s="185"/>
      <c r="G460" s="131"/>
    </row>
    <row r="461" ht="15.75" customHeight="1">
      <c r="A461" s="118"/>
      <c r="B461" s="118"/>
      <c r="C461" s="182"/>
      <c r="D461" s="184"/>
      <c r="E461" s="184"/>
      <c r="F461" s="185"/>
      <c r="G461" s="131"/>
    </row>
    <row r="462" ht="15.75" customHeight="1">
      <c r="A462" s="118"/>
      <c r="B462" s="118"/>
      <c r="C462" s="182"/>
      <c r="D462" s="184"/>
      <c r="E462" s="184"/>
      <c r="F462" s="185"/>
      <c r="G462" s="131"/>
    </row>
    <row r="463" ht="15.75" customHeight="1">
      <c r="A463" s="118"/>
      <c r="B463" s="118"/>
      <c r="C463" s="182"/>
      <c r="D463" s="184"/>
      <c r="E463" s="184"/>
      <c r="F463" s="185"/>
      <c r="G463" s="131"/>
    </row>
    <row r="464" ht="15.75" customHeight="1">
      <c r="A464" s="118"/>
      <c r="B464" s="118"/>
      <c r="C464" s="182"/>
      <c r="D464" s="184"/>
      <c r="E464" s="184"/>
      <c r="F464" s="185"/>
      <c r="G464" s="131"/>
    </row>
    <row r="465" ht="15.75" customHeight="1">
      <c r="A465" s="118"/>
      <c r="B465" s="118"/>
      <c r="C465" s="182"/>
      <c r="D465" s="184"/>
      <c r="E465" s="184"/>
      <c r="F465" s="185"/>
      <c r="G465" s="131"/>
    </row>
    <row r="466" ht="15.75" customHeight="1">
      <c r="A466" s="118"/>
      <c r="B466" s="118"/>
      <c r="C466" s="182"/>
      <c r="D466" s="184"/>
      <c r="E466" s="184"/>
      <c r="F466" s="185"/>
      <c r="G466" s="131"/>
    </row>
    <row r="467" ht="15.75" customHeight="1">
      <c r="A467" s="118"/>
      <c r="B467" s="118"/>
      <c r="C467" s="182"/>
      <c r="D467" s="184"/>
      <c r="E467" s="184"/>
      <c r="F467" s="185"/>
      <c r="G467" s="131"/>
    </row>
    <row r="468" ht="15.75" customHeight="1">
      <c r="A468" s="118"/>
      <c r="B468" s="118"/>
      <c r="C468" s="182"/>
      <c r="D468" s="184"/>
      <c r="E468" s="184"/>
      <c r="F468" s="185"/>
      <c r="G468" s="131"/>
    </row>
    <row r="469" ht="15.75" customHeight="1">
      <c r="A469" s="118"/>
      <c r="B469" s="118"/>
      <c r="C469" s="182"/>
      <c r="D469" s="184"/>
      <c r="E469" s="184"/>
      <c r="F469" s="185"/>
      <c r="G469" s="131"/>
    </row>
    <row r="470" ht="15.75" customHeight="1">
      <c r="A470" s="118"/>
      <c r="B470" s="118"/>
      <c r="C470" s="182"/>
      <c r="D470" s="184"/>
      <c r="E470" s="184"/>
      <c r="F470" s="185"/>
      <c r="G470" s="131"/>
    </row>
    <row r="471" ht="15.75" customHeight="1">
      <c r="A471" s="118"/>
      <c r="B471" s="118"/>
      <c r="C471" s="182"/>
      <c r="D471" s="184"/>
      <c r="E471" s="184"/>
      <c r="F471" s="185"/>
      <c r="G471" s="131"/>
    </row>
    <row r="472" ht="15.75" customHeight="1">
      <c r="A472" s="118"/>
      <c r="B472" s="118"/>
      <c r="C472" s="182"/>
      <c r="D472" s="184"/>
      <c r="E472" s="184"/>
      <c r="F472" s="185"/>
      <c r="G472" s="131"/>
    </row>
    <row r="473" ht="15.75" customHeight="1">
      <c r="A473" s="118"/>
      <c r="B473" s="118"/>
      <c r="C473" s="182"/>
      <c r="D473" s="184"/>
      <c r="E473" s="184"/>
      <c r="F473" s="185"/>
      <c r="G473" s="131"/>
    </row>
    <row r="474" ht="15.75" customHeight="1">
      <c r="A474" s="118"/>
      <c r="B474" s="118"/>
      <c r="C474" s="182"/>
      <c r="D474" s="184"/>
      <c r="E474" s="184"/>
      <c r="F474" s="185"/>
      <c r="G474" s="131"/>
    </row>
    <row r="475" ht="15.75" customHeight="1">
      <c r="A475" s="118"/>
      <c r="B475" s="118"/>
      <c r="C475" s="182"/>
      <c r="D475" s="184"/>
      <c r="E475" s="184"/>
      <c r="F475" s="185"/>
      <c r="G475" s="131"/>
    </row>
    <row r="476" ht="15.75" customHeight="1">
      <c r="A476" s="118"/>
      <c r="B476" s="118"/>
      <c r="C476" s="182"/>
      <c r="D476" s="184"/>
      <c r="E476" s="184"/>
      <c r="F476" s="185"/>
      <c r="G476" s="131"/>
    </row>
    <row r="477" ht="15.75" customHeight="1">
      <c r="A477" s="118"/>
      <c r="B477" s="118"/>
      <c r="C477" s="182"/>
      <c r="D477" s="184"/>
      <c r="E477" s="184"/>
      <c r="F477" s="185"/>
      <c r="G477" s="131"/>
    </row>
    <row r="478" ht="15.75" customHeight="1">
      <c r="A478" s="118"/>
      <c r="B478" s="118"/>
      <c r="C478" s="182"/>
      <c r="D478" s="184"/>
      <c r="E478" s="184"/>
      <c r="F478" s="185"/>
      <c r="G478" s="131"/>
    </row>
    <row r="479" ht="15.75" customHeight="1">
      <c r="A479" s="118"/>
      <c r="B479" s="118"/>
      <c r="C479" s="182"/>
      <c r="D479" s="184"/>
      <c r="E479" s="184"/>
      <c r="F479" s="185"/>
      <c r="G479" s="131"/>
    </row>
    <row r="480" ht="15.75" customHeight="1">
      <c r="A480" s="118"/>
      <c r="B480" s="118"/>
      <c r="C480" s="182"/>
      <c r="D480" s="184"/>
      <c r="E480" s="184"/>
      <c r="F480" s="185"/>
      <c r="G480" s="131"/>
    </row>
    <row r="481" ht="15.75" customHeight="1">
      <c r="A481" s="118"/>
      <c r="B481" s="118"/>
      <c r="C481" s="182"/>
      <c r="D481" s="184"/>
      <c r="E481" s="184"/>
      <c r="F481" s="185"/>
      <c r="G481" s="131"/>
    </row>
    <row r="482" ht="15.75" customHeight="1">
      <c r="A482" s="118"/>
      <c r="B482" s="118"/>
      <c r="C482" s="182"/>
      <c r="D482" s="184"/>
      <c r="E482" s="184"/>
      <c r="F482" s="185"/>
      <c r="G482" s="131"/>
    </row>
    <row r="483" ht="15.75" customHeight="1">
      <c r="A483" s="118"/>
      <c r="B483" s="118"/>
      <c r="C483" s="182"/>
      <c r="D483" s="184"/>
      <c r="E483" s="184"/>
      <c r="F483" s="185"/>
      <c r="G483" s="131"/>
    </row>
    <row r="484" ht="15.75" customHeight="1">
      <c r="A484" s="118"/>
      <c r="B484" s="118"/>
      <c r="C484" s="182"/>
      <c r="D484" s="184"/>
      <c r="E484" s="184"/>
      <c r="F484" s="185"/>
      <c r="G484" s="131"/>
    </row>
    <row r="485" ht="15.75" customHeight="1">
      <c r="A485" s="118"/>
      <c r="B485" s="118"/>
      <c r="C485" s="182"/>
      <c r="D485" s="184"/>
      <c r="E485" s="184"/>
      <c r="F485" s="185"/>
      <c r="G485" s="131"/>
    </row>
    <row r="486" ht="15.75" customHeight="1">
      <c r="A486" s="118"/>
      <c r="B486" s="118"/>
      <c r="C486" s="182"/>
      <c r="D486" s="184"/>
      <c r="E486" s="184"/>
      <c r="F486" s="185"/>
      <c r="G486" s="131"/>
    </row>
    <row r="487" ht="15.75" customHeight="1">
      <c r="A487" s="118"/>
      <c r="B487" s="118"/>
      <c r="C487" s="182"/>
      <c r="D487" s="184"/>
      <c r="E487" s="184"/>
      <c r="F487" s="185"/>
      <c r="G487" s="131"/>
    </row>
    <row r="488" ht="15.75" customHeight="1">
      <c r="A488" s="118"/>
      <c r="B488" s="118"/>
      <c r="C488" s="182"/>
      <c r="D488" s="184"/>
      <c r="E488" s="184"/>
      <c r="F488" s="185"/>
      <c r="G488" s="131"/>
    </row>
    <row r="489" ht="15.75" customHeight="1">
      <c r="A489" s="118"/>
      <c r="B489" s="118"/>
      <c r="C489" s="182"/>
      <c r="D489" s="184"/>
      <c r="E489" s="184"/>
      <c r="F489" s="185"/>
      <c r="G489" s="131"/>
    </row>
    <row r="490" ht="15.75" customHeight="1">
      <c r="A490" s="118"/>
      <c r="B490" s="118"/>
      <c r="C490" s="182"/>
      <c r="D490" s="184"/>
      <c r="E490" s="184"/>
      <c r="F490" s="185"/>
      <c r="G490" s="131"/>
    </row>
    <row r="491" ht="15.75" customHeight="1">
      <c r="A491" s="118"/>
      <c r="B491" s="118"/>
      <c r="C491" s="182"/>
      <c r="D491" s="184"/>
      <c r="E491" s="184"/>
      <c r="F491" s="185"/>
      <c r="G491" s="131"/>
    </row>
    <row r="492" ht="15.75" customHeight="1">
      <c r="A492" s="118"/>
      <c r="B492" s="118"/>
      <c r="C492" s="182"/>
      <c r="D492" s="184"/>
      <c r="E492" s="184"/>
      <c r="F492" s="185"/>
      <c r="G492" s="131"/>
    </row>
    <row r="493" ht="15.75" customHeight="1">
      <c r="A493" s="118"/>
      <c r="B493" s="118"/>
      <c r="C493" s="182"/>
      <c r="D493" s="184"/>
      <c r="E493" s="184"/>
      <c r="F493" s="185"/>
      <c r="G493" s="131"/>
    </row>
    <row r="494" ht="15.75" customHeight="1">
      <c r="A494" s="118"/>
      <c r="B494" s="118"/>
      <c r="C494" s="182"/>
      <c r="D494" s="184"/>
      <c r="E494" s="184"/>
      <c r="F494" s="185"/>
      <c r="G494" s="131"/>
    </row>
    <row r="495" ht="15.75" customHeight="1">
      <c r="A495" s="118"/>
      <c r="B495" s="118"/>
      <c r="C495" s="182"/>
      <c r="D495" s="184"/>
      <c r="E495" s="184"/>
      <c r="F495" s="185"/>
      <c r="G495" s="131"/>
    </row>
    <row r="496" ht="15.75" customHeight="1">
      <c r="A496" s="118"/>
      <c r="B496" s="118"/>
      <c r="C496" s="182"/>
      <c r="D496" s="184"/>
      <c r="E496" s="184"/>
      <c r="F496" s="185"/>
      <c r="G496" s="131"/>
    </row>
    <row r="497" ht="15.75" customHeight="1">
      <c r="A497" s="118"/>
      <c r="B497" s="118"/>
      <c r="C497" s="182"/>
      <c r="D497" s="184"/>
      <c r="E497" s="184"/>
      <c r="F497" s="185"/>
      <c r="G497" s="131"/>
    </row>
    <row r="498" ht="15.75" customHeight="1">
      <c r="A498" s="118"/>
      <c r="B498" s="118"/>
      <c r="C498" s="182"/>
      <c r="D498" s="184"/>
      <c r="E498" s="184"/>
      <c r="F498" s="185"/>
      <c r="G498" s="131"/>
    </row>
    <row r="499" ht="15.75" customHeight="1">
      <c r="A499" s="118"/>
      <c r="B499" s="118"/>
      <c r="C499" s="182"/>
      <c r="D499" s="184"/>
      <c r="E499" s="184"/>
      <c r="F499" s="185"/>
      <c r="G499" s="131"/>
    </row>
    <row r="500" ht="15.75" customHeight="1">
      <c r="A500" s="118"/>
      <c r="B500" s="118"/>
      <c r="C500" s="182"/>
      <c r="D500" s="184"/>
      <c r="E500" s="184"/>
      <c r="F500" s="185"/>
      <c r="G500" s="131"/>
    </row>
    <row r="501" ht="15.75" customHeight="1">
      <c r="A501" s="118"/>
      <c r="B501" s="118"/>
      <c r="C501" s="182"/>
      <c r="D501" s="184"/>
      <c r="E501" s="184"/>
      <c r="F501" s="185"/>
      <c r="G501" s="131"/>
    </row>
    <row r="502" ht="15.75" customHeight="1">
      <c r="A502" s="118"/>
      <c r="B502" s="118"/>
      <c r="C502" s="182"/>
      <c r="D502" s="184"/>
      <c r="E502" s="184"/>
      <c r="F502" s="185"/>
      <c r="G502" s="131"/>
    </row>
    <row r="503" ht="15.75" customHeight="1">
      <c r="A503" s="118"/>
      <c r="B503" s="118"/>
      <c r="C503" s="182"/>
      <c r="D503" s="184"/>
      <c r="E503" s="184"/>
      <c r="F503" s="185"/>
      <c r="G503" s="131"/>
    </row>
    <row r="504" ht="15.75" customHeight="1">
      <c r="A504" s="118"/>
      <c r="B504" s="118"/>
      <c r="C504" s="182"/>
      <c r="D504" s="184"/>
      <c r="E504" s="184"/>
      <c r="F504" s="185"/>
      <c r="G504" s="131"/>
    </row>
    <row r="505" ht="15.75" customHeight="1">
      <c r="A505" s="118"/>
      <c r="B505" s="118"/>
      <c r="C505" s="182"/>
      <c r="D505" s="184"/>
      <c r="E505" s="184"/>
      <c r="F505" s="185"/>
      <c r="G505" s="131"/>
    </row>
    <row r="506" ht="15.75" customHeight="1">
      <c r="A506" s="118"/>
      <c r="B506" s="118"/>
      <c r="C506" s="182"/>
      <c r="D506" s="184"/>
      <c r="E506" s="184"/>
      <c r="F506" s="185"/>
      <c r="G506" s="131"/>
    </row>
    <row r="507" ht="15.75" customHeight="1">
      <c r="A507" s="118"/>
      <c r="B507" s="118"/>
      <c r="C507" s="182"/>
      <c r="D507" s="184"/>
      <c r="E507" s="184"/>
      <c r="F507" s="185"/>
      <c r="G507" s="131"/>
    </row>
    <row r="508" ht="15.75" customHeight="1">
      <c r="A508" s="118"/>
      <c r="B508" s="118"/>
      <c r="C508" s="182"/>
      <c r="D508" s="184"/>
      <c r="E508" s="184"/>
      <c r="F508" s="185"/>
      <c r="G508" s="131"/>
    </row>
    <row r="509" ht="15.75" customHeight="1">
      <c r="A509" s="118"/>
      <c r="B509" s="118"/>
      <c r="C509" s="182"/>
      <c r="D509" s="184"/>
      <c r="E509" s="184"/>
      <c r="F509" s="185"/>
      <c r="G509" s="131"/>
    </row>
    <row r="510" ht="15.75" customHeight="1">
      <c r="A510" s="118"/>
      <c r="B510" s="118"/>
      <c r="C510" s="182"/>
      <c r="D510" s="184"/>
      <c r="E510" s="184"/>
      <c r="F510" s="185"/>
      <c r="G510" s="131"/>
    </row>
    <row r="511" ht="15.75" customHeight="1">
      <c r="A511" s="118"/>
      <c r="B511" s="118"/>
      <c r="C511" s="182"/>
      <c r="D511" s="184"/>
      <c r="E511" s="184"/>
      <c r="F511" s="185"/>
      <c r="G511" s="131"/>
    </row>
    <row r="512" ht="15.75" customHeight="1">
      <c r="A512" s="118"/>
      <c r="B512" s="118"/>
      <c r="C512" s="182"/>
      <c r="D512" s="184"/>
      <c r="E512" s="184"/>
      <c r="F512" s="185"/>
      <c r="G512" s="131"/>
    </row>
    <row r="513" ht="15.75" customHeight="1">
      <c r="A513" s="118"/>
      <c r="B513" s="118"/>
      <c r="C513" s="182"/>
      <c r="D513" s="184"/>
      <c r="E513" s="184"/>
      <c r="F513" s="185"/>
      <c r="G513" s="131"/>
    </row>
    <row r="514" ht="15.75" customHeight="1">
      <c r="A514" s="118"/>
      <c r="B514" s="118"/>
      <c r="C514" s="182"/>
      <c r="D514" s="184"/>
      <c r="E514" s="184"/>
      <c r="F514" s="185"/>
      <c r="G514" s="131"/>
    </row>
    <row r="515" ht="15.75" customHeight="1">
      <c r="A515" s="118"/>
      <c r="B515" s="118"/>
      <c r="C515" s="182"/>
      <c r="D515" s="184"/>
      <c r="E515" s="184"/>
      <c r="F515" s="185"/>
      <c r="G515" s="131"/>
    </row>
    <row r="516" ht="15.75" customHeight="1">
      <c r="A516" s="118"/>
      <c r="B516" s="118"/>
      <c r="C516" s="182"/>
      <c r="D516" s="184"/>
      <c r="E516" s="184"/>
      <c r="F516" s="185"/>
      <c r="G516" s="131"/>
    </row>
    <row r="517" ht="15.75" customHeight="1">
      <c r="A517" s="118"/>
      <c r="B517" s="118"/>
      <c r="C517" s="182"/>
      <c r="D517" s="184"/>
      <c r="E517" s="184"/>
      <c r="F517" s="185"/>
      <c r="G517" s="131"/>
    </row>
    <row r="518" ht="15.75" customHeight="1">
      <c r="A518" s="118"/>
      <c r="B518" s="118"/>
      <c r="C518" s="182"/>
      <c r="D518" s="184"/>
      <c r="E518" s="184"/>
      <c r="F518" s="185"/>
      <c r="G518" s="131"/>
    </row>
    <row r="519" ht="15.75" customHeight="1">
      <c r="A519" s="118"/>
      <c r="B519" s="118"/>
      <c r="C519" s="182"/>
      <c r="D519" s="184"/>
      <c r="E519" s="184"/>
      <c r="F519" s="185"/>
      <c r="G519" s="131"/>
    </row>
    <row r="520" ht="15.75" customHeight="1">
      <c r="A520" s="118"/>
      <c r="B520" s="118"/>
      <c r="C520" s="182"/>
      <c r="D520" s="184"/>
      <c r="E520" s="184"/>
      <c r="F520" s="185"/>
      <c r="G520" s="131"/>
    </row>
    <row r="521" ht="15.75" customHeight="1">
      <c r="A521" s="118"/>
      <c r="B521" s="118"/>
      <c r="C521" s="182"/>
      <c r="D521" s="184"/>
      <c r="E521" s="184"/>
      <c r="F521" s="185"/>
      <c r="G521" s="131"/>
    </row>
    <row r="522" ht="15.75" customHeight="1">
      <c r="A522" s="118"/>
      <c r="B522" s="118"/>
      <c r="C522" s="182"/>
      <c r="D522" s="184"/>
      <c r="E522" s="184"/>
      <c r="F522" s="185"/>
      <c r="G522" s="131"/>
    </row>
    <row r="523" ht="15.75" customHeight="1">
      <c r="A523" s="118"/>
      <c r="B523" s="118"/>
      <c r="C523" s="182"/>
      <c r="D523" s="184"/>
      <c r="E523" s="184"/>
      <c r="F523" s="185"/>
      <c r="G523" s="131"/>
    </row>
    <row r="524" ht="15.75" customHeight="1">
      <c r="A524" s="118"/>
      <c r="B524" s="118"/>
      <c r="C524" s="182"/>
      <c r="D524" s="184"/>
      <c r="E524" s="184"/>
      <c r="F524" s="185"/>
      <c r="G524" s="131"/>
    </row>
    <row r="525" ht="15.75" customHeight="1">
      <c r="A525" s="118"/>
      <c r="B525" s="118"/>
      <c r="C525" s="182"/>
      <c r="D525" s="184"/>
      <c r="E525" s="184"/>
      <c r="F525" s="185"/>
      <c r="G525" s="131"/>
    </row>
    <row r="526" ht="15.75" customHeight="1">
      <c r="A526" s="118"/>
      <c r="B526" s="118"/>
      <c r="C526" s="182"/>
      <c r="D526" s="184"/>
      <c r="E526" s="184"/>
      <c r="F526" s="185"/>
      <c r="G526" s="131"/>
    </row>
    <row r="527" ht="15.75" customHeight="1">
      <c r="A527" s="118"/>
      <c r="B527" s="118"/>
      <c r="C527" s="182"/>
      <c r="D527" s="184"/>
      <c r="E527" s="184"/>
      <c r="F527" s="185"/>
      <c r="G527" s="131"/>
    </row>
    <row r="528" ht="15.75" customHeight="1">
      <c r="A528" s="118"/>
      <c r="B528" s="118"/>
      <c r="C528" s="182"/>
      <c r="D528" s="184"/>
      <c r="E528" s="184"/>
      <c r="F528" s="185"/>
      <c r="G528" s="131"/>
    </row>
    <row r="529" ht="15.75" customHeight="1">
      <c r="A529" s="118"/>
      <c r="B529" s="118"/>
      <c r="C529" s="182"/>
      <c r="D529" s="184"/>
      <c r="E529" s="184"/>
      <c r="F529" s="185"/>
      <c r="G529" s="131"/>
    </row>
    <row r="530" ht="15.75" customHeight="1">
      <c r="A530" s="118"/>
      <c r="B530" s="118"/>
      <c r="C530" s="182"/>
      <c r="D530" s="184"/>
      <c r="E530" s="184"/>
      <c r="F530" s="185"/>
      <c r="G530" s="131"/>
    </row>
    <row r="531" ht="15.75" customHeight="1">
      <c r="A531" s="118"/>
      <c r="B531" s="118"/>
      <c r="C531" s="182"/>
      <c r="D531" s="184"/>
      <c r="E531" s="184"/>
      <c r="F531" s="185"/>
      <c r="G531" s="131"/>
    </row>
    <row r="532" ht="15.75" customHeight="1">
      <c r="A532" s="118"/>
      <c r="B532" s="118"/>
      <c r="C532" s="182"/>
      <c r="D532" s="184"/>
      <c r="E532" s="184"/>
      <c r="F532" s="185"/>
      <c r="G532" s="131"/>
    </row>
    <row r="533" ht="15.75" customHeight="1">
      <c r="A533" s="118"/>
      <c r="B533" s="118"/>
      <c r="C533" s="182"/>
      <c r="D533" s="184"/>
      <c r="E533" s="184"/>
      <c r="F533" s="185"/>
      <c r="G533" s="131"/>
    </row>
    <row r="534" ht="15.75" customHeight="1">
      <c r="A534" s="118"/>
      <c r="B534" s="118"/>
      <c r="C534" s="182"/>
      <c r="D534" s="184"/>
      <c r="E534" s="184"/>
      <c r="F534" s="185"/>
      <c r="G534" s="131"/>
    </row>
    <row r="535" ht="15.75" customHeight="1">
      <c r="A535" s="118"/>
      <c r="B535" s="118"/>
      <c r="C535" s="182"/>
      <c r="D535" s="184"/>
      <c r="E535" s="184"/>
      <c r="F535" s="185"/>
      <c r="G535" s="131"/>
    </row>
    <row r="536" ht="15.75" customHeight="1">
      <c r="A536" s="118"/>
      <c r="B536" s="118"/>
      <c r="C536" s="182"/>
      <c r="D536" s="184"/>
      <c r="E536" s="184"/>
      <c r="F536" s="185"/>
      <c r="G536" s="131"/>
    </row>
    <row r="537" ht="15.75" customHeight="1">
      <c r="A537" s="118"/>
      <c r="B537" s="118"/>
      <c r="C537" s="182"/>
      <c r="D537" s="184"/>
      <c r="E537" s="184"/>
      <c r="F537" s="185"/>
      <c r="G537" s="131"/>
    </row>
    <row r="538" ht="15.75" customHeight="1">
      <c r="A538" s="118"/>
      <c r="B538" s="118"/>
      <c r="C538" s="182"/>
      <c r="D538" s="184"/>
      <c r="E538" s="184"/>
      <c r="F538" s="185"/>
      <c r="G538" s="131"/>
    </row>
    <row r="539" ht="15.75" customHeight="1">
      <c r="A539" s="118"/>
      <c r="B539" s="118"/>
      <c r="C539" s="182"/>
      <c r="D539" s="184"/>
      <c r="E539" s="184"/>
      <c r="F539" s="185"/>
      <c r="G539" s="131"/>
    </row>
    <row r="540" ht="15.75" customHeight="1">
      <c r="A540" s="118"/>
      <c r="B540" s="118"/>
      <c r="C540" s="182"/>
      <c r="D540" s="184"/>
      <c r="E540" s="184"/>
      <c r="F540" s="185"/>
      <c r="G540" s="131"/>
    </row>
    <row r="541" ht="15.75" customHeight="1">
      <c r="A541" s="118"/>
      <c r="B541" s="118"/>
      <c r="C541" s="182"/>
      <c r="D541" s="184"/>
      <c r="E541" s="184"/>
      <c r="F541" s="185"/>
      <c r="G541" s="131"/>
    </row>
    <row r="542" ht="15.75" customHeight="1">
      <c r="A542" s="118"/>
      <c r="B542" s="118"/>
      <c r="C542" s="182"/>
      <c r="D542" s="184"/>
      <c r="E542" s="184"/>
      <c r="F542" s="185"/>
      <c r="G542" s="131"/>
    </row>
    <row r="543" ht="15.75" customHeight="1">
      <c r="A543" s="118"/>
      <c r="B543" s="118"/>
      <c r="C543" s="182"/>
      <c r="D543" s="184"/>
      <c r="E543" s="184"/>
      <c r="F543" s="185"/>
      <c r="G543" s="131"/>
    </row>
    <row r="544" ht="15.75" customHeight="1">
      <c r="A544" s="118"/>
      <c r="B544" s="118"/>
      <c r="C544" s="182"/>
      <c r="D544" s="184"/>
      <c r="E544" s="184"/>
      <c r="F544" s="185"/>
      <c r="G544" s="131"/>
    </row>
    <row r="545" ht="15.75" customHeight="1">
      <c r="A545" s="118"/>
      <c r="B545" s="118"/>
      <c r="C545" s="182"/>
      <c r="D545" s="184"/>
      <c r="E545" s="184"/>
      <c r="F545" s="185"/>
      <c r="G545" s="131"/>
    </row>
    <row r="546" ht="15.75" customHeight="1">
      <c r="A546" s="118"/>
      <c r="B546" s="118"/>
      <c r="C546" s="182"/>
      <c r="D546" s="184"/>
      <c r="E546" s="184"/>
      <c r="F546" s="185"/>
      <c r="G546" s="131"/>
    </row>
    <row r="547" ht="15.75" customHeight="1">
      <c r="A547" s="118"/>
      <c r="B547" s="118"/>
      <c r="C547" s="182"/>
      <c r="D547" s="184"/>
      <c r="E547" s="184"/>
      <c r="F547" s="185"/>
      <c r="G547" s="131"/>
    </row>
    <row r="548" ht="15.75" customHeight="1">
      <c r="A548" s="118"/>
      <c r="B548" s="118"/>
      <c r="C548" s="182"/>
      <c r="D548" s="184"/>
      <c r="E548" s="184"/>
      <c r="F548" s="185"/>
      <c r="G548" s="131"/>
    </row>
    <row r="549" ht="15.75" customHeight="1">
      <c r="A549" s="118"/>
      <c r="B549" s="118"/>
      <c r="C549" s="182"/>
      <c r="D549" s="184"/>
      <c r="E549" s="184"/>
      <c r="F549" s="185"/>
      <c r="G549" s="131"/>
    </row>
    <row r="550" ht="15.75" customHeight="1">
      <c r="A550" s="118"/>
      <c r="B550" s="118"/>
      <c r="C550" s="182"/>
      <c r="D550" s="184"/>
      <c r="E550" s="184"/>
      <c r="F550" s="185"/>
      <c r="G550" s="131"/>
    </row>
    <row r="551" ht="15.75" customHeight="1">
      <c r="A551" s="118"/>
      <c r="B551" s="118"/>
      <c r="C551" s="182"/>
      <c r="D551" s="184"/>
      <c r="E551" s="184"/>
      <c r="F551" s="185"/>
      <c r="G551" s="131"/>
    </row>
    <row r="552" ht="15.75" customHeight="1">
      <c r="A552" s="118"/>
      <c r="B552" s="118"/>
      <c r="C552" s="182"/>
      <c r="D552" s="184"/>
      <c r="E552" s="184"/>
      <c r="F552" s="185"/>
      <c r="G552" s="131"/>
    </row>
    <row r="553" ht="15.75" customHeight="1">
      <c r="A553" s="118"/>
      <c r="B553" s="118"/>
      <c r="C553" s="182"/>
      <c r="D553" s="184"/>
      <c r="E553" s="184"/>
      <c r="F553" s="185"/>
      <c r="G553" s="131"/>
    </row>
    <row r="554" ht="15.75" customHeight="1">
      <c r="A554" s="118"/>
      <c r="B554" s="118"/>
      <c r="C554" s="182"/>
      <c r="D554" s="184"/>
      <c r="E554" s="184"/>
      <c r="F554" s="185"/>
      <c r="G554" s="131"/>
    </row>
    <row r="555" ht="15.75" customHeight="1">
      <c r="A555" s="118"/>
      <c r="B555" s="118"/>
      <c r="C555" s="182"/>
      <c r="D555" s="184"/>
      <c r="E555" s="184"/>
      <c r="F555" s="185"/>
      <c r="G555" s="131"/>
    </row>
    <row r="556" ht="15.75" customHeight="1">
      <c r="A556" s="118"/>
      <c r="B556" s="118"/>
      <c r="C556" s="182"/>
      <c r="D556" s="184"/>
      <c r="E556" s="184"/>
      <c r="F556" s="185"/>
      <c r="G556" s="131"/>
    </row>
    <row r="557" ht="15.75" customHeight="1">
      <c r="A557" s="118"/>
      <c r="B557" s="118"/>
      <c r="C557" s="182"/>
      <c r="D557" s="184"/>
      <c r="E557" s="184"/>
      <c r="F557" s="185"/>
      <c r="G557" s="131"/>
    </row>
    <row r="558" ht="15.75" customHeight="1">
      <c r="A558" s="118"/>
      <c r="B558" s="118"/>
      <c r="C558" s="182"/>
      <c r="D558" s="184"/>
      <c r="E558" s="184"/>
      <c r="F558" s="185"/>
      <c r="G558" s="131"/>
    </row>
    <row r="559" ht="15.75" customHeight="1">
      <c r="A559" s="118"/>
      <c r="B559" s="118"/>
      <c r="C559" s="182"/>
      <c r="D559" s="184"/>
      <c r="E559" s="184"/>
      <c r="F559" s="185"/>
      <c r="G559" s="131"/>
    </row>
    <row r="560" ht="15.75" customHeight="1">
      <c r="A560" s="118"/>
      <c r="B560" s="118"/>
      <c r="C560" s="182"/>
      <c r="D560" s="184"/>
      <c r="E560" s="184"/>
      <c r="F560" s="185"/>
      <c r="G560" s="131"/>
    </row>
    <row r="561" ht="15.75" customHeight="1">
      <c r="A561" s="118"/>
      <c r="B561" s="118"/>
      <c r="C561" s="182"/>
      <c r="D561" s="184"/>
      <c r="E561" s="184"/>
      <c r="F561" s="185"/>
      <c r="G561" s="131"/>
    </row>
    <row r="562" ht="15.75" customHeight="1">
      <c r="A562" s="118"/>
      <c r="B562" s="118"/>
      <c r="C562" s="182"/>
      <c r="D562" s="184"/>
      <c r="E562" s="184"/>
      <c r="F562" s="185"/>
      <c r="G562" s="131"/>
    </row>
    <row r="563" ht="15.75" customHeight="1">
      <c r="A563" s="118"/>
      <c r="B563" s="118"/>
      <c r="C563" s="182"/>
      <c r="D563" s="184"/>
      <c r="E563" s="184"/>
      <c r="F563" s="185"/>
      <c r="G563" s="131"/>
    </row>
    <row r="564" ht="15.75" customHeight="1">
      <c r="A564" s="118"/>
      <c r="B564" s="118"/>
      <c r="C564" s="182"/>
      <c r="D564" s="184"/>
      <c r="E564" s="184"/>
      <c r="F564" s="185"/>
      <c r="G564" s="131"/>
    </row>
    <row r="565" ht="15.75" customHeight="1">
      <c r="A565" s="118"/>
      <c r="B565" s="118"/>
      <c r="C565" s="182"/>
      <c r="D565" s="184"/>
      <c r="E565" s="184"/>
      <c r="F565" s="185"/>
      <c r="G565" s="131"/>
    </row>
    <row r="566" ht="15.75" customHeight="1">
      <c r="A566" s="118"/>
      <c r="B566" s="118"/>
      <c r="C566" s="182"/>
      <c r="D566" s="184"/>
      <c r="E566" s="184"/>
      <c r="F566" s="185"/>
      <c r="G566" s="131"/>
    </row>
    <row r="567" ht="15.75" customHeight="1">
      <c r="A567" s="118"/>
      <c r="B567" s="118"/>
      <c r="C567" s="182"/>
      <c r="D567" s="184"/>
      <c r="E567" s="184"/>
      <c r="F567" s="185"/>
      <c r="G567" s="131"/>
    </row>
    <row r="568" ht="15.75" customHeight="1">
      <c r="A568" s="118"/>
      <c r="B568" s="118"/>
      <c r="C568" s="182"/>
      <c r="D568" s="184"/>
      <c r="E568" s="184"/>
      <c r="F568" s="185"/>
      <c r="G568" s="131"/>
    </row>
    <row r="569" ht="15.75" customHeight="1">
      <c r="A569" s="118"/>
      <c r="B569" s="118"/>
      <c r="C569" s="182"/>
      <c r="D569" s="184"/>
      <c r="E569" s="184"/>
      <c r="F569" s="185"/>
      <c r="G569" s="131"/>
    </row>
    <row r="570" ht="15.75" customHeight="1">
      <c r="A570" s="118"/>
      <c r="B570" s="118"/>
      <c r="C570" s="182"/>
      <c r="D570" s="184"/>
      <c r="E570" s="184"/>
      <c r="F570" s="185"/>
      <c r="G570" s="131"/>
    </row>
    <row r="571" ht="15.75" customHeight="1">
      <c r="A571" s="118"/>
      <c r="B571" s="118"/>
      <c r="C571" s="182"/>
      <c r="D571" s="184"/>
      <c r="E571" s="184"/>
      <c r="F571" s="185"/>
      <c r="G571" s="131"/>
    </row>
    <row r="572" ht="15.75" customHeight="1">
      <c r="A572" s="118"/>
      <c r="B572" s="118"/>
      <c r="C572" s="182"/>
      <c r="D572" s="184"/>
      <c r="E572" s="184"/>
      <c r="F572" s="185"/>
      <c r="G572" s="131"/>
    </row>
    <row r="573" ht="15.75" customHeight="1">
      <c r="A573" s="118"/>
      <c r="B573" s="118"/>
      <c r="C573" s="182"/>
      <c r="D573" s="184"/>
      <c r="E573" s="184"/>
      <c r="F573" s="185"/>
      <c r="G573" s="131"/>
    </row>
    <row r="574" ht="15.75" customHeight="1">
      <c r="A574" s="118"/>
      <c r="B574" s="118"/>
      <c r="C574" s="182"/>
      <c r="D574" s="184"/>
      <c r="E574" s="184"/>
      <c r="F574" s="185"/>
      <c r="G574" s="131"/>
    </row>
    <row r="575" ht="15.75" customHeight="1">
      <c r="A575" s="118"/>
      <c r="B575" s="118"/>
      <c r="C575" s="182"/>
      <c r="D575" s="184"/>
      <c r="E575" s="184"/>
      <c r="F575" s="185"/>
      <c r="G575" s="131"/>
    </row>
    <row r="576" ht="15.75" customHeight="1">
      <c r="A576" s="118"/>
      <c r="B576" s="118"/>
      <c r="C576" s="182"/>
      <c r="D576" s="184"/>
      <c r="E576" s="184"/>
      <c r="F576" s="185"/>
      <c r="G576" s="131"/>
    </row>
    <row r="577" ht="15.75" customHeight="1">
      <c r="A577" s="118"/>
      <c r="B577" s="118"/>
      <c r="C577" s="182"/>
      <c r="D577" s="184"/>
      <c r="E577" s="184"/>
      <c r="F577" s="185"/>
      <c r="G577" s="131"/>
    </row>
    <row r="578" ht="15.75" customHeight="1">
      <c r="A578" s="118"/>
      <c r="B578" s="118"/>
      <c r="C578" s="182"/>
      <c r="D578" s="184"/>
      <c r="E578" s="184"/>
      <c r="F578" s="185"/>
      <c r="G578" s="131"/>
    </row>
    <row r="579" ht="15.75" customHeight="1">
      <c r="A579" s="118"/>
      <c r="B579" s="118"/>
      <c r="C579" s="182"/>
      <c r="D579" s="184"/>
      <c r="E579" s="184"/>
      <c r="F579" s="185"/>
      <c r="G579" s="131"/>
    </row>
    <row r="580" ht="15.75" customHeight="1">
      <c r="A580" s="118"/>
      <c r="B580" s="118"/>
      <c r="C580" s="182"/>
      <c r="D580" s="184"/>
      <c r="E580" s="184"/>
      <c r="F580" s="185"/>
      <c r="G580" s="131"/>
    </row>
    <row r="581" ht="15.75" customHeight="1">
      <c r="A581" s="118"/>
      <c r="B581" s="118"/>
      <c r="C581" s="182"/>
      <c r="D581" s="184"/>
      <c r="E581" s="184"/>
      <c r="F581" s="185"/>
      <c r="G581" s="131"/>
    </row>
    <row r="582" ht="15.75" customHeight="1">
      <c r="A582" s="118"/>
      <c r="B582" s="118"/>
      <c r="C582" s="182"/>
      <c r="D582" s="184"/>
      <c r="E582" s="184"/>
      <c r="F582" s="185"/>
      <c r="G582" s="131"/>
    </row>
    <row r="583" ht="15.75" customHeight="1">
      <c r="A583" s="118"/>
      <c r="B583" s="118"/>
      <c r="C583" s="182"/>
      <c r="D583" s="184"/>
      <c r="E583" s="184"/>
      <c r="F583" s="185"/>
      <c r="G583" s="131"/>
    </row>
    <row r="584" ht="15.75" customHeight="1">
      <c r="A584" s="118"/>
      <c r="B584" s="118"/>
      <c r="C584" s="182"/>
      <c r="D584" s="184"/>
      <c r="E584" s="184"/>
      <c r="F584" s="185"/>
      <c r="G584" s="131"/>
    </row>
    <row r="585" ht="15.75" customHeight="1">
      <c r="A585" s="118"/>
      <c r="B585" s="118"/>
      <c r="C585" s="182"/>
      <c r="D585" s="184"/>
      <c r="E585" s="184"/>
      <c r="F585" s="185"/>
      <c r="G585" s="131"/>
    </row>
    <row r="586" ht="15.75" customHeight="1">
      <c r="A586" s="118"/>
      <c r="B586" s="118"/>
      <c r="C586" s="182"/>
      <c r="D586" s="184"/>
      <c r="E586" s="184"/>
      <c r="F586" s="185"/>
      <c r="G586" s="131"/>
    </row>
    <row r="587" ht="15.75" customHeight="1">
      <c r="A587" s="118"/>
      <c r="B587" s="118"/>
      <c r="C587" s="182"/>
      <c r="D587" s="184"/>
      <c r="E587" s="184"/>
      <c r="F587" s="185"/>
      <c r="G587" s="131"/>
    </row>
    <row r="588" ht="15.75" customHeight="1">
      <c r="A588" s="118"/>
      <c r="B588" s="118"/>
      <c r="C588" s="182"/>
      <c r="D588" s="184"/>
      <c r="E588" s="184"/>
      <c r="F588" s="185"/>
      <c r="G588" s="131"/>
    </row>
    <row r="589" ht="15.75" customHeight="1">
      <c r="A589" s="118"/>
      <c r="B589" s="118"/>
      <c r="C589" s="182"/>
      <c r="D589" s="184"/>
      <c r="E589" s="184"/>
      <c r="F589" s="185"/>
      <c r="G589" s="131"/>
    </row>
    <row r="590" ht="15.75" customHeight="1">
      <c r="A590" s="118"/>
      <c r="B590" s="118"/>
      <c r="C590" s="182"/>
      <c r="D590" s="184"/>
      <c r="E590" s="184"/>
      <c r="F590" s="185"/>
      <c r="G590" s="131"/>
    </row>
    <row r="591" ht="15.75" customHeight="1">
      <c r="A591" s="118"/>
      <c r="B591" s="118"/>
      <c r="C591" s="182"/>
      <c r="D591" s="184"/>
      <c r="E591" s="184"/>
      <c r="F591" s="185"/>
      <c r="G591" s="131"/>
    </row>
    <row r="592" ht="15.75" customHeight="1">
      <c r="A592" s="118"/>
      <c r="B592" s="118"/>
      <c r="C592" s="182"/>
      <c r="D592" s="184"/>
      <c r="E592" s="184"/>
      <c r="F592" s="185"/>
      <c r="G592" s="131"/>
    </row>
    <row r="593" ht="15.75" customHeight="1">
      <c r="A593" s="118"/>
      <c r="B593" s="118"/>
      <c r="C593" s="182"/>
      <c r="D593" s="184"/>
      <c r="E593" s="184"/>
      <c r="F593" s="185"/>
      <c r="G593" s="131"/>
    </row>
    <row r="594" ht="15.75" customHeight="1">
      <c r="A594" s="118"/>
      <c r="B594" s="118"/>
      <c r="C594" s="182"/>
      <c r="D594" s="184"/>
      <c r="E594" s="184"/>
      <c r="F594" s="185"/>
      <c r="G594" s="131"/>
    </row>
    <row r="595" ht="15.75" customHeight="1">
      <c r="A595" s="118"/>
      <c r="B595" s="118"/>
      <c r="C595" s="182"/>
      <c r="D595" s="184"/>
      <c r="E595" s="184"/>
      <c r="F595" s="185"/>
      <c r="G595" s="131"/>
    </row>
    <row r="596" ht="15.75" customHeight="1">
      <c r="A596" s="118"/>
      <c r="B596" s="118"/>
      <c r="C596" s="182"/>
      <c r="D596" s="184"/>
      <c r="E596" s="184"/>
      <c r="F596" s="185"/>
      <c r="G596" s="131"/>
    </row>
    <row r="597" ht="15.75" customHeight="1">
      <c r="A597" s="118"/>
      <c r="B597" s="118"/>
      <c r="C597" s="182"/>
      <c r="D597" s="184"/>
      <c r="E597" s="184"/>
      <c r="F597" s="185"/>
      <c r="G597" s="131"/>
    </row>
    <row r="598" ht="15.75" customHeight="1">
      <c r="A598" s="118"/>
      <c r="B598" s="118"/>
      <c r="C598" s="182"/>
      <c r="D598" s="184"/>
      <c r="E598" s="184"/>
      <c r="F598" s="185"/>
      <c r="G598" s="131"/>
    </row>
    <row r="599" ht="15.75" customHeight="1">
      <c r="A599" s="118"/>
      <c r="B599" s="118"/>
      <c r="C599" s="182"/>
      <c r="D599" s="184"/>
      <c r="E599" s="184"/>
      <c r="F599" s="185"/>
      <c r="G599" s="131"/>
    </row>
    <row r="600" ht="15.75" customHeight="1">
      <c r="A600" s="118"/>
      <c r="B600" s="118"/>
      <c r="C600" s="182"/>
      <c r="D600" s="184"/>
      <c r="E600" s="184"/>
      <c r="F600" s="185"/>
      <c r="G600" s="131"/>
    </row>
    <row r="601" ht="15.75" customHeight="1">
      <c r="A601" s="118"/>
      <c r="B601" s="118"/>
      <c r="C601" s="182"/>
      <c r="D601" s="184"/>
      <c r="E601" s="184"/>
      <c r="F601" s="185"/>
      <c r="G601" s="131"/>
    </row>
    <row r="602" ht="15.75" customHeight="1">
      <c r="A602" s="118"/>
      <c r="B602" s="118"/>
      <c r="C602" s="182"/>
      <c r="D602" s="184"/>
      <c r="E602" s="184"/>
      <c r="F602" s="185"/>
      <c r="G602" s="131"/>
    </row>
    <row r="603" ht="15.75" customHeight="1">
      <c r="A603" s="118"/>
      <c r="B603" s="118"/>
      <c r="C603" s="182"/>
      <c r="D603" s="184"/>
      <c r="E603" s="184"/>
      <c r="F603" s="185"/>
      <c r="G603" s="131"/>
    </row>
    <row r="604" ht="15.75" customHeight="1">
      <c r="A604" s="118"/>
      <c r="B604" s="118"/>
      <c r="C604" s="182"/>
      <c r="D604" s="184"/>
      <c r="E604" s="184"/>
      <c r="F604" s="185"/>
      <c r="G604" s="131"/>
    </row>
    <row r="605" ht="15.75" customHeight="1">
      <c r="A605" s="118"/>
      <c r="B605" s="118"/>
      <c r="C605" s="182"/>
      <c r="D605" s="184"/>
      <c r="E605" s="184"/>
      <c r="F605" s="185"/>
      <c r="G605" s="131"/>
    </row>
    <row r="606" ht="15.75" customHeight="1">
      <c r="A606" s="118"/>
      <c r="B606" s="118"/>
      <c r="C606" s="182"/>
      <c r="D606" s="184"/>
      <c r="E606" s="184"/>
      <c r="F606" s="185"/>
      <c r="G606" s="131"/>
    </row>
    <row r="607" ht="15.75" customHeight="1">
      <c r="A607" s="118"/>
      <c r="B607" s="118"/>
      <c r="C607" s="182"/>
      <c r="D607" s="184"/>
      <c r="E607" s="184"/>
      <c r="F607" s="185"/>
      <c r="G607" s="131"/>
    </row>
    <row r="608" ht="15.75" customHeight="1">
      <c r="A608" s="118"/>
      <c r="B608" s="118"/>
      <c r="C608" s="182"/>
      <c r="D608" s="184"/>
      <c r="E608" s="184"/>
      <c r="F608" s="185"/>
      <c r="G608" s="131"/>
    </row>
    <row r="609" ht="15.75" customHeight="1">
      <c r="A609" s="118"/>
      <c r="B609" s="118"/>
      <c r="C609" s="182"/>
      <c r="D609" s="184"/>
      <c r="E609" s="184"/>
      <c r="F609" s="185"/>
      <c r="G609" s="131"/>
    </row>
    <row r="610" ht="15.75" customHeight="1">
      <c r="A610" s="118"/>
      <c r="B610" s="118"/>
      <c r="C610" s="182"/>
      <c r="D610" s="184"/>
      <c r="E610" s="184"/>
      <c r="F610" s="185"/>
      <c r="G610" s="131"/>
    </row>
    <row r="611" ht="15.75" customHeight="1">
      <c r="A611" s="118"/>
      <c r="B611" s="118"/>
      <c r="C611" s="182"/>
      <c r="D611" s="184"/>
      <c r="E611" s="184"/>
      <c r="F611" s="185"/>
      <c r="G611" s="131"/>
    </row>
    <row r="612" ht="15.75" customHeight="1">
      <c r="A612" s="118"/>
      <c r="B612" s="118"/>
      <c r="C612" s="182"/>
      <c r="D612" s="184"/>
      <c r="E612" s="184"/>
      <c r="F612" s="185"/>
      <c r="G612" s="131"/>
    </row>
    <row r="613" ht="15.75" customHeight="1">
      <c r="A613" s="118"/>
      <c r="B613" s="118"/>
      <c r="C613" s="182"/>
      <c r="D613" s="184"/>
      <c r="E613" s="184"/>
      <c r="F613" s="185"/>
      <c r="G613" s="131"/>
    </row>
    <row r="614" ht="15.75" customHeight="1">
      <c r="A614" s="118"/>
      <c r="B614" s="118"/>
      <c r="C614" s="182"/>
      <c r="D614" s="184"/>
      <c r="E614" s="184"/>
      <c r="F614" s="185"/>
      <c r="G614" s="131"/>
    </row>
    <row r="615" ht="15.75" customHeight="1">
      <c r="A615" s="118"/>
      <c r="B615" s="118"/>
      <c r="C615" s="182"/>
      <c r="D615" s="184"/>
      <c r="E615" s="184"/>
      <c r="F615" s="185"/>
      <c r="G615" s="131"/>
    </row>
    <row r="616" ht="15.75" customHeight="1">
      <c r="A616" s="118"/>
      <c r="B616" s="118"/>
      <c r="C616" s="182"/>
      <c r="D616" s="184"/>
      <c r="E616" s="184"/>
      <c r="F616" s="185"/>
      <c r="G616" s="131"/>
    </row>
    <row r="617" ht="15.75" customHeight="1">
      <c r="A617" s="118"/>
      <c r="B617" s="118"/>
      <c r="C617" s="182"/>
      <c r="D617" s="184"/>
      <c r="E617" s="184"/>
      <c r="F617" s="185"/>
      <c r="G617" s="131"/>
    </row>
    <row r="618" ht="15.75" customHeight="1">
      <c r="A618" s="118"/>
      <c r="B618" s="118"/>
      <c r="C618" s="182"/>
      <c r="D618" s="184"/>
      <c r="E618" s="184"/>
      <c r="F618" s="185"/>
      <c r="G618" s="131"/>
    </row>
    <row r="619" ht="15.75" customHeight="1">
      <c r="A619" s="118"/>
      <c r="B619" s="118"/>
      <c r="C619" s="182"/>
      <c r="D619" s="184"/>
      <c r="E619" s="184"/>
      <c r="F619" s="185"/>
      <c r="G619" s="131"/>
    </row>
    <row r="620" ht="15.75" customHeight="1">
      <c r="A620" s="118"/>
      <c r="B620" s="118"/>
      <c r="C620" s="182"/>
      <c r="D620" s="184"/>
      <c r="E620" s="184"/>
      <c r="F620" s="185"/>
      <c r="G620" s="131"/>
    </row>
    <row r="621" ht="15.75" customHeight="1">
      <c r="A621" s="118"/>
      <c r="B621" s="118"/>
      <c r="C621" s="182"/>
      <c r="D621" s="184"/>
      <c r="E621" s="184"/>
      <c r="F621" s="185"/>
      <c r="G621" s="131"/>
    </row>
    <row r="622" ht="15.75" customHeight="1">
      <c r="A622" s="118"/>
      <c r="B622" s="118"/>
      <c r="C622" s="182"/>
      <c r="D622" s="184"/>
      <c r="E622" s="184"/>
      <c r="F622" s="185"/>
      <c r="G622" s="131"/>
    </row>
    <row r="623" ht="15.75" customHeight="1">
      <c r="A623" s="118"/>
      <c r="B623" s="118"/>
      <c r="C623" s="182"/>
      <c r="D623" s="184"/>
      <c r="E623" s="184"/>
      <c r="F623" s="185"/>
      <c r="G623" s="131"/>
    </row>
    <row r="624" ht="15.75" customHeight="1">
      <c r="A624" s="118"/>
      <c r="B624" s="118"/>
      <c r="C624" s="182"/>
      <c r="D624" s="184"/>
      <c r="E624" s="184"/>
      <c r="F624" s="185"/>
      <c r="G624" s="131"/>
    </row>
    <row r="625" ht="15.75" customHeight="1">
      <c r="A625" s="118"/>
      <c r="B625" s="118"/>
      <c r="C625" s="182"/>
      <c r="D625" s="184"/>
      <c r="E625" s="184"/>
      <c r="F625" s="185"/>
      <c r="G625" s="131"/>
    </row>
    <row r="626" ht="15.75" customHeight="1">
      <c r="A626" s="118"/>
      <c r="B626" s="118"/>
      <c r="C626" s="182"/>
      <c r="D626" s="184"/>
      <c r="E626" s="184"/>
      <c r="F626" s="185"/>
      <c r="G626" s="131"/>
    </row>
    <row r="627" ht="15.75" customHeight="1">
      <c r="A627" s="118"/>
      <c r="B627" s="118"/>
      <c r="C627" s="182"/>
      <c r="D627" s="184"/>
      <c r="E627" s="184"/>
      <c r="F627" s="185"/>
      <c r="G627" s="131"/>
    </row>
    <row r="628" ht="15.75" customHeight="1">
      <c r="A628" s="118"/>
      <c r="B628" s="118"/>
      <c r="C628" s="182"/>
      <c r="D628" s="184"/>
      <c r="E628" s="184"/>
      <c r="F628" s="185"/>
      <c r="G628" s="131"/>
    </row>
    <row r="629" ht="15.75" customHeight="1">
      <c r="A629" s="118"/>
      <c r="B629" s="118"/>
      <c r="C629" s="182"/>
      <c r="D629" s="184"/>
      <c r="E629" s="184"/>
      <c r="F629" s="185"/>
      <c r="G629" s="131"/>
    </row>
    <row r="630" ht="15.75" customHeight="1">
      <c r="A630" s="118"/>
      <c r="B630" s="118"/>
      <c r="C630" s="182"/>
      <c r="D630" s="184"/>
      <c r="E630" s="184"/>
      <c r="F630" s="185"/>
      <c r="G630" s="131"/>
    </row>
    <row r="631" ht="15.75" customHeight="1">
      <c r="A631" s="118"/>
      <c r="B631" s="118"/>
      <c r="C631" s="182"/>
      <c r="D631" s="184"/>
      <c r="E631" s="184"/>
      <c r="F631" s="185"/>
      <c r="G631" s="131"/>
    </row>
    <row r="632" ht="15.75" customHeight="1">
      <c r="A632" s="118"/>
      <c r="B632" s="118"/>
      <c r="C632" s="182"/>
      <c r="D632" s="184"/>
      <c r="E632" s="184"/>
      <c r="F632" s="185"/>
      <c r="G632" s="131"/>
    </row>
    <row r="633" ht="15.75" customHeight="1">
      <c r="A633" s="118"/>
      <c r="B633" s="118"/>
      <c r="C633" s="182"/>
      <c r="D633" s="184"/>
      <c r="E633" s="184"/>
      <c r="F633" s="185"/>
      <c r="G633" s="131"/>
    </row>
    <row r="634" ht="15.75" customHeight="1">
      <c r="A634" s="118"/>
      <c r="B634" s="118"/>
      <c r="C634" s="182"/>
      <c r="D634" s="184"/>
      <c r="E634" s="184"/>
      <c r="F634" s="185"/>
      <c r="G634" s="131"/>
    </row>
    <row r="635" ht="15.75" customHeight="1">
      <c r="A635" s="118"/>
      <c r="B635" s="118"/>
      <c r="C635" s="182"/>
      <c r="D635" s="184"/>
      <c r="E635" s="184"/>
      <c r="F635" s="185"/>
      <c r="G635" s="131"/>
    </row>
    <row r="636" ht="15.75" customHeight="1">
      <c r="A636" s="118"/>
      <c r="B636" s="118"/>
      <c r="C636" s="182"/>
      <c r="D636" s="184"/>
      <c r="E636" s="184"/>
      <c r="F636" s="185"/>
      <c r="G636" s="131"/>
    </row>
    <row r="637" ht="15.75" customHeight="1">
      <c r="A637" s="118"/>
      <c r="B637" s="118"/>
      <c r="C637" s="182"/>
      <c r="D637" s="184"/>
      <c r="E637" s="184"/>
      <c r="F637" s="185"/>
      <c r="G637" s="131"/>
    </row>
    <row r="638" ht="15.75" customHeight="1">
      <c r="A638" s="118"/>
      <c r="B638" s="118"/>
      <c r="C638" s="182"/>
      <c r="D638" s="184"/>
      <c r="E638" s="184"/>
      <c r="F638" s="185"/>
      <c r="G638" s="131"/>
    </row>
    <row r="639" ht="15.75" customHeight="1">
      <c r="A639" s="118"/>
      <c r="B639" s="118"/>
      <c r="C639" s="182"/>
      <c r="D639" s="184"/>
      <c r="E639" s="184"/>
      <c r="F639" s="185"/>
      <c r="G639" s="131"/>
    </row>
    <row r="640" ht="15.75" customHeight="1">
      <c r="A640" s="118"/>
      <c r="B640" s="118"/>
      <c r="C640" s="182"/>
      <c r="D640" s="184"/>
      <c r="E640" s="184"/>
      <c r="F640" s="185"/>
      <c r="G640" s="131"/>
    </row>
    <row r="641" ht="15.75" customHeight="1">
      <c r="A641" s="118"/>
      <c r="B641" s="118"/>
      <c r="C641" s="182"/>
      <c r="D641" s="184"/>
      <c r="E641" s="184"/>
      <c r="F641" s="185"/>
      <c r="G641" s="131"/>
    </row>
    <row r="642" ht="15.75" customHeight="1">
      <c r="A642" s="118"/>
      <c r="B642" s="118"/>
      <c r="C642" s="182"/>
      <c r="D642" s="184"/>
      <c r="E642" s="184"/>
      <c r="F642" s="185"/>
      <c r="G642" s="131"/>
    </row>
    <row r="643" ht="15.75" customHeight="1">
      <c r="A643" s="118"/>
      <c r="B643" s="118"/>
      <c r="C643" s="182"/>
      <c r="D643" s="184"/>
      <c r="E643" s="184"/>
      <c r="F643" s="185"/>
      <c r="G643" s="131"/>
    </row>
    <row r="644" ht="15.75" customHeight="1">
      <c r="A644" s="118"/>
      <c r="B644" s="118"/>
      <c r="C644" s="182"/>
      <c r="D644" s="184"/>
      <c r="E644" s="184"/>
      <c r="F644" s="185"/>
      <c r="G644" s="131"/>
    </row>
    <row r="645" ht="15.75" customHeight="1">
      <c r="A645" s="118"/>
      <c r="B645" s="118"/>
      <c r="C645" s="182"/>
      <c r="D645" s="184"/>
      <c r="E645" s="184"/>
      <c r="F645" s="185"/>
      <c r="G645" s="131"/>
    </row>
    <row r="646" ht="15.75" customHeight="1">
      <c r="A646" s="118"/>
      <c r="B646" s="118"/>
      <c r="C646" s="182"/>
      <c r="D646" s="184"/>
      <c r="E646" s="184"/>
      <c r="F646" s="185"/>
      <c r="G646" s="131"/>
    </row>
    <row r="647" ht="15.75" customHeight="1">
      <c r="A647" s="118"/>
      <c r="B647" s="118"/>
      <c r="C647" s="182"/>
      <c r="D647" s="184"/>
      <c r="E647" s="184"/>
      <c r="F647" s="185"/>
      <c r="G647" s="131"/>
    </row>
    <row r="648" ht="15.75" customHeight="1">
      <c r="A648" s="118"/>
      <c r="B648" s="118"/>
      <c r="C648" s="182"/>
      <c r="D648" s="184"/>
      <c r="E648" s="184"/>
      <c r="F648" s="185"/>
      <c r="G648" s="131"/>
    </row>
    <row r="649" ht="15.75" customHeight="1">
      <c r="A649" s="118"/>
      <c r="B649" s="118"/>
      <c r="C649" s="182"/>
      <c r="D649" s="184"/>
      <c r="E649" s="184"/>
      <c r="F649" s="185"/>
      <c r="G649" s="131"/>
    </row>
    <row r="650" ht="15.75" customHeight="1">
      <c r="A650" s="118"/>
      <c r="B650" s="118"/>
      <c r="C650" s="182"/>
      <c r="D650" s="184"/>
      <c r="E650" s="184"/>
      <c r="F650" s="185"/>
      <c r="G650" s="131"/>
    </row>
    <row r="651" ht="15.75" customHeight="1">
      <c r="A651" s="118"/>
      <c r="B651" s="118"/>
      <c r="C651" s="182"/>
      <c r="D651" s="184"/>
      <c r="E651" s="184"/>
      <c r="F651" s="185"/>
      <c r="G651" s="131"/>
    </row>
    <row r="652" ht="15.75" customHeight="1">
      <c r="A652" s="118"/>
      <c r="B652" s="118"/>
      <c r="C652" s="182"/>
      <c r="D652" s="184"/>
      <c r="E652" s="184"/>
      <c r="F652" s="185"/>
      <c r="G652" s="131"/>
    </row>
    <row r="653" ht="15.75" customHeight="1">
      <c r="A653" s="118"/>
      <c r="B653" s="118"/>
      <c r="C653" s="182"/>
      <c r="D653" s="184"/>
      <c r="E653" s="184"/>
      <c r="F653" s="185"/>
      <c r="G653" s="131"/>
    </row>
    <row r="654" ht="15.75" customHeight="1">
      <c r="A654" s="118"/>
      <c r="B654" s="118"/>
      <c r="C654" s="182"/>
      <c r="D654" s="184"/>
      <c r="E654" s="184"/>
      <c r="F654" s="185"/>
      <c r="G654" s="131"/>
    </row>
    <row r="655" ht="15.75" customHeight="1">
      <c r="A655" s="118"/>
      <c r="B655" s="118"/>
      <c r="C655" s="182"/>
      <c r="D655" s="184"/>
      <c r="E655" s="184"/>
      <c r="F655" s="185"/>
      <c r="G655" s="131"/>
    </row>
    <row r="656" ht="15.75" customHeight="1">
      <c r="A656" s="118"/>
      <c r="B656" s="118"/>
      <c r="C656" s="182"/>
      <c r="D656" s="184"/>
      <c r="E656" s="184"/>
      <c r="F656" s="185"/>
      <c r="G656" s="131"/>
    </row>
    <row r="657" ht="15.75" customHeight="1">
      <c r="A657" s="118"/>
      <c r="B657" s="118"/>
      <c r="C657" s="182"/>
      <c r="D657" s="184"/>
      <c r="E657" s="184"/>
      <c r="F657" s="185"/>
      <c r="G657" s="131"/>
    </row>
    <row r="658" ht="15.75" customHeight="1">
      <c r="A658" s="118"/>
      <c r="B658" s="118"/>
      <c r="C658" s="182"/>
      <c r="D658" s="184"/>
      <c r="E658" s="184"/>
      <c r="F658" s="185"/>
      <c r="G658" s="131"/>
    </row>
    <row r="659" ht="15.75" customHeight="1">
      <c r="A659" s="118"/>
      <c r="B659" s="118"/>
      <c r="C659" s="182"/>
      <c r="D659" s="184"/>
      <c r="E659" s="184"/>
      <c r="F659" s="185"/>
      <c r="G659" s="131"/>
    </row>
    <row r="660" ht="15.75" customHeight="1">
      <c r="A660" s="118"/>
      <c r="B660" s="118"/>
      <c r="C660" s="182"/>
      <c r="D660" s="184"/>
      <c r="E660" s="184"/>
      <c r="F660" s="185"/>
      <c r="G660" s="131"/>
    </row>
    <row r="661" ht="15.75" customHeight="1">
      <c r="A661" s="118"/>
      <c r="B661" s="118"/>
      <c r="C661" s="182"/>
      <c r="D661" s="184"/>
      <c r="E661" s="184"/>
      <c r="F661" s="185"/>
      <c r="G661" s="131"/>
    </row>
    <row r="662" ht="15.75" customHeight="1">
      <c r="A662" s="118"/>
      <c r="B662" s="118"/>
      <c r="C662" s="182"/>
      <c r="D662" s="184"/>
      <c r="E662" s="184"/>
      <c r="F662" s="185"/>
      <c r="G662" s="131"/>
    </row>
    <row r="663" ht="15.75" customHeight="1">
      <c r="A663" s="118"/>
      <c r="B663" s="118"/>
      <c r="C663" s="182"/>
      <c r="D663" s="184"/>
      <c r="E663" s="184"/>
      <c r="F663" s="185"/>
      <c r="G663" s="131"/>
    </row>
    <row r="664" ht="15.75" customHeight="1">
      <c r="A664" s="118"/>
      <c r="B664" s="118"/>
      <c r="C664" s="182"/>
      <c r="D664" s="184"/>
      <c r="E664" s="184"/>
      <c r="F664" s="185"/>
      <c r="G664" s="131"/>
    </row>
    <row r="665" ht="15.75" customHeight="1">
      <c r="A665" s="118"/>
      <c r="B665" s="118"/>
      <c r="C665" s="182"/>
      <c r="D665" s="184"/>
      <c r="E665" s="184"/>
      <c r="F665" s="185"/>
      <c r="G665" s="131"/>
    </row>
    <row r="666" ht="15.75" customHeight="1">
      <c r="A666" s="118"/>
      <c r="B666" s="118"/>
      <c r="C666" s="182"/>
      <c r="D666" s="184"/>
      <c r="E666" s="184"/>
      <c r="F666" s="185"/>
      <c r="G666" s="131"/>
    </row>
    <row r="667" ht="15.75" customHeight="1">
      <c r="A667" s="118"/>
      <c r="B667" s="118"/>
      <c r="C667" s="182"/>
      <c r="D667" s="184"/>
      <c r="E667" s="184"/>
      <c r="F667" s="185"/>
      <c r="G667" s="131"/>
    </row>
    <row r="668" ht="15.75" customHeight="1">
      <c r="A668" s="118"/>
      <c r="B668" s="118"/>
      <c r="C668" s="182"/>
      <c r="D668" s="184"/>
      <c r="E668" s="184"/>
      <c r="F668" s="185"/>
      <c r="G668" s="131"/>
    </row>
    <row r="669" ht="15.75" customHeight="1">
      <c r="A669" s="118"/>
      <c r="B669" s="118"/>
      <c r="C669" s="182"/>
      <c r="D669" s="184"/>
      <c r="E669" s="184"/>
      <c r="F669" s="185"/>
      <c r="G669" s="131"/>
    </row>
    <row r="670" ht="15.75" customHeight="1">
      <c r="A670" s="118"/>
      <c r="B670" s="118"/>
      <c r="C670" s="182"/>
      <c r="D670" s="184"/>
      <c r="E670" s="184"/>
      <c r="F670" s="185"/>
      <c r="G670" s="131"/>
    </row>
    <row r="671" ht="15.75" customHeight="1">
      <c r="A671" s="118"/>
      <c r="B671" s="118"/>
      <c r="C671" s="182"/>
      <c r="D671" s="184"/>
      <c r="E671" s="184"/>
      <c r="F671" s="185"/>
      <c r="G671" s="131"/>
    </row>
    <row r="672" ht="15.75" customHeight="1">
      <c r="A672" s="118"/>
      <c r="B672" s="118"/>
      <c r="C672" s="182"/>
      <c r="D672" s="184"/>
      <c r="E672" s="184"/>
      <c r="F672" s="185"/>
      <c r="G672" s="131"/>
    </row>
    <row r="673" ht="15.75" customHeight="1">
      <c r="A673" s="118"/>
      <c r="B673" s="118"/>
      <c r="C673" s="182"/>
      <c r="D673" s="184"/>
      <c r="E673" s="184"/>
      <c r="F673" s="185"/>
      <c r="G673" s="131"/>
    </row>
    <row r="674" ht="15.75" customHeight="1">
      <c r="A674" s="118"/>
      <c r="B674" s="118"/>
      <c r="C674" s="182"/>
      <c r="D674" s="184"/>
      <c r="E674" s="184"/>
      <c r="F674" s="185"/>
      <c r="G674" s="131"/>
    </row>
    <row r="675" ht="15.75" customHeight="1">
      <c r="A675" s="118"/>
      <c r="B675" s="118"/>
      <c r="C675" s="182"/>
      <c r="D675" s="184"/>
      <c r="E675" s="184"/>
      <c r="F675" s="185"/>
      <c r="G675" s="131"/>
    </row>
    <row r="676" ht="15.75" customHeight="1">
      <c r="A676" s="118"/>
      <c r="B676" s="118"/>
      <c r="C676" s="182"/>
      <c r="D676" s="184"/>
      <c r="E676" s="184"/>
      <c r="F676" s="185"/>
      <c r="G676" s="131"/>
    </row>
    <row r="677" ht="15.75" customHeight="1">
      <c r="A677" s="118"/>
      <c r="B677" s="118"/>
      <c r="C677" s="182"/>
      <c r="D677" s="184"/>
      <c r="E677" s="184"/>
      <c r="F677" s="185"/>
      <c r="G677" s="131"/>
    </row>
    <row r="678" ht="15.75" customHeight="1">
      <c r="A678" s="118"/>
      <c r="B678" s="118"/>
      <c r="C678" s="182"/>
      <c r="D678" s="184"/>
      <c r="E678" s="184"/>
      <c r="F678" s="185"/>
      <c r="G678" s="131"/>
    </row>
    <row r="679" ht="15.75" customHeight="1">
      <c r="A679" s="118"/>
      <c r="B679" s="118"/>
      <c r="C679" s="182"/>
      <c r="D679" s="184"/>
      <c r="E679" s="184"/>
      <c r="F679" s="185"/>
      <c r="G679" s="131"/>
    </row>
    <row r="680" ht="15.75" customHeight="1">
      <c r="A680" s="118"/>
      <c r="B680" s="118"/>
      <c r="C680" s="182"/>
      <c r="D680" s="184"/>
      <c r="E680" s="184"/>
      <c r="F680" s="185"/>
      <c r="G680" s="131"/>
    </row>
    <row r="681" ht="15.75" customHeight="1">
      <c r="A681" s="118"/>
      <c r="B681" s="118"/>
      <c r="C681" s="182"/>
      <c r="D681" s="184"/>
      <c r="E681" s="184"/>
      <c r="F681" s="185"/>
      <c r="G681" s="131"/>
    </row>
    <row r="682" ht="15.75" customHeight="1">
      <c r="A682" s="118"/>
      <c r="B682" s="118"/>
      <c r="C682" s="182"/>
      <c r="D682" s="184"/>
      <c r="E682" s="184"/>
      <c r="F682" s="185"/>
      <c r="G682" s="131"/>
    </row>
    <row r="683" ht="15.75" customHeight="1">
      <c r="A683" s="118"/>
      <c r="B683" s="118"/>
      <c r="C683" s="182"/>
      <c r="D683" s="184"/>
      <c r="E683" s="184"/>
      <c r="F683" s="185"/>
      <c r="G683" s="131"/>
    </row>
    <row r="684" ht="15.75" customHeight="1">
      <c r="A684" s="118"/>
      <c r="B684" s="118"/>
      <c r="C684" s="182"/>
      <c r="D684" s="184"/>
      <c r="E684" s="184"/>
      <c r="F684" s="185"/>
      <c r="G684" s="131"/>
    </row>
    <row r="685" ht="15.75" customHeight="1">
      <c r="A685" s="118"/>
      <c r="B685" s="118"/>
      <c r="C685" s="182"/>
      <c r="D685" s="184"/>
      <c r="E685" s="184"/>
      <c r="F685" s="185"/>
      <c r="G685" s="131"/>
    </row>
    <row r="686" ht="15.75" customHeight="1">
      <c r="A686" s="118"/>
      <c r="B686" s="118"/>
      <c r="C686" s="182"/>
      <c r="D686" s="184"/>
      <c r="E686" s="184"/>
      <c r="F686" s="185"/>
      <c r="G686" s="131"/>
    </row>
    <row r="687" ht="15.75" customHeight="1">
      <c r="A687" s="118"/>
      <c r="B687" s="118"/>
      <c r="C687" s="182"/>
      <c r="D687" s="184"/>
      <c r="E687" s="184"/>
      <c r="F687" s="185"/>
      <c r="G687" s="131"/>
    </row>
    <row r="688" ht="15.75" customHeight="1">
      <c r="A688" s="118"/>
      <c r="B688" s="118"/>
      <c r="C688" s="182"/>
      <c r="D688" s="184"/>
      <c r="E688" s="184"/>
      <c r="F688" s="185"/>
      <c r="G688" s="131"/>
    </row>
    <row r="689" ht="15.75" customHeight="1">
      <c r="A689" s="118"/>
      <c r="B689" s="118"/>
      <c r="C689" s="182"/>
      <c r="D689" s="184"/>
      <c r="E689" s="184"/>
      <c r="F689" s="185"/>
      <c r="G689" s="131"/>
    </row>
    <row r="690" ht="15.75" customHeight="1">
      <c r="A690" s="118"/>
      <c r="B690" s="118"/>
      <c r="C690" s="182"/>
      <c r="D690" s="184"/>
      <c r="E690" s="184"/>
      <c r="F690" s="185"/>
      <c r="G690" s="131"/>
    </row>
    <row r="691" ht="15.75" customHeight="1">
      <c r="A691" s="118"/>
      <c r="B691" s="118"/>
      <c r="C691" s="182"/>
      <c r="D691" s="184"/>
      <c r="E691" s="184"/>
      <c r="F691" s="185"/>
      <c r="G691" s="131"/>
    </row>
    <row r="692" ht="15.75" customHeight="1">
      <c r="A692" s="118"/>
      <c r="B692" s="118"/>
      <c r="C692" s="182"/>
      <c r="D692" s="184"/>
      <c r="E692" s="184"/>
      <c r="F692" s="185"/>
      <c r="G692" s="131"/>
    </row>
    <row r="693" ht="15.75" customHeight="1">
      <c r="A693" s="118"/>
      <c r="B693" s="118"/>
      <c r="C693" s="182"/>
      <c r="D693" s="184"/>
      <c r="E693" s="184"/>
      <c r="F693" s="185"/>
      <c r="G693" s="131"/>
    </row>
    <row r="694" ht="15.75" customHeight="1">
      <c r="A694" s="118"/>
      <c r="B694" s="118"/>
      <c r="C694" s="182"/>
      <c r="D694" s="184"/>
      <c r="E694" s="184"/>
      <c r="F694" s="185"/>
      <c r="G694" s="131"/>
    </row>
    <row r="695" ht="15.75" customHeight="1">
      <c r="A695" s="118"/>
      <c r="B695" s="118"/>
      <c r="C695" s="182"/>
      <c r="D695" s="184"/>
      <c r="E695" s="184"/>
      <c r="F695" s="185"/>
      <c r="G695" s="131"/>
    </row>
    <row r="696" ht="15.75" customHeight="1">
      <c r="A696" s="118"/>
      <c r="B696" s="118"/>
      <c r="C696" s="182"/>
      <c r="D696" s="184"/>
      <c r="E696" s="184"/>
      <c r="F696" s="185"/>
      <c r="G696" s="131"/>
    </row>
    <row r="697" ht="15.75" customHeight="1">
      <c r="A697" s="118"/>
      <c r="B697" s="118"/>
      <c r="C697" s="182"/>
      <c r="D697" s="184"/>
      <c r="E697" s="184"/>
      <c r="F697" s="185"/>
      <c r="G697" s="131"/>
    </row>
    <row r="698" ht="15.75" customHeight="1">
      <c r="A698" s="118"/>
      <c r="B698" s="118"/>
      <c r="C698" s="182"/>
      <c r="D698" s="184"/>
      <c r="E698" s="184"/>
      <c r="F698" s="185"/>
      <c r="G698" s="131"/>
    </row>
    <row r="699" ht="15.75" customHeight="1">
      <c r="A699" s="118"/>
      <c r="B699" s="118"/>
      <c r="C699" s="182"/>
      <c r="D699" s="184"/>
      <c r="E699" s="184"/>
      <c r="F699" s="185"/>
      <c r="G699" s="131"/>
    </row>
    <row r="700" ht="15.75" customHeight="1">
      <c r="A700" s="118"/>
      <c r="B700" s="118"/>
      <c r="C700" s="182"/>
      <c r="D700" s="184"/>
      <c r="E700" s="184"/>
      <c r="F700" s="185"/>
      <c r="G700" s="131"/>
    </row>
    <row r="701" ht="15.75" customHeight="1">
      <c r="A701" s="118"/>
      <c r="B701" s="118"/>
      <c r="C701" s="182"/>
      <c r="D701" s="184"/>
      <c r="E701" s="184"/>
      <c r="F701" s="185"/>
      <c r="G701" s="131"/>
    </row>
    <row r="702" ht="15.75" customHeight="1">
      <c r="A702" s="118"/>
      <c r="B702" s="118"/>
      <c r="C702" s="182"/>
      <c r="D702" s="184"/>
      <c r="E702" s="184"/>
      <c r="F702" s="185"/>
      <c r="G702" s="131"/>
    </row>
    <row r="703" ht="15.75" customHeight="1">
      <c r="A703" s="118"/>
      <c r="B703" s="118"/>
      <c r="C703" s="182"/>
      <c r="D703" s="184"/>
      <c r="E703" s="184"/>
      <c r="F703" s="185"/>
      <c r="G703" s="131"/>
    </row>
    <row r="704" ht="15.75" customHeight="1">
      <c r="A704" s="118"/>
      <c r="B704" s="118"/>
      <c r="C704" s="182"/>
      <c r="D704" s="184"/>
      <c r="E704" s="184"/>
      <c r="F704" s="185"/>
      <c r="G704" s="131"/>
    </row>
    <row r="705" ht="15.75" customHeight="1">
      <c r="A705" s="118"/>
      <c r="B705" s="118"/>
      <c r="C705" s="182"/>
      <c r="D705" s="184"/>
      <c r="E705" s="184"/>
      <c r="F705" s="185"/>
      <c r="G705" s="131"/>
    </row>
    <row r="706" ht="15.75" customHeight="1">
      <c r="A706" s="118"/>
      <c r="B706" s="118"/>
      <c r="C706" s="182"/>
      <c r="D706" s="184"/>
      <c r="E706" s="184"/>
      <c r="F706" s="185"/>
      <c r="G706" s="131"/>
    </row>
    <row r="707" ht="15.75" customHeight="1">
      <c r="A707" s="118"/>
      <c r="B707" s="118"/>
      <c r="C707" s="182"/>
      <c r="D707" s="184"/>
      <c r="E707" s="184"/>
      <c r="F707" s="185"/>
      <c r="G707" s="131"/>
    </row>
    <row r="708" ht="15.75" customHeight="1">
      <c r="A708" s="118"/>
      <c r="B708" s="118"/>
      <c r="C708" s="182"/>
      <c r="D708" s="184"/>
      <c r="E708" s="184"/>
      <c r="F708" s="185"/>
      <c r="G708" s="131"/>
    </row>
    <row r="709" ht="15.75" customHeight="1">
      <c r="A709" s="118"/>
      <c r="B709" s="118"/>
      <c r="C709" s="182"/>
      <c r="D709" s="184"/>
      <c r="E709" s="184"/>
      <c r="F709" s="185"/>
      <c r="G709" s="131"/>
    </row>
    <row r="710" ht="15.75" customHeight="1">
      <c r="A710" s="118"/>
      <c r="B710" s="118"/>
      <c r="C710" s="182"/>
      <c r="D710" s="184"/>
      <c r="E710" s="184"/>
      <c r="F710" s="185"/>
      <c r="G710" s="131"/>
    </row>
    <row r="711" ht="15.75" customHeight="1">
      <c r="A711" s="118"/>
      <c r="B711" s="118"/>
      <c r="C711" s="182"/>
      <c r="D711" s="184"/>
      <c r="E711" s="184"/>
      <c r="F711" s="185"/>
      <c r="G711" s="131"/>
    </row>
    <row r="712" ht="15.75" customHeight="1">
      <c r="A712" s="118"/>
      <c r="B712" s="118"/>
      <c r="C712" s="182"/>
      <c r="D712" s="184"/>
      <c r="E712" s="184"/>
      <c r="F712" s="185"/>
      <c r="G712" s="131"/>
    </row>
    <row r="713" ht="15.75" customHeight="1">
      <c r="A713" s="118"/>
      <c r="B713" s="118"/>
      <c r="C713" s="182"/>
      <c r="D713" s="184"/>
      <c r="E713" s="184"/>
      <c r="F713" s="185"/>
      <c r="G713" s="131"/>
    </row>
    <row r="714" ht="15.75" customHeight="1">
      <c r="A714" s="118"/>
      <c r="B714" s="118"/>
      <c r="C714" s="182"/>
      <c r="D714" s="184"/>
      <c r="E714" s="184"/>
      <c r="F714" s="185"/>
      <c r="G714" s="131"/>
    </row>
    <row r="715" ht="15.75" customHeight="1">
      <c r="A715" s="118"/>
      <c r="B715" s="118"/>
      <c r="C715" s="182"/>
      <c r="D715" s="184"/>
      <c r="E715" s="184"/>
      <c r="F715" s="185"/>
      <c r="G715" s="131"/>
    </row>
    <row r="716" ht="15.75" customHeight="1">
      <c r="A716" s="118"/>
      <c r="B716" s="118"/>
      <c r="C716" s="182"/>
      <c r="D716" s="184"/>
      <c r="E716" s="184"/>
      <c r="F716" s="185"/>
      <c r="G716" s="131"/>
    </row>
    <row r="717" ht="15.75" customHeight="1">
      <c r="A717" s="118"/>
      <c r="B717" s="118"/>
      <c r="C717" s="182"/>
      <c r="D717" s="184"/>
      <c r="E717" s="184"/>
      <c r="F717" s="185"/>
      <c r="G717" s="131"/>
    </row>
    <row r="718" ht="15.75" customHeight="1">
      <c r="A718" s="118"/>
      <c r="B718" s="118"/>
      <c r="C718" s="182"/>
      <c r="D718" s="184"/>
      <c r="E718" s="184"/>
      <c r="F718" s="185"/>
      <c r="G718" s="131"/>
    </row>
    <row r="719" ht="15.75" customHeight="1">
      <c r="A719" s="118"/>
      <c r="B719" s="118"/>
      <c r="C719" s="182"/>
      <c r="D719" s="184"/>
      <c r="E719" s="184"/>
      <c r="F719" s="185"/>
      <c r="G719" s="131"/>
    </row>
    <row r="720" ht="15.75" customHeight="1">
      <c r="A720" s="118"/>
      <c r="B720" s="118"/>
      <c r="C720" s="182"/>
      <c r="D720" s="184"/>
      <c r="E720" s="184"/>
      <c r="F720" s="185"/>
      <c r="G720" s="131"/>
    </row>
    <row r="721" ht="15.75" customHeight="1">
      <c r="A721" s="118"/>
      <c r="B721" s="118"/>
      <c r="C721" s="182"/>
      <c r="D721" s="184"/>
      <c r="E721" s="184"/>
      <c r="F721" s="185"/>
      <c r="G721" s="131"/>
    </row>
    <row r="722" ht="15.75" customHeight="1">
      <c r="A722" s="118"/>
      <c r="B722" s="118"/>
      <c r="C722" s="182"/>
      <c r="D722" s="184"/>
      <c r="E722" s="184"/>
      <c r="F722" s="185"/>
      <c r="G722" s="131"/>
    </row>
    <row r="723" ht="15.75" customHeight="1">
      <c r="A723" s="118"/>
      <c r="B723" s="118"/>
      <c r="C723" s="182"/>
      <c r="D723" s="184"/>
      <c r="E723" s="184"/>
      <c r="F723" s="185"/>
      <c r="G723" s="131"/>
    </row>
    <row r="724" ht="15.75" customHeight="1">
      <c r="A724" s="118"/>
      <c r="B724" s="118"/>
      <c r="C724" s="182"/>
      <c r="D724" s="184"/>
      <c r="E724" s="184"/>
      <c r="F724" s="185"/>
      <c r="G724" s="131"/>
    </row>
    <row r="725" ht="15.75" customHeight="1">
      <c r="A725" s="118"/>
      <c r="B725" s="118"/>
      <c r="C725" s="182"/>
      <c r="D725" s="184"/>
      <c r="E725" s="184"/>
      <c r="F725" s="185"/>
      <c r="G725" s="131"/>
    </row>
    <row r="726" ht="15.75" customHeight="1">
      <c r="A726" s="118"/>
      <c r="B726" s="118"/>
      <c r="C726" s="182"/>
      <c r="D726" s="184"/>
      <c r="E726" s="184"/>
      <c r="F726" s="185"/>
      <c r="G726" s="131"/>
    </row>
    <row r="727" ht="15.75" customHeight="1">
      <c r="A727" s="118"/>
      <c r="B727" s="118"/>
      <c r="C727" s="182"/>
      <c r="D727" s="184"/>
      <c r="E727" s="184"/>
      <c r="F727" s="185"/>
      <c r="G727" s="131"/>
    </row>
    <row r="728" ht="15.75" customHeight="1">
      <c r="A728" s="118"/>
      <c r="B728" s="118"/>
      <c r="C728" s="182"/>
      <c r="D728" s="184"/>
      <c r="E728" s="184"/>
      <c r="F728" s="185"/>
      <c r="G728" s="131"/>
    </row>
    <row r="729" ht="15.75" customHeight="1">
      <c r="A729" s="118"/>
      <c r="B729" s="118"/>
      <c r="C729" s="182"/>
      <c r="D729" s="184"/>
      <c r="E729" s="184"/>
      <c r="F729" s="185"/>
      <c r="G729" s="131"/>
    </row>
    <row r="730" ht="15.75" customHeight="1">
      <c r="A730" s="118"/>
      <c r="B730" s="118"/>
      <c r="C730" s="182"/>
      <c r="D730" s="184"/>
      <c r="E730" s="184"/>
      <c r="F730" s="185"/>
      <c r="G730" s="131"/>
    </row>
    <row r="731" ht="15.75" customHeight="1">
      <c r="A731" s="118"/>
      <c r="B731" s="118"/>
      <c r="C731" s="182"/>
      <c r="D731" s="184"/>
      <c r="E731" s="184"/>
      <c r="F731" s="185"/>
      <c r="G731" s="131"/>
    </row>
    <row r="732" ht="15.75" customHeight="1">
      <c r="A732" s="118"/>
      <c r="B732" s="118"/>
      <c r="C732" s="182"/>
      <c r="D732" s="184"/>
      <c r="E732" s="184"/>
      <c r="F732" s="185"/>
      <c r="G732" s="131"/>
    </row>
    <row r="733" ht="15.75" customHeight="1">
      <c r="A733" s="118"/>
      <c r="B733" s="118"/>
      <c r="C733" s="182"/>
      <c r="D733" s="184"/>
      <c r="E733" s="184"/>
      <c r="F733" s="185"/>
      <c r="G733" s="131"/>
    </row>
    <row r="734" ht="15.75" customHeight="1">
      <c r="A734" s="118"/>
      <c r="B734" s="118"/>
      <c r="C734" s="182"/>
      <c r="D734" s="184"/>
      <c r="E734" s="184"/>
      <c r="F734" s="185"/>
      <c r="G734" s="131"/>
    </row>
    <row r="735" ht="15.75" customHeight="1">
      <c r="A735" s="118"/>
      <c r="B735" s="118"/>
      <c r="C735" s="182"/>
      <c r="D735" s="184"/>
      <c r="E735" s="184"/>
      <c r="F735" s="185"/>
      <c r="G735" s="131"/>
    </row>
    <row r="736" ht="15.75" customHeight="1">
      <c r="A736" s="118"/>
      <c r="B736" s="118"/>
      <c r="C736" s="182"/>
      <c r="D736" s="184"/>
      <c r="E736" s="184"/>
      <c r="F736" s="185"/>
      <c r="G736" s="131"/>
    </row>
    <row r="737" ht="15.75" customHeight="1">
      <c r="A737" s="118"/>
      <c r="B737" s="118"/>
      <c r="C737" s="182"/>
      <c r="D737" s="184"/>
      <c r="E737" s="184"/>
      <c r="F737" s="185"/>
      <c r="G737" s="131"/>
    </row>
    <row r="738" ht="15.75" customHeight="1">
      <c r="A738" s="118"/>
      <c r="B738" s="118"/>
      <c r="C738" s="182"/>
      <c r="D738" s="184"/>
      <c r="E738" s="184"/>
      <c r="F738" s="185"/>
      <c r="G738" s="131"/>
    </row>
    <row r="739" ht="15.75" customHeight="1">
      <c r="A739" s="118"/>
      <c r="B739" s="118"/>
      <c r="C739" s="182"/>
      <c r="D739" s="184"/>
      <c r="E739" s="184"/>
      <c r="F739" s="185"/>
      <c r="G739" s="131"/>
    </row>
    <row r="740" ht="15.75" customHeight="1">
      <c r="A740" s="118"/>
      <c r="B740" s="118"/>
      <c r="C740" s="182"/>
      <c r="D740" s="184"/>
      <c r="E740" s="184"/>
      <c r="F740" s="185"/>
      <c r="G740" s="131"/>
    </row>
    <row r="741" ht="15.75" customHeight="1">
      <c r="A741" s="118"/>
      <c r="B741" s="118"/>
      <c r="C741" s="182"/>
      <c r="D741" s="184"/>
      <c r="E741" s="184"/>
      <c r="F741" s="185"/>
      <c r="G741" s="131"/>
    </row>
    <row r="742" ht="15.75" customHeight="1">
      <c r="A742" s="118"/>
      <c r="B742" s="118"/>
      <c r="C742" s="182"/>
      <c r="D742" s="184"/>
      <c r="E742" s="184"/>
      <c r="F742" s="185"/>
      <c r="G742" s="131"/>
    </row>
    <row r="743" ht="15.75" customHeight="1">
      <c r="A743" s="118"/>
      <c r="B743" s="118"/>
      <c r="C743" s="182"/>
      <c r="D743" s="184"/>
      <c r="E743" s="184"/>
      <c r="F743" s="185"/>
      <c r="G743" s="131"/>
    </row>
    <row r="744" ht="15.75" customHeight="1">
      <c r="A744" s="118"/>
      <c r="B744" s="118"/>
      <c r="C744" s="182"/>
      <c r="D744" s="184"/>
      <c r="E744" s="184"/>
      <c r="F744" s="185"/>
      <c r="G744" s="131"/>
    </row>
    <row r="745" ht="15.75" customHeight="1">
      <c r="A745" s="118"/>
      <c r="B745" s="118"/>
      <c r="C745" s="182"/>
      <c r="D745" s="184"/>
      <c r="E745" s="184"/>
      <c r="F745" s="185"/>
      <c r="G745" s="131"/>
    </row>
    <row r="746" ht="15.75" customHeight="1">
      <c r="A746" s="118"/>
      <c r="B746" s="118"/>
      <c r="C746" s="182"/>
      <c r="D746" s="184"/>
      <c r="E746" s="184"/>
      <c r="F746" s="185"/>
      <c r="G746" s="131"/>
    </row>
    <row r="747" ht="15.75" customHeight="1">
      <c r="A747" s="118"/>
      <c r="B747" s="118"/>
      <c r="C747" s="182"/>
      <c r="D747" s="184"/>
      <c r="E747" s="184"/>
      <c r="F747" s="185"/>
      <c r="G747" s="131"/>
    </row>
    <row r="748" ht="15.75" customHeight="1">
      <c r="A748" s="118"/>
      <c r="B748" s="118"/>
      <c r="C748" s="182"/>
      <c r="D748" s="184"/>
      <c r="E748" s="184"/>
      <c r="F748" s="185"/>
      <c r="G748" s="131"/>
    </row>
    <row r="749" ht="15.75" customHeight="1">
      <c r="A749" s="118"/>
      <c r="B749" s="118"/>
      <c r="C749" s="182"/>
      <c r="D749" s="184"/>
      <c r="E749" s="184"/>
      <c r="F749" s="185"/>
      <c r="G749" s="131"/>
    </row>
    <row r="750" ht="15.75" customHeight="1">
      <c r="A750" s="118"/>
      <c r="B750" s="118"/>
      <c r="C750" s="182"/>
      <c r="D750" s="184"/>
      <c r="E750" s="184"/>
      <c r="F750" s="185"/>
      <c r="G750" s="131"/>
    </row>
    <row r="751" ht="15.75" customHeight="1">
      <c r="A751" s="118"/>
      <c r="B751" s="118"/>
      <c r="C751" s="182"/>
      <c r="D751" s="184"/>
      <c r="E751" s="184"/>
      <c r="F751" s="185"/>
      <c r="G751" s="131"/>
    </row>
    <row r="752" ht="15.75" customHeight="1">
      <c r="A752" s="118"/>
      <c r="B752" s="118"/>
      <c r="C752" s="182"/>
      <c r="D752" s="184"/>
      <c r="E752" s="184"/>
      <c r="F752" s="185"/>
      <c r="G752" s="131"/>
    </row>
    <row r="753" ht="15.75" customHeight="1">
      <c r="A753" s="118"/>
      <c r="B753" s="118"/>
      <c r="C753" s="182"/>
      <c r="D753" s="184"/>
      <c r="E753" s="184"/>
      <c r="F753" s="185"/>
      <c r="G753" s="131"/>
    </row>
    <row r="754" ht="15.75" customHeight="1">
      <c r="A754" s="118"/>
      <c r="B754" s="118"/>
      <c r="C754" s="182"/>
      <c r="D754" s="184"/>
      <c r="E754" s="184"/>
      <c r="F754" s="185"/>
      <c r="G754" s="131"/>
    </row>
    <row r="755" ht="15.75" customHeight="1">
      <c r="A755" s="118"/>
      <c r="B755" s="118"/>
      <c r="C755" s="182"/>
      <c r="D755" s="184"/>
      <c r="E755" s="184"/>
      <c r="F755" s="185"/>
      <c r="G755" s="131"/>
    </row>
    <row r="756" ht="15.75" customHeight="1">
      <c r="A756" s="118"/>
      <c r="B756" s="118"/>
      <c r="C756" s="182"/>
      <c r="D756" s="184"/>
      <c r="E756" s="184"/>
      <c r="F756" s="185"/>
      <c r="G756" s="131"/>
    </row>
    <row r="757" ht="15.75" customHeight="1">
      <c r="A757" s="118"/>
      <c r="B757" s="118"/>
      <c r="C757" s="182"/>
      <c r="D757" s="184"/>
      <c r="E757" s="184"/>
      <c r="F757" s="185"/>
      <c r="G757" s="131"/>
    </row>
    <row r="758" ht="15.75" customHeight="1">
      <c r="A758" s="118"/>
      <c r="B758" s="118"/>
      <c r="C758" s="182"/>
      <c r="D758" s="184"/>
      <c r="E758" s="184"/>
      <c r="F758" s="185"/>
      <c r="G758" s="131"/>
    </row>
    <row r="759" ht="15.75" customHeight="1">
      <c r="A759" s="118"/>
      <c r="B759" s="118"/>
      <c r="C759" s="182"/>
      <c r="D759" s="184"/>
      <c r="E759" s="184"/>
      <c r="F759" s="185"/>
      <c r="G759" s="131"/>
    </row>
    <row r="760" ht="15.75" customHeight="1">
      <c r="A760" s="118"/>
      <c r="B760" s="118"/>
      <c r="C760" s="182"/>
      <c r="D760" s="184"/>
      <c r="E760" s="184"/>
      <c r="F760" s="185"/>
      <c r="G760" s="131"/>
    </row>
    <row r="761" ht="15.75" customHeight="1">
      <c r="A761" s="118"/>
      <c r="B761" s="118"/>
      <c r="C761" s="182"/>
      <c r="D761" s="184"/>
      <c r="E761" s="184"/>
      <c r="F761" s="185"/>
      <c r="G761" s="131"/>
    </row>
    <row r="762" ht="15.75" customHeight="1">
      <c r="A762" s="118"/>
      <c r="B762" s="118"/>
      <c r="C762" s="182"/>
      <c r="D762" s="184"/>
      <c r="E762" s="184"/>
      <c r="F762" s="185"/>
      <c r="G762" s="131"/>
    </row>
    <row r="763" ht="15.75" customHeight="1">
      <c r="A763" s="118"/>
      <c r="B763" s="118"/>
      <c r="C763" s="182"/>
      <c r="D763" s="184"/>
      <c r="E763" s="184"/>
      <c r="F763" s="185"/>
      <c r="G763" s="131"/>
    </row>
    <row r="764" ht="15.75" customHeight="1">
      <c r="A764" s="118"/>
      <c r="B764" s="118"/>
      <c r="C764" s="182"/>
      <c r="D764" s="184"/>
      <c r="E764" s="184"/>
      <c r="F764" s="185"/>
      <c r="G764" s="131"/>
    </row>
    <row r="765" ht="15.75" customHeight="1">
      <c r="A765" s="118"/>
      <c r="B765" s="118"/>
      <c r="C765" s="182"/>
      <c r="D765" s="184"/>
      <c r="E765" s="184"/>
      <c r="F765" s="185"/>
      <c r="G765" s="131"/>
    </row>
    <row r="766" ht="15.75" customHeight="1">
      <c r="A766" s="118"/>
      <c r="B766" s="118"/>
      <c r="C766" s="182"/>
      <c r="D766" s="184"/>
      <c r="E766" s="184"/>
      <c r="F766" s="185"/>
      <c r="G766" s="131"/>
    </row>
    <row r="767" ht="15.75" customHeight="1">
      <c r="A767" s="118"/>
      <c r="B767" s="118"/>
      <c r="C767" s="182"/>
      <c r="D767" s="184"/>
      <c r="E767" s="184"/>
      <c r="F767" s="185"/>
      <c r="G767" s="131"/>
    </row>
    <row r="768" ht="15.75" customHeight="1">
      <c r="A768" s="118"/>
      <c r="B768" s="118"/>
      <c r="C768" s="182"/>
      <c r="D768" s="184"/>
      <c r="E768" s="184"/>
      <c r="F768" s="185"/>
      <c r="G768" s="131"/>
    </row>
    <row r="769" ht="15.75" customHeight="1">
      <c r="A769" s="118"/>
      <c r="B769" s="118"/>
      <c r="C769" s="182"/>
      <c r="D769" s="184"/>
      <c r="E769" s="184"/>
      <c r="F769" s="185"/>
      <c r="G769" s="131"/>
    </row>
    <row r="770" ht="15.75" customHeight="1">
      <c r="A770" s="118"/>
      <c r="B770" s="118"/>
      <c r="C770" s="182"/>
      <c r="D770" s="184"/>
      <c r="E770" s="184"/>
      <c r="F770" s="185"/>
      <c r="G770" s="131"/>
    </row>
    <row r="771" ht="15.75" customHeight="1">
      <c r="A771" s="118"/>
      <c r="B771" s="118"/>
      <c r="C771" s="182"/>
      <c r="D771" s="184"/>
      <c r="E771" s="184"/>
      <c r="F771" s="185"/>
      <c r="G771" s="131"/>
    </row>
    <row r="772" ht="15.75" customHeight="1">
      <c r="A772" s="118"/>
      <c r="B772" s="118"/>
      <c r="C772" s="182"/>
      <c r="D772" s="184"/>
      <c r="E772" s="184"/>
      <c r="F772" s="185"/>
      <c r="G772" s="131"/>
    </row>
    <row r="773" ht="15.75" customHeight="1">
      <c r="A773" s="118"/>
      <c r="B773" s="118"/>
      <c r="C773" s="182"/>
      <c r="D773" s="184"/>
      <c r="E773" s="184"/>
      <c r="F773" s="185"/>
      <c r="G773" s="131"/>
    </row>
    <row r="774" ht="15.75" customHeight="1">
      <c r="A774" s="118"/>
      <c r="B774" s="118"/>
      <c r="C774" s="182"/>
      <c r="D774" s="184"/>
      <c r="E774" s="184"/>
      <c r="F774" s="185"/>
      <c r="G774" s="131"/>
    </row>
    <row r="775" ht="15.75" customHeight="1">
      <c r="A775" s="118"/>
      <c r="B775" s="118"/>
      <c r="C775" s="182"/>
      <c r="D775" s="184"/>
      <c r="E775" s="184"/>
      <c r="F775" s="185"/>
      <c r="G775" s="131"/>
    </row>
    <row r="776" ht="15.75" customHeight="1">
      <c r="A776" s="118"/>
      <c r="B776" s="118"/>
      <c r="C776" s="182"/>
      <c r="D776" s="184"/>
      <c r="E776" s="184"/>
      <c r="F776" s="185"/>
      <c r="G776" s="131"/>
    </row>
    <row r="777" ht="15.75" customHeight="1">
      <c r="A777" s="118"/>
      <c r="B777" s="118"/>
      <c r="C777" s="182"/>
      <c r="D777" s="184"/>
      <c r="E777" s="184"/>
      <c r="F777" s="185"/>
      <c r="G777" s="131"/>
    </row>
    <row r="778" ht="15.75" customHeight="1">
      <c r="A778" s="118"/>
      <c r="B778" s="118"/>
      <c r="C778" s="182"/>
      <c r="D778" s="184"/>
      <c r="E778" s="184"/>
      <c r="F778" s="185"/>
      <c r="G778" s="131"/>
    </row>
    <row r="779" ht="15.75" customHeight="1">
      <c r="A779" s="118"/>
      <c r="B779" s="118"/>
      <c r="C779" s="182"/>
      <c r="D779" s="184"/>
      <c r="E779" s="184"/>
      <c r="F779" s="185"/>
      <c r="G779" s="131"/>
    </row>
    <row r="780" ht="15.75" customHeight="1">
      <c r="A780" s="118"/>
      <c r="B780" s="118"/>
      <c r="C780" s="182"/>
      <c r="D780" s="184"/>
      <c r="E780" s="184"/>
      <c r="F780" s="185"/>
      <c r="G780" s="131"/>
    </row>
    <row r="781" ht="15.75" customHeight="1">
      <c r="A781" s="118"/>
      <c r="B781" s="118"/>
      <c r="C781" s="182"/>
      <c r="D781" s="184"/>
      <c r="E781" s="184"/>
      <c r="F781" s="185"/>
      <c r="G781" s="131"/>
    </row>
    <row r="782" ht="15.75" customHeight="1">
      <c r="A782" s="118"/>
      <c r="B782" s="118"/>
      <c r="C782" s="182"/>
      <c r="D782" s="184"/>
      <c r="E782" s="184"/>
      <c r="F782" s="185"/>
      <c r="G782" s="131"/>
    </row>
    <row r="783" ht="15.75" customHeight="1">
      <c r="A783" s="118"/>
      <c r="B783" s="118"/>
      <c r="C783" s="182"/>
      <c r="D783" s="184"/>
      <c r="E783" s="184"/>
      <c r="F783" s="185"/>
      <c r="G783" s="131"/>
    </row>
    <row r="784" ht="15.75" customHeight="1">
      <c r="A784" s="118"/>
      <c r="B784" s="118"/>
      <c r="C784" s="182"/>
      <c r="D784" s="184"/>
      <c r="E784" s="184"/>
      <c r="F784" s="185"/>
      <c r="G784" s="131"/>
    </row>
    <row r="785" ht="15.75" customHeight="1">
      <c r="A785" s="118"/>
      <c r="B785" s="118"/>
      <c r="C785" s="182"/>
      <c r="D785" s="184"/>
      <c r="E785" s="184"/>
      <c r="F785" s="185"/>
      <c r="G785" s="131"/>
    </row>
    <row r="786" ht="15.75" customHeight="1">
      <c r="A786" s="118"/>
      <c r="B786" s="118"/>
      <c r="C786" s="182"/>
      <c r="D786" s="184"/>
      <c r="E786" s="184"/>
      <c r="F786" s="185"/>
      <c r="G786" s="131"/>
    </row>
    <row r="787" ht="15.75" customHeight="1">
      <c r="A787" s="118"/>
      <c r="B787" s="118"/>
      <c r="C787" s="182"/>
      <c r="D787" s="184"/>
      <c r="E787" s="184"/>
      <c r="F787" s="185"/>
      <c r="G787" s="131"/>
    </row>
    <row r="788" ht="15.75" customHeight="1">
      <c r="A788" s="118"/>
      <c r="B788" s="118"/>
      <c r="C788" s="182"/>
      <c r="D788" s="184"/>
      <c r="E788" s="184"/>
      <c r="F788" s="185"/>
      <c r="G788" s="131"/>
    </row>
    <row r="789" ht="15.75" customHeight="1">
      <c r="A789" s="118"/>
      <c r="B789" s="118"/>
      <c r="C789" s="182"/>
      <c r="D789" s="184"/>
      <c r="E789" s="184"/>
      <c r="F789" s="185"/>
      <c r="G789" s="131"/>
    </row>
    <row r="790" ht="15.75" customHeight="1">
      <c r="A790" s="118"/>
      <c r="B790" s="118"/>
      <c r="C790" s="182"/>
      <c r="D790" s="184"/>
      <c r="E790" s="184"/>
      <c r="F790" s="185"/>
      <c r="G790" s="131"/>
    </row>
    <row r="791" ht="15.75" customHeight="1">
      <c r="A791" s="118"/>
      <c r="B791" s="118"/>
      <c r="C791" s="182"/>
      <c r="D791" s="184"/>
      <c r="E791" s="184"/>
      <c r="F791" s="185"/>
      <c r="G791" s="131"/>
    </row>
    <row r="792" ht="15.75" customHeight="1">
      <c r="A792" s="118"/>
      <c r="B792" s="118"/>
      <c r="C792" s="182"/>
      <c r="D792" s="184"/>
      <c r="E792" s="184"/>
      <c r="F792" s="185"/>
      <c r="G792" s="131"/>
    </row>
    <row r="793" ht="15.75" customHeight="1">
      <c r="A793" s="118"/>
      <c r="B793" s="118"/>
      <c r="C793" s="182"/>
      <c r="D793" s="184"/>
      <c r="E793" s="184"/>
      <c r="F793" s="185"/>
      <c r="G793" s="131"/>
    </row>
    <row r="794" ht="15.75" customHeight="1">
      <c r="A794" s="118"/>
      <c r="B794" s="118"/>
      <c r="C794" s="182"/>
      <c r="D794" s="184"/>
      <c r="E794" s="184"/>
      <c r="F794" s="185"/>
      <c r="G794" s="131"/>
    </row>
    <row r="795" ht="15.75" customHeight="1">
      <c r="A795" s="118"/>
      <c r="B795" s="118"/>
      <c r="C795" s="182"/>
      <c r="D795" s="184"/>
      <c r="E795" s="184"/>
      <c r="F795" s="185"/>
      <c r="G795" s="131"/>
    </row>
    <row r="796" ht="15.75" customHeight="1">
      <c r="A796" s="118"/>
      <c r="B796" s="118"/>
      <c r="C796" s="182"/>
      <c r="D796" s="184"/>
      <c r="E796" s="184"/>
      <c r="F796" s="185"/>
      <c r="G796" s="131"/>
    </row>
    <row r="797" ht="15.75" customHeight="1">
      <c r="A797" s="118"/>
      <c r="B797" s="118"/>
      <c r="C797" s="182"/>
      <c r="D797" s="184"/>
      <c r="E797" s="184"/>
      <c r="F797" s="185"/>
      <c r="G797" s="131"/>
    </row>
    <row r="798" ht="15.75" customHeight="1">
      <c r="A798" s="118"/>
      <c r="B798" s="118"/>
      <c r="C798" s="182"/>
      <c r="D798" s="184"/>
      <c r="E798" s="184"/>
      <c r="F798" s="185"/>
      <c r="G798" s="131"/>
    </row>
    <row r="799" ht="15.75" customHeight="1">
      <c r="A799" s="118"/>
      <c r="B799" s="118"/>
      <c r="C799" s="182"/>
      <c r="D799" s="184"/>
      <c r="E799" s="184"/>
      <c r="F799" s="185"/>
      <c r="G799" s="131"/>
    </row>
    <row r="800" ht="15.75" customHeight="1">
      <c r="A800" s="118"/>
      <c r="B800" s="118"/>
      <c r="C800" s="182"/>
      <c r="D800" s="184"/>
      <c r="E800" s="184"/>
      <c r="F800" s="185"/>
      <c r="G800" s="131"/>
    </row>
    <row r="801" ht="15.75" customHeight="1">
      <c r="A801" s="118"/>
      <c r="B801" s="118"/>
      <c r="C801" s="182"/>
      <c r="D801" s="184"/>
      <c r="E801" s="184"/>
      <c r="F801" s="185"/>
      <c r="G801" s="131"/>
    </row>
    <row r="802" ht="15.75" customHeight="1">
      <c r="A802" s="118"/>
      <c r="B802" s="118"/>
      <c r="C802" s="182"/>
      <c r="D802" s="184"/>
      <c r="E802" s="184"/>
      <c r="F802" s="185"/>
      <c r="G802" s="131"/>
    </row>
    <row r="803" ht="15.75" customHeight="1">
      <c r="A803" s="118"/>
      <c r="B803" s="118"/>
      <c r="C803" s="182"/>
      <c r="D803" s="184"/>
      <c r="E803" s="184"/>
      <c r="F803" s="185"/>
      <c r="G803" s="131"/>
    </row>
    <row r="804" ht="15.75" customHeight="1">
      <c r="A804" s="118"/>
      <c r="B804" s="118"/>
      <c r="C804" s="182"/>
      <c r="D804" s="184"/>
      <c r="E804" s="184"/>
      <c r="F804" s="185"/>
      <c r="G804" s="131"/>
    </row>
    <row r="805" ht="15.75" customHeight="1">
      <c r="A805" s="118"/>
      <c r="B805" s="118"/>
      <c r="C805" s="182"/>
      <c r="D805" s="184"/>
      <c r="E805" s="184"/>
      <c r="F805" s="185"/>
      <c r="G805" s="131"/>
    </row>
    <row r="806" ht="15.75" customHeight="1">
      <c r="A806" s="118"/>
      <c r="B806" s="118"/>
      <c r="C806" s="182"/>
      <c r="D806" s="184"/>
      <c r="E806" s="184"/>
      <c r="F806" s="185"/>
      <c r="G806" s="131"/>
    </row>
    <row r="807" ht="15.75" customHeight="1">
      <c r="A807" s="118"/>
      <c r="B807" s="118"/>
      <c r="C807" s="182"/>
      <c r="D807" s="184"/>
      <c r="E807" s="184"/>
      <c r="F807" s="185"/>
      <c r="G807" s="131"/>
    </row>
    <row r="808" ht="15.75" customHeight="1">
      <c r="A808" s="118"/>
      <c r="B808" s="118"/>
      <c r="C808" s="182"/>
      <c r="D808" s="184"/>
      <c r="E808" s="184"/>
      <c r="F808" s="185"/>
      <c r="G808" s="131"/>
    </row>
    <row r="809" ht="15.75" customHeight="1">
      <c r="A809" s="118"/>
      <c r="B809" s="118"/>
      <c r="C809" s="182"/>
      <c r="D809" s="184"/>
      <c r="E809" s="184"/>
      <c r="F809" s="185"/>
      <c r="G809" s="131"/>
    </row>
    <row r="810" ht="15.75" customHeight="1">
      <c r="A810" s="118"/>
      <c r="B810" s="118"/>
      <c r="C810" s="182"/>
      <c r="D810" s="184"/>
      <c r="E810" s="184"/>
      <c r="F810" s="185"/>
      <c r="G810" s="131"/>
    </row>
    <row r="811" ht="15.75" customHeight="1">
      <c r="A811" s="118"/>
      <c r="B811" s="118"/>
      <c r="C811" s="182"/>
      <c r="D811" s="184"/>
      <c r="E811" s="184"/>
      <c r="F811" s="185"/>
      <c r="G811" s="131"/>
    </row>
    <row r="812" ht="15.75" customHeight="1">
      <c r="A812" s="118"/>
      <c r="B812" s="118"/>
      <c r="C812" s="182"/>
      <c r="D812" s="184"/>
      <c r="E812" s="184"/>
      <c r="F812" s="185"/>
      <c r="G812" s="131"/>
    </row>
    <row r="813" ht="15.75" customHeight="1">
      <c r="A813" s="118"/>
      <c r="B813" s="118"/>
      <c r="C813" s="182"/>
      <c r="D813" s="184"/>
      <c r="E813" s="184"/>
      <c r="F813" s="185"/>
      <c r="G813" s="131"/>
    </row>
    <row r="814" ht="15.75" customHeight="1">
      <c r="A814" s="118"/>
      <c r="B814" s="118"/>
      <c r="C814" s="182"/>
      <c r="D814" s="184"/>
      <c r="E814" s="184"/>
      <c r="F814" s="185"/>
      <c r="G814" s="131"/>
    </row>
    <row r="815" ht="15.75" customHeight="1">
      <c r="A815" s="118"/>
      <c r="B815" s="118"/>
      <c r="C815" s="182"/>
      <c r="D815" s="184"/>
      <c r="E815" s="184"/>
      <c r="F815" s="185"/>
      <c r="G815" s="131"/>
    </row>
    <row r="816" ht="15.75" customHeight="1">
      <c r="A816" s="118"/>
      <c r="B816" s="118"/>
      <c r="C816" s="182"/>
      <c r="D816" s="184"/>
      <c r="E816" s="184"/>
      <c r="F816" s="185"/>
      <c r="G816" s="131"/>
    </row>
    <row r="817" ht="15.75" customHeight="1">
      <c r="A817" s="118"/>
      <c r="B817" s="118"/>
      <c r="C817" s="182"/>
      <c r="D817" s="184"/>
      <c r="E817" s="184"/>
      <c r="F817" s="185"/>
      <c r="G817" s="131"/>
    </row>
    <row r="818" ht="15.75" customHeight="1">
      <c r="A818" s="118"/>
      <c r="B818" s="118"/>
      <c r="C818" s="182"/>
      <c r="D818" s="184"/>
      <c r="E818" s="184"/>
      <c r="F818" s="185"/>
      <c r="G818" s="131"/>
    </row>
    <row r="819" ht="15.75" customHeight="1">
      <c r="A819" s="118"/>
      <c r="B819" s="118"/>
      <c r="C819" s="182"/>
      <c r="D819" s="184"/>
      <c r="E819" s="184"/>
      <c r="F819" s="185"/>
      <c r="G819" s="131"/>
    </row>
    <row r="820" ht="15.75" customHeight="1">
      <c r="A820" s="118"/>
      <c r="B820" s="118"/>
      <c r="C820" s="182"/>
      <c r="D820" s="184"/>
      <c r="E820" s="184"/>
      <c r="F820" s="185"/>
      <c r="G820" s="131"/>
    </row>
    <row r="821" ht="15.75" customHeight="1">
      <c r="A821" s="118"/>
      <c r="B821" s="118"/>
      <c r="C821" s="182"/>
      <c r="D821" s="184"/>
      <c r="E821" s="184"/>
      <c r="F821" s="185"/>
      <c r="G821" s="131"/>
    </row>
    <row r="822" ht="15.75" customHeight="1">
      <c r="A822" s="118"/>
      <c r="B822" s="118"/>
      <c r="C822" s="182"/>
      <c r="D822" s="184"/>
      <c r="E822" s="184"/>
      <c r="F822" s="185"/>
      <c r="G822" s="131"/>
    </row>
    <row r="823" ht="15.75" customHeight="1">
      <c r="A823" s="118"/>
      <c r="B823" s="118"/>
      <c r="C823" s="182"/>
      <c r="D823" s="184"/>
      <c r="E823" s="184"/>
      <c r="F823" s="185"/>
      <c r="G823" s="131"/>
    </row>
    <row r="824" ht="15.75" customHeight="1">
      <c r="A824" s="118"/>
      <c r="B824" s="118"/>
      <c r="C824" s="182"/>
      <c r="D824" s="184"/>
      <c r="E824" s="184"/>
      <c r="F824" s="185"/>
      <c r="G824" s="131"/>
    </row>
    <row r="825" ht="15.75" customHeight="1">
      <c r="A825" s="118"/>
      <c r="B825" s="118"/>
      <c r="C825" s="182"/>
      <c r="D825" s="184"/>
      <c r="E825" s="184"/>
      <c r="F825" s="185"/>
      <c r="G825" s="131"/>
    </row>
    <row r="826" ht="15.75" customHeight="1">
      <c r="A826" s="118"/>
      <c r="B826" s="118"/>
      <c r="C826" s="182"/>
      <c r="D826" s="184"/>
      <c r="E826" s="184"/>
      <c r="F826" s="185"/>
      <c r="G826" s="131"/>
    </row>
    <row r="827" ht="15.75" customHeight="1">
      <c r="A827" s="118"/>
      <c r="B827" s="118"/>
      <c r="C827" s="182"/>
      <c r="D827" s="184"/>
      <c r="E827" s="184"/>
      <c r="F827" s="185"/>
      <c r="G827" s="131"/>
    </row>
    <row r="828" ht="15.75" customHeight="1">
      <c r="A828" s="118"/>
      <c r="B828" s="118"/>
      <c r="C828" s="182"/>
      <c r="D828" s="184"/>
      <c r="E828" s="184"/>
      <c r="F828" s="185"/>
      <c r="G828" s="131"/>
    </row>
    <row r="829" ht="15.75" customHeight="1">
      <c r="A829" s="118"/>
      <c r="B829" s="118"/>
      <c r="C829" s="182"/>
      <c r="D829" s="184"/>
      <c r="E829" s="184"/>
      <c r="F829" s="185"/>
      <c r="G829" s="131"/>
    </row>
    <row r="830" ht="15.75" customHeight="1">
      <c r="A830" s="118"/>
      <c r="B830" s="118"/>
      <c r="C830" s="182"/>
      <c r="D830" s="184"/>
      <c r="E830" s="184"/>
      <c r="F830" s="185"/>
      <c r="G830" s="131"/>
    </row>
    <row r="831" ht="15.75" customHeight="1">
      <c r="A831" s="118"/>
      <c r="B831" s="118"/>
      <c r="C831" s="182"/>
      <c r="D831" s="184"/>
      <c r="E831" s="184"/>
      <c r="F831" s="185"/>
      <c r="G831" s="131"/>
    </row>
    <row r="832" ht="15.75" customHeight="1">
      <c r="A832" s="118"/>
      <c r="B832" s="118"/>
      <c r="C832" s="182"/>
      <c r="D832" s="184"/>
      <c r="E832" s="184"/>
      <c r="F832" s="185"/>
      <c r="G832" s="131"/>
    </row>
    <row r="833" ht="15.75" customHeight="1">
      <c r="A833" s="118"/>
      <c r="B833" s="118"/>
      <c r="C833" s="182"/>
      <c r="D833" s="184"/>
      <c r="E833" s="184"/>
      <c r="F833" s="185"/>
      <c r="G833" s="131"/>
    </row>
    <row r="834" ht="15.75" customHeight="1">
      <c r="A834" s="118"/>
      <c r="B834" s="118"/>
      <c r="C834" s="182"/>
      <c r="D834" s="184"/>
      <c r="E834" s="184"/>
      <c r="F834" s="185"/>
      <c r="G834" s="131"/>
    </row>
    <row r="835" ht="15.75" customHeight="1">
      <c r="A835" s="118"/>
      <c r="B835" s="118"/>
      <c r="C835" s="182"/>
      <c r="D835" s="184"/>
      <c r="E835" s="184"/>
      <c r="F835" s="185"/>
      <c r="G835" s="131"/>
    </row>
    <row r="836" ht="15.75" customHeight="1">
      <c r="A836" s="118"/>
      <c r="B836" s="118"/>
      <c r="C836" s="182"/>
      <c r="D836" s="184"/>
      <c r="E836" s="184"/>
      <c r="F836" s="185"/>
      <c r="G836" s="131"/>
    </row>
    <row r="837" ht="15.75" customHeight="1">
      <c r="A837" s="118"/>
      <c r="B837" s="118"/>
      <c r="C837" s="182"/>
      <c r="D837" s="184"/>
      <c r="E837" s="184"/>
      <c r="F837" s="185"/>
      <c r="G837" s="131"/>
    </row>
    <row r="838" ht="15.75" customHeight="1">
      <c r="A838" s="118"/>
      <c r="B838" s="118"/>
      <c r="C838" s="182"/>
      <c r="D838" s="184"/>
      <c r="E838" s="184"/>
      <c r="F838" s="185"/>
      <c r="G838" s="131"/>
    </row>
    <row r="839" ht="15.75" customHeight="1">
      <c r="A839" s="118"/>
      <c r="B839" s="118"/>
      <c r="C839" s="182"/>
      <c r="D839" s="184"/>
      <c r="E839" s="184"/>
      <c r="F839" s="185"/>
      <c r="G839" s="131"/>
    </row>
    <row r="840" ht="15.75" customHeight="1">
      <c r="A840" s="118"/>
      <c r="B840" s="118"/>
      <c r="C840" s="182"/>
      <c r="D840" s="184"/>
      <c r="E840" s="184"/>
      <c r="F840" s="185"/>
      <c r="G840" s="131"/>
    </row>
    <row r="841" ht="15.75" customHeight="1">
      <c r="A841" s="118"/>
      <c r="B841" s="118"/>
      <c r="C841" s="182"/>
      <c r="D841" s="184"/>
      <c r="E841" s="184"/>
      <c r="F841" s="185"/>
      <c r="G841" s="131"/>
    </row>
    <row r="842" ht="15.75" customHeight="1">
      <c r="A842" s="118"/>
      <c r="B842" s="118"/>
      <c r="C842" s="182"/>
      <c r="D842" s="184"/>
      <c r="E842" s="184"/>
      <c r="F842" s="185"/>
      <c r="G842" s="131"/>
    </row>
    <row r="843" ht="15.75" customHeight="1">
      <c r="A843" s="118"/>
      <c r="B843" s="118"/>
      <c r="C843" s="182"/>
      <c r="D843" s="184"/>
      <c r="E843" s="184"/>
      <c r="F843" s="185"/>
      <c r="G843" s="131"/>
    </row>
    <row r="844" ht="15.75" customHeight="1">
      <c r="A844" s="118"/>
      <c r="B844" s="118"/>
      <c r="C844" s="182"/>
      <c r="D844" s="184"/>
      <c r="E844" s="184"/>
      <c r="F844" s="185"/>
      <c r="G844" s="131"/>
    </row>
    <row r="845" ht="15.75" customHeight="1">
      <c r="A845" s="118"/>
      <c r="B845" s="118"/>
      <c r="C845" s="182"/>
      <c r="D845" s="184"/>
      <c r="E845" s="184"/>
      <c r="F845" s="185"/>
      <c r="G845" s="131"/>
    </row>
    <row r="846" ht="15.75" customHeight="1">
      <c r="A846" s="118"/>
      <c r="B846" s="118"/>
      <c r="C846" s="182"/>
      <c r="D846" s="184"/>
      <c r="E846" s="184"/>
      <c r="F846" s="185"/>
      <c r="G846" s="131"/>
    </row>
    <row r="847" ht="15.75" customHeight="1">
      <c r="A847" s="118"/>
      <c r="B847" s="118"/>
      <c r="C847" s="182"/>
      <c r="D847" s="184"/>
      <c r="E847" s="184"/>
      <c r="F847" s="185"/>
      <c r="G847" s="131"/>
    </row>
    <row r="848" ht="15.75" customHeight="1">
      <c r="A848" s="118"/>
      <c r="B848" s="118"/>
      <c r="C848" s="182"/>
      <c r="D848" s="184"/>
      <c r="E848" s="184"/>
      <c r="F848" s="185"/>
      <c r="G848" s="131"/>
    </row>
    <row r="849" ht="15.75" customHeight="1">
      <c r="A849" s="118"/>
      <c r="B849" s="118"/>
      <c r="C849" s="182"/>
      <c r="D849" s="184"/>
      <c r="E849" s="184"/>
      <c r="F849" s="185"/>
      <c r="G849" s="131"/>
    </row>
    <row r="850" ht="15.75" customHeight="1">
      <c r="A850" s="118"/>
      <c r="B850" s="118"/>
      <c r="C850" s="182"/>
      <c r="D850" s="184"/>
      <c r="E850" s="184"/>
      <c r="F850" s="185"/>
      <c r="G850" s="131"/>
    </row>
    <row r="851" ht="15.75" customHeight="1">
      <c r="A851" s="118"/>
      <c r="B851" s="118"/>
      <c r="C851" s="182"/>
      <c r="D851" s="184"/>
      <c r="E851" s="184"/>
      <c r="F851" s="185"/>
      <c r="G851" s="131"/>
    </row>
    <row r="852" ht="15.75" customHeight="1">
      <c r="A852" s="118"/>
      <c r="B852" s="118"/>
      <c r="C852" s="182"/>
      <c r="D852" s="184"/>
      <c r="E852" s="184"/>
      <c r="F852" s="185"/>
      <c r="G852" s="131"/>
    </row>
    <row r="853" ht="15.75" customHeight="1">
      <c r="A853" s="118"/>
      <c r="B853" s="118"/>
      <c r="C853" s="182"/>
      <c r="D853" s="184"/>
      <c r="E853" s="184"/>
      <c r="F853" s="185"/>
      <c r="G853" s="131"/>
    </row>
    <row r="854" ht="15.75" customHeight="1">
      <c r="A854" s="118"/>
      <c r="B854" s="118"/>
      <c r="C854" s="182"/>
      <c r="D854" s="184"/>
      <c r="E854" s="184"/>
      <c r="F854" s="185"/>
      <c r="G854" s="131"/>
    </row>
    <row r="855" ht="15.75" customHeight="1">
      <c r="A855" s="118"/>
      <c r="B855" s="118"/>
      <c r="C855" s="182"/>
      <c r="D855" s="184"/>
      <c r="E855" s="184"/>
      <c r="F855" s="185"/>
      <c r="G855" s="131"/>
    </row>
    <row r="856" ht="15.75" customHeight="1">
      <c r="A856" s="118"/>
      <c r="B856" s="118"/>
      <c r="C856" s="182"/>
      <c r="D856" s="184"/>
      <c r="E856" s="184"/>
      <c r="F856" s="185"/>
      <c r="G856" s="131"/>
    </row>
    <row r="857" ht="15.75" customHeight="1">
      <c r="A857" s="118"/>
      <c r="B857" s="118"/>
      <c r="C857" s="182"/>
      <c r="D857" s="184"/>
      <c r="E857" s="184"/>
      <c r="F857" s="185"/>
      <c r="G857" s="131"/>
    </row>
    <row r="858" ht="15.75" customHeight="1">
      <c r="A858" s="118"/>
      <c r="B858" s="118"/>
      <c r="C858" s="182"/>
      <c r="D858" s="184"/>
      <c r="E858" s="184"/>
      <c r="F858" s="185"/>
      <c r="G858" s="131"/>
    </row>
    <row r="859" ht="15.75" customHeight="1">
      <c r="A859" s="118"/>
      <c r="B859" s="118"/>
      <c r="C859" s="182"/>
      <c r="D859" s="184"/>
      <c r="E859" s="184"/>
      <c r="F859" s="185"/>
      <c r="G859" s="131"/>
    </row>
    <row r="860" ht="15.75" customHeight="1">
      <c r="A860" s="118"/>
      <c r="B860" s="118"/>
      <c r="C860" s="182"/>
      <c r="D860" s="184"/>
      <c r="E860" s="184"/>
      <c r="F860" s="185"/>
      <c r="G860" s="131"/>
    </row>
    <row r="861" ht="15.75" customHeight="1">
      <c r="A861" s="118"/>
      <c r="B861" s="118"/>
      <c r="C861" s="182"/>
      <c r="D861" s="184"/>
      <c r="E861" s="184"/>
      <c r="F861" s="185"/>
      <c r="G861" s="131"/>
    </row>
    <row r="862" ht="15.75" customHeight="1">
      <c r="A862" s="118"/>
      <c r="B862" s="118"/>
      <c r="C862" s="182"/>
      <c r="D862" s="184"/>
      <c r="E862" s="184"/>
      <c r="F862" s="185"/>
      <c r="G862" s="131"/>
    </row>
    <row r="863" ht="15.75" customHeight="1">
      <c r="A863" s="118"/>
      <c r="B863" s="118"/>
      <c r="C863" s="182"/>
      <c r="D863" s="184"/>
      <c r="E863" s="184"/>
      <c r="F863" s="185"/>
      <c r="G863" s="131"/>
    </row>
    <row r="864" ht="15.75" customHeight="1">
      <c r="A864" s="118"/>
      <c r="B864" s="118"/>
      <c r="C864" s="182"/>
      <c r="D864" s="184"/>
      <c r="E864" s="184"/>
      <c r="F864" s="185"/>
      <c r="G864" s="131"/>
    </row>
    <row r="865" ht="15.75" customHeight="1">
      <c r="A865" s="118"/>
      <c r="B865" s="118"/>
      <c r="C865" s="182"/>
      <c r="D865" s="184"/>
      <c r="E865" s="184"/>
      <c r="F865" s="185"/>
      <c r="G865" s="131"/>
    </row>
    <row r="866" ht="15.75" customHeight="1">
      <c r="A866" s="118"/>
      <c r="B866" s="118"/>
      <c r="C866" s="182"/>
      <c r="D866" s="184"/>
      <c r="E866" s="184"/>
      <c r="F866" s="185"/>
      <c r="G866" s="131"/>
    </row>
    <row r="867" ht="15.75" customHeight="1">
      <c r="A867" s="118"/>
      <c r="B867" s="118"/>
      <c r="C867" s="182"/>
      <c r="D867" s="184"/>
      <c r="E867" s="184"/>
      <c r="F867" s="185"/>
      <c r="G867" s="131"/>
    </row>
    <row r="868" ht="15.75" customHeight="1">
      <c r="A868" s="118"/>
      <c r="B868" s="118"/>
      <c r="C868" s="182"/>
      <c r="D868" s="184"/>
      <c r="E868" s="184"/>
      <c r="F868" s="185"/>
      <c r="G868" s="131"/>
    </row>
    <row r="869" ht="15.75" customHeight="1">
      <c r="A869" s="118"/>
      <c r="B869" s="118"/>
      <c r="C869" s="182"/>
      <c r="D869" s="184"/>
      <c r="E869" s="184"/>
      <c r="F869" s="185"/>
      <c r="G869" s="131"/>
    </row>
    <row r="870" ht="15.75" customHeight="1">
      <c r="A870" s="118"/>
      <c r="B870" s="118"/>
      <c r="C870" s="182"/>
      <c r="D870" s="184"/>
      <c r="E870" s="184"/>
      <c r="F870" s="185"/>
      <c r="G870" s="131"/>
    </row>
    <row r="871" ht="15.75" customHeight="1">
      <c r="A871" s="118"/>
      <c r="B871" s="118"/>
      <c r="C871" s="182"/>
      <c r="D871" s="184"/>
      <c r="E871" s="184"/>
      <c r="F871" s="185"/>
      <c r="G871" s="131"/>
    </row>
    <row r="872" ht="15.75" customHeight="1">
      <c r="A872" s="118"/>
      <c r="B872" s="118"/>
      <c r="C872" s="182"/>
      <c r="D872" s="184"/>
      <c r="E872" s="184"/>
      <c r="F872" s="185"/>
      <c r="G872" s="131"/>
    </row>
    <row r="873" ht="15.75" customHeight="1">
      <c r="A873" s="118"/>
      <c r="B873" s="118"/>
      <c r="C873" s="182"/>
      <c r="D873" s="184"/>
      <c r="E873" s="184"/>
      <c r="F873" s="185"/>
      <c r="G873" s="131"/>
    </row>
    <row r="874" ht="15.75" customHeight="1">
      <c r="A874" s="118"/>
      <c r="B874" s="118"/>
      <c r="C874" s="182"/>
      <c r="D874" s="184"/>
      <c r="E874" s="184"/>
      <c r="F874" s="185"/>
      <c r="G874" s="131"/>
    </row>
    <row r="875" ht="15.75" customHeight="1">
      <c r="A875" s="118"/>
      <c r="B875" s="118"/>
      <c r="C875" s="182"/>
      <c r="D875" s="184"/>
      <c r="E875" s="184"/>
      <c r="F875" s="185"/>
      <c r="G875" s="131"/>
    </row>
    <row r="876" ht="15.75" customHeight="1">
      <c r="A876" s="118"/>
      <c r="B876" s="118"/>
      <c r="C876" s="182"/>
      <c r="D876" s="184"/>
      <c r="E876" s="184"/>
      <c r="F876" s="185"/>
      <c r="G876" s="131"/>
    </row>
    <row r="877" ht="15.75" customHeight="1">
      <c r="A877" s="118"/>
      <c r="B877" s="118"/>
      <c r="C877" s="182"/>
      <c r="D877" s="184"/>
      <c r="E877" s="184"/>
      <c r="F877" s="185"/>
      <c r="G877" s="131"/>
    </row>
    <row r="878" ht="15.75" customHeight="1">
      <c r="A878" s="118"/>
      <c r="B878" s="118"/>
      <c r="C878" s="182"/>
      <c r="D878" s="184"/>
      <c r="E878" s="184"/>
      <c r="F878" s="185"/>
      <c r="G878" s="131"/>
    </row>
    <row r="879" ht="15.75" customHeight="1">
      <c r="A879" s="118"/>
      <c r="B879" s="118"/>
      <c r="C879" s="182"/>
      <c r="D879" s="184"/>
      <c r="E879" s="184"/>
      <c r="F879" s="185"/>
      <c r="G879" s="131"/>
    </row>
    <row r="880" ht="15.75" customHeight="1">
      <c r="A880" s="118"/>
      <c r="B880" s="118"/>
      <c r="C880" s="182"/>
      <c r="D880" s="184"/>
      <c r="E880" s="184"/>
      <c r="F880" s="185"/>
      <c r="G880" s="131"/>
    </row>
    <row r="881" ht="15.75" customHeight="1">
      <c r="A881" s="118"/>
      <c r="B881" s="118"/>
      <c r="C881" s="182"/>
      <c r="D881" s="184"/>
      <c r="E881" s="184"/>
      <c r="F881" s="185"/>
      <c r="G881" s="131"/>
    </row>
    <row r="882" ht="15.75" customHeight="1">
      <c r="A882" s="118"/>
      <c r="B882" s="118"/>
      <c r="C882" s="182"/>
      <c r="D882" s="184"/>
      <c r="E882" s="184"/>
      <c r="F882" s="185"/>
      <c r="G882" s="131"/>
    </row>
    <row r="883" ht="15.75" customHeight="1">
      <c r="A883" s="118"/>
      <c r="B883" s="118"/>
      <c r="C883" s="182"/>
      <c r="D883" s="184"/>
      <c r="E883" s="184"/>
      <c r="F883" s="185"/>
      <c r="G883" s="131"/>
    </row>
    <row r="884" ht="15.75" customHeight="1">
      <c r="A884" s="118"/>
      <c r="B884" s="118"/>
      <c r="C884" s="182"/>
      <c r="D884" s="184"/>
      <c r="E884" s="184"/>
      <c r="F884" s="185"/>
      <c r="G884" s="131"/>
    </row>
    <row r="885" ht="15.75" customHeight="1">
      <c r="A885" s="118"/>
      <c r="B885" s="118"/>
      <c r="C885" s="182"/>
      <c r="D885" s="184"/>
      <c r="E885" s="184"/>
      <c r="F885" s="185"/>
      <c r="G885" s="131"/>
    </row>
    <row r="886" ht="15.75" customHeight="1">
      <c r="A886" s="118"/>
      <c r="B886" s="118"/>
      <c r="C886" s="182"/>
      <c r="D886" s="184"/>
      <c r="E886" s="184"/>
      <c r="F886" s="185"/>
      <c r="G886" s="131"/>
    </row>
    <row r="887" ht="15.75" customHeight="1">
      <c r="A887" s="118"/>
      <c r="B887" s="118"/>
      <c r="C887" s="182"/>
      <c r="D887" s="184"/>
      <c r="E887" s="184"/>
      <c r="F887" s="185"/>
      <c r="G887" s="131"/>
    </row>
    <row r="888" ht="15.75" customHeight="1">
      <c r="A888" s="118"/>
      <c r="B888" s="118"/>
      <c r="C888" s="182"/>
      <c r="D888" s="184"/>
      <c r="E888" s="184"/>
      <c r="F888" s="185"/>
      <c r="G888" s="131"/>
    </row>
    <row r="889" ht="15.75" customHeight="1">
      <c r="A889" s="118"/>
      <c r="B889" s="118"/>
      <c r="C889" s="182"/>
      <c r="D889" s="184"/>
      <c r="E889" s="184"/>
      <c r="F889" s="185"/>
      <c r="G889" s="131"/>
    </row>
    <row r="890" ht="15.75" customHeight="1">
      <c r="A890" s="118"/>
      <c r="B890" s="118"/>
      <c r="C890" s="182"/>
      <c r="D890" s="184"/>
      <c r="E890" s="184"/>
      <c r="F890" s="185"/>
      <c r="G890" s="131"/>
    </row>
    <row r="891" ht="15.75" customHeight="1">
      <c r="A891" s="118"/>
      <c r="B891" s="118"/>
      <c r="C891" s="182"/>
      <c r="D891" s="184"/>
      <c r="E891" s="184"/>
      <c r="F891" s="185"/>
      <c r="G891" s="131"/>
    </row>
    <row r="892" ht="15.75" customHeight="1">
      <c r="A892" s="118"/>
      <c r="B892" s="118"/>
      <c r="C892" s="182"/>
      <c r="D892" s="184"/>
      <c r="E892" s="184"/>
      <c r="F892" s="185"/>
      <c r="G892" s="131"/>
    </row>
    <row r="893" ht="15.75" customHeight="1">
      <c r="A893" s="118"/>
      <c r="B893" s="118"/>
      <c r="C893" s="182"/>
      <c r="D893" s="184"/>
      <c r="E893" s="184"/>
      <c r="F893" s="185"/>
      <c r="G893" s="131"/>
    </row>
    <row r="894" ht="15.75" customHeight="1">
      <c r="A894" s="118"/>
      <c r="B894" s="118"/>
      <c r="C894" s="182"/>
      <c r="D894" s="184"/>
      <c r="E894" s="184"/>
      <c r="F894" s="185"/>
      <c r="G894" s="131"/>
    </row>
    <row r="895" ht="15.75" customHeight="1">
      <c r="A895" s="118"/>
      <c r="B895" s="118"/>
      <c r="C895" s="182"/>
      <c r="D895" s="184"/>
      <c r="E895" s="184"/>
      <c r="F895" s="185"/>
      <c r="G895" s="131"/>
    </row>
    <row r="896" ht="15.75" customHeight="1">
      <c r="A896" s="118"/>
      <c r="B896" s="118"/>
      <c r="C896" s="182"/>
      <c r="D896" s="184"/>
      <c r="E896" s="184"/>
      <c r="F896" s="185"/>
      <c r="G896" s="131"/>
    </row>
    <row r="897" ht="15.75" customHeight="1">
      <c r="A897" s="118"/>
      <c r="B897" s="118"/>
      <c r="C897" s="182"/>
      <c r="D897" s="184"/>
      <c r="E897" s="184"/>
      <c r="F897" s="185"/>
      <c r="G897" s="131"/>
    </row>
    <row r="898" ht="15.75" customHeight="1">
      <c r="A898" s="118"/>
      <c r="B898" s="118"/>
      <c r="C898" s="182"/>
      <c r="D898" s="184"/>
      <c r="E898" s="184"/>
      <c r="F898" s="185"/>
      <c r="G898" s="131"/>
    </row>
    <row r="899" ht="15.75" customHeight="1">
      <c r="A899" s="118"/>
      <c r="B899" s="118"/>
      <c r="C899" s="182"/>
      <c r="D899" s="184"/>
      <c r="E899" s="184"/>
      <c r="F899" s="185"/>
      <c r="G899" s="131"/>
    </row>
    <row r="900" ht="15.75" customHeight="1">
      <c r="A900" s="118"/>
      <c r="B900" s="118"/>
      <c r="C900" s="182"/>
      <c r="D900" s="184"/>
      <c r="E900" s="184"/>
      <c r="F900" s="185"/>
      <c r="G900" s="131"/>
    </row>
    <row r="901" ht="15.75" customHeight="1">
      <c r="A901" s="118"/>
      <c r="B901" s="118"/>
      <c r="C901" s="182"/>
      <c r="D901" s="184"/>
      <c r="E901" s="184"/>
      <c r="F901" s="185"/>
      <c r="G901" s="131"/>
    </row>
    <row r="902" ht="15.75" customHeight="1">
      <c r="A902" s="118"/>
      <c r="B902" s="118"/>
      <c r="C902" s="182"/>
      <c r="D902" s="184"/>
      <c r="E902" s="184"/>
      <c r="F902" s="185"/>
      <c r="G902" s="131"/>
    </row>
    <row r="903" ht="15.75" customHeight="1">
      <c r="A903" s="118"/>
      <c r="B903" s="118"/>
      <c r="C903" s="182"/>
      <c r="D903" s="184"/>
      <c r="E903" s="184"/>
      <c r="F903" s="185"/>
      <c r="G903" s="131"/>
    </row>
    <row r="904" ht="15.75" customHeight="1">
      <c r="A904" s="118"/>
      <c r="B904" s="118"/>
      <c r="C904" s="182"/>
      <c r="D904" s="184"/>
      <c r="E904" s="184"/>
      <c r="F904" s="185"/>
      <c r="G904" s="131"/>
    </row>
    <row r="905" ht="15.75" customHeight="1">
      <c r="A905" s="118"/>
      <c r="B905" s="118"/>
      <c r="C905" s="182"/>
      <c r="D905" s="184"/>
      <c r="E905" s="184"/>
      <c r="F905" s="185"/>
      <c r="G905" s="131"/>
    </row>
    <row r="906" ht="15.75" customHeight="1">
      <c r="A906" s="118"/>
      <c r="B906" s="118"/>
      <c r="C906" s="182"/>
      <c r="D906" s="184"/>
      <c r="E906" s="184"/>
      <c r="F906" s="185"/>
      <c r="G906" s="131"/>
    </row>
    <row r="907" ht="15.75" customHeight="1">
      <c r="A907" s="118"/>
      <c r="B907" s="118"/>
      <c r="C907" s="182"/>
      <c r="D907" s="184"/>
      <c r="E907" s="184"/>
      <c r="F907" s="185"/>
      <c r="G907" s="131"/>
    </row>
    <row r="908" ht="15.75" customHeight="1">
      <c r="A908" s="118"/>
      <c r="B908" s="118"/>
      <c r="C908" s="182"/>
      <c r="D908" s="184"/>
      <c r="E908" s="184"/>
      <c r="F908" s="185"/>
      <c r="G908" s="131"/>
    </row>
    <row r="909" ht="15.75" customHeight="1">
      <c r="A909" s="118"/>
      <c r="B909" s="118"/>
      <c r="C909" s="182"/>
      <c r="D909" s="184"/>
      <c r="E909" s="184"/>
      <c r="F909" s="185"/>
      <c r="G909" s="131"/>
    </row>
    <row r="910" ht="15.75" customHeight="1">
      <c r="A910" s="118"/>
      <c r="B910" s="118"/>
      <c r="C910" s="182"/>
      <c r="D910" s="184"/>
      <c r="E910" s="184"/>
      <c r="F910" s="185"/>
      <c r="G910" s="131"/>
    </row>
    <row r="911" ht="15.75" customHeight="1">
      <c r="A911" s="118"/>
      <c r="B911" s="118"/>
      <c r="C911" s="182"/>
      <c r="D911" s="184"/>
      <c r="E911" s="184"/>
      <c r="F911" s="185"/>
      <c r="G911" s="131"/>
    </row>
    <row r="912" ht="15.75" customHeight="1">
      <c r="A912" s="118"/>
      <c r="B912" s="118"/>
      <c r="C912" s="182"/>
      <c r="D912" s="184"/>
      <c r="E912" s="184"/>
      <c r="F912" s="185"/>
      <c r="G912" s="131"/>
    </row>
    <row r="913" ht="15.75" customHeight="1">
      <c r="A913" s="118"/>
      <c r="B913" s="118"/>
      <c r="C913" s="182"/>
      <c r="D913" s="184"/>
      <c r="E913" s="184"/>
      <c r="F913" s="185"/>
      <c r="G913" s="131"/>
    </row>
    <row r="914" ht="15.75" customHeight="1">
      <c r="A914" s="118"/>
      <c r="B914" s="118"/>
      <c r="C914" s="182"/>
      <c r="D914" s="184"/>
      <c r="E914" s="184"/>
      <c r="F914" s="185"/>
      <c r="G914" s="131"/>
    </row>
    <row r="915" ht="15.75" customHeight="1">
      <c r="A915" s="118"/>
      <c r="B915" s="118"/>
      <c r="C915" s="182"/>
      <c r="D915" s="184"/>
      <c r="E915" s="184"/>
      <c r="F915" s="185"/>
      <c r="G915" s="131"/>
    </row>
    <row r="916" ht="15.75" customHeight="1">
      <c r="A916" s="118"/>
      <c r="B916" s="118"/>
      <c r="C916" s="182"/>
      <c r="D916" s="184"/>
      <c r="E916" s="184"/>
      <c r="F916" s="185"/>
      <c r="G916" s="131"/>
    </row>
    <row r="917" ht="15.75" customHeight="1">
      <c r="A917" s="118"/>
      <c r="B917" s="118"/>
      <c r="C917" s="182"/>
      <c r="D917" s="184"/>
      <c r="E917" s="184"/>
      <c r="F917" s="185"/>
      <c r="G917" s="131"/>
    </row>
    <row r="918" ht="15.75" customHeight="1">
      <c r="A918" s="118"/>
      <c r="B918" s="118"/>
      <c r="C918" s="182"/>
      <c r="D918" s="184"/>
      <c r="E918" s="184"/>
      <c r="F918" s="185"/>
      <c r="G918" s="131"/>
    </row>
    <row r="919" ht="15.75" customHeight="1">
      <c r="A919" s="118"/>
      <c r="B919" s="118"/>
      <c r="C919" s="182"/>
      <c r="D919" s="184"/>
      <c r="E919" s="184"/>
      <c r="F919" s="185"/>
      <c r="G919" s="131"/>
    </row>
    <row r="920" ht="15.75" customHeight="1">
      <c r="A920" s="118"/>
      <c r="B920" s="118"/>
      <c r="C920" s="182"/>
      <c r="D920" s="184"/>
      <c r="E920" s="184"/>
      <c r="F920" s="185"/>
      <c r="G920" s="131"/>
    </row>
    <row r="921" ht="15.75" customHeight="1">
      <c r="A921" s="118"/>
      <c r="B921" s="118"/>
      <c r="C921" s="182"/>
      <c r="D921" s="184"/>
      <c r="E921" s="184"/>
      <c r="F921" s="185"/>
      <c r="G921" s="131"/>
    </row>
    <row r="922" ht="15.75" customHeight="1">
      <c r="A922" s="118"/>
      <c r="B922" s="118"/>
      <c r="C922" s="182"/>
      <c r="D922" s="184"/>
      <c r="E922" s="184"/>
      <c r="F922" s="185"/>
      <c r="G922" s="131"/>
    </row>
    <row r="923" ht="15.75" customHeight="1">
      <c r="A923" s="118"/>
      <c r="B923" s="118"/>
      <c r="C923" s="182"/>
      <c r="D923" s="184"/>
      <c r="E923" s="184"/>
      <c r="F923" s="185"/>
      <c r="G923" s="131"/>
    </row>
    <row r="924" ht="15.75" customHeight="1">
      <c r="A924" s="118"/>
      <c r="B924" s="118"/>
      <c r="C924" s="182"/>
      <c r="D924" s="184"/>
      <c r="E924" s="184"/>
      <c r="F924" s="185"/>
      <c r="G924" s="131"/>
    </row>
    <row r="925" ht="15.75" customHeight="1">
      <c r="A925" s="118"/>
      <c r="B925" s="118"/>
      <c r="C925" s="182"/>
      <c r="D925" s="184"/>
      <c r="E925" s="184"/>
      <c r="F925" s="185"/>
      <c r="G925" s="131"/>
    </row>
    <row r="926" ht="15.75" customHeight="1">
      <c r="A926" s="118"/>
      <c r="B926" s="118"/>
      <c r="C926" s="182"/>
      <c r="D926" s="184"/>
      <c r="E926" s="184"/>
      <c r="F926" s="185"/>
      <c r="G926" s="131"/>
    </row>
    <row r="927" ht="15.75" customHeight="1">
      <c r="A927" s="118"/>
      <c r="B927" s="118"/>
      <c r="C927" s="182"/>
      <c r="D927" s="184"/>
      <c r="E927" s="184"/>
      <c r="F927" s="185"/>
      <c r="G927" s="131"/>
    </row>
    <row r="928" ht="15.75" customHeight="1">
      <c r="A928" s="118"/>
      <c r="B928" s="118"/>
      <c r="C928" s="182"/>
      <c r="D928" s="184"/>
      <c r="E928" s="184"/>
      <c r="F928" s="185"/>
      <c r="G928" s="131"/>
    </row>
    <row r="929" ht="15.75" customHeight="1">
      <c r="A929" s="118"/>
      <c r="B929" s="118"/>
      <c r="C929" s="182"/>
      <c r="D929" s="184"/>
      <c r="E929" s="184"/>
      <c r="F929" s="185"/>
      <c r="G929" s="131"/>
    </row>
    <row r="930" ht="15.75" customHeight="1">
      <c r="A930" s="118"/>
      <c r="B930" s="118"/>
      <c r="C930" s="182"/>
      <c r="D930" s="184"/>
      <c r="E930" s="184"/>
      <c r="F930" s="185"/>
      <c r="G930" s="131"/>
    </row>
    <row r="931" ht="15.75" customHeight="1">
      <c r="A931" s="118"/>
      <c r="B931" s="118"/>
      <c r="C931" s="182"/>
      <c r="D931" s="184"/>
      <c r="E931" s="184"/>
      <c r="F931" s="185"/>
      <c r="G931" s="131"/>
    </row>
    <row r="932" ht="15.75" customHeight="1">
      <c r="A932" s="118"/>
      <c r="B932" s="118"/>
      <c r="C932" s="182"/>
      <c r="D932" s="184"/>
      <c r="E932" s="184"/>
      <c r="F932" s="185"/>
      <c r="G932" s="131"/>
    </row>
    <row r="933" ht="15.75" customHeight="1">
      <c r="A933" s="118"/>
      <c r="B933" s="118"/>
      <c r="C933" s="182"/>
      <c r="D933" s="184"/>
      <c r="E933" s="184"/>
      <c r="F933" s="185"/>
      <c r="G933" s="131"/>
    </row>
    <row r="934" ht="15.75" customHeight="1">
      <c r="A934" s="118"/>
      <c r="B934" s="118"/>
      <c r="C934" s="182"/>
      <c r="D934" s="184"/>
      <c r="E934" s="184"/>
      <c r="F934" s="185"/>
      <c r="G934" s="131"/>
    </row>
    <row r="935" ht="15.75" customHeight="1">
      <c r="A935" s="118"/>
      <c r="B935" s="118"/>
      <c r="C935" s="182"/>
      <c r="D935" s="184"/>
      <c r="E935" s="184"/>
      <c r="F935" s="185"/>
      <c r="G935" s="131"/>
    </row>
    <row r="936" ht="15.75" customHeight="1">
      <c r="A936" s="118"/>
      <c r="B936" s="118"/>
      <c r="C936" s="182"/>
      <c r="D936" s="184"/>
      <c r="E936" s="184"/>
      <c r="F936" s="185"/>
      <c r="G936" s="131"/>
    </row>
    <row r="937" ht="15.75" customHeight="1">
      <c r="A937" s="118"/>
      <c r="B937" s="118"/>
      <c r="C937" s="182"/>
      <c r="D937" s="184"/>
      <c r="E937" s="184"/>
      <c r="F937" s="185"/>
      <c r="G937" s="131"/>
    </row>
    <row r="938" ht="15.75" customHeight="1">
      <c r="A938" s="118"/>
      <c r="B938" s="118"/>
      <c r="C938" s="182"/>
      <c r="D938" s="184"/>
      <c r="E938" s="184"/>
      <c r="F938" s="185"/>
      <c r="G938" s="131"/>
    </row>
    <row r="939" ht="15.75" customHeight="1">
      <c r="A939" s="118"/>
      <c r="B939" s="118"/>
      <c r="C939" s="182"/>
      <c r="D939" s="184"/>
      <c r="E939" s="184"/>
      <c r="F939" s="185"/>
      <c r="G939" s="131"/>
    </row>
    <row r="940" ht="15.75" customHeight="1">
      <c r="A940" s="118"/>
      <c r="B940" s="118"/>
      <c r="C940" s="182"/>
      <c r="D940" s="184"/>
      <c r="E940" s="184"/>
      <c r="F940" s="185"/>
      <c r="G940" s="131"/>
    </row>
    <row r="941" ht="15.75" customHeight="1">
      <c r="A941" s="118"/>
      <c r="B941" s="118"/>
      <c r="C941" s="182"/>
      <c r="D941" s="184"/>
      <c r="E941" s="184"/>
      <c r="F941" s="185"/>
      <c r="G941" s="131"/>
    </row>
    <row r="942" ht="15.75" customHeight="1">
      <c r="A942" s="118"/>
      <c r="B942" s="118"/>
      <c r="C942" s="182"/>
      <c r="D942" s="184"/>
      <c r="E942" s="184"/>
      <c r="F942" s="185"/>
      <c r="G942" s="131"/>
    </row>
    <row r="943" ht="15.75" customHeight="1">
      <c r="A943" s="118"/>
      <c r="B943" s="118"/>
      <c r="C943" s="182"/>
      <c r="D943" s="184"/>
      <c r="E943" s="184"/>
      <c r="F943" s="185"/>
      <c r="G943" s="131"/>
    </row>
    <row r="944" ht="15.75" customHeight="1">
      <c r="A944" s="118"/>
      <c r="B944" s="118"/>
      <c r="C944" s="182"/>
      <c r="D944" s="184"/>
      <c r="E944" s="184"/>
      <c r="F944" s="185"/>
      <c r="G944" s="131"/>
    </row>
    <row r="945" ht="15.75" customHeight="1">
      <c r="A945" s="118"/>
      <c r="B945" s="118"/>
      <c r="C945" s="182"/>
      <c r="D945" s="184"/>
      <c r="E945" s="184"/>
      <c r="F945" s="185"/>
      <c r="G945" s="131"/>
    </row>
    <row r="946" ht="15.75" customHeight="1">
      <c r="A946" s="118"/>
      <c r="B946" s="118"/>
      <c r="C946" s="182"/>
      <c r="D946" s="184"/>
      <c r="E946" s="184"/>
      <c r="F946" s="185"/>
      <c r="G946" s="131"/>
    </row>
    <row r="947" ht="15.75" customHeight="1">
      <c r="A947" s="118"/>
      <c r="B947" s="118"/>
      <c r="C947" s="182"/>
      <c r="D947" s="184"/>
      <c r="E947" s="184"/>
      <c r="F947" s="185"/>
      <c r="G947" s="131"/>
    </row>
    <row r="948" ht="15.75" customHeight="1">
      <c r="A948" s="118"/>
      <c r="B948" s="118"/>
      <c r="C948" s="182"/>
      <c r="D948" s="184"/>
      <c r="E948" s="184"/>
      <c r="F948" s="185"/>
      <c r="G948" s="131"/>
    </row>
    <row r="949" ht="15.75" customHeight="1">
      <c r="A949" s="118"/>
      <c r="B949" s="118"/>
      <c r="C949" s="182"/>
      <c r="D949" s="184"/>
      <c r="E949" s="184"/>
      <c r="F949" s="185"/>
      <c r="G949" s="131"/>
    </row>
    <row r="950" ht="15.75" customHeight="1">
      <c r="A950" s="118"/>
      <c r="B950" s="118"/>
      <c r="C950" s="182"/>
      <c r="D950" s="184"/>
      <c r="E950" s="184"/>
      <c r="F950" s="185"/>
      <c r="G950" s="131"/>
    </row>
    <row r="951" ht="15.75" customHeight="1">
      <c r="A951" s="118"/>
      <c r="B951" s="118"/>
      <c r="C951" s="182"/>
      <c r="D951" s="184"/>
      <c r="E951" s="184"/>
      <c r="F951" s="185"/>
      <c r="G951" s="131"/>
    </row>
    <row r="952" ht="15.75" customHeight="1">
      <c r="A952" s="118"/>
      <c r="B952" s="118"/>
      <c r="C952" s="182"/>
      <c r="D952" s="184"/>
      <c r="E952" s="184"/>
      <c r="F952" s="185"/>
      <c r="G952" s="131"/>
    </row>
    <row r="953" ht="15.75" customHeight="1">
      <c r="A953" s="118"/>
      <c r="B953" s="118"/>
      <c r="C953" s="182"/>
      <c r="D953" s="184"/>
      <c r="E953" s="184"/>
      <c r="F953" s="185"/>
      <c r="G953" s="131"/>
    </row>
    <row r="954" ht="15.75" customHeight="1">
      <c r="A954" s="118"/>
      <c r="B954" s="118"/>
      <c r="C954" s="182"/>
      <c r="D954" s="184"/>
      <c r="E954" s="184"/>
      <c r="F954" s="185"/>
      <c r="G954" s="131"/>
    </row>
    <row r="955" ht="15.75" customHeight="1">
      <c r="A955" s="118"/>
      <c r="B955" s="118"/>
      <c r="C955" s="182"/>
      <c r="D955" s="184"/>
      <c r="E955" s="184"/>
      <c r="F955" s="185"/>
      <c r="G955" s="131"/>
    </row>
    <row r="956" ht="15.75" customHeight="1">
      <c r="A956" s="118"/>
      <c r="B956" s="118"/>
      <c r="C956" s="182"/>
      <c r="D956" s="184"/>
      <c r="E956" s="184"/>
      <c r="F956" s="185"/>
      <c r="G956" s="131"/>
    </row>
    <row r="957" ht="15.75" customHeight="1">
      <c r="A957" s="118"/>
      <c r="B957" s="118"/>
      <c r="C957" s="182"/>
      <c r="D957" s="184"/>
      <c r="E957" s="184"/>
      <c r="F957" s="185"/>
      <c r="G957" s="131"/>
    </row>
    <row r="958" ht="15.75" customHeight="1">
      <c r="A958" s="118"/>
      <c r="B958" s="118"/>
      <c r="C958" s="182"/>
      <c r="D958" s="184"/>
      <c r="E958" s="184"/>
      <c r="F958" s="185"/>
      <c r="G958" s="131"/>
    </row>
    <row r="959" ht="15.75" customHeight="1">
      <c r="A959" s="118"/>
      <c r="B959" s="118"/>
      <c r="C959" s="182"/>
      <c r="D959" s="184"/>
      <c r="E959" s="184"/>
      <c r="F959" s="185"/>
      <c r="G959" s="131"/>
    </row>
    <row r="960" ht="15.75" customHeight="1">
      <c r="A960" s="118"/>
      <c r="B960" s="118"/>
      <c r="C960" s="182"/>
      <c r="D960" s="184"/>
      <c r="E960" s="184"/>
      <c r="F960" s="185"/>
      <c r="G960" s="131"/>
    </row>
    <row r="961" ht="15.75" customHeight="1">
      <c r="A961" s="118"/>
      <c r="B961" s="118"/>
      <c r="C961" s="182"/>
      <c r="D961" s="184"/>
      <c r="E961" s="184"/>
      <c r="F961" s="185"/>
      <c r="G961" s="131"/>
    </row>
    <row r="962" ht="15.75" customHeight="1">
      <c r="A962" s="118"/>
      <c r="B962" s="118"/>
      <c r="C962" s="182"/>
      <c r="D962" s="184"/>
      <c r="E962" s="184"/>
      <c r="F962" s="185"/>
      <c r="G962" s="131"/>
    </row>
    <row r="963" ht="15.75" customHeight="1">
      <c r="A963" s="118"/>
      <c r="B963" s="118"/>
      <c r="C963" s="182"/>
      <c r="D963" s="184"/>
      <c r="E963" s="184"/>
      <c r="F963" s="185"/>
      <c r="G963" s="131"/>
    </row>
    <row r="964" ht="15.75" customHeight="1">
      <c r="A964" s="118"/>
      <c r="B964" s="118"/>
      <c r="C964" s="182"/>
      <c r="D964" s="184"/>
      <c r="E964" s="184"/>
      <c r="F964" s="185"/>
      <c r="G964" s="131"/>
    </row>
    <row r="965" ht="15.75" customHeight="1">
      <c r="A965" s="118"/>
      <c r="B965" s="118"/>
      <c r="C965" s="182"/>
      <c r="D965" s="184"/>
      <c r="E965" s="184"/>
      <c r="F965" s="185"/>
      <c r="G965" s="131"/>
    </row>
    <row r="966" ht="15.75" customHeight="1">
      <c r="A966" s="118"/>
      <c r="B966" s="118"/>
      <c r="C966" s="182"/>
      <c r="D966" s="184"/>
      <c r="E966" s="184"/>
      <c r="F966" s="185"/>
      <c r="G966" s="131"/>
    </row>
    <row r="967" ht="15.75" customHeight="1">
      <c r="A967" s="118"/>
      <c r="B967" s="118"/>
      <c r="C967" s="182"/>
      <c r="D967" s="184"/>
      <c r="E967" s="184"/>
      <c r="F967" s="185"/>
      <c r="G967" s="131"/>
    </row>
    <row r="968" ht="15.75" customHeight="1">
      <c r="A968" s="118"/>
      <c r="B968" s="118"/>
      <c r="C968" s="182"/>
      <c r="D968" s="184"/>
      <c r="E968" s="184"/>
      <c r="F968" s="185"/>
      <c r="G968" s="131"/>
    </row>
    <row r="969" ht="15.75" customHeight="1">
      <c r="A969" s="118"/>
      <c r="B969" s="118"/>
      <c r="C969" s="182"/>
      <c r="D969" s="184"/>
      <c r="E969" s="184"/>
      <c r="F969" s="185"/>
      <c r="G969" s="131"/>
    </row>
    <row r="970" ht="15.75" customHeight="1">
      <c r="A970" s="118"/>
      <c r="B970" s="118"/>
      <c r="C970" s="182"/>
      <c r="D970" s="184"/>
      <c r="E970" s="184"/>
      <c r="F970" s="185"/>
      <c r="G970" s="131"/>
    </row>
    <row r="971" ht="15.75" customHeight="1">
      <c r="A971" s="118"/>
      <c r="B971" s="118"/>
      <c r="C971" s="182"/>
      <c r="D971" s="184"/>
      <c r="E971" s="184"/>
      <c r="F971" s="185"/>
      <c r="G971" s="131"/>
    </row>
    <row r="972" ht="15.75" customHeight="1">
      <c r="A972" s="118"/>
      <c r="B972" s="118"/>
      <c r="C972" s="182"/>
      <c r="D972" s="184"/>
      <c r="E972" s="184"/>
      <c r="F972" s="185"/>
      <c r="G972" s="131"/>
    </row>
    <row r="973" ht="15.75" customHeight="1">
      <c r="A973" s="118"/>
      <c r="B973" s="118"/>
      <c r="C973" s="182"/>
      <c r="D973" s="184"/>
      <c r="E973" s="184"/>
      <c r="F973" s="185"/>
      <c r="G973" s="131"/>
    </row>
    <row r="974" ht="15.75" customHeight="1">
      <c r="A974" s="118"/>
      <c r="B974" s="118"/>
      <c r="C974" s="182"/>
      <c r="D974" s="184"/>
      <c r="E974" s="184"/>
      <c r="F974" s="185"/>
      <c r="G974" s="131"/>
    </row>
    <row r="975" ht="15.75" customHeight="1">
      <c r="A975" s="118"/>
      <c r="B975" s="118"/>
      <c r="C975" s="182"/>
      <c r="D975" s="184"/>
      <c r="E975" s="184"/>
      <c r="F975" s="185"/>
      <c r="G975" s="131"/>
    </row>
    <row r="976" ht="15.75" customHeight="1">
      <c r="A976" s="118"/>
      <c r="B976" s="118"/>
      <c r="C976" s="182"/>
      <c r="D976" s="184"/>
      <c r="E976" s="184"/>
      <c r="F976" s="185"/>
      <c r="G976" s="131"/>
    </row>
    <row r="977" ht="15.75" customHeight="1">
      <c r="A977" s="118"/>
      <c r="B977" s="118"/>
      <c r="C977" s="182"/>
      <c r="D977" s="184"/>
      <c r="E977" s="184"/>
      <c r="F977" s="185"/>
      <c r="G977" s="131"/>
    </row>
    <row r="978" ht="15.75" customHeight="1">
      <c r="A978" s="118"/>
      <c r="B978" s="118"/>
      <c r="C978" s="182"/>
      <c r="D978" s="184"/>
      <c r="E978" s="184"/>
      <c r="F978" s="185"/>
      <c r="G978" s="131"/>
    </row>
    <row r="979" ht="15.75" customHeight="1">
      <c r="A979" s="118"/>
      <c r="B979" s="118"/>
      <c r="C979" s="182"/>
      <c r="D979" s="184"/>
      <c r="E979" s="184"/>
      <c r="F979" s="185"/>
      <c r="G979" s="131"/>
    </row>
    <row r="980" ht="15.75" customHeight="1">
      <c r="A980" s="118"/>
      <c r="B980" s="118"/>
      <c r="C980" s="182"/>
      <c r="D980" s="184"/>
      <c r="E980" s="184"/>
      <c r="F980" s="185"/>
      <c r="G980" s="131"/>
    </row>
    <row r="981" ht="15.75" customHeight="1">
      <c r="A981" s="118"/>
      <c r="B981" s="118"/>
      <c r="C981" s="182"/>
      <c r="D981" s="184"/>
      <c r="E981" s="184"/>
      <c r="F981" s="185"/>
      <c r="G981" s="131"/>
    </row>
    <row r="982" ht="15.75" customHeight="1">
      <c r="A982" s="118"/>
      <c r="B982" s="118"/>
      <c r="C982" s="182"/>
      <c r="D982" s="184"/>
      <c r="E982" s="184"/>
      <c r="F982" s="185"/>
      <c r="G982" s="131"/>
    </row>
    <row r="983" ht="15.75" customHeight="1">
      <c r="A983" s="118"/>
      <c r="B983" s="118"/>
      <c r="C983" s="182"/>
      <c r="D983" s="184"/>
      <c r="E983" s="184"/>
      <c r="F983" s="185"/>
      <c r="G983" s="131"/>
    </row>
    <row r="984" ht="15.75" customHeight="1">
      <c r="A984" s="118"/>
      <c r="B984" s="118"/>
      <c r="C984" s="182"/>
      <c r="D984" s="184"/>
      <c r="E984" s="184"/>
      <c r="F984" s="185"/>
      <c r="G984" s="131"/>
    </row>
    <row r="985" ht="15.75" customHeight="1">
      <c r="A985" s="118"/>
      <c r="B985" s="118"/>
      <c r="C985" s="182"/>
      <c r="D985" s="184"/>
      <c r="E985" s="184"/>
      <c r="F985" s="185"/>
      <c r="G985" s="131"/>
    </row>
    <row r="986" ht="15.75" customHeight="1">
      <c r="A986" s="118"/>
      <c r="B986" s="118"/>
      <c r="C986" s="182"/>
      <c r="D986" s="184"/>
      <c r="E986" s="184"/>
      <c r="F986" s="185"/>
      <c r="G986" s="131"/>
    </row>
    <row r="987" ht="15.75" customHeight="1">
      <c r="A987" s="118"/>
      <c r="B987" s="118"/>
      <c r="C987" s="182"/>
      <c r="D987" s="184"/>
      <c r="E987" s="184"/>
      <c r="F987" s="185"/>
      <c r="G987" s="131"/>
    </row>
    <row r="988" ht="15.75" customHeight="1">
      <c r="A988" s="118"/>
      <c r="B988" s="118"/>
      <c r="C988" s="182"/>
      <c r="D988" s="184"/>
      <c r="E988" s="184"/>
      <c r="F988" s="185"/>
      <c r="G988" s="131"/>
    </row>
    <row r="989" ht="15.75" customHeight="1">
      <c r="A989" s="118"/>
      <c r="B989" s="118"/>
      <c r="C989" s="182"/>
      <c r="D989" s="184"/>
      <c r="E989" s="184"/>
      <c r="F989" s="185"/>
      <c r="G989" s="131"/>
    </row>
    <row r="990" ht="15.75" customHeight="1">
      <c r="A990" s="118"/>
      <c r="B990" s="118"/>
      <c r="C990" s="182"/>
      <c r="D990" s="184"/>
      <c r="E990" s="184"/>
      <c r="F990" s="185"/>
      <c r="G990" s="131"/>
    </row>
    <row r="991" ht="15.75" customHeight="1">
      <c r="A991" s="186"/>
      <c r="B991" s="186"/>
      <c r="C991" s="187"/>
      <c r="D991" s="188"/>
      <c r="E991" s="188"/>
      <c r="F991" s="189"/>
      <c r="G991" s="190"/>
    </row>
    <row r="992" ht="15.75" customHeight="1">
      <c r="A992" s="186"/>
      <c r="B992" s="186"/>
      <c r="C992" s="187"/>
      <c r="D992" s="188"/>
      <c r="E992" s="188"/>
      <c r="F992" s="189"/>
      <c r="G992" s="190"/>
    </row>
    <row r="993" ht="15.75" customHeight="1">
      <c r="A993" s="186"/>
      <c r="B993" s="186"/>
      <c r="C993" s="187"/>
      <c r="D993" s="188"/>
      <c r="E993" s="188"/>
      <c r="F993" s="189"/>
      <c r="G993" s="190"/>
    </row>
    <row r="994" ht="15.75" customHeight="1">
      <c r="A994" s="186"/>
      <c r="B994" s="186"/>
      <c r="C994" s="187"/>
      <c r="D994" s="188"/>
      <c r="E994" s="188"/>
      <c r="F994" s="189"/>
      <c r="G994" s="190"/>
    </row>
    <row r="995" ht="15.75" customHeight="1">
      <c r="A995" s="186"/>
      <c r="B995" s="186"/>
      <c r="C995" s="187"/>
      <c r="D995" s="188"/>
      <c r="E995" s="188"/>
      <c r="F995" s="189"/>
      <c r="G995" s="190"/>
    </row>
    <row r="996" ht="15.75" customHeight="1">
      <c r="A996" s="186"/>
      <c r="B996" s="186"/>
      <c r="C996" s="187"/>
      <c r="D996" s="188"/>
      <c r="E996" s="188"/>
      <c r="F996" s="189"/>
      <c r="G996" s="190"/>
    </row>
    <row r="997" ht="15.75" customHeight="1">
      <c r="A997" s="186"/>
      <c r="B997" s="186"/>
      <c r="C997" s="187"/>
      <c r="D997" s="188"/>
      <c r="E997" s="188"/>
      <c r="F997" s="189"/>
      <c r="G997" s="190"/>
    </row>
    <row r="998" ht="15.75" customHeight="1">
      <c r="A998" s="186"/>
      <c r="B998" s="186"/>
      <c r="C998" s="187"/>
      <c r="D998" s="188"/>
      <c r="E998" s="188"/>
      <c r="F998" s="189"/>
      <c r="G998" s="190"/>
    </row>
    <row r="999" ht="15.75" customHeight="1">
      <c r="A999" s="186"/>
      <c r="B999" s="186"/>
      <c r="C999" s="186"/>
      <c r="D999" s="188"/>
      <c r="E999" s="188"/>
      <c r="F999" s="189"/>
      <c r="G999" s="190"/>
    </row>
    <row r="1000" ht="15.75" customHeight="1">
      <c r="A1000" s="186"/>
      <c r="B1000" s="186"/>
      <c r="C1000" s="186"/>
      <c r="D1000" s="188"/>
      <c r="E1000" s="188"/>
      <c r="F1000" s="189"/>
      <c r="G1000" s="190"/>
    </row>
    <row r="1001" ht="15.75" customHeight="1">
      <c r="A1001" s="186"/>
      <c r="B1001" s="186"/>
      <c r="C1001" s="186"/>
      <c r="D1001" s="188"/>
      <c r="E1001" s="188"/>
      <c r="F1001" s="189"/>
      <c r="G1001" s="190"/>
    </row>
    <row r="1002" ht="15.75" customHeight="1">
      <c r="A1002" s="186"/>
      <c r="B1002" s="186"/>
      <c r="C1002" s="186"/>
      <c r="D1002" s="188"/>
      <c r="E1002" s="188"/>
      <c r="F1002" s="189"/>
      <c r="G1002" s="190"/>
    </row>
    <row r="1003" ht="15.75" customHeight="1">
      <c r="A1003" s="186"/>
      <c r="B1003" s="186"/>
      <c r="C1003" s="186"/>
      <c r="D1003" s="188"/>
      <c r="E1003" s="188"/>
      <c r="F1003" s="189"/>
      <c r="G1003" s="190"/>
    </row>
    <row r="1004" ht="15.75" customHeight="1">
      <c r="A1004" s="186"/>
      <c r="B1004" s="186"/>
      <c r="C1004" s="186"/>
      <c r="D1004" s="188"/>
      <c r="E1004" s="188"/>
      <c r="F1004" s="189"/>
      <c r="G1004" s="190"/>
    </row>
    <row r="1005" ht="15.75" customHeight="1">
      <c r="A1005" s="186"/>
      <c r="B1005" s="186"/>
      <c r="C1005" s="186"/>
      <c r="D1005" s="188"/>
      <c r="E1005" s="188"/>
      <c r="F1005" s="189"/>
      <c r="G1005" s="190"/>
    </row>
    <row r="1006" ht="15.75" customHeight="1">
      <c r="A1006" s="186"/>
      <c r="B1006" s="186"/>
      <c r="C1006" s="186"/>
      <c r="D1006" s="188"/>
      <c r="E1006" s="188"/>
      <c r="F1006" s="189"/>
      <c r="G1006" s="190"/>
    </row>
    <row r="1007" ht="15.75" customHeight="1">
      <c r="A1007" s="186"/>
      <c r="B1007" s="186"/>
      <c r="C1007" s="186"/>
      <c r="D1007" s="188"/>
      <c r="E1007" s="188"/>
      <c r="F1007" s="189"/>
      <c r="G1007" s="190"/>
    </row>
    <row r="1008" ht="15.75" customHeight="1">
      <c r="A1008" s="186"/>
      <c r="B1008" s="186"/>
      <c r="C1008" s="186"/>
      <c r="D1008" s="188"/>
      <c r="E1008" s="188"/>
      <c r="F1008" s="189"/>
      <c r="G1008" s="190"/>
    </row>
    <row r="1009" ht="15.75" customHeight="1">
      <c r="A1009" s="186"/>
      <c r="B1009" s="186"/>
      <c r="C1009" s="186"/>
      <c r="D1009" s="188"/>
      <c r="E1009" s="188"/>
      <c r="F1009" s="189"/>
      <c r="G1009" s="190"/>
    </row>
    <row r="1010" ht="15.75" customHeight="1">
      <c r="A1010" s="186"/>
      <c r="B1010" s="186"/>
      <c r="C1010" s="186"/>
      <c r="D1010" s="188"/>
      <c r="E1010" s="188"/>
      <c r="F1010" s="189"/>
      <c r="G1010" s="190"/>
    </row>
    <row r="1011" ht="15.75" customHeight="1">
      <c r="A1011" s="186"/>
      <c r="B1011" s="186"/>
      <c r="C1011" s="186"/>
      <c r="D1011" s="188"/>
      <c r="E1011" s="188"/>
      <c r="F1011" s="189"/>
      <c r="G1011" s="190"/>
    </row>
    <row r="1012" ht="15.75" customHeight="1">
      <c r="A1012" s="186"/>
      <c r="B1012" s="186"/>
      <c r="C1012" s="186"/>
      <c r="D1012" s="188"/>
      <c r="E1012" s="188"/>
      <c r="F1012" s="189"/>
      <c r="G1012" s="190"/>
    </row>
    <row r="1013" ht="15.75" customHeight="1">
      <c r="A1013" s="186"/>
      <c r="B1013" s="186"/>
      <c r="C1013" s="186"/>
      <c r="D1013" s="188"/>
      <c r="E1013" s="188"/>
      <c r="F1013" s="189"/>
      <c r="G1013" s="190"/>
    </row>
    <row r="1014" ht="15.75" customHeight="1">
      <c r="A1014" s="186"/>
      <c r="B1014" s="186"/>
      <c r="C1014" s="186"/>
      <c r="D1014" s="188"/>
      <c r="E1014" s="188"/>
      <c r="F1014" s="189"/>
      <c r="G1014" s="190"/>
    </row>
    <row r="1015" ht="15.75" customHeight="1">
      <c r="A1015" s="186"/>
      <c r="B1015" s="186"/>
      <c r="C1015" s="186"/>
      <c r="D1015" s="188"/>
      <c r="E1015" s="188"/>
      <c r="F1015" s="189"/>
      <c r="G1015" s="190"/>
    </row>
    <row r="1016" ht="15.75" customHeight="1">
      <c r="A1016" s="186"/>
      <c r="B1016" s="186"/>
      <c r="C1016" s="186"/>
      <c r="D1016" s="188"/>
      <c r="E1016" s="188"/>
      <c r="F1016" s="189"/>
      <c r="G1016" s="190"/>
    </row>
    <row r="1017" ht="15.75" customHeight="1">
      <c r="A1017" s="186"/>
      <c r="B1017" s="186"/>
      <c r="C1017" s="186"/>
      <c r="D1017" s="188"/>
      <c r="E1017" s="188"/>
      <c r="F1017" s="189"/>
      <c r="G1017" s="190"/>
    </row>
    <row r="1018" ht="15.75" customHeight="1">
      <c r="A1018" s="186"/>
      <c r="B1018" s="186"/>
      <c r="C1018" s="186"/>
      <c r="D1018" s="188"/>
      <c r="E1018" s="188"/>
      <c r="F1018" s="189"/>
      <c r="G1018" s="190"/>
    </row>
    <row r="1019" ht="15.75" customHeight="1">
      <c r="A1019" s="186"/>
      <c r="B1019" s="186"/>
      <c r="C1019" s="186"/>
      <c r="D1019" s="188"/>
      <c r="E1019" s="188"/>
      <c r="F1019" s="189"/>
      <c r="G1019" s="190"/>
    </row>
    <row r="1020" ht="15.75" customHeight="1">
      <c r="A1020" s="186"/>
      <c r="B1020" s="186"/>
      <c r="C1020" s="186"/>
      <c r="D1020" s="188"/>
      <c r="E1020" s="188"/>
      <c r="F1020" s="189"/>
      <c r="G1020" s="190"/>
    </row>
    <row r="1021" ht="15.75" customHeight="1">
      <c r="A1021" s="186"/>
      <c r="B1021" s="186"/>
      <c r="C1021" s="186"/>
      <c r="D1021" s="188"/>
      <c r="E1021" s="188"/>
      <c r="F1021" s="189"/>
      <c r="G1021" s="190"/>
    </row>
    <row r="1022" ht="15.75" customHeight="1">
      <c r="A1022" s="186"/>
      <c r="B1022" s="186"/>
      <c r="C1022" s="186"/>
      <c r="D1022" s="188"/>
      <c r="E1022" s="188"/>
      <c r="F1022" s="189"/>
      <c r="G1022" s="190"/>
    </row>
    <row r="1023" ht="15.75" customHeight="1">
      <c r="A1023" s="186"/>
      <c r="B1023" s="186"/>
      <c r="C1023" s="186"/>
      <c r="D1023" s="188"/>
      <c r="E1023" s="188"/>
      <c r="F1023" s="189"/>
      <c r="G1023" s="190"/>
    </row>
    <row r="1024" ht="15.75" customHeight="1">
      <c r="A1024" s="186"/>
      <c r="B1024" s="186"/>
      <c r="C1024" s="186"/>
      <c r="D1024" s="188"/>
      <c r="E1024" s="188"/>
      <c r="F1024" s="189"/>
      <c r="G1024" s="190"/>
    </row>
    <row r="1025" ht="15.75" customHeight="1">
      <c r="A1025" s="186"/>
      <c r="B1025" s="186"/>
      <c r="C1025" s="186"/>
      <c r="D1025" s="188"/>
      <c r="E1025" s="188"/>
      <c r="F1025" s="189"/>
      <c r="G1025" s="190"/>
    </row>
    <row r="1026" ht="15.75" customHeight="1">
      <c r="A1026" s="186"/>
      <c r="B1026" s="186"/>
      <c r="C1026" s="186"/>
      <c r="D1026" s="188"/>
      <c r="E1026" s="188"/>
      <c r="F1026" s="189"/>
      <c r="G1026" s="190"/>
    </row>
    <row r="1027" ht="15.75" customHeight="1">
      <c r="A1027" s="186"/>
      <c r="B1027" s="186"/>
      <c r="C1027" s="186"/>
      <c r="D1027" s="188"/>
      <c r="E1027" s="188"/>
      <c r="F1027" s="189"/>
      <c r="G1027" s="190"/>
    </row>
    <row r="1028" ht="15.75" customHeight="1">
      <c r="A1028" s="186"/>
      <c r="B1028" s="186"/>
      <c r="C1028" s="186"/>
      <c r="D1028" s="188"/>
      <c r="E1028" s="188"/>
      <c r="F1028" s="189"/>
      <c r="G1028" s="190"/>
    </row>
    <row r="1029" ht="15.75" customHeight="1">
      <c r="A1029" s="186"/>
      <c r="B1029" s="186"/>
      <c r="C1029" s="186"/>
      <c r="D1029" s="188"/>
      <c r="E1029" s="188"/>
      <c r="F1029" s="189"/>
      <c r="G1029" s="190"/>
    </row>
    <row r="1030" ht="15.75" customHeight="1">
      <c r="A1030" s="186"/>
      <c r="B1030" s="186"/>
      <c r="C1030" s="186"/>
      <c r="D1030" s="188"/>
      <c r="E1030" s="188"/>
      <c r="F1030" s="189"/>
      <c r="G1030" s="190"/>
    </row>
    <row r="1031" ht="15.75" customHeight="1">
      <c r="A1031" s="186"/>
      <c r="B1031" s="186"/>
      <c r="C1031" s="186"/>
      <c r="D1031" s="188"/>
      <c r="E1031" s="188"/>
      <c r="F1031" s="189"/>
      <c r="G1031" s="190"/>
    </row>
    <row r="1032" ht="15.75" customHeight="1">
      <c r="A1032" s="186"/>
      <c r="B1032" s="186"/>
      <c r="C1032" s="186"/>
      <c r="D1032" s="188"/>
      <c r="E1032" s="188"/>
      <c r="F1032" s="189"/>
      <c r="G1032" s="190"/>
    </row>
    <row r="1033" ht="15.75" customHeight="1">
      <c r="A1033" s="186"/>
      <c r="B1033" s="186"/>
      <c r="C1033" s="186"/>
      <c r="D1033" s="188"/>
      <c r="E1033" s="188"/>
      <c r="F1033" s="189"/>
      <c r="G1033" s="190"/>
    </row>
    <row r="1034" ht="15.75" customHeight="1">
      <c r="A1034" s="186"/>
      <c r="B1034" s="186"/>
      <c r="C1034" s="186"/>
      <c r="D1034" s="188"/>
      <c r="E1034" s="188"/>
      <c r="F1034" s="189"/>
      <c r="G1034" s="190"/>
    </row>
    <row r="1035" ht="15.75" customHeight="1">
      <c r="A1035" s="186"/>
      <c r="B1035" s="186"/>
      <c r="C1035" s="186"/>
      <c r="D1035" s="188"/>
      <c r="E1035" s="188"/>
      <c r="F1035" s="189"/>
      <c r="G1035" s="190"/>
    </row>
    <row r="1036" ht="15.75" customHeight="1">
      <c r="A1036" s="186"/>
      <c r="B1036" s="186"/>
      <c r="C1036" s="186"/>
      <c r="D1036" s="188"/>
      <c r="E1036" s="188"/>
      <c r="F1036" s="189"/>
      <c r="G1036" s="190"/>
    </row>
    <row r="1037" ht="15.75" customHeight="1">
      <c r="A1037" s="186"/>
      <c r="B1037" s="186"/>
      <c r="C1037" s="186"/>
      <c r="D1037" s="188"/>
      <c r="E1037" s="188"/>
      <c r="F1037" s="189"/>
      <c r="G1037" s="190"/>
    </row>
    <row r="1038" ht="15.75" customHeight="1">
      <c r="A1038" s="186"/>
      <c r="B1038" s="186"/>
      <c r="C1038" s="186"/>
      <c r="D1038" s="188"/>
      <c r="E1038" s="188"/>
      <c r="F1038" s="189"/>
      <c r="G1038" s="190"/>
    </row>
    <row r="1039" ht="15.75" customHeight="1">
      <c r="A1039" s="186"/>
      <c r="B1039" s="186"/>
      <c r="C1039" s="186"/>
      <c r="D1039" s="188"/>
      <c r="E1039" s="188"/>
      <c r="F1039" s="189"/>
      <c r="G1039" s="190"/>
    </row>
    <row r="1040" ht="15.75" customHeight="1">
      <c r="A1040" s="186"/>
      <c r="B1040" s="186"/>
      <c r="C1040" s="186"/>
      <c r="D1040" s="188"/>
      <c r="E1040" s="188"/>
      <c r="F1040" s="189"/>
      <c r="G1040" s="190"/>
    </row>
    <row r="1041" ht="15.75" customHeight="1">
      <c r="A1041" s="186"/>
      <c r="B1041" s="186"/>
      <c r="C1041" s="186"/>
      <c r="D1041" s="188"/>
      <c r="E1041" s="188"/>
      <c r="F1041" s="189"/>
      <c r="G1041" s="190"/>
    </row>
    <row r="1042" ht="15.75" customHeight="1">
      <c r="A1042" s="186"/>
      <c r="B1042" s="186"/>
      <c r="C1042" s="186"/>
      <c r="D1042" s="188"/>
      <c r="E1042" s="188"/>
      <c r="F1042" s="189"/>
      <c r="G1042" s="190"/>
    </row>
    <row r="1043" ht="15.75" customHeight="1">
      <c r="A1043" s="186"/>
      <c r="B1043" s="186"/>
      <c r="C1043" s="186"/>
      <c r="D1043" s="188"/>
      <c r="E1043" s="188"/>
      <c r="F1043" s="189"/>
      <c r="G1043" s="190"/>
    </row>
    <row r="1044" ht="15.75" customHeight="1">
      <c r="A1044" s="186"/>
      <c r="B1044" s="186"/>
      <c r="C1044" s="186"/>
      <c r="D1044" s="188"/>
      <c r="E1044" s="188"/>
      <c r="F1044" s="189"/>
      <c r="G1044" s="190"/>
    </row>
    <row r="1045" ht="15.75" customHeight="1">
      <c r="A1045" s="186"/>
      <c r="B1045" s="186"/>
      <c r="C1045" s="186"/>
      <c r="D1045" s="188"/>
      <c r="E1045" s="188"/>
      <c r="F1045" s="189"/>
      <c r="G1045" s="190"/>
    </row>
    <row r="1046" ht="15.75" customHeight="1">
      <c r="A1046" s="186"/>
      <c r="B1046" s="186"/>
      <c r="C1046" s="186"/>
      <c r="D1046" s="188"/>
      <c r="E1046" s="188"/>
      <c r="F1046" s="189"/>
      <c r="G1046" s="190"/>
    </row>
    <row r="1047" ht="15.75" customHeight="1">
      <c r="A1047" s="186"/>
      <c r="B1047" s="186"/>
      <c r="C1047" s="186"/>
      <c r="D1047" s="188"/>
      <c r="E1047" s="188"/>
      <c r="F1047" s="189"/>
      <c r="G1047" s="190"/>
    </row>
    <row r="1048" ht="15.75" customHeight="1">
      <c r="A1048" s="186"/>
      <c r="B1048" s="186"/>
      <c r="C1048" s="186"/>
      <c r="D1048" s="188"/>
      <c r="E1048" s="188"/>
      <c r="F1048" s="189"/>
      <c r="G1048" s="190"/>
    </row>
    <row r="1049" ht="15.75" customHeight="1">
      <c r="A1049" s="186"/>
      <c r="B1049" s="186"/>
      <c r="C1049" s="186"/>
      <c r="D1049" s="188"/>
      <c r="E1049" s="188"/>
      <c r="F1049" s="189"/>
      <c r="G1049" s="190"/>
    </row>
    <row r="1050" ht="15.75" customHeight="1">
      <c r="A1050" s="186"/>
      <c r="B1050" s="186"/>
      <c r="C1050" s="186"/>
      <c r="D1050" s="188"/>
      <c r="E1050" s="188"/>
      <c r="F1050" s="189"/>
      <c r="G1050" s="190"/>
    </row>
    <row r="1051" ht="15.75" customHeight="1">
      <c r="A1051" s="186"/>
      <c r="B1051" s="186"/>
      <c r="C1051" s="186"/>
      <c r="D1051" s="188"/>
      <c r="E1051" s="188"/>
      <c r="F1051" s="189"/>
      <c r="G1051" s="190"/>
    </row>
    <row r="1052" ht="15.75" customHeight="1">
      <c r="A1052" s="186"/>
      <c r="B1052" s="186"/>
      <c r="C1052" s="186"/>
      <c r="D1052" s="188"/>
      <c r="E1052" s="188"/>
      <c r="F1052" s="189"/>
      <c r="G1052" s="190"/>
    </row>
    <row r="1053" ht="15.75" customHeight="1">
      <c r="A1053" s="186"/>
      <c r="B1053" s="186"/>
      <c r="C1053" s="186"/>
      <c r="D1053" s="188"/>
      <c r="E1053" s="188"/>
      <c r="F1053" s="189"/>
      <c r="G1053" s="190"/>
    </row>
    <row r="1054" ht="15.75" customHeight="1">
      <c r="A1054" s="186"/>
      <c r="B1054" s="186"/>
      <c r="C1054" s="186"/>
      <c r="D1054" s="188"/>
      <c r="E1054" s="188"/>
      <c r="F1054" s="189"/>
      <c r="G1054" s="190"/>
    </row>
    <row r="1055" ht="15.75" customHeight="1">
      <c r="A1055" s="186"/>
      <c r="B1055" s="186"/>
      <c r="C1055" s="186"/>
      <c r="D1055" s="188"/>
      <c r="E1055" s="188"/>
      <c r="F1055" s="189"/>
      <c r="G1055" s="190"/>
    </row>
    <row r="1056" ht="15.75" customHeight="1">
      <c r="A1056" s="186"/>
      <c r="B1056" s="186"/>
      <c r="C1056" s="186"/>
      <c r="D1056" s="188"/>
      <c r="E1056" s="188"/>
      <c r="F1056" s="189"/>
      <c r="G1056" s="190"/>
    </row>
    <row r="1057" ht="15.75" customHeight="1">
      <c r="A1057" s="186"/>
      <c r="B1057" s="186"/>
      <c r="C1057" s="186"/>
      <c r="D1057" s="188"/>
      <c r="E1057" s="188"/>
      <c r="F1057" s="189"/>
      <c r="G1057" s="190"/>
    </row>
    <row r="1058" ht="15.75" customHeight="1">
      <c r="A1058" s="186"/>
      <c r="B1058" s="186"/>
      <c r="C1058" s="186"/>
      <c r="D1058" s="188"/>
      <c r="E1058" s="188"/>
      <c r="F1058" s="189"/>
      <c r="G1058" s="190"/>
    </row>
    <row r="1059" ht="15.75" customHeight="1">
      <c r="A1059" s="186"/>
      <c r="B1059" s="186"/>
      <c r="C1059" s="186"/>
      <c r="D1059" s="188"/>
      <c r="E1059" s="188"/>
      <c r="F1059" s="189"/>
      <c r="G1059" s="190"/>
    </row>
    <row r="1060" ht="15.75" customHeight="1">
      <c r="A1060" s="186"/>
      <c r="B1060" s="186"/>
      <c r="C1060" s="186"/>
      <c r="D1060" s="188"/>
      <c r="E1060" s="188"/>
      <c r="F1060" s="189"/>
      <c r="G1060" s="190"/>
    </row>
    <row r="1061" ht="15.75" customHeight="1">
      <c r="A1061" s="186"/>
      <c r="B1061" s="186"/>
      <c r="C1061" s="186"/>
      <c r="D1061" s="188"/>
      <c r="E1061" s="188"/>
      <c r="F1061" s="189"/>
      <c r="G1061" s="190"/>
    </row>
    <row r="1062" ht="15.75" customHeight="1">
      <c r="A1062" s="186"/>
      <c r="B1062" s="186"/>
      <c r="C1062" s="186"/>
      <c r="D1062" s="188"/>
      <c r="E1062" s="188"/>
      <c r="F1062" s="189"/>
      <c r="G1062" s="190"/>
    </row>
    <row r="1063" ht="15.75" customHeight="1">
      <c r="A1063" s="186"/>
      <c r="B1063" s="186"/>
      <c r="C1063" s="186"/>
      <c r="D1063" s="188"/>
      <c r="E1063" s="188"/>
      <c r="F1063" s="189"/>
      <c r="G1063" s="190"/>
    </row>
    <row r="1064" ht="15.75" customHeight="1">
      <c r="A1064" s="186"/>
      <c r="B1064" s="186"/>
      <c r="C1064" s="186"/>
      <c r="D1064" s="188"/>
      <c r="E1064" s="188"/>
      <c r="F1064" s="189"/>
      <c r="G1064" s="190"/>
    </row>
    <row r="1065" ht="15.75" customHeight="1">
      <c r="A1065" s="186"/>
      <c r="B1065" s="186"/>
      <c r="C1065" s="186"/>
      <c r="D1065" s="188"/>
      <c r="E1065" s="188"/>
      <c r="F1065" s="189"/>
      <c r="G1065" s="190"/>
    </row>
    <row r="1066" ht="15.75" customHeight="1">
      <c r="A1066" s="186"/>
      <c r="B1066" s="186"/>
      <c r="C1066" s="186"/>
      <c r="D1066" s="188"/>
      <c r="E1066" s="188"/>
      <c r="F1066" s="189"/>
      <c r="G1066" s="190"/>
    </row>
    <row r="1067" ht="15.75" customHeight="1">
      <c r="A1067" s="186"/>
      <c r="B1067" s="186"/>
      <c r="C1067" s="186"/>
      <c r="D1067" s="188"/>
      <c r="E1067" s="188"/>
      <c r="F1067" s="189"/>
      <c r="G1067" s="190"/>
    </row>
    <row r="1068" ht="15.75" customHeight="1">
      <c r="A1068" s="186"/>
      <c r="B1068" s="186"/>
      <c r="C1068" s="186"/>
      <c r="D1068" s="188"/>
      <c r="E1068" s="188"/>
      <c r="F1068" s="189"/>
      <c r="G1068" s="190"/>
    </row>
    <row r="1069" ht="15.75" customHeight="1">
      <c r="A1069" s="186"/>
      <c r="B1069" s="186"/>
      <c r="C1069" s="186"/>
      <c r="D1069" s="188"/>
      <c r="E1069" s="188"/>
      <c r="F1069" s="189"/>
      <c r="G1069" s="190"/>
    </row>
    <row r="1070" ht="15.75" customHeight="1">
      <c r="A1070" s="186"/>
      <c r="B1070" s="186"/>
      <c r="C1070" s="186"/>
      <c r="D1070" s="188"/>
      <c r="E1070" s="188"/>
      <c r="F1070" s="189"/>
      <c r="G1070" s="190"/>
    </row>
    <row r="1071" ht="15.75" customHeight="1">
      <c r="A1071" s="186"/>
      <c r="B1071" s="186"/>
      <c r="C1071" s="186"/>
      <c r="D1071" s="188"/>
      <c r="E1071" s="188"/>
      <c r="F1071" s="189"/>
      <c r="G1071" s="190"/>
    </row>
    <row r="1072" ht="15.75" customHeight="1">
      <c r="A1072" s="186"/>
      <c r="B1072" s="186"/>
      <c r="C1072" s="186"/>
      <c r="D1072" s="188"/>
      <c r="E1072" s="188"/>
      <c r="F1072" s="189"/>
      <c r="G1072" s="190"/>
    </row>
    <row r="1073" ht="15.75" customHeight="1">
      <c r="A1073" s="186"/>
      <c r="B1073" s="186"/>
      <c r="C1073" s="186"/>
      <c r="D1073" s="188"/>
      <c r="E1073" s="188"/>
      <c r="F1073" s="189"/>
      <c r="G1073" s="190"/>
    </row>
    <row r="1074" ht="15.75" customHeight="1">
      <c r="A1074" s="186"/>
      <c r="B1074" s="186"/>
      <c r="C1074" s="186"/>
      <c r="D1074" s="188"/>
      <c r="E1074" s="188"/>
      <c r="F1074" s="189"/>
      <c r="G1074" s="190"/>
    </row>
    <row r="1075" ht="15.75" customHeight="1">
      <c r="A1075" s="186"/>
      <c r="B1075" s="186"/>
      <c r="C1075" s="186"/>
      <c r="D1075" s="188"/>
      <c r="E1075" s="188"/>
      <c r="F1075" s="189"/>
      <c r="G1075" s="190"/>
    </row>
    <row r="1076" ht="15.75" customHeight="1">
      <c r="A1076" s="186"/>
      <c r="B1076" s="186"/>
      <c r="C1076" s="186"/>
      <c r="D1076" s="188"/>
      <c r="E1076" s="188"/>
      <c r="F1076" s="189"/>
      <c r="G1076" s="190"/>
    </row>
    <row r="1077" ht="15.75" customHeight="1">
      <c r="A1077" s="186"/>
      <c r="B1077" s="186"/>
      <c r="C1077" s="186"/>
      <c r="D1077" s="188"/>
      <c r="E1077" s="188"/>
      <c r="F1077" s="189"/>
      <c r="G1077" s="190"/>
    </row>
    <row r="1078" ht="15.75" customHeight="1">
      <c r="A1078" s="186"/>
      <c r="B1078" s="186"/>
      <c r="C1078" s="186"/>
      <c r="D1078" s="188"/>
      <c r="E1078" s="188"/>
      <c r="F1078" s="189"/>
      <c r="G1078" s="190"/>
    </row>
    <row r="1079" ht="15.75" customHeight="1">
      <c r="A1079" s="186"/>
      <c r="B1079" s="186"/>
      <c r="C1079" s="186"/>
      <c r="D1079" s="188"/>
      <c r="E1079" s="188"/>
      <c r="F1079" s="189"/>
      <c r="G1079" s="190"/>
    </row>
    <row r="1080" ht="15.75" customHeight="1">
      <c r="A1080" s="186"/>
      <c r="B1080" s="186"/>
      <c r="C1080" s="186"/>
      <c r="D1080" s="188"/>
      <c r="E1080" s="188"/>
      <c r="F1080" s="189"/>
      <c r="G1080" s="190"/>
    </row>
    <row r="1081" ht="15.75" customHeight="1">
      <c r="A1081" s="186"/>
      <c r="B1081" s="186"/>
      <c r="C1081" s="186"/>
      <c r="D1081" s="188"/>
      <c r="E1081" s="188"/>
      <c r="F1081" s="189"/>
      <c r="G1081" s="190"/>
    </row>
    <row r="1082" ht="15.75" customHeight="1">
      <c r="A1082" s="186"/>
      <c r="B1082" s="186"/>
      <c r="C1082" s="186"/>
      <c r="D1082" s="188"/>
      <c r="E1082" s="188"/>
      <c r="F1082" s="189"/>
      <c r="G1082" s="190"/>
    </row>
    <row r="1083" ht="15.75" customHeight="1">
      <c r="A1083" s="186"/>
      <c r="B1083" s="186"/>
      <c r="C1083" s="186"/>
      <c r="D1083" s="188"/>
      <c r="E1083" s="188"/>
      <c r="F1083" s="189"/>
      <c r="G1083" s="190"/>
    </row>
    <row r="1084" ht="15.75" customHeight="1">
      <c r="A1084" s="186"/>
      <c r="B1084" s="186"/>
      <c r="C1084" s="186"/>
      <c r="D1084" s="188"/>
      <c r="E1084" s="188"/>
      <c r="F1084" s="189"/>
      <c r="G1084" s="190"/>
    </row>
    <row r="1085" ht="15.75" customHeight="1">
      <c r="A1085" s="186"/>
      <c r="B1085" s="186"/>
      <c r="C1085" s="186"/>
      <c r="D1085" s="188"/>
      <c r="E1085" s="188"/>
      <c r="F1085" s="189"/>
      <c r="G1085" s="190"/>
    </row>
    <row r="1086" ht="15.75" customHeight="1">
      <c r="A1086" s="186"/>
      <c r="B1086" s="186"/>
      <c r="C1086" s="186"/>
      <c r="D1086" s="188"/>
      <c r="E1086" s="188"/>
      <c r="F1086" s="189"/>
      <c r="G1086" s="190"/>
    </row>
    <row r="1087" ht="15.75" customHeight="1">
      <c r="A1087" s="186"/>
      <c r="B1087" s="186"/>
      <c r="C1087" s="186"/>
      <c r="D1087" s="188"/>
      <c r="E1087" s="188"/>
      <c r="F1087" s="189"/>
      <c r="G1087" s="190"/>
    </row>
    <row r="1088" ht="15.75" customHeight="1">
      <c r="A1088" s="186"/>
      <c r="B1088" s="186"/>
      <c r="C1088" s="186"/>
      <c r="D1088" s="188"/>
      <c r="E1088" s="188"/>
      <c r="F1088" s="189"/>
      <c r="G1088" s="190"/>
    </row>
    <row r="1089" ht="15.75" customHeight="1">
      <c r="A1089" s="186"/>
      <c r="B1089" s="186"/>
      <c r="C1089" s="186"/>
      <c r="D1089" s="188"/>
      <c r="E1089" s="188"/>
      <c r="F1089" s="189"/>
      <c r="G1089" s="190"/>
    </row>
    <row r="1090" ht="15.75" customHeight="1">
      <c r="A1090" s="186"/>
      <c r="B1090" s="186"/>
      <c r="C1090" s="186"/>
      <c r="D1090" s="188"/>
      <c r="E1090" s="188"/>
      <c r="F1090" s="189"/>
      <c r="G1090" s="190"/>
    </row>
    <row r="1091" ht="15.75" customHeight="1">
      <c r="A1091" s="186"/>
      <c r="B1091" s="186"/>
      <c r="C1091" s="186"/>
      <c r="D1091" s="188"/>
      <c r="E1091" s="188"/>
      <c r="F1091" s="189"/>
      <c r="G1091" s="190"/>
    </row>
    <row r="1092" ht="15.75" customHeight="1">
      <c r="A1092" s="186"/>
      <c r="B1092" s="186"/>
      <c r="C1092" s="186"/>
      <c r="D1092" s="188"/>
      <c r="E1092" s="188"/>
      <c r="F1092" s="189"/>
      <c r="G1092" s="190"/>
    </row>
    <row r="1093" ht="15.75" customHeight="1">
      <c r="A1093" s="186"/>
      <c r="B1093" s="186"/>
      <c r="C1093" s="186"/>
      <c r="D1093" s="188"/>
      <c r="E1093" s="188"/>
      <c r="F1093" s="189"/>
      <c r="G1093" s="190"/>
    </row>
    <row r="1094" ht="15.75" customHeight="1">
      <c r="A1094" s="186"/>
      <c r="B1094" s="186"/>
      <c r="C1094" s="186"/>
      <c r="D1094" s="188"/>
      <c r="E1094" s="188"/>
      <c r="F1094" s="189"/>
      <c r="G1094" s="190"/>
    </row>
    <row r="1095" ht="15.75" customHeight="1">
      <c r="A1095" s="186"/>
      <c r="B1095" s="186"/>
      <c r="C1095" s="186"/>
      <c r="D1095" s="188"/>
      <c r="E1095" s="188"/>
      <c r="F1095" s="189"/>
      <c r="G1095" s="190"/>
    </row>
    <row r="1096" ht="15.75" customHeight="1">
      <c r="A1096" s="186"/>
      <c r="B1096" s="186"/>
      <c r="C1096" s="186"/>
      <c r="D1096" s="188"/>
      <c r="E1096" s="188"/>
      <c r="F1096" s="189"/>
      <c r="G1096" s="190"/>
    </row>
    <row r="1097" ht="15.75" customHeight="1">
      <c r="A1097" s="186"/>
      <c r="B1097" s="186"/>
      <c r="C1097" s="186"/>
      <c r="D1097" s="188"/>
      <c r="E1097" s="188"/>
      <c r="F1097" s="189"/>
      <c r="G1097" s="190"/>
    </row>
    <row r="1098" ht="15.75" customHeight="1">
      <c r="A1098" s="186"/>
      <c r="B1098" s="186"/>
      <c r="C1098" s="186"/>
      <c r="D1098" s="188"/>
      <c r="E1098" s="188"/>
      <c r="F1098" s="189"/>
      <c r="G1098" s="190"/>
    </row>
    <row r="1099" ht="15.75" customHeight="1">
      <c r="A1099" s="186"/>
      <c r="B1099" s="186"/>
      <c r="C1099" s="186"/>
      <c r="D1099" s="188"/>
      <c r="E1099" s="188"/>
      <c r="F1099" s="189"/>
      <c r="G1099" s="190"/>
    </row>
    <row r="1100" ht="15.75" customHeight="1">
      <c r="A1100" s="186"/>
      <c r="B1100" s="186"/>
      <c r="C1100" s="186"/>
      <c r="D1100" s="188"/>
      <c r="E1100" s="188"/>
      <c r="F1100" s="189"/>
      <c r="G1100" s="190"/>
    </row>
    <row r="1101" ht="15.75" customHeight="1">
      <c r="A1101" s="186"/>
      <c r="B1101" s="186"/>
      <c r="C1101" s="186"/>
      <c r="D1101" s="188"/>
      <c r="E1101" s="188"/>
      <c r="F1101" s="189"/>
      <c r="G1101" s="190"/>
    </row>
    <row r="1102" ht="15.75" customHeight="1">
      <c r="A1102" s="186"/>
      <c r="B1102" s="186"/>
      <c r="C1102" s="186"/>
      <c r="D1102" s="188"/>
      <c r="E1102" s="188"/>
      <c r="F1102" s="189"/>
      <c r="G1102" s="190"/>
    </row>
    <row r="1103" ht="15.75" customHeight="1">
      <c r="A1103" s="186"/>
      <c r="B1103" s="186"/>
      <c r="C1103" s="186"/>
      <c r="D1103" s="188"/>
      <c r="E1103" s="188"/>
      <c r="F1103" s="189"/>
      <c r="G1103" s="190"/>
    </row>
    <row r="1104" ht="15.75" customHeight="1">
      <c r="A1104" s="186"/>
      <c r="B1104" s="186"/>
      <c r="C1104" s="186"/>
      <c r="D1104" s="188"/>
      <c r="E1104" s="188"/>
      <c r="F1104" s="189"/>
      <c r="G1104" s="190"/>
    </row>
    <row r="1105" ht="15.75" customHeight="1">
      <c r="A1105" s="186"/>
      <c r="B1105" s="186"/>
      <c r="C1105" s="186"/>
      <c r="D1105" s="188"/>
      <c r="E1105" s="188"/>
      <c r="F1105" s="189"/>
      <c r="G1105" s="190"/>
    </row>
    <row r="1106" ht="15.75" customHeight="1">
      <c r="A1106" s="186"/>
      <c r="B1106" s="186"/>
      <c r="C1106" s="186"/>
      <c r="D1106" s="188"/>
      <c r="E1106" s="188"/>
      <c r="F1106" s="189"/>
      <c r="G1106" s="190"/>
    </row>
    <row r="1107" ht="15.75" customHeight="1">
      <c r="A1107" s="186"/>
      <c r="B1107" s="186"/>
      <c r="C1107" s="186"/>
      <c r="D1107" s="188"/>
      <c r="E1107" s="188"/>
      <c r="F1107" s="189"/>
      <c r="G1107" s="190"/>
    </row>
    <row r="1108" ht="15.75" customHeight="1">
      <c r="A1108" s="186"/>
      <c r="B1108" s="186"/>
      <c r="C1108" s="186"/>
      <c r="D1108" s="188"/>
      <c r="E1108" s="188"/>
      <c r="F1108" s="189"/>
      <c r="G1108" s="190"/>
    </row>
    <row r="1109" ht="15.75" customHeight="1">
      <c r="A1109" s="186"/>
      <c r="B1109" s="186"/>
      <c r="C1109" s="186"/>
      <c r="D1109" s="188"/>
      <c r="E1109" s="188"/>
      <c r="F1109" s="189"/>
      <c r="G1109" s="190"/>
    </row>
    <row r="1110" ht="15.75" customHeight="1">
      <c r="A1110" s="186"/>
      <c r="B1110" s="186"/>
      <c r="C1110" s="186"/>
      <c r="D1110" s="188"/>
      <c r="E1110" s="188"/>
      <c r="F1110" s="189"/>
      <c r="G1110" s="190"/>
    </row>
    <row r="1111" ht="15.75" customHeight="1">
      <c r="A1111" s="186"/>
      <c r="B1111" s="186"/>
      <c r="C1111" s="186"/>
      <c r="D1111" s="188"/>
      <c r="E1111" s="188"/>
      <c r="F1111" s="189"/>
      <c r="G1111" s="190"/>
    </row>
    <row r="1112" ht="15.75" customHeight="1">
      <c r="A1112" s="186"/>
      <c r="B1112" s="186"/>
      <c r="C1112" s="186"/>
      <c r="D1112" s="188"/>
      <c r="E1112" s="188"/>
      <c r="F1112" s="189"/>
      <c r="G1112" s="190"/>
    </row>
    <row r="1113" ht="15.75" customHeight="1">
      <c r="A1113" s="186"/>
      <c r="B1113" s="186"/>
      <c r="C1113" s="186"/>
      <c r="D1113" s="188"/>
      <c r="E1113" s="188"/>
      <c r="F1113" s="189"/>
      <c r="G1113" s="190"/>
    </row>
    <row r="1114" ht="15.75" customHeight="1">
      <c r="A1114" s="186"/>
      <c r="B1114" s="186"/>
      <c r="C1114" s="186"/>
      <c r="D1114" s="188"/>
      <c r="E1114" s="188"/>
      <c r="F1114" s="189"/>
      <c r="G1114" s="190"/>
    </row>
    <row r="1115" ht="15.75" customHeight="1">
      <c r="A1115" s="186"/>
      <c r="B1115" s="186"/>
      <c r="C1115" s="186"/>
      <c r="D1115" s="188"/>
      <c r="E1115" s="188"/>
      <c r="F1115" s="189"/>
      <c r="G1115" s="190"/>
    </row>
    <row r="1116" ht="15.75" customHeight="1">
      <c r="A1116" s="186"/>
      <c r="B1116" s="186"/>
      <c r="C1116" s="186"/>
      <c r="D1116" s="188"/>
      <c r="E1116" s="188"/>
      <c r="F1116" s="189"/>
      <c r="G1116" s="190"/>
    </row>
    <row r="1117" ht="15.75" customHeight="1">
      <c r="A1117" s="186"/>
      <c r="B1117" s="186"/>
      <c r="C1117" s="186"/>
      <c r="D1117" s="188"/>
      <c r="E1117" s="188"/>
      <c r="F1117" s="189"/>
      <c r="G1117" s="190"/>
    </row>
    <row r="1118" ht="15.75" customHeight="1">
      <c r="A1118" s="186"/>
      <c r="B1118" s="186"/>
      <c r="C1118" s="186"/>
      <c r="D1118" s="188"/>
      <c r="E1118" s="188"/>
      <c r="F1118" s="189"/>
      <c r="G1118" s="190"/>
    </row>
    <row r="1119" ht="15.75" customHeight="1">
      <c r="A1119" s="186"/>
      <c r="B1119" s="186"/>
      <c r="C1119" s="186"/>
      <c r="D1119" s="188"/>
      <c r="E1119" s="188"/>
      <c r="F1119" s="189"/>
      <c r="G1119" s="190"/>
    </row>
    <row r="1120" ht="15.75" customHeight="1">
      <c r="A1120" s="186"/>
      <c r="B1120" s="186"/>
      <c r="C1120" s="186"/>
      <c r="D1120" s="188"/>
      <c r="E1120" s="188"/>
      <c r="F1120" s="189"/>
      <c r="G1120" s="190"/>
    </row>
    <row r="1121" ht="15.75" customHeight="1">
      <c r="A1121" s="186"/>
      <c r="B1121" s="186"/>
      <c r="C1121" s="186"/>
      <c r="D1121" s="188"/>
      <c r="E1121" s="188"/>
      <c r="F1121" s="189"/>
      <c r="G1121" s="190"/>
    </row>
    <row r="1122" ht="15.75" customHeight="1">
      <c r="A1122" s="186"/>
      <c r="B1122" s="186"/>
      <c r="C1122" s="186"/>
      <c r="D1122" s="188"/>
      <c r="E1122" s="188"/>
      <c r="F1122" s="189"/>
      <c r="G1122" s="190"/>
    </row>
    <row r="1123" ht="15.75" customHeight="1">
      <c r="A1123" s="186"/>
      <c r="B1123" s="186"/>
      <c r="C1123" s="186"/>
      <c r="D1123" s="188"/>
      <c r="E1123" s="188"/>
      <c r="F1123" s="189"/>
      <c r="G1123" s="190"/>
    </row>
    <row r="1124" ht="15.75" customHeight="1">
      <c r="A1124" s="186"/>
      <c r="B1124" s="186"/>
      <c r="C1124" s="186"/>
      <c r="D1124" s="188"/>
      <c r="E1124" s="188"/>
      <c r="F1124" s="189"/>
      <c r="G1124" s="190"/>
    </row>
    <row r="1125" ht="15.75" customHeight="1">
      <c r="A1125" s="186"/>
      <c r="B1125" s="186"/>
      <c r="C1125" s="186"/>
      <c r="D1125" s="188"/>
      <c r="E1125" s="188"/>
      <c r="F1125" s="189"/>
      <c r="G1125" s="190"/>
    </row>
    <row r="1126" ht="15.75" customHeight="1">
      <c r="A1126" s="186"/>
      <c r="B1126" s="186"/>
      <c r="C1126" s="186"/>
      <c r="D1126" s="188"/>
      <c r="E1126" s="188"/>
      <c r="F1126" s="189"/>
      <c r="G1126" s="190"/>
    </row>
    <row r="1127" ht="15.75" customHeight="1">
      <c r="A1127" s="186"/>
      <c r="B1127" s="186"/>
      <c r="C1127" s="186"/>
      <c r="D1127" s="188"/>
      <c r="E1127" s="188"/>
      <c r="F1127" s="189"/>
      <c r="G1127" s="190"/>
    </row>
    <row r="1128" ht="15.75" customHeight="1">
      <c r="A1128" s="186"/>
      <c r="B1128" s="186"/>
      <c r="C1128" s="186"/>
      <c r="D1128" s="188"/>
      <c r="E1128" s="188"/>
      <c r="F1128" s="189"/>
      <c r="G1128" s="190"/>
    </row>
    <row r="1129" ht="15.75" customHeight="1">
      <c r="A1129" s="186"/>
      <c r="B1129" s="186"/>
      <c r="C1129" s="186"/>
      <c r="D1129" s="188"/>
      <c r="E1129" s="188"/>
      <c r="F1129" s="189"/>
      <c r="G1129" s="190"/>
    </row>
    <row r="1130" ht="15.75" customHeight="1">
      <c r="A1130" s="186"/>
      <c r="B1130" s="186"/>
      <c r="C1130" s="186"/>
      <c r="D1130" s="188"/>
      <c r="E1130" s="188"/>
      <c r="F1130" s="189"/>
      <c r="G1130" s="190"/>
    </row>
    <row r="1131" ht="15.75" customHeight="1">
      <c r="A1131" s="186"/>
      <c r="B1131" s="186"/>
      <c r="C1131" s="186"/>
      <c r="D1131" s="188"/>
      <c r="E1131" s="188"/>
      <c r="F1131" s="189"/>
      <c r="G1131" s="190"/>
    </row>
    <row r="1132" ht="15.75" customHeight="1">
      <c r="A1132" s="186"/>
      <c r="B1132" s="186"/>
      <c r="C1132" s="186"/>
      <c r="D1132" s="188"/>
      <c r="E1132" s="188"/>
      <c r="F1132" s="189"/>
      <c r="G1132" s="190"/>
    </row>
    <row r="1133" ht="15.75" customHeight="1">
      <c r="A1133" s="186"/>
      <c r="B1133" s="186"/>
      <c r="C1133" s="186"/>
      <c r="D1133" s="188"/>
      <c r="E1133" s="188"/>
      <c r="F1133" s="189"/>
      <c r="G1133" s="190"/>
    </row>
    <row r="1134" ht="15.75" customHeight="1">
      <c r="A1134" s="186"/>
      <c r="B1134" s="186"/>
      <c r="C1134" s="186"/>
      <c r="D1134" s="188"/>
      <c r="E1134" s="188"/>
      <c r="F1134" s="189"/>
      <c r="G1134" s="190"/>
    </row>
    <row r="1135" ht="15.75" customHeight="1">
      <c r="A1135" s="186"/>
      <c r="B1135" s="186"/>
      <c r="C1135" s="186"/>
      <c r="D1135" s="188"/>
      <c r="E1135" s="188"/>
      <c r="F1135" s="189"/>
      <c r="G1135" s="190"/>
    </row>
    <row r="1136" ht="15.75" customHeight="1">
      <c r="A1136" s="186"/>
      <c r="B1136" s="186"/>
      <c r="C1136" s="186"/>
      <c r="D1136" s="188"/>
      <c r="E1136" s="188"/>
      <c r="F1136" s="189"/>
      <c r="G1136" s="190"/>
    </row>
    <row r="1137" ht="15.75" customHeight="1">
      <c r="A1137" s="186"/>
      <c r="B1137" s="186"/>
      <c r="C1137" s="186"/>
      <c r="D1137" s="188"/>
      <c r="E1137" s="188"/>
      <c r="F1137" s="189"/>
      <c r="G1137" s="190"/>
    </row>
    <row r="1138" ht="15.75" customHeight="1">
      <c r="A1138" s="186"/>
      <c r="B1138" s="186"/>
      <c r="C1138" s="186"/>
      <c r="D1138" s="188"/>
      <c r="E1138" s="188"/>
      <c r="F1138" s="189"/>
      <c r="G1138" s="190"/>
    </row>
    <row r="1139" ht="15.75" customHeight="1">
      <c r="A1139" s="186"/>
      <c r="B1139" s="186"/>
      <c r="C1139" s="186"/>
      <c r="D1139" s="188"/>
      <c r="E1139" s="188"/>
      <c r="F1139" s="189"/>
      <c r="G1139" s="190"/>
    </row>
    <row r="1140" ht="15.75" customHeight="1">
      <c r="A1140" s="186"/>
      <c r="B1140" s="186"/>
      <c r="C1140" s="186"/>
      <c r="D1140" s="188"/>
      <c r="E1140" s="188"/>
      <c r="F1140" s="189"/>
      <c r="G1140" s="190"/>
    </row>
    <row r="1141" ht="15.75" customHeight="1">
      <c r="A1141" s="186"/>
      <c r="B1141" s="186"/>
      <c r="C1141" s="186"/>
      <c r="D1141" s="188"/>
      <c r="E1141" s="188"/>
      <c r="F1141" s="189"/>
      <c r="G1141" s="190"/>
    </row>
    <row r="1142" ht="15.75" customHeight="1">
      <c r="A1142" s="186"/>
      <c r="B1142" s="186"/>
      <c r="C1142" s="186"/>
      <c r="D1142" s="188"/>
      <c r="E1142" s="188"/>
      <c r="F1142" s="189"/>
      <c r="G1142" s="190"/>
    </row>
    <row r="1143" ht="15.75" customHeight="1">
      <c r="A1143" s="186"/>
      <c r="B1143" s="186"/>
      <c r="C1143" s="186"/>
      <c r="D1143" s="188"/>
      <c r="E1143" s="188"/>
      <c r="F1143" s="189"/>
      <c r="G1143" s="190"/>
    </row>
    <row r="1144" ht="15.75" customHeight="1">
      <c r="A1144" s="186"/>
      <c r="B1144" s="186"/>
      <c r="C1144" s="186"/>
      <c r="D1144" s="188"/>
      <c r="E1144" s="188"/>
      <c r="F1144" s="189"/>
      <c r="G1144" s="190"/>
    </row>
    <row r="1145" ht="15.75" customHeight="1">
      <c r="A1145" s="186"/>
      <c r="B1145" s="186"/>
      <c r="C1145" s="186"/>
      <c r="D1145" s="188"/>
      <c r="E1145" s="188"/>
      <c r="F1145" s="189"/>
      <c r="G1145" s="190"/>
    </row>
    <row r="1146" ht="15.75" customHeight="1">
      <c r="A1146" s="186"/>
      <c r="B1146" s="186"/>
      <c r="C1146" s="186"/>
      <c r="D1146" s="188"/>
      <c r="E1146" s="188"/>
      <c r="F1146" s="189"/>
      <c r="G1146" s="190"/>
    </row>
    <row r="1147" ht="15.75" customHeight="1">
      <c r="A1147" s="186"/>
      <c r="B1147" s="186"/>
      <c r="C1147" s="186"/>
      <c r="D1147" s="188"/>
      <c r="E1147" s="188"/>
      <c r="F1147" s="189"/>
      <c r="G1147" s="190"/>
    </row>
    <row r="1148" ht="15.75" customHeight="1">
      <c r="A1148" s="186"/>
      <c r="B1148" s="186"/>
      <c r="C1148" s="186"/>
      <c r="D1148" s="188"/>
      <c r="E1148" s="188"/>
      <c r="F1148" s="189"/>
      <c r="G1148" s="190"/>
    </row>
    <row r="1149" ht="15.75" customHeight="1">
      <c r="A1149" s="186"/>
      <c r="B1149" s="186"/>
      <c r="C1149" s="186"/>
      <c r="D1149" s="188"/>
      <c r="E1149" s="188"/>
      <c r="F1149" s="189"/>
      <c r="G1149" s="190"/>
    </row>
    <row r="1150" ht="15.75" customHeight="1">
      <c r="A1150" s="186"/>
      <c r="B1150" s="186"/>
      <c r="C1150" s="186"/>
      <c r="D1150" s="188"/>
      <c r="E1150" s="188"/>
      <c r="F1150" s="189"/>
      <c r="G1150" s="190"/>
    </row>
    <row r="1151" ht="15.75" customHeight="1">
      <c r="A1151" s="186"/>
      <c r="B1151" s="186"/>
      <c r="C1151" s="186"/>
      <c r="D1151" s="188"/>
      <c r="E1151" s="188"/>
      <c r="F1151" s="189"/>
      <c r="G1151" s="190"/>
    </row>
    <row r="1152" ht="15.75" customHeight="1">
      <c r="A1152" s="186"/>
      <c r="B1152" s="186"/>
      <c r="C1152" s="186"/>
      <c r="D1152" s="188"/>
      <c r="E1152" s="188"/>
      <c r="F1152" s="189"/>
      <c r="G1152" s="190"/>
    </row>
    <row r="1153" ht="15.75" customHeight="1">
      <c r="A1153" s="186"/>
      <c r="B1153" s="186"/>
      <c r="C1153" s="186"/>
      <c r="D1153" s="188"/>
      <c r="E1153" s="188"/>
      <c r="F1153" s="189"/>
      <c r="G1153" s="190"/>
    </row>
    <row r="1154" ht="15.75" customHeight="1">
      <c r="A1154" s="186"/>
      <c r="B1154" s="186"/>
      <c r="C1154" s="186"/>
      <c r="D1154" s="188"/>
      <c r="E1154" s="188"/>
      <c r="F1154" s="189"/>
      <c r="G1154" s="190"/>
    </row>
    <row r="1155" ht="15.75" customHeight="1">
      <c r="A1155" s="186"/>
      <c r="B1155" s="186"/>
      <c r="C1155" s="186"/>
      <c r="D1155" s="188"/>
      <c r="E1155" s="188"/>
      <c r="F1155" s="189"/>
      <c r="G1155" s="190"/>
    </row>
    <row r="1156" ht="15.75" customHeight="1">
      <c r="A1156" s="186"/>
      <c r="B1156" s="186"/>
      <c r="C1156" s="186"/>
      <c r="D1156" s="188"/>
      <c r="E1156" s="188"/>
      <c r="F1156" s="189"/>
      <c r="G1156" s="190"/>
    </row>
    <row r="1157" ht="15.75" customHeight="1">
      <c r="A1157" s="186"/>
      <c r="B1157" s="186"/>
      <c r="C1157" s="186"/>
      <c r="D1157" s="188"/>
      <c r="E1157" s="188"/>
      <c r="F1157" s="189"/>
      <c r="G1157" s="190"/>
    </row>
    <row r="1158" ht="15.75" customHeight="1">
      <c r="A1158" s="186"/>
      <c r="B1158" s="186"/>
      <c r="C1158" s="186"/>
      <c r="D1158" s="188"/>
      <c r="E1158" s="188"/>
      <c r="F1158" s="189"/>
      <c r="G1158" s="190"/>
    </row>
    <row r="1159" ht="15.75" customHeight="1">
      <c r="A1159" s="186"/>
      <c r="B1159" s="186"/>
      <c r="C1159" s="186"/>
      <c r="D1159" s="188"/>
      <c r="E1159" s="188"/>
      <c r="F1159" s="189"/>
      <c r="G1159" s="190"/>
    </row>
    <row r="1160" ht="15.75" customHeight="1">
      <c r="A1160" s="186"/>
      <c r="B1160" s="186"/>
      <c r="C1160" s="186"/>
      <c r="D1160" s="188"/>
      <c r="E1160" s="188"/>
      <c r="F1160" s="189"/>
      <c r="G1160" s="190"/>
    </row>
    <row r="1161" ht="15.75" customHeight="1">
      <c r="A1161" s="186"/>
      <c r="B1161" s="186"/>
      <c r="C1161" s="186"/>
      <c r="D1161" s="188"/>
      <c r="E1161" s="188"/>
      <c r="F1161" s="189"/>
      <c r="G1161" s="190"/>
    </row>
    <row r="1162" ht="15.75" customHeight="1">
      <c r="A1162" s="186"/>
      <c r="B1162" s="186"/>
      <c r="C1162" s="186"/>
      <c r="D1162" s="188"/>
      <c r="E1162" s="188"/>
      <c r="F1162" s="189"/>
      <c r="G1162" s="190"/>
    </row>
    <row r="1163" ht="15.75" customHeight="1">
      <c r="A1163" s="186"/>
      <c r="B1163" s="186"/>
      <c r="C1163" s="186"/>
      <c r="D1163" s="188"/>
      <c r="E1163" s="188"/>
      <c r="F1163" s="189"/>
      <c r="G1163" s="190"/>
    </row>
    <row r="1164" ht="15.75" customHeight="1">
      <c r="A1164" s="186"/>
      <c r="B1164" s="186"/>
      <c r="C1164" s="186"/>
      <c r="D1164" s="188"/>
      <c r="E1164" s="188"/>
      <c r="F1164" s="189"/>
      <c r="G1164" s="190"/>
    </row>
    <row r="1165" ht="15.75" customHeight="1">
      <c r="A1165" s="186"/>
      <c r="B1165" s="186"/>
      <c r="C1165" s="186"/>
      <c r="D1165" s="188"/>
      <c r="E1165" s="188"/>
      <c r="F1165" s="189"/>
      <c r="G1165" s="190"/>
    </row>
    <row r="1166" ht="15.75" customHeight="1">
      <c r="A1166" s="186"/>
      <c r="B1166" s="186"/>
      <c r="C1166" s="186"/>
      <c r="D1166" s="188"/>
      <c r="E1166" s="188"/>
      <c r="F1166" s="189"/>
      <c r="G1166" s="190"/>
    </row>
    <row r="1167" ht="15.75" customHeight="1">
      <c r="A1167" s="186"/>
      <c r="B1167" s="186"/>
      <c r="C1167" s="186"/>
      <c r="D1167" s="188"/>
      <c r="E1167" s="188"/>
      <c r="F1167" s="189"/>
      <c r="G1167" s="190"/>
    </row>
    <row r="1168" ht="15.75" customHeight="1">
      <c r="A1168" s="186"/>
      <c r="B1168" s="186"/>
      <c r="C1168" s="186"/>
      <c r="D1168" s="188"/>
      <c r="E1168" s="188"/>
      <c r="F1168" s="189"/>
      <c r="G1168" s="190"/>
    </row>
    <row r="1169" ht="15.75" customHeight="1">
      <c r="A1169" s="186"/>
      <c r="B1169" s="186"/>
      <c r="C1169" s="186"/>
      <c r="D1169" s="188"/>
      <c r="E1169" s="188"/>
      <c r="F1169" s="189"/>
      <c r="G1169" s="190"/>
    </row>
    <row r="1170" ht="15.75" customHeight="1">
      <c r="A1170" s="186"/>
      <c r="B1170" s="186"/>
      <c r="C1170" s="186"/>
      <c r="D1170" s="188"/>
      <c r="E1170" s="188"/>
      <c r="F1170" s="189"/>
      <c r="G1170" s="190"/>
    </row>
    <row r="1171" ht="15.75" customHeight="1">
      <c r="A1171" s="186"/>
      <c r="B1171" s="186"/>
      <c r="C1171" s="186"/>
      <c r="D1171" s="188"/>
      <c r="E1171" s="188"/>
      <c r="F1171" s="189"/>
      <c r="G1171" s="190"/>
    </row>
    <row r="1172" ht="15.75" customHeight="1">
      <c r="A1172" s="186"/>
      <c r="B1172" s="186"/>
      <c r="C1172" s="186"/>
      <c r="D1172" s="188"/>
      <c r="E1172" s="188"/>
      <c r="F1172" s="189"/>
      <c r="G1172" s="190"/>
    </row>
    <row r="1173" ht="15.75" customHeight="1">
      <c r="A1173" s="186"/>
      <c r="B1173" s="186"/>
      <c r="C1173" s="186"/>
      <c r="D1173" s="188"/>
      <c r="E1173" s="188"/>
      <c r="F1173" s="189"/>
      <c r="G1173" s="190"/>
    </row>
    <row r="1174" ht="15.75" customHeight="1">
      <c r="A1174" s="186"/>
      <c r="B1174" s="186"/>
      <c r="C1174" s="186"/>
      <c r="D1174" s="188"/>
      <c r="E1174" s="188"/>
      <c r="F1174" s="189"/>
      <c r="G1174" s="190"/>
    </row>
    <row r="1175" ht="15.75" customHeight="1">
      <c r="A1175" s="186"/>
      <c r="B1175" s="186"/>
      <c r="C1175" s="186"/>
      <c r="D1175" s="188"/>
      <c r="E1175" s="188"/>
      <c r="F1175" s="189"/>
      <c r="G1175" s="190"/>
    </row>
    <row r="1176" ht="15.75" customHeight="1">
      <c r="A1176" s="186"/>
      <c r="B1176" s="186"/>
      <c r="C1176" s="186"/>
      <c r="D1176" s="188"/>
      <c r="E1176" s="188"/>
      <c r="F1176" s="189"/>
      <c r="G1176" s="190"/>
    </row>
    <row r="1177" ht="15.75" customHeight="1">
      <c r="A1177" s="186"/>
      <c r="B1177" s="186"/>
      <c r="C1177" s="186"/>
      <c r="D1177" s="188"/>
      <c r="E1177" s="188"/>
      <c r="F1177" s="189"/>
      <c r="G1177" s="190"/>
    </row>
    <row r="1178" ht="15.75" customHeight="1">
      <c r="A1178" s="186"/>
      <c r="B1178" s="186"/>
      <c r="C1178" s="186"/>
      <c r="D1178" s="188"/>
      <c r="E1178" s="188"/>
      <c r="F1178" s="189"/>
      <c r="G1178" s="190"/>
    </row>
    <row r="1179" ht="15.75" customHeight="1">
      <c r="A1179" s="186"/>
      <c r="B1179" s="186"/>
      <c r="C1179" s="186"/>
      <c r="D1179" s="188"/>
      <c r="E1179" s="188"/>
      <c r="F1179" s="189"/>
      <c r="G1179" s="190"/>
    </row>
    <row r="1180" ht="15.75" customHeight="1">
      <c r="A1180" s="186"/>
      <c r="B1180" s="186"/>
      <c r="C1180" s="186"/>
      <c r="D1180" s="188"/>
      <c r="E1180" s="188"/>
      <c r="F1180" s="189"/>
      <c r="G1180" s="190"/>
    </row>
    <row r="1181" ht="15.75" customHeight="1">
      <c r="A1181" s="186"/>
      <c r="B1181" s="186"/>
      <c r="C1181" s="186"/>
      <c r="D1181" s="188"/>
      <c r="E1181" s="188"/>
      <c r="F1181" s="189"/>
      <c r="G1181" s="190"/>
    </row>
    <row r="1182" ht="15.75" customHeight="1">
      <c r="A1182" s="186"/>
      <c r="B1182" s="186"/>
      <c r="C1182" s="186"/>
      <c r="D1182" s="188"/>
      <c r="E1182" s="188"/>
      <c r="F1182" s="189"/>
      <c r="G1182" s="190"/>
    </row>
    <row r="1183" ht="15.75" customHeight="1">
      <c r="A1183" s="186"/>
      <c r="B1183" s="186"/>
      <c r="C1183" s="186"/>
      <c r="D1183" s="188"/>
      <c r="E1183" s="188"/>
      <c r="F1183" s="189"/>
      <c r="G1183" s="190"/>
    </row>
    <row r="1184" ht="15.75" customHeight="1">
      <c r="A1184" s="186"/>
      <c r="B1184" s="186"/>
      <c r="C1184" s="186"/>
      <c r="D1184" s="188"/>
      <c r="E1184" s="188"/>
      <c r="F1184" s="189"/>
      <c r="G1184" s="190"/>
    </row>
    <row r="1185" ht="15.75" customHeight="1">
      <c r="A1185" s="186"/>
      <c r="B1185" s="186"/>
      <c r="C1185" s="186"/>
      <c r="D1185" s="188"/>
      <c r="E1185" s="188"/>
      <c r="F1185" s="189"/>
      <c r="G1185" s="190"/>
    </row>
    <row r="1186" ht="15.75" customHeight="1">
      <c r="A1186" s="186"/>
      <c r="B1186" s="186"/>
      <c r="C1186" s="186"/>
      <c r="D1186" s="188"/>
      <c r="E1186" s="188"/>
      <c r="F1186" s="189"/>
      <c r="G1186" s="190"/>
    </row>
    <row r="1187" ht="15.75" customHeight="1">
      <c r="A1187" s="186"/>
      <c r="B1187" s="186"/>
      <c r="C1187" s="186"/>
      <c r="D1187" s="188"/>
      <c r="E1187" s="188"/>
      <c r="F1187" s="189"/>
      <c r="G1187" s="190"/>
    </row>
    <row r="1188" ht="15.75" customHeight="1">
      <c r="A1188" s="186"/>
      <c r="B1188" s="186"/>
      <c r="C1188" s="186"/>
      <c r="D1188" s="188"/>
      <c r="E1188" s="188"/>
      <c r="F1188" s="189"/>
      <c r="G1188" s="190"/>
    </row>
    <row r="1189" ht="15.75" customHeight="1">
      <c r="A1189" s="186"/>
      <c r="B1189" s="186"/>
      <c r="C1189" s="186"/>
      <c r="D1189" s="188"/>
      <c r="E1189" s="188"/>
      <c r="F1189" s="189"/>
      <c r="G1189" s="190"/>
    </row>
    <row r="1190" ht="15.75" customHeight="1">
      <c r="A1190" s="186"/>
      <c r="B1190" s="186"/>
      <c r="C1190" s="186"/>
      <c r="D1190" s="188"/>
      <c r="E1190" s="188"/>
      <c r="F1190" s="189"/>
      <c r="G1190" s="190"/>
    </row>
    <row r="1191" ht="15.75" customHeight="1">
      <c r="A1191" s="186"/>
      <c r="B1191" s="186"/>
      <c r="C1191" s="186"/>
      <c r="D1191" s="188"/>
      <c r="E1191" s="188"/>
      <c r="F1191" s="189"/>
      <c r="G1191" s="190"/>
    </row>
    <row r="1192" ht="15.75" customHeight="1">
      <c r="A1192" s="186"/>
      <c r="B1192" s="186"/>
      <c r="C1192" s="186"/>
      <c r="D1192" s="188"/>
      <c r="E1192" s="188"/>
      <c r="F1192" s="189"/>
      <c r="G1192" s="190"/>
    </row>
    <row r="1193" ht="15.75" customHeight="1">
      <c r="A1193" s="186"/>
      <c r="B1193" s="186"/>
      <c r="C1193" s="186"/>
      <c r="D1193" s="188"/>
      <c r="E1193" s="188"/>
      <c r="F1193" s="189"/>
      <c r="G1193" s="190"/>
    </row>
    <row r="1194" ht="15.75" customHeight="1">
      <c r="A1194" s="186"/>
      <c r="B1194" s="186"/>
      <c r="C1194" s="186"/>
      <c r="D1194" s="188"/>
      <c r="E1194" s="188"/>
      <c r="F1194" s="189"/>
      <c r="G1194" s="190"/>
    </row>
    <row r="1195" ht="15.75" customHeight="1">
      <c r="A1195" s="186"/>
      <c r="B1195" s="186"/>
      <c r="C1195" s="186"/>
      <c r="D1195" s="188"/>
      <c r="E1195" s="188"/>
      <c r="F1195" s="189"/>
      <c r="G1195" s="190"/>
    </row>
    <row r="1196" ht="15.75" customHeight="1">
      <c r="A1196" s="186"/>
      <c r="B1196" s="186"/>
      <c r="C1196" s="186"/>
      <c r="D1196" s="188"/>
      <c r="E1196" s="188"/>
      <c r="F1196" s="189"/>
      <c r="G1196" s="190"/>
    </row>
    <row r="1197" ht="15.75" customHeight="1">
      <c r="A1197" s="186"/>
      <c r="B1197" s="186"/>
      <c r="C1197" s="186"/>
      <c r="D1197" s="188"/>
      <c r="E1197" s="188"/>
      <c r="F1197" s="189"/>
      <c r="G1197" s="190"/>
    </row>
    <row r="1198" ht="15.75" customHeight="1">
      <c r="A1198" s="186"/>
      <c r="B1198" s="186"/>
      <c r="C1198" s="186"/>
      <c r="D1198" s="188"/>
      <c r="E1198" s="188"/>
      <c r="F1198" s="189"/>
      <c r="G1198" s="190"/>
    </row>
    <row r="1199" ht="15.75" customHeight="1">
      <c r="A1199" s="186"/>
      <c r="B1199" s="186"/>
      <c r="C1199" s="186"/>
      <c r="D1199" s="188"/>
      <c r="E1199" s="188"/>
      <c r="F1199" s="189"/>
      <c r="G1199" s="190"/>
    </row>
    <row r="1200" ht="15.75" customHeight="1">
      <c r="A1200" s="186"/>
      <c r="B1200" s="186"/>
      <c r="C1200" s="186"/>
      <c r="D1200" s="188"/>
      <c r="E1200" s="188"/>
      <c r="F1200" s="189"/>
      <c r="G1200" s="190"/>
    </row>
    <row r="1201" ht="15.75" customHeight="1">
      <c r="A1201" s="186"/>
      <c r="B1201" s="186"/>
      <c r="C1201" s="186"/>
      <c r="D1201" s="188"/>
      <c r="E1201" s="188"/>
      <c r="F1201" s="189"/>
      <c r="G1201" s="190"/>
    </row>
    <row r="1202" ht="15.75" customHeight="1">
      <c r="A1202" s="186"/>
      <c r="B1202" s="186"/>
      <c r="C1202" s="186"/>
      <c r="D1202" s="188"/>
      <c r="E1202" s="188"/>
      <c r="F1202" s="189"/>
      <c r="G1202" s="190"/>
    </row>
    <row r="1203" ht="15.75" customHeight="1">
      <c r="A1203" s="186"/>
      <c r="B1203" s="186"/>
      <c r="C1203" s="186"/>
      <c r="D1203" s="188"/>
      <c r="E1203" s="188"/>
      <c r="F1203" s="189"/>
      <c r="G1203" s="190"/>
    </row>
    <row r="1204" ht="15.75" customHeight="1">
      <c r="A1204" s="186"/>
      <c r="B1204" s="186"/>
      <c r="C1204" s="186"/>
      <c r="D1204" s="188"/>
      <c r="E1204" s="188"/>
      <c r="F1204" s="189"/>
      <c r="G1204" s="190"/>
    </row>
    <row r="1205" ht="15.75" customHeight="1">
      <c r="A1205" s="186"/>
      <c r="B1205" s="186"/>
      <c r="C1205" s="186"/>
      <c r="D1205" s="188"/>
      <c r="E1205" s="188"/>
      <c r="F1205" s="189"/>
      <c r="G1205" s="190"/>
    </row>
    <row r="1206" ht="15.75" customHeight="1">
      <c r="A1206" s="186"/>
      <c r="B1206" s="186"/>
      <c r="C1206" s="186"/>
      <c r="D1206" s="188"/>
      <c r="E1206" s="188"/>
      <c r="F1206" s="189"/>
      <c r="G1206" s="190"/>
    </row>
    <row r="1207" ht="15.75" customHeight="1">
      <c r="A1207" s="186"/>
      <c r="B1207" s="186"/>
      <c r="C1207" s="186"/>
      <c r="D1207" s="188"/>
      <c r="E1207" s="188"/>
      <c r="F1207" s="189"/>
      <c r="G1207" s="190"/>
    </row>
    <row r="1208" ht="15.75" customHeight="1">
      <c r="A1208" s="186"/>
      <c r="B1208" s="186"/>
      <c r="C1208" s="186"/>
      <c r="D1208" s="188"/>
      <c r="E1208" s="188"/>
      <c r="F1208" s="189"/>
      <c r="G1208" s="190"/>
    </row>
    <row r="1209" ht="15.75" customHeight="1">
      <c r="A1209" s="186"/>
      <c r="B1209" s="186"/>
      <c r="C1209" s="186"/>
      <c r="D1209" s="188"/>
      <c r="E1209" s="188"/>
      <c r="F1209" s="189"/>
      <c r="G1209" s="190"/>
    </row>
    <row r="1210" ht="15.75" customHeight="1">
      <c r="A1210" s="186"/>
      <c r="B1210" s="186"/>
      <c r="C1210" s="186"/>
      <c r="D1210" s="188"/>
      <c r="E1210" s="188"/>
      <c r="F1210" s="189"/>
      <c r="G1210" s="190"/>
    </row>
    <row r="1211" ht="15.75" customHeight="1">
      <c r="A1211" s="186"/>
      <c r="B1211" s="186"/>
      <c r="C1211" s="186"/>
      <c r="D1211" s="188"/>
      <c r="E1211" s="188"/>
      <c r="F1211" s="189"/>
      <c r="G1211" s="190"/>
    </row>
    <row r="1212" ht="15.75" customHeight="1">
      <c r="A1212" s="186"/>
      <c r="B1212" s="186"/>
      <c r="C1212" s="186"/>
      <c r="D1212" s="188"/>
      <c r="E1212" s="188"/>
      <c r="F1212" s="189"/>
      <c r="G1212" s="190"/>
    </row>
    <row r="1213" ht="15.75" customHeight="1">
      <c r="A1213" s="186"/>
      <c r="B1213" s="186"/>
      <c r="C1213" s="186"/>
      <c r="D1213" s="188"/>
      <c r="E1213" s="188"/>
      <c r="F1213" s="189"/>
      <c r="G1213" s="190"/>
    </row>
    <row r="1214" ht="15.75" customHeight="1">
      <c r="A1214" s="186"/>
      <c r="B1214" s="186"/>
      <c r="C1214" s="186"/>
      <c r="D1214" s="188"/>
      <c r="E1214" s="188"/>
      <c r="F1214" s="189"/>
      <c r="G1214" s="190"/>
    </row>
    <row r="1215" ht="15.75" customHeight="1">
      <c r="A1215" s="186"/>
      <c r="B1215" s="186"/>
      <c r="C1215" s="186"/>
      <c r="D1215" s="188"/>
      <c r="E1215" s="188"/>
      <c r="F1215" s="189"/>
      <c r="G1215" s="190"/>
    </row>
    <row r="1216" ht="15.75" customHeight="1">
      <c r="A1216" s="186"/>
      <c r="B1216" s="186"/>
      <c r="C1216" s="186"/>
      <c r="D1216" s="188"/>
      <c r="E1216" s="188"/>
      <c r="F1216" s="189"/>
      <c r="G1216" s="190"/>
    </row>
    <row r="1217" ht="15.75" customHeight="1">
      <c r="A1217" s="186"/>
      <c r="B1217" s="186"/>
      <c r="C1217" s="186"/>
      <c r="D1217" s="188"/>
      <c r="E1217" s="188"/>
      <c r="F1217" s="189"/>
      <c r="G1217" s="190"/>
    </row>
    <row r="1218" ht="15.75" customHeight="1">
      <c r="A1218" s="186"/>
      <c r="B1218" s="186"/>
      <c r="C1218" s="186"/>
      <c r="D1218" s="188"/>
      <c r="E1218" s="188"/>
      <c r="F1218" s="189"/>
      <c r="G1218" s="190"/>
    </row>
    <row r="1219" ht="15.75" customHeight="1">
      <c r="A1219" s="186"/>
      <c r="B1219" s="186"/>
      <c r="C1219" s="186"/>
      <c r="D1219" s="188"/>
      <c r="E1219" s="188"/>
      <c r="F1219" s="189"/>
      <c r="G1219" s="190"/>
    </row>
    <row r="1220" ht="15.75" customHeight="1">
      <c r="A1220" s="186"/>
      <c r="B1220" s="186"/>
      <c r="C1220" s="186"/>
      <c r="D1220" s="188"/>
      <c r="E1220" s="188"/>
      <c r="F1220" s="189"/>
      <c r="G1220" s="190"/>
    </row>
    <row r="1221" ht="15.75" customHeight="1">
      <c r="A1221" s="186"/>
      <c r="B1221" s="186"/>
      <c r="C1221" s="186"/>
      <c r="D1221" s="188"/>
      <c r="E1221" s="188"/>
      <c r="F1221" s="189"/>
      <c r="G1221" s="190"/>
    </row>
    <row r="1222" ht="15.75" customHeight="1">
      <c r="A1222" s="186"/>
      <c r="B1222" s="186"/>
      <c r="C1222" s="186"/>
      <c r="D1222" s="188"/>
      <c r="E1222" s="188"/>
      <c r="F1222" s="189"/>
      <c r="G1222" s="190"/>
    </row>
    <row r="1223" ht="15.75" customHeight="1">
      <c r="A1223" s="186"/>
      <c r="B1223" s="186"/>
      <c r="C1223" s="186"/>
      <c r="D1223" s="188"/>
      <c r="E1223" s="188"/>
      <c r="F1223" s="189"/>
      <c r="G1223" s="190"/>
    </row>
    <row r="1224" ht="15.75" customHeight="1">
      <c r="A1224" s="186"/>
      <c r="B1224" s="186"/>
      <c r="C1224" s="186"/>
      <c r="D1224" s="188"/>
      <c r="E1224" s="188"/>
      <c r="F1224" s="189"/>
      <c r="G1224" s="190"/>
    </row>
    <row r="1225" ht="15.75" customHeight="1">
      <c r="A1225" s="186"/>
      <c r="B1225" s="186"/>
      <c r="C1225" s="186"/>
      <c r="D1225" s="188"/>
      <c r="E1225" s="188"/>
      <c r="F1225" s="189"/>
      <c r="G1225" s="190"/>
    </row>
    <row r="1226" ht="15.75" customHeight="1">
      <c r="A1226" s="186"/>
      <c r="B1226" s="186"/>
      <c r="C1226" s="186"/>
      <c r="D1226" s="188"/>
      <c r="E1226" s="188"/>
      <c r="F1226" s="189"/>
      <c r="G1226" s="190"/>
    </row>
    <row r="1227" ht="15.75" customHeight="1">
      <c r="A1227" s="186"/>
      <c r="B1227" s="186"/>
      <c r="C1227" s="186"/>
      <c r="D1227" s="188"/>
      <c r="E1227" s="188"/>
      <c r="F1227" s="189"/>
      <c r="G1227" s="190"/>
    </row>
    <row r="1228" ht="15.75" customHeight="1">
      <c r="A1228" s="186"/>
      <c r="B1228" s="186"/>
      <c r="C1228" s="186"/>
      <c r="D1228" s="188"/>
      <c r="E1228" s="188"/>
      <c r="F1228" s="189"/>
      <c r="G1228" s="190"/>
    </row>
    <row r="1229" ht="15.75" customHeight="1">
      <c r="A1229" s="186"/>
      <c r="B1229" s="186"/>
      <c r="C1229" s="186"/>
      <c r="D1229" s="188"/>
      <c r="E1229" s="188"/>
      <c r="F1229" s="189"/>
      <c r="G1229" s="190"/>
    </row>
    <row r="1230" ht="15.75" customHeight="1">
      <c r="A1230" s="186"/>
      <c r="B1230" s="186"/>
      <c r="C1230" s="186"/>
      <c r="D1230" s="188"/>
      <c r="E1230" s="188"/>
      <c r="F1230" s="189"/>
      <c r="G1230" s="190"/>
    </row>
    <row r="1231" ht="15.75" customHeight="1">
      <c r="A1231" s="186"/>
      <c r="B1231" s="186"/>
      <c r="C1231" s="186"/>
      <c r="D1231" s="188"/>
      <c r="E1231" s="188"/>
      <c r="F1231" s="189"/>
      <c r="G1231" s="190"/>
    </row>
    <row r="1232" ht="15.75" customHeight="1">
      <c r="A1232" s="186"/>
      <c r="B1232" s="186"/>
      <c r="C1232" s="186"/>
      <c r="D1232" s="188"/>
      <c r="E1232" s="188"/>
      <c r="F1232" s="189"/>
      <c r="G1232" s="190"/>
    </row>
    <row r="1233" ht="15.75" customHeight="1">
      <c r="A1233" s="186"/>
      <c r="B1233" s="186"/>
      <c r="C1233" s="186"/>
      <c r="D1233" s="188"/>
      <c r="E1233" s="188"/>
      <c r="F1233" s="189"/>
      <c r="G1233" s="190"/>
    </row>
    <row r="1234" ht="15.75" customHeight="1">
      <c r="A1234" s="186"/>
      <c r="B1234" s="186"/>
      <c r="C1234" s="186"/>
      <c r="D1234" s="188"/>
      <c r="E1234" s="188"/>
      <c r="F1234" s="189"/>
      <c r="G1234" s="190"/>
    </row>
    <row r="1235" ht="15.75" customHeight="1">
      <c r="A1235" s="186"/>
      <c r="B1235" s="186"/>
      <c r="C1235" s="186"/>
      <c r="D1235" s="188"/>
      <c r="E1235" s="188"/>
      <c r="F1235" s="189"/>
      <c r="G1235" s="190"/>
    </row>
    <row r="1236" ht="15.75" customHeight="1">
      <c r="A1236" s="186"/>
      <c r="B1236" s="186"/>
      <c r="C1236" s="186"/>
      <c r="D1236" s="188"/>
      <c r="E1236" s="188"/>
      <c r="F1236" s="189"/>
      <c r="G1236" s="190"/>
    </row>
    <row r="1237" ht="15.75" customHeight="1">
      <c r="A1237" s="186"/>
      <c r="B1237" s="186"/>
      <c r="C1237" s="186"/>
      <c r="D1237" s="188"/>
      <c r="E1237" s="188"/>
      <c r="F1237" s="189"/>
      <c r="G1237" s="190"/>
    </row>
    <row r="1238" ht="15.75" customHeight="1">
      <c r="A1238" s="186"/>
      <c r="B1238" s="186"/>
      <c r="C1238" s="186"/>
      <c r="D1238" s="188"/>
      <c r="E1238" s="188"/>
      <c r="F1238" s="189"/>
      <c r="G1238" s="190"/>
    </row>
    <row r="1239" ht="15.75" customHeight="1">
      <c r="A1239" s="186"/>
      <c r="B1239" s="186"/>
      <c r="C1239" s="186"/>
      <c r="D1239" s="188"/>
      <c r="E1239" s="188"/>
      <c r="F1239" s="189"/>
      <c r="G1239" s="190"/>
    </row>
    <row r="1240" ht="15.75" customHeight="1">
      <c r="A1240" s="186"/>
      <c r="B1240" s="186"/>
      <c r="C1240" s="186"/>
      <c r="D1240" s="188"/>
      <c r="E1240" s="188"/>
      <c r="F1240" s="189"/>
      <c r="G1240" s="190"/>
    </row>
    <row r="1241" ht="15.75" customHeight="1">
      <c r="A1241" s="186"/>
      <c r="B1241" s="186"/>
      <c r="C1241" s="186"/>
      <c r="D1241" s="188"/>
      <c r="E1241" s="188"/>
      <c r="F1241" s="189"/>
      <c r="G1241" s="190"/>
    </row>
    <row r="1242" ht="15.75" customHeight="1">
      <c r="A1242" s="186"/>
      <c r="B1242" s="186"/>
      <c r="C1242" s="186"/>
      <c r="D1242" s="188"/>
      <c r="E1242" s="188"/>
      <c r="F1242" s="189"/>
      <c r="G1242" s="190"/>
    </row>
    <row r="1243" ht="15.75" customHeight="1">
      <c r="A1243" s="186"/>
      <c r="B1243" s="186"/>
      <c r="C1243" s="186"/>
      <c r="D1243" s="188"/>
      <c r="E1243" s="188"/>
      <c r="F1243" s="189"/>
      <c r="G1243" s="190"/>
    </row>
    <row r="1244" ht="15.75" customHeight="1">
      <c r="A1244" s="186"/>
      <c r="B1244" s="186"/>
      <c r="C1244" s="186"/>
      <c r="D1244" s="188"/>
      <c r="E1244" s="188"/>
      <c r="F1244" s="189"/>
      <c r="G1244" s="190"/>
    </row>
    <row r="1245" ht="15.75" customHeight="1">
      <c r="A1245" s="186"/>
      <c r="B1245" s="186"/>
      <c r="C1245" s="186"/>
      <c r="D1245" s="188"/>
      <c r="E1245" s="188"/>
      <c r="F1245" s="189"/>
      <c r="G1245" s="190"/>
    </row>
    <row r="1246" ht="15.75" customHeight="1">
      <c r="A1246" s="186"/>
      <c r="B1246" s="186"/>
      <c r="C1246" s="186"/>
      <c r="D1246" s="188"/>
      <c r="E1246" s="188"/>
      <c r="F1246" s="189"/>
      <c r="G1246" s="190"/>
    </row>
    <row r="1247" ht="15.75" customHeight="1">
      <c r="A1247" s="186"/>
      <c r="B1247" s="186"/>
      <c r="C1247" s="186"/>
      <c r="D1247" s="188"/>
      <c r="E1247" s="188"/>
      <c r="F1247" s="189"/>
      <c r="G1247" s="190"/>
    </row>
    <row r="1248" ht="15.75" customHeight="1">
      <c r="A1248" s="186"/>
      <c r="B1248" s="186"/>
      <c r="C1248" s="186"/>
      <c r="D1248" s="188"/>
      <c r="E1248" s="188"/>
      <c r="F1248" s="189"/>
      <c r="G1248" s="190"/>
    </row>
    <row r="1249" ht="15.75" customHeight="1">
      <c r="A1249" s="186"/>
      <c r="B1249" s="186"/>
      <c r="C1249" s="186"/>
      <c r="D1249" s="188"/>
      <c r="E1249" s="188"/>
      <c r="F1249" s="189"/>
      <c r="G1249" s="190"/>
    </row>
    <row r="1250" ht="15.75" customHeight="1">
      <c r="A1250" s="186"/>
      <c r="B1250" s="186"/>
      <c r="C1250" s="186"/>
      <c r="D1250" s="188"/>
      <c r="E1250" s="188"/>
      <c r="F1250" s="189"/>
      <c r="G1250" s="190"/>
    </row>
    <row r="1251" ht="15.75" customHeight="1">
      <c r="A1251" s="186"/>
      <c r="B1251" s="186"/>
      <c r="C1251" s="186"/>
      <c r="D1251" s="188"/>
      <c r="E1251" s="188"/>
      <c r="F1251" s="189"/>
      <c r="G1251" s="190"/>
    </row>
    <row r="1252" ht="15.75" customHeight="1">
      <c r="A1252" s="186"/>
      <c r="B1252" s="186"/>
      <c r="C1252" s="186"/>
      <c r="D1252" s="188"/>
      <c r="E1252" s="188"/>
      <c r="F1252" s="189"/>
      <c r="G1252" s="190"/>
    </row>
    <row r="1253" ht="15.75" customHeight="1">
      <c r="A1253" s="186"/>
      <c r="B1253" s="186"/>
      <c r="C1253" s="186"/>
      <c r="D1253" s="188"/>
      <c r="E1253" s="188"/>
      <c r="F1253" s="189"/>
      <c r="G1253" s="190"/>
    </row>
    <row r="1254" ht="15.75" customHeight="1">
      <c r="A1254" s="186"/>
      <c r="B1254" s="186"/>
      <c r="C1254" s="186"/>
      <c r="D1254" s="184"/>
      <c r="E1254" s="184"/>
      <c r="F1254" s="185"/>
      <c r="G1254" s="131"/>
    </row>
  </sheetData>
  <mergeCells count="11">
    <mergeCell ref="A76:B76"/>
    <mergeCell ref="A79:B79"/>
    <mergeCell ref="A82:B82"/>
    <mergeCell ref="A84:B84"/>
    <mergeCell ref="A2:B2"/>
    <mergeCell ref="A15:B15"/>
    <mergeCell ref="A34:B34"/>
    <mergeCell ref="A39:B39"/>
    <mergeCell ref="A46:B46"/>
    <mergeCell ref="A60:B60"/>
    <mergeCell ref="A73:B73"/>
  </mergeCells>
  <conditionalFormatting sqref="C3:C9 C12:C26 C38:C50 C52:C63 C65:C66 C68:C69 C71:C72 C74 C76:C1254">
    <cfRule type="containsText" dxfId="1" priority="1" operator="containsText" text="Mayor a 5">
      <formula>NOT(ISERROR(SEARCH(("Mayor a 5"),(C3))))</formula>
    </cfRule>
  </conditionalFormatting>
  <conditionalFormatting sqref="C3:C9 C12:C26 C38:C50 C52:C63 C65:C66 C68:C69 C71:C72 C74 C76:C1254">
    <cfRule type="containsText" dxfId="2" priority="2" operator="containsText" text="Menor a 5">
      <formula>NOT(ISERROR(SEARCH(("Menor a 5"),(C3))))</formula>
    </cfRule>
  </conditionalFormatting>
  <conditionalFormatting sqref="C3:C9 C12:C26 C38:C50 C52:C63 C65:C66 C68:C69 C71:C72 C74 C76:C1254">
    <cfRule type="containsText" dxfId="3" priority="3" operator="containsText" text="Sin stock">
      <formula>NOT(ISERROR(SEARCH(("Sin stock"),(C3))))</formula>
    </cfRule>
  </conditionalFormatting>
  <conditionalFormatting sqref="D1:G1254">
    <cfRule type="containsText" dxfId="1" priority="4" operator="containsText" text="Mayor a 5">
      <formula>NOT(ISERROR(SEARCH(("Mayor a 5"),(D1))))</formula>
    </cfRule>
  </conditionalFormatting>
  <conditionalFormatting sqref="D1:G1254">
    <cfRule type="containsText" dxfId="2" priority="5" operator="containsText" text="Menor a 5">
      <formula>NOT(ISERROR(SEARCH(("Menor a 5"),(D1))))</formula>
    </cfRule>
  </conditionalFormatting>
  <conditionalFormatting sqref="D1:G1254">
    <cfRule type="containsText" dxfId="3" priority="6" operator="containsText" text="SIN STOCK">
      <formula>NOT(ISERROR(SEARCH(("SIN STOCK"),(D1))))</formula>
    </cfRule>
  </conditionalFormatting>
  <hyperlinks>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6"/>
    <hyperlink r:id="rId15" ref="B17"/>
    <hyperlink r:id="rId16" ref="B18"/>
    <hyperlink r:id="rId17" ref="B19"/>
    <hyperlink r:id="rId18" ref="B20"/>
    <hyperlink r:id="rId19" ref="B21"/>
    <hyperlink r:id="rId20" ref="B22"/>
    <hyperlink r:id="rId21" ref="B23"/>
    <hyperlink r:id="rId22" ref="B24"/>
    <hyperlink r:id="rId23" ref="B25"/>
    <hyperlink r:id="rId24" ref="B26"/>
    <hyperlink r:id="rId25" ref="B27"/>
    <hyperlink r:id="rId26" ref="B28"/>
    <hyperlink r:id="rId27" ref="B29"/>
    <hyperlink r:id="rId28" ref="B30"/>
    <hyperlink r:id="rId29" ref="B31"/>
    <hyperlink r:id="rId30" ref="B32"/>
    <hyperlink r:id="rId31" ref="B33"/>
    <hyperlink r:id="rId32" ref="B35"/>
    <hyperlink r:id="rId33" ref="B36"/>
    <hyperlink r:id="rId34" ref="B37"/>
    <hyperlink r:id="rId35" ref="B40"/>
    <hyperlink r:id="rId36" ref="B41"/>
    <hyperlink r:id="rId37" ref="B42"/>
    <hyperlink r:id="rId38" ref="B43"/>
    <hyperlink r:id="rId39" ref="B44"/>
    <hyperlink r:id="rId40" ref="B45"/>
    <hyperlink r:id="rId41" ref="B47"/>
    <hyperlink r:id="rId42" ref="B48"/>
    <hyperlink r:id="rId43" ref="B49"/>
    <hyperlink r:id="rId44" ref="B50"/>
    <hyperlink r:id="rId45" ref="B51"/>
    <hyperlink r:id="rId46" ref="B52"/>
    <hyperlink r:id="rId47" ref="B53"/>
    <hyperlink r:id="rId48" ref="B54"/>
    <hyperlink r:id="rId49" ref="B55"/>
    <hyperlink r:id="rId50" ref="B56"/>
    <hyperlink r:id="rId51" ref="B57"/>
    <hyperlink r:id="rId52" ref="B58"/>
    <hyperlink r:id="rId53" ref="B59"/>
    <hyperlink r:id="rId54" ref="B61"/>
    <hyperlink r:id="rId55" ref="B62"/>
    <hyperlink r:id="rId56" ref="B63"/>
    <hyperlink r:id="rId57" ref="B64"/>
    <hyperlink r:id="rId58" ref="B65"/>
    <hyperlink r:id="rId59" ref="B66"/>
    <hyperlink r:id="rId60" ref="B67"/>
    <hyperlink r:id="rId61" ref="B68"/>
    <hyperlink r:id="rId62" ref="B69"/>
    <hyperlink r:id="rId63" ref="B70"/>
    <hyperlink r:id="rId64" ref="B71"/>
    <hyperlink r:id="rId65" ref="B72"/>
    <hyperlink r:id="rId66" ref="B74"/>
    <hyperlink r:id="rId67" ref="B75"/>
    <hyperlink r:id="rId68" ref="B77"/>
    <hyperlink r:id="rId69" ref="B78"/>
    <hyperlink r:id="rId70" ref="B80"/>
    <hyperlink r:id="rId71" ref="B81"/>
    <hyperlink r:id="rId72" ref="B83"/>
    <hyperlink r:id="rId73" ref="B85"/>
    <hyperlink r:id="rId74" ref="B86"/>
    <hyperlink r:id="rId75" ref="B87"/>
    <hyperlink r:id="rId76" ref="B88"/>
    <hyperlink r:id="rId77" ref="B89"/>
    <hyperlink r:id="rId78" ref="B90"/>
    <hyperlink r:id="rId79" ref="B91"/>
    <hyperlink r:id="rId80" ref="B92"/>
  </hyperlinks>
  <printOptions/>
  <pageMargins bottom="0.75" footer="0.0" header="0.0" left="0.7" right="0.7" top="0.75"/>
  <pageSetup orientation="landscape"/>
  <drawing r:id="rId81"/>
  <legacyDrawing r:id="rId8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2024-05-07T14:32:04Z</dcterms:created>
  <dc:creator>Martin</dc:creator>
</cp:coreProperties>
</file>